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ndre.guimaraes\Downloads\"/>
    </mc:Choice>
  </mc:AlternateContent>
  <xr:revisionPtr revIDLastSave="0" documentId="13_ncr:1_{D2A7EF04-6366-4387-B5CC-C90FB50F4DA6}" xr6:coauthVersionLast="47" xr6:coauthVersionMax="47" xr10:uidLastSave="{00000000-0000-0000-0000-000000000000}"/>
  <bookViews>
    <workbookView xWindow="-110" yWindow="-110" windowWidth="19420" windowHeight="11500" activeTab="1" xr2:uid="{8319A58C-63AD-4978-B1F0-18E6CD451444}"/>
  </bookViews>
  <sheets>
    <sheet name="MOB.PESSOAS" sheetId="1" r:id="rId1"/>
    <sheet name="MOB.EMPRESAS" sheetId="7" r:id="rId2"/>
    <sheet name="DESMOB. PESSOAS" sheetId="6" state="hidden" r:id="rId3"/>
    <sheet name="TabControleEfetivo" sheetId="2" state="hidden" r:id="rId4"/>
    <sheet name="Liderança" sheetId="3" state="hidden" r:id="rId5"/>
    <sheet name="LIDERANÇA2" sheetId="12" state="hidden" r:id="rId6"/>
    <sheet name="Controle_Projetos" sheetId="4" state="hidden" r:id="rId7"/>
    <sheet name="GERAL_CONTRATOS" sheetId="5" state="hidden" r:id="rId8"/>
    <sheet name="CONTATO CLIENTES" sheetId="8" state="hidden" r:id="rId9"/>
    <sheet name="GERENCIAMENTO LOGIN E SENHA" sheetId="9" state="hidden" r:id="rId10"/>
    <sheet name="Atualização de Anexo 06" sheetId="11" state="hidden" r:id="rId11"/>
  </sheets>
  <definedNames>
    <definedName name="_xlnm._FilterDatabase" localSheetId="8" hidden="1">'CONTATO CLIENTES'!$A$1:$M$74</definedName>
    <definedName name="_xlnm._FilterDatabase" localSheetId="9" hidden="1">'GERENCIAMENTO LOGIN E SENHA'!$A$1:$F$1</definedName>
    <definedName name="DadosExternos_1" localSheetId="6" hidden="1">'Controle_Projetos'!$A$1:$V$434</definedName>
    <definedName name="DadosExternos_1" localSheetId="7" hidden="1">GERAL_CONTRATOS!$A$1:$EJ$614</definedName>
    <definedName name="DadosExternos_1" localSheetId="3" hidden="1">TabControleEfetivo!$A$1:$AD$382</definedName>
    <definedName name="DadosExternos_2" localSheetId="4" hidden="1">Liderança!$A$1:$D$22</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288" i="1" l="1"/>
  <c r="AW288" i="1" s="1"/>
  <c r="BC288" i="1" s="1"/>
  <c r="BF288" i="1" s="1"/>
  <c r="BI288" i="1" s="1"/>
  <c r="BL288" i="1" s="1"/>
  <c r="AN287" i="1"/>
  <c r="AQ287" i="1" s="1"/>
  <c r="AN288" i="1"/>
  <c r="AQ288" i="1" s="1"/>
  <c r="AJ287" i="1" a="1"/>
  <c r="AJ287" i="1" s="1"/>
  <c r="Z287" i="1"/>
  <c r="G288" i="1" l="1" a="1"/>
  <c r="G288" i="1" s="1"/>
  <c r="G289" i="1" a="1"/>
  <c r="G289" i="1" s="1"/>
  <c r="S288" i="1"/>
  <c r="U288" i="1" s="1"/>
  <c r="S289" i="1"/>
  <c r="U289" i="1" s="1"/>
  <c r="V288" i="1"/>
  <c r="V289" i="1"/>
  <c r="W288" i="1"/>
  <c r="W289" i="1"/>
  <c r="Z289" i="1"/>
  <c r="AG288" i="1"/>
  <c r="AG289" i="1"/>
  <c r="AJ288" i="1" a="1"/>
  <c r="AJ288" i="1" s="1"/>
  <c r="AJ289" i="1" a="1"/>
  <c r="AJ289" i="1" s="1"/>
  <c r="AM288" i="1" a="1"/>
  <c r="AM288" i="1" s="1"/>
  <c r="H288" i="1" s="1" a="1"/>
  <c r="H288" i="1" s="1"/>
  <c r="AM289" i="1" a="1"/>
  <c r="AM289" i="1" s="1"/>
  <c r="H289" i="1" s="1" a="1"/>
  <c r="H289" i="1" s="1"/>
  <c r="AP288" i="1" a="1"/>
  <c r="AP288" i="1" s="1"/>
  <c r="I288" i="1" s="1" a="1"/>
  <c r="I288" i="1" s="1"/>
  <c r="AP289" i="1" a="1"/>
  <c r="AP289" i="1" s="1"/>
  <c r="I289" i="1" s="1" a="1"/>
  <c r="I289" i="1" s="1"/>
  <c r="AS288" i="1" a="1"/>
  <c r="AS288" i="1" s="1"/>
  <c r="J288" i="1" s="1" a="1"/>
  <c r="J288" i="1" s="1"/>
  <c r="AS289" i="1" a="1"/>
  <c r="AS289" i="1" s="1"/>
  <c r="J289" i="1" s="1" a="1"/>
  <c r="J289" i="1" s="1"/>
  <c r="AV288" i="1" a="1"/>
  <c r="AV288" i="1" s="1"/>
  <c r="K288" i="1" s="1" a="1"/>
  <c r="K288" i="1" s="1"/>
  <c r="AV289" i="1" a="1"/>
  <c r="AV289" i="1" s="1"/>
  <c r="K289" i="1" s="1" a="1"/>
  <c r="K289" i="1" s="1"/>
  <c r="AY288" i="1" a="1"/>
  <c r="AY288" i="1" s="1"/>
  <c r="L288" i="1" s="1" a="1"/>
  <c r="L288" i="1" s="1"/>
  <c r="AY289" i="1" a="1"/>
  <c r="AY289" i="1" s="1"/>
  <c r="L289" i="1" s="1" a="1"/>
  <c r="L289" i="1" s="1"/>
  <c r="BB288" i="1" a="1"/>
  <c r="BB288" i="1" s="1"/>
  <c r="M288" i="1" s="1" a="1"/>
  <c r="M288" i="1" s="1"/>
  <c r="BB289" i="1" a="1"/>
  <c r="BB289" i="1" s="1"/>
  <c r="M289" i="1" s="1" a="1"/>
  <c r="M289" i="1" s="1"/>
  <c r="BE288" i="1" a="1"/>
  <c r="BE288" i="1" s="1"/>
  <c r="N288" i="1" s="1" a="1"/>
  <c r="N288" i="1" s="1"/>
  <c r="BE289" i="1" a="1"/>
  <c r="BE289" i="1" s="1"/>
  <c r="N289" i="1" s="1" a="1"/>
  <c r="N289" i="1" s="1"/>
  <c r="BH288" i="1" a="1"/>
  <c r="BH288" i="1" s="1"/>
  <c r="O288" i="1" s="1" a="1"/>
  <c r="O288" i="1" s="1"/>
  <c r="BH289" i="1" a="1"/>
  <c r="BH289" i="1" s="1"/>
  <c r="O289" i="1" s="1" a="1"/>
  <c r="O289" i="1" s="1"/>
  <c r="BK288" i="1" a="1"/>
  <c r="BK288" i="1" s="1"/>
  <c r="P288" i="1" s="1" a="1"/>
  <c r="P288" i="1" s="1"/>
  <c r="BK289" i="1" a="1"/>
  <c r="BK289" i="1" s="1"/>
  <c r="P289" i="1" s="1" a="1"/>
  <c r="P289" i="1" s="1"/>
  <c r="BN288" i="1" a="1"/>
  <c r="BN288" i="1" s="1"/>
  <c r="Q288" i="1" s="1" a="1"/>
  <c r="Q288" i="1" s="1"/>
  <c r="BN289" i="1" a="1"/>
  <c r="BN289" i="1" s="1"/>
  <c r="Q289" i="1" s="1" a="1"/>
  <c r="Q289" i="1" s="1"/>
  <c r="R287" i="1"/>
  <c r="R288" i="1"/>
  <c r="R289" i="1"/>
  <c r="AT285" i="1"/>
  <c r="AW285" i="1" s="1"/>
  <c r="BC285" i="1" s="1"/>
  <c r="BF285" i="1" s="1"/>
  <c r="BI285" i="1" s="1"/>
  <c r="BL285" i="1" s="1"/>
  <c r="AT286" i="1"/>
  <c r="AW286" i="1" s="1"/>
  <c r="BC286" i="1" s="1"/>
  <c r="BF286" i="1" s="1"/>
  <c r="BI286" i="1" s="1"/>
  <c r="BL286" i="1" s="1"/>
  <c r="AT287" i="1"/>
  <c r="AW287" i="1" s="1"/>
  <c r="BC287" i="1" s="1"/>
  <c r="BF287" i="1" s="1"/>
  <c r="BI287" i="1" s="1"/>
  <c r="BL287" i="1" s="1"/>
  <c r="AN285" i="1"/>
  <c r="AQ285" i="1" s="1"/>
  <c r="AN286" i="1"/>
  <c r="AQ286" i="1" s="1"/>
  <c r="Z286" i="1"/>
  <c r="Z285" i="1"/>
  <c r="T288" i="1" l="1"/>
  <c r="T289" i="1"/>
  <c r="G287" i="1" a="1"/>
  <c r="G287" i="1" s="1"/>
  <c r="S287" i="1"/>
  <c r="T287" i="1" s="1"/>
  <c r="V287" i="1"/>
  <c r="W287" i="1"/>
  <c r="AG287" i="1"/>
  <c r="AM287" i="1" a="1"/>
  <c r="AM287" i="1" s="1"/>
  <c r="H287" i="1" s="1" a="1"/>
  <c r="H287" i="1" s="1"/>
  <c r="AP287" i="1" a="1"/>
  <c r="AP287" i="1" s="1"/>
  <c r="I287" i="1" s="1" a="1"/>
  <c r="I287" i="1" s="1"/>
  <c r="AS287" i="1" a="1"/>
  <c r="AS287" i="1" s="1"/>
  <c r="J287" i="1" s="1" a="1"/>
  <c r="J287" i="1" s="1"/>
  <c r="AV287" i="1" a="1"/>
  <c r="AV287" i="1" s="1"/>
  <c r="K287" i="1" s="1" a="1"/>
  <c r="K287" i="1" s="1"/>
  <c r="AY287" i="1" a="1"/>
  <c r="AY287" i="1" s="1"/>
  <c r="L287" i="1" s="1" a="1"/>
  <c r="L287" i="1" s="1"/>
  <c r="BB287" i="1" a="1"/>
  <c r="BB287" i="1" s="1"/>
  <c r="M287" i="1" s="1" a="1"/>
  <c r="M287" i="1" s="1"/>
  <c r="BE287" i="1" a="1"/>
  <c r="BE287" i="1" s="1"/>
  <c r="N287" i="1" s="1" a="1"/>
  <c r="N287" i="1" s="1"/>
  <c r="BH287" i="1" a="1"/>
  <c r="BH287" i="1" s="1"/>
  <c r="O287" i="1" s="1" a="1"/>
  <c r="O287" i="1" s="1"/>
  <c r="BK287" i="1" a="1"/>
  <c r="BK287" i="1" s="1"/>
  <c r="P287" i="1" s="1" a="1"/>
  <c r="P287" i="1" s="1"/>
  <c r="BN287" i="1" a="1"/>
  <c r="BN287" i="1" s="1"/>
  <c r="Q287" i="1" s="1" a="1"/>
  <c r="Q287" i="1" s="1"/>
  <c r="G286" i="1" a="1"/>
  <c r="G286" i="1" s="1"/>
  <c r="S286" i="1"/>
  <c r="U286" i="1" s="1"/>
  <c r="V286" i="1"/>
  <c r="W286" i="1"/>
  <c r="AG286" i="1"/>
  <c r="AJ286" i="1" a="1"/>
  <c r="AJ286" i="1" s="1"/>
  <c r="AM286" i="1" a="1"/>
  <c r="AM286" i="1" s="1"/>
  <c r="H286" i="1" s="1" a="1"/>
  <c r="H286" i="1" s="1"/>
  <c r="AP286" i="1" a="1"/>
  <c r="AP286" i="1" s="1"/>
  <c r="I286" i="1" s="1" a="1"/>
  <c r="I286" i="1" s="1"/>
  <c r="AS286" i="1" a="1"/>
  <c r="AS286" i="1" s="1"/>
  <c r="J286" i="1" s="1" a="1"/>
  <c r="J286" i="1" s="1"/>
  <c r="AV286" i="1" a="1"/>
  <c r="AV286" i="1" s="1"/>
  <c r="K286" i="1" s="1" a="1"/>
  <c r="K286" i="1" s="1"/>
  <c r="AY286" i="1" a="1"/>
  <c r="AY286" i="1" s="1"/>
  <c r="L286" i="1" s="1" a="1"/>
  <c r="L286" i="1" s="1"/>
  <c r="BB286" i="1" a="1"/>
  <c r="BB286" i="1" s="1"/>
  <c r="M286" i="1" s="1" a="1"/>
  <c r="M286" i="1" s="1"/>
  <c r="BE286" i="1" a="1"/>
  <c r="BE286" i="1" s="1"/>
  <c r="N286" i="1" s="1" a="1"/>
  <c r="N286" i="1" s="1"/>
  <c r="BH286" i="1" a="1"/>
  <c r="BH286" i="1" s="1"/>
  <c r="O286" i="1" s="1" a="1"/>
  <c r="O286" i="1" s="1"/>
  <c r="BK286" i="1" a="1"/>
  <c r="BK286" i="1" s="1"/>
  <c r="P286" i="1" s="1" a="1"/>
  <c r="P286" i="1" s="1"/>
  <c r="BN286" i="1" a="1"/>
  <c r="BN286" i="1" s="1"/>
  <c r="Q286" i="1" s="1" a="1"/>
  <c r="Q286" i="1" s="1"/>
  <c r="R286" i="1"/>
  <c r="R285" i="1"/>
  <c r="G285" i="1" a="1"/>
  <c r="G285" i="1" s="1"/>
  <c r="S285" i="1"/>
  <c r="T285" i="1" s="1"/>
  <c r="V285" i="1"/>
  <c r="W285" i="1"/>
  <c r="AG285" i="1"/>
  <c r="AJ285" i="1" a="1"/>
  <c r="AJ285" i="1" s="1"/>
  <c r="AM285" i="1" a="1"/>
  <c r="AM285" i="1" s="1"/>
  <c r="H285" i="1" s="1" a="1"/>
  <c r="H285" i="1" s="1"/>
  <c r="AP285" i="1" a="1"/>
  <c r="AP285" i="1" s="1"/>
  <c r="I285" i="1" s="1" a="1"/>
  <c r="I285" i="1" s="1"/>
  <c r="AS285" i="1" a="1"/>
  <c r="AS285" i="1" s="1"/>
  <c r="J285" i="1" s="1" a="1"/>
  <c r="J285" i="1" s="1"/>
  <c r="AV285" i="1" a="1"/>
  <c r="AV285" i="1" s="1"/>
  <c r="K285" i="1" s="1" a="1"/>
  <c r="K285" i="1" s="1"/>
  <c r="AY285" i="1" a="1"/>
  <c r="AY285" i="1" s="1"/>
  <c r="L285" i="1" s="1" a="1"/>
  <c r="L285" i="1" s="1"/>
  <c r="BB285" i="1" a="1"/>
  <c r="BB285" i="1" s="1"/>
  <c r="M285" i="1" s="1" a="1"/>
  <c r="M285" i="1" s="1"/>
  <c r="BE285" i="1" a="1"/>
  <c r="BE285" i="1" s="1"/>
  <c r="N285" i="1" s="1" a="1"/>
  <c r="N285" i="1" s="1"/>
  <c r="BH285" i="1" a="1"/>
  <c r="BH285" i="1" s="1"/>
  <c r="O285" i="1" s="1" a="1"/>
  <c r="O285" i="1" s="1"/>
  <c r="BK285" i="1" a="1"/>
  <c r="BK285" i="1" s="1"/>
  <c r="P285" i="1" s="1" a="1"/>
  <c r="P285" i="1" s="1"/>
  <c r="BN285" i="1" a="1"/>
  <c r="BN285" i="1" s="1"/>
  <c r="Q285" i="1" s="1" a="1"/>
  <c r="Q285" i="1" s="1"/>
  <c r="F197" i="7" a="1"/>
  <c r="F197" i="7" s="1"/>
  <c r="F198" i="7" a="1"/>
  <c r="F198" i="7" s="1"/>
  <c r="O197" i="7"/>
  <c r="R197" i="7"/>
  <c r="R198" i="7"/>
  <c r="AD197" i="7"/>
  <c r="AE197" i="7" s="1" a="1"/>
  <c r="AE197" i="7" s="1"/>
  <c r="AD198" i="7"/>
  <c r="AE198" i="7" s="1" a="1"/>
  <c r="AE198" i="7" s="1"/>
  <c r="AH197" i="7" a="1"/>
  <c r="AH197" i="7" s="1"/>
  <c r="G197" i="7" s="1" a="1"/>
  <c r="G197" i="7" s="1"/>
  <c r="AH198" i="7" a="1"/>
  <c r="AH198" i="7" s="1"/>
  <c r="G198" i="7" s="1" a="1"/>
  <c r="G198" i="7" s="1"/>
  <c r="AI197" i="7"/>
  <c r="AL197" i="7" s="1"/>
  <c r="AN197" i="7" s="1" a="1"/>
  <c r="AN197" i="7" s="1"/>
  <c r="I197" i="7" s="1" a="1"/>
  <c r="I197" i="7" s="1"/>
  <c r="AI198" i="7"/>
  <c r="AK197" i="7" a="1"/>
  <c r="AK197" i="7" s="1"/>
  <c r="H197" i="7" s="1" a="1"/>
  <c r="H197" i="7" s="1"/>
  <c r="AK198" i="7" a="1"/>
  <c r="AK198" i="7" s="1"/>
  <c r="H198" i="7" s="1" a="1"/>
  <c r="H198" i="7" s="1"/>
  <c r="AN198" i="7" a="1"/>
  <c r="AN198" i="7" s="1"/>
  <c r="I198" i="7" s="1" a="1"/>
  <c r="I198" i="7" s="1"/>
  <c r="AQ198" i="7" a="1"/>
  <c r="AQ198" i="7" s="1"/>
  <c r="J198" i="7" s="1" a="1"/>
  <c r="J198" i="7" s="1"/>
  <c r="AT198" i="7" a="1"/>
  <c r="AT198" i="7" s="1"/>
  <c r="K198" i="7" s="1" a="1"/>
  <c r="K198" i="7" s="1"/>
  <c r="AU198" i="7"/>
  <c r="AW198" i="7" s="1" a="1"/>
  <c r="AW198" i="7" s="1"/>
  <c r="L198" i="7" s="1" a="1"/>
  <c r="L198" i="7" s="1"/>
  <c r="N197" i="7"/>
  <c r="N198" i="7"/>
  <c r="U287" i="1" l="1"/>
  <c r="T286" i="1"/>
  <c r="U285" i="1"/>
  <c r="AO197" i="7"/>
  <c r="P197" i="7"/>
  <c r="Q197" i="7"/>
  <c r="O198" i="7"/>
  <c r="AX198" i="7"/>
  <c r="AZ198" i="7" s="1" a="1"/>
  <c r="AZ198" i="7" s="1"/>
  <c r="M198" i="7" s="1" a="1"/>
  <c r="M198" i="7" s="1"/>
  <c r="AQ197" i="7" l="1" a="1"/>
  <c r="AQ197" i="7" s="1"/>
  <c r="J197" i="7" s="1" a="1"/>
  <c r="J197" i="7" s="1"/>
  <c r="AR197" i="7"/>
  <c r="Q198" i="7"/>
  <c r="P198" i="7"/>
  <c r="AT197" i="7" l="1" a="1"/>
  <c r="AT197" i="7" s="1"/>
  <c r="K197" i="7" s="1" a="1"/>
  <c r="K197" i="7" s="1"/>
  <c r="AU197" i="7"/>
  <c r="AT283" i="1"/>
  <c r="AW283" i="1" s="1"/>
  <c r="BC283" i="1" s="1"/>
  <c r="BF283" i="1" s="1"/>
  <c r="BI283" i="1" s="1"/>
  <c r="BL283" i="1" s="1"/>
  <c r="AT284" i="1"/>
  <c r="AW284" i="1" s="1"/>
  <c r="BC284" i="1" s="1"/>
  <c r="BF284" i="1" s="1"/>
  <c r="BI284" i="1" s="1"/>
  <c r="BL284" i="1" s="1"/>
  <c r="AW197" i="7" l="1" a="1"/>
  <c r="AW197" i="7" s="1"/>
  <c r="L197" i="7" s="1" a="1"/>
  <c r="L197" i="7" s="1"/>
  <c r="AX197" i="7"/>
  <c r="AZ197" i="7" s="1" a="1"/>
  <c r="AZ197" i="7" s="1"/>
  <c r="M197" i="7" s="1" a="1"/>
  <c r="M197" i="7" s="1"/>
  <c r="AN283" i="1"/>
  <c r="AQ283" i="1" s="1"/>
  <c r="AS283" i="1" s="1" a="1"/>
  <c r="AS283" i="1" s="1"/>
  <c r="J283" i="1" s="1" a="1"/>
  <c r="J283" i="1" s="1"/>
  <c r="AN284" i="1"/>
  <c r="AQ284" i="1" s="1"/>
  <c r="AS284" i="1" s="1" a="1"/>
  <c r="AS284" i="1" s="1"/>
  <c r="J284" i="1" s="1" a="1"/>
  <c r="J284" i="1" s="1"/>
  <c r="G283" i="1" a="1"/>
  <c r="G283" i="1" s="1"/>
  <c r="G284" i="1" a="1"/>
  <c r="G284" i="1" s="1"/>
  <c r="S283" i="1"/>
  <c r="T283" i="1" s="1"/>
  <c r="S284" i="1"/>
  <c r="U284" i="1" s="1"/>
  <c r="U283" i="1"/>
  <c r="V283" i="1"/>
  <c r="V284" i="1"/>
  <c r="W283" i="1"/>
  <c r="W284" i="1"/>
  <c r="AG283" i="1"/>
  <c r="AG284" i="1"/>
  <c r="AJ283" i="1" a="1"/>
  <c r="AJ283" i="1" s="1"/>
  <c r="AJ284" i="1" a="1"/>
  <c r="AJ284" i="1" s="1"/>
  <c r="AM283" i="1" a="1"/>
  <c r="AM283" i="1" s="1"/>
  <c r="H283" i="1" s="1" a="1"/>
  <c r="H283" i="1" s="1"/>
  <c r="AM284" i="1" a="1"/>
  <c r="AM284" i="1" s="1"/>
  <c r="H284" i="1" s="1" a="1"/>
  <c r="H284" i="1" s="1"/>
  <c r="AV283" i="1" a="1"/>
  <c r="AV283" i="1" s="1"/>
  <c r="K283" i="1" s="1" a="1"/>
  <c r="K283" i="1" s="1"/>
  <c r="AV284" i="1" a="1"/>
  <c r="AV284" i="1" s="1"/>
  <c r="K284" i="1" s="1" a="1"/>
  <c r="K284" i="1" s="1"/>
  <c r="AY283" i="1" a="1"/>
  <c r="AY283" i="1" s="1"/>
  <c r="L283" i="1" s="1" a="1"/>
  <c r="L283" i="1" s="1"/>
  <c r="AY284" i="1" a="1"/>
  <c r="AY284" i="1" s="1"/>
  <c r="L284" i="1" s="1" a="1"/>
  <c r="L284" i="1" s="1"/>
  <c r="BB283" i="1" a="1"/>
  <c r="BB283" i="1" s="1"/>
  <c r="M283" i="1" s="1" a="1"/>
  <c r="M283" i="1" s="1"/>
  <c r="BB284" i="1" a="1"/>
  <c r="BB284" i="1" s="1"/>
  <c r="M284" i="1" s="1" a="1"/>
  <c r="M284" i="1" s="1"/>
  <c r="BE283" i="1" a="1"/>
  <c r="BE283" i="1" s="1"/>
  <c r="N283" i="1" s="1" a="1"/>
  <c r="N283" i="1" s="1"/>
  <c r="BE284" i="1" a="1"/>
  <c r="BE284" i="1" s="1"/>
  <c r="N284" i="1" s="1" a="1"/>
  <c r="N284" i="1" s="1"/>
  <c r="BH283" i="1" a="1"/>
  <c r="BH283" i="1" s="1"/>
  <c r="O283" i="1" s="1" a="1"/>
  <c r="O283" i="1" s="1"/>
  <c r="BH284" i="1" a="1"/>
  <c r="BH284" i="1" s="1"/>
  <c r="O284" i="1" s="1" a="1"/>
  <c r="O284" i="1" s="1"/>
  <c r="BK283" i="1" a="1"/>
  <c r="BK283" i="1" s="1"/>
  <c r="P283" i="1" s="1" a="1"/>
  <c r="P283" i="1" s="1"/>
  <c r="BK284" i="1" a="1"/>
  <c r="BK284" i="1" s="1"/>
  <c r="P284" i="1" s="1" a="1"/>
  <c r="P284" i="1" s="1"/>
  <c r="BN283" i="1" a="1"/>
  <c r="BN283" i="1" s="1"/>
  <c r="Q283" i="1" s="1" a="1"/>
  <c r="Q283" i="1" s="1"/>
  <c r="BN284" i="1" a="1"/>
  <c r="BN284" i="1" s="1"/>
  <c r="Q284" i="1" s="1" a="1"/>
  <c r="Q284" i="1" s="1"/>
  <c r="R283" i="1"/>
  <c r="R284" i="1"/>
  <c r="AK195" i="7" a="1"/>
  <c r="AK195" i="7" s="1"/>
  <c r="H195" i="7" s="1" a="1"/>
  <c r="H195" i="7" s="1"/>
  <c r="AK196" i="7" a="1"/>
  <c r="AK196" i="7" s="1"/>
  <c r="H196" i="7" s="1" a="1"/>
  <c r="H196" i="7" s="1"/>
  <c r="F195" i="7" a="1"/>
  <c r="F195" i="7" s="1"/>
  <c r="F196" i="7" a="1"/>
  <c r="F196" i="7" s="1"/>
  <c r="O195" i="7"/>
  <c r="O196" i="7"/>
  <c r="R195" i="7"/>
  <c r="R196" i="7"/>
  <c r="AE195" i="7" a="1"/>
  <c r="AE195" i="7" s="1"/>
  <c r="AE196" i="7" a="1"/>
  <c r="AE196" i="7" s="1"/>
  <c r="AH195" i="7" a="1"/>
  <c r="AH195" i="7" s="1"/>
  <c r="G195" i="7" s="1" a="1"/>
  <c r="G195" i="7" s="1"/>
  <c r="AH196" i="7" a="1"/>
  <c r="AH196" i="7" s="1"/>
  <c r="G196" i="7" s="1" a="1"/>
  <c r="G196" i="7" s="1"/>
  <c r="AI195" i="7"/>
  <c r="AL195" i="7" s="1"/>
  <c r="AO195" i="7" s="1"/>
  <c r="AI196" i="7"/>
  <c r="AL196" i="7" s="1"/>
  <c r="AO196" i="7" s="1"/>
  <c r="N195" i="7"/>
  <c r="N196" i="7"/>
  <c r="AP283" i="1" l="1" a="1"/>
  <c r="AP283" i="1" s="1"/>
  <c r="I283" i="1" s="1" a="1"/>
  <c r="I283" i="1" s="1"/>
  <c r="T284" i="1"/>
  <c r="AP284" i="1" a="1"/>
  <c r="AP284" i="1" s="1"/>
  <c r="I284" i="1" s="1" a="1"/>
  <c r="I284" i="1" s="1"/>
  <c r="AQ196" i="7" a="1"/>
  <c r="AQ196" i="7" s="1"/>
  <c r="J196" i="7" s="1" a="1"/>
  <c r="J196" i="7" s="1"/>
  <c r="AR196" i="7"/>
  <c r="AQ195" i="7" a="1"/>
  <c r="AQ195" i="7" s="1"/>
  <c r="J195" i="7" s="1" a="1"/>
  <c r="J195" i="7" s="1"/>
  <c r="AR195" i="7"/>
  <c r="AT195" i="7" s="1" a="1"/>
  <c r="AT195" i="7" s="1"/>
  <c r="K195" i="7" s="1" a="1"/>
  <c r="K195" i="7" s="1"/>
  <c r="AN196" i="7" a="1"/>
  <c r="AN196" i="7" s="1"/>
  <c r="I196" i="7" s="1" a="1"/>
  <c r="I196" i="7" s="1"/>
  <c r="AN195" i="7" a="1"/>
  <c r="AN195" i="7" s="1"/>
  <c r="I195" i="7" s="1" a="1"/>
  <c r="I195" i="7" s="1"/>
  <c r="Q196" i="7"/>
  <c r="Q195" i="7"/>
  <c r="P196" i="7"/>
  <c r="P195" i="7"/>
  <c r="AU195" i="7" l="1"/>
  <c r="AT196" i="7" a="1"/>
  <c r="AT196" i="7" s="1"/>
  <c r="K196" i="7" s="1" a="1"/>
  <c r="K196" i="7" s="1"/>
  <c r="AU196" i="7"/>
  <c r="AX195" i="7" l="1"/>
  <c r="AZ195" i="7" s="1" a="1"/>
  <c r="AZ195" i="7" s="1"/>
  <c r="M195" i="7" s="1" a="1"/>
  <c r="M195" i="7" s="1"/>
  <c r="AW195" i="7" a="1"/>
  <c r="AW195" i="7" s="1"/>
  <c r="L195" i="7" s="1" a="1"/>
  <c r="L195" i="7" s="1"/>
  <c r="AW196" i="7" a="1"/>
  <c r="AW196" i="7" s="1"/>
  <c r="L196" i="7" s="1" a="1"/>
  <c r="L196" i="7" s="1"/>
  <c r="AX196" i="7"/>
  <c r="AZ196" i="7" s="1" a="1"/>
  <c r="AZ196" i="7" s="1"/>
  <c r="M196" i="7" s="1" a="1"/>
  <c r="M196" i="7" s="1"/>
  <c r="F194" i="7" l="1" a="1"/>
  <c r="F194" i="7" s="1"/>
  <c r="N194" i="7"/>
  <c r="O194" i="7"/>
  <c r="R194" i="7"/>
  <c r="AE194" i="7" a="1"/>
  <c r="AE194" i="7" s="1"/>
  <c r="AH194" i="7" a="1"/>
  <c r="AH194" i="7" s="1"/>
  <c r="G194" i="7" s="1" a="1"/>
  <c r="G194" i="7" s="1"/>
  <c r="AI194" i="7"/>
  <c r="AL194" i="7" s="1"/>
  <c r="AK194" i="7" a="1"/>
  <c r="AK194" i="7" s="1"/>
  <c r="H194" i="7" s="1" a="1"/>
  <c r="H194" i="7" s="1"/>
  <c r="AT282" i="1"/>
  <c r="AV282" i="1" s="1" a="1"/>
  <c r="AV282" i="1" s="1"/>
  <c r="K282" i="1" s="1" a="1"/>
  <c r="K282" i="1" s="1"/>
  <c r="AN282" i="1"/>
  <c r="AQ282" i="1" s="1"/>
  <c r="AS282" i="1" s="1" a="1"/>
  <c r="AS282" i="1" s="1"/>
  <c r="J282" i="1" s="1" a="1"/>
  <c r="J282" i="1" s="1"/>
  <c r="R282" i="1"/>
  <c r="G282" i="1" a="1"/>
  <c r="G282" i="1" s="1"/>
  <c r="S282" i="1"/>
  <c r="T282" i="1" s="1"/>
  <c r="V282" i="1"/>
  <c r="W282" i="1"/>
  <c r="AG282" i="1"/>
  <c r="AJ282" i="1" a="1"/>
  <c r="AJ282" i="1" s="1"/>
  <c r="AM282" i="1" a="1"/>
  <c r="AM282" i="1" s="1"/>
  <c r="H282" i="1" s="1" a="1"/>
  <c r="H282" i="1" s="1"/>
  <c r="BB282" i="1" a="1"/>
  <c r="BB282" i="1" s="1"/>
  <c r="M282" i="1" s="1" a="1"/>
  <c r="M282" i="1" s="1"/>
  <c r="AT278" i="1"/>
  <c r="AW278" i="1" s="1"/>
  <c r="AT279" i="1"/>
  <c r="AW279" i="1" s="1"/>
  <c r="AT280" i="1"/>
  <c r="AV280" i="1" s="1" a="1"/>
  <c r="AV280" i="1" s="1"/>
  <c r="K280" i="1" s="1" a="1"/>
  <c r="K280" i="1" s="1"/>
  <c r="AN278" i="1"/>
  <c r="AQ278" i="1" s="1"/>
  <c r="AS278" i="1" s="1" a="1"/>
  <c r="AS278" i="1" s="1"/>
  <c r="J278" i="1" s="1" a="1"/>
  <c r="J278" i="1" s="1"/>
  <c r="AN279" i="1"/>
  <c r="AQ279" i="1" s="1"/>
  <c r="AS279" i="1" s="1" a="1"/>
  <c r="AS279" i="1" s="1"/>
  <c r="J279" i="1" s="1" a="1"/>
  <c r="J279" i="1" s="1"/>
  <c r="AN280" i="1"/>
  <c r="AQ280" i="1" s="1"/>
  <c r="AS280" i="1" s="1" a="1"/>
  <c r="AS280" i="1" s="1"/>
  <c r="J280" i="1" s="1" a="1"/>
  <c r="J280" i="1" s="1"/>
  <c r="Z280" i="1"/>
  <c r="Z279" i="1"/>
  <c r="G278" i="1" a="1"/>
  <c r="G278" i="1" s="1"/>
  <c r="G279" i="1" a="1"/>
  <c r="G279" i="1" s="1"/>
  <c r="G280" i="1" a="1"/>
  <c r="G280" i="1" s="1"/>
  <c r="S278" i="1"/>
  <c r="T278" i="1" s="1"/>
  <c r="S279" i="1"/>
  <c r="U279" i="1" s="1"/>
  <c r="S280" i="1"/>
  <c r="U280" i="1" s="1"/>
  <c r="V278" i="1"/>
  <c r="V279" i="1"/>
  <c r="V280" i="1"/>
  <c r="W278" i="1"/>
  <c r="W279" i="1"/>
  <c r="W280" i="1"/>
  <c r="Z278" i="1"/>
  <c r="AG278" i="1"/>
  <c r="AG279" i="1"/>
  <c r="AG280" i="1"/>
  <c r="AJ278" i="1" a="1"/>
  <c r="AJ278" i="1" s="1"/>
  <c r="AJ279" i="1" a="1"/>
  <c r="AJ279" i="1" s="1"/>
  <c r="AJ280" i="1" a="1"/>
  <c r="AJ280" i="1" s="1"/>
  <c r="AM278" i="1" a="1"/>
  <c r="AM278" i="1" s="1"/>
  <c r="H278" i="1" s="1" a="1"/>
  <c r="H278" i="1" s="1"/>
  <c r="AM279" i="1" a="1"/>
  <c r="AM279" i="1" s="1"/>
  <c r="H279" i="1" s="1" a="1"/>
  <c r="H279" i="1" s="1"/>
  <c r="AM280" i="1" a="1"/>
  <c r="AM280" i="1" s="1"/>
  <c r="H280" i="1" s="1" a="1"/>
  <c r="H280" i="1" s="1"/>
  <c r="BB278" i="1" a="1"/>
  <c r="BB278" i="1" s="1"/>
  <c r="M278" i="1" s="1" a="1"/>
  <c r="M278" i="1" s="1"/>
  <c r="BB279" i="1" a="1"/>
  <c r="BB279" i="1" s="1"/>
  <c r="M279" i="1" s="1" a="1"/>
  <c r="M279" i="1" s="1"/>
  <c r="BB280" i="1" a="1"/>
  <c r="BB280" i="1" s="1"/>
  <c r="M280" i="1" s="1" a="1"/>
  <c r="M280" i="1" s="1"/>
  <c r="R278" i="1"/>
  <c r="R279" i="1"/>
  <c r="R280" i="1"/>
  <c r="AT277" i="1"/>
  <c r="AW277" i="1" s="1"/>
  <c r="AY277" i="1" s="1" a="1"/>
  <c r="AY277" i="1" s="1"/>
  <c r="L277" i="1" s="1" a="1"/>
  <c r="L277" i="1" s="1"/>
  <c r="AN277" i="1"/>
  <c r="AQ277" i="1" s="1"/>
  <c r="AS277" i="1" s="1" a="1"/>
  <c r="AS277" i="1" s="1"/>
  <c r="J277" i="1" s="1" a="1"/>
  <c r="J277" i="1" s="1"/>
  <c r="G277" i="1" a="1"/>
  <c r="G277" i="1" s="1"/>
  <c r="S277" i="1"/>
  <c r="T277" i="1" s="1"/>
  <c r="V277" i="1"/>
  <c r="W277" i="1"/>
  <c r="AG277" i="1"/>
  <c r="AJ277" i="1" a="1"/>
  <c r="AJ277" i="1" s="1"/>
  <c r="AM277" i="1" a="1"/>
  <c r="AM277" i="1" s="1"/>
  <c r="H277" i="1" s="1" a="1"/>
  <c r="H277" i="1" s="1"/>
  <c r="BB277" i="1" a="1"/>
  <c r="BB277" i="1" s="1"/>
  <c r="M277" i="1" s="1" a="1"/>
  <c r="M277" i="1" s="1"/>
  <c r="R277" i="1"/>
  <c r="AT275" i="1"/>
  <c r="AW275" i="1" s="1"/>
  <c r="AT276" i="1"/>
  <c r="AW276" i="1" s="1"/>
  <c r="AN276" i="1"/>
  <c r="AP276" i="1" s="1" a="1"/>
  <c r="AP276" i="1" s="1"/>
  <c r="I276" i="1" s="1" a="1"/>
  <c r="I276" i="1" s="1"/>
  <c r="G276" i="1" a="1"/>
  <c r="G276" i="1" s="1"/>
  <c r="R276" i="1"/>
  <c r="S276" i="1"/>
  <c r="T276" i="1" s="1"/>
  <c r="V276" i="1"/>
  <c r="W276" i="1"/>
  <c r="AG276" i="1"/>
  <c r="AJ276" i="1" a="1"/>
  <c r="AJ276" i="1" s="1"/>
  <c r="AM276" i="1" a="1"/>
  <c r="AM276" i="1" s="1"/>
  <c r="H276" i="1" s="1" a="1"/>
  <c r="H276" i="1" s="1"/>
  <c r="BB276" i="1" a="1"/>
  <c r="BB276" i="1" s="1"/>
  <c r="M276" i="1" s="1" a="1"/>
  <c r="M276" i="1" s="1"/>
  <c r="AN275" i="1"/>
  <c r="AQ275" i="1" s="1"/>
  <c r="AS275" i="1" s="1" a="1"/>
  <c r="AS275" i="1" s="1"/>
  <c r="J275" i="1" s="1" a="1"/>
  <c r="J275" i="1" s="1"/>
  <c r="Z275" i="1"/>
  <c r="G275" i="1" a="1"/>
  <c r="G275" i="1" s="1"/>
  <c r="S275" i="1"/>
  <c r="U275" i="1" s="1"/>
  <c r="V275" i="1"/>
  <c r="W275" i="1"/>
  <c r="AG275" i="1"/>
  <c r="AJ275" i="1" a="1"/>
  <c r="AJ275" i="1" s="1"/>
  <c r="AM275" i="1" a="1"/>
  <c r="AM275" i="1" s="1"/>
  <c r="H275" i="1" s="1" a="1"/>
  <c r="H275" i="1" s="1"/>
  <c r="BB275" i="1" a="1"/>
  <c r="BB275" i="1" s="1"/>
  <c r="M275" i="1" s="1" a="1"/>
  <c r="M275" i="1" s="1"/>
  <c r="R275" i="1"/>
  <c r="AT281" i="1"/>
  <c r="AW281" i="1" s="1"/>
  <c r="AT274" i="1"/>
  <c r="AW274" i="1" s="1"/>
  <c r="AN281" i="1"/>
  <c r="AQ281" i="1" s="1"/>
  <c r="AS281" i="1" s="1" a="1"/>
  <c r="AS281" i="1" s="1"/>
  <c r="J281" i="1" s="1" a="1"/>
  <c r="J281" i="1" s="1"/>
  <c r="AN274" i="1"/>
  <c r="AQ274" i="1" s="1"/>
  <c r="AS274" i="1" s="1" a="1"/>
  <c r="AS274" i="1" s="1"/>
  <c r="J274" i="1" s="1" a="1"/>
  <c r="J274" i="1" s="1"/>
  <c r="AT272" i="1"/>
  <c r="AW272" i="1" s="1"/>
  <c r="AT273" i="1"/>
  <c r="AW273" i="1" s="1"/>
  <c r="AN272" i="1"/>
  <c r="AQ272" i="1" s="1"/>
  <c r="AS272" i="1" s="1" a="1"/>
  <c r="AS272" i="1" s="1"/>
  <c r="J272" i="1" s="1" a="1"/>
  <c r="J272" i="1" s="1"/>
  <c r="AN273" i="1"/>
  <c r="AQ273" i="1" s="1"/>
  <c r="AS273" i="1" s="1" a="1"/>
  <c r="AS273" i="1" s="1"/>
  <c r="J273" i="1" s="1" a="1"/>
  <c r="J273" i="1" s="1"/>
  <c r="G272" i="1" a="1"/>
  <c r="G272" i="1" s="1"/>
  <c r="G273" i="1" a="1"/>
  <c r="G273" i="1" s="1"/>
  <c r="G281" i="1" a="1"/>
  <c r="G281" i="1" s="1"/>
  <c r="G274" i="1" a="1"/>
  <c r="G274" i="1" s="1"/>
  <c r="S272" i="1"/>
  <c r="U272" i="1" s="1"/>
  <c r="S273" i="1"/>
  <c r="T273" i="1" s="1"/>
  <c r="S281" i="1"/>
  <c r="T281" i="1" s="1"/>
  <c r="S274" i="1"/>
  <c r="T274" i="1" s="1"/>
  <c r="V272" i="1"/>
  <c r="V273" i="1"/>
  <c r="V281" i="1"/>
  <c r="V274" i="1"/>
  <c r="W272" i="1"/>
  <c r="W273" i="1"/>
  <c r="W281" i="1"/>
  <c r="W274" i="1"/>
  <c r="Z281" i="1"/>
  <c r="Z274" i="1"/>
  <c r="AG272" i="1"/>
  <c r="AG273" i="1"/>
  <c r="AG281" i="1"/>
  <c r="AG274" i="1"/>
  <c r="AJ272" i="1" a="1"/>
  <c r="AJ272" i="1" s="1"/>
  <c r="AJ273" i="1" a="1"/>
  <c r="AJ273" i="1" s="1"/>
  <c r="AJ281" i="1" a="1"/>
  <c r="AJ281" i="1" s="1"/>
  <c r="AJ274" i="1" a="1"/>
  <c r="AJ274" i="1" s="1"/>
  <c r="AM272" i="1" a="1"/>
  <c r="AM272" i="1" s="1"/>
  <c r="H272" i="1" s="1" a="1"/>
  <c r="H272" i="1" s="1"/>
  <c r="AM273" i="1" a="1"/>
  <c r="AM273" i="1" s="1"/>
  <c r="H273" i="1" s="1" a="1"/>
  <c r="H273" i="1" s="1"/>
  <c r="AM281" i="1" a="1"/>
  <c r="AM281" i="1" s="1"/>
  <c r="H281" i="1" s="1" a="1"/>
  <c r="H281" i="1" s="1"/>
  <c r="AM274" i="1" a="1"/>
  <c r="AM274" i="1" s="1"/>
  <c r="H274" i="1" s="1" a="1"/>
  <c r="H274" i="1" s="1"/>
  <c r="AP281" i="1" a="1"/>
  <c r="AP281" i="1" s="1"/>
  <c r="I281" i="1" s="1" a="1"/>
  <c r="I281" i="1" s="1"/>
  <c r="BB272" i="1" a="1"/>
  <c r="BB272" i="1" s="1"/>
  <c r="M272" i="1" s="1" a="1"/>
  <c r="M272" i="1" s="1"/>
  <c r="BB273" i="1" a="1"/>
  <c r="BB273" i="1" s="1"/>
  <c r="M273" i="1" s="1" a="1"/>
  <c r="M273" i="1" s="1"/>
  <c r="BB281" i="1" a="1"/>
  <c r="BB281" i="1" s="1"/>
  <c r="M281" i="1" s="1" a="1"/>
  <c r="M281" i="1" s="1"/>
  <c r="BB274" i="1" a="1"/>
  <c r="BB274" i="1" s="1"/>
  <c r="M274" i="1" s="1" a="1"/>
  <c r="M274" i="1" s="1"/>
  <c r="R272" i="1"/>
  <c r="R273" i="1"/>
  <c r="R281" i="1"/>
  <c r="R274" i="1"/>
  <c r="AT271" i="1"/>
  <c r="AW271" i="1" s="1"/>
  <c r="AN271" i="1"/>
  <c r="AP271" i="1" s="1" a="1"/>
  <c r="AP271" i="1" s="1"/>
  <c r="I271" i="1" s="1" a="1"/>
  <c r="I271" i="1" s="1"/>
  <c r="Z271" i="1"/>
  <c r="G271" i="1" a="1"/>
  <c r="G271" i="1" s="1"/>
  <c r="S271" i="1"/>
  <c r="U271" i="1" s="1"/>
  <c r="V271" i="1"/>
  <c r="W271" i="1"/>
  <c r="AG271" i="1"/>
  <c r="AJ271" i="1" a="1"/>
  <c r="AJ271" i="1" s="1"/>
  <c r="AM271" i="1" a="1"/>
  <c r="AM271" i="1" s="1"/>
  <c r="H271" i="1" s="1" a="1"/>
  <c r="H271" i="1" s="1"/>
  <c r="BB271" i="1" a="1"/>
  <c r="BB271" i="1" s="1"/>
  <c r="M271" i="1" s="1" a="1"/>
  <c r="M271" i="1" s="1"/>
  <c r="R271" i="1"/>
  <c r="AT270" i="1"/>
  <c r="AW270" i="1" s="1"/>
  <c r="AN270" i="1"/>
  <c r="AQ270" i="1" s="1"/>
  <c r="AS270" i="1" s="1" a="1"/>
  <c r="AS270" i="1" s="1"/>
  <c r="J270" i="1" s="1" a="1"/>
  <c r="J270" i="1" s="1"/>
  <c r="F192" i="7" a="1"/>
  <c r="F192" i="7" s="1"/>
  <c r="F193" i="7" a="1"/>
  <c r="F193" i="7" s="1"/>
  <c r="R192" i="7"/>
  <c r="R193" i="7"/>
  <c r="AD192" i="7"/>
  <c r="O192" i="7" s="1"/>
  <c r="AD193" i="7"/>
  <c r="AE193" i="7" s="1" a="1"/>
  <c r="AE193" i="7" s="1"/>
  <c r="AH192" i="7" a="1"/>
  <c r="AH192" i="7" s="1"/>
  <c r="G192" i="7" s="1" a="1"/>
  <c r="G192" i="7" s="1"/>
  <c r="AH193" i="7" a="1"/>
  <c r="AH193" i="7" s="1"/>
  <c r="G193" i="7" s="1" a="1"/>
  <c r="G193" i="7" s="1"/>
  <c r="AI192" i="7"/>
  <c r="AL192" i="7" s="1"/>
  <c r="AI193" i="7"/>
  <c r="AL193" i="7" s="1"/>
  <c r="AO193" i="7" s="1"/>
  <c r="AR193" i="7" s="1"/>
  <c r="AU193" i="7" s="1"/>
  <c r="AW193" i="7" s="1" a="1"/>
  <c r="AW193" i="7" s="1"/>
  <c r="L193" i="7" s="1" a="1"/>
  <c r="L193" i="7" s="1"/>
  <c r="AK192" i="7" a="1"/>
  <c r="AK192" i="7" s="1"/>
  <c r="H192" i="7" s="1" a="1"/>
  <c r="H192" i="7" s="1"/>
  <c r="AK193" i="7" a="1"/>
  <c r="AK193" i="7" s="1"/>
  <c r="H193" i="7" s="1" a="1"/>
  <c r="H193" i="7" s="1"/>
  <c r="N192" i="7"/>
  <c r="N193" i="7"/>
  <c r="AT267" i="1"/>
  <c r="AW267" i="1" s="1"/>
  <c r="AT268" i="1"/>
  <c r="AW268" i="1" s="1"/>
  <c r="AT269" i="1"/>
  <c r="AW269" i="1" s="1"/>
  <c r="AN267" i="1"/>
  <c r="AQ267" i="1" s="1"/>
  <c r="AS267" i="1" s="1" a="1"/>
  <c r="AS267" i="1" s="1"/>
  <c r="J267" i="1" s="1" a="1"/>
  <c r="J267" i="1" s="1"/>
  <c r="AN268" i="1"/>
  <c r="AP268" i="1" s="1" a="1"/>
  <c r="AP268" i="1" s="1"/>
  <c r="I268" i="1" s="1" a="1"/>
  <c r="I268" i="1" s="1"/>
  <c r="AN269" i="1"/>
  <c r="AQ269" i="1" s="1"/>
  <c r="AS269" i="1" s="1" a="1"/>
  <c r="AS269" i="1" s="1"/>
  <c r="J269" i="1" s="1" a="1"/>
  <c r="J269" i="1" s="1"/>
  <c r="G268" i="1" a="1"/>
  <c r="G268" i="1" s="1"/>
  <c r="G269" i="1" a="1"/>
  <c r="G269" i="1" s="1"/>
  <c r="G270" i="1" a="1"/>
  <c r="G270" i="1" s="1"/>
  <c r="S268" i="1"/>
  <c r="U268" i="1" s="1"/>
  <c r="S269" i="1"/>
  <c r="U269" i="1" s="1"/>
  <c r="S270" i="1"/>
  <c r="U270" i="1" s="1"/>
  <c r="V268" i="1"/>
  <c r="V269" i="1"/>
  <c r="V270" i="1"/>
  <c r="W268" i="1"/>
  <c r="W269" i="1"/>
  <c r="W270" i="1"/>
  <c r="AG268" i="1"/>
  <c r="AG269" i="1"/>
  <c r="AG270" i="1"/>
  <c r="AJ268" i="1" a="1"/>
  <c r="AJ268" i="1" s="1"/>
  <c r="AJ269" i="1" a="1"/>
  <c r="AJ269" i="1" s="1"/>
  <c r="AJ270" i="1" a="1"/>
  <c r="AJ270" i="1" s="1"/>
  <c r="AM268" i="1" a="1"/>
  <c r="AM268" i="1" s="1"/>
  <c r="H268" i="1" s="1" a="1"/>
  <c r="H268" i="1" s="1"/>
  <c r="AM269" i="1" a="1"/>
  <c r="AM269" i="1" s="1"/>
  <c r="H269" i="1" s="1" a="1"/>
  <c r="H269" i="1" s="1"/>
  <c r="AM270" i="1" a="1"/>
  <c r="AM270" i="1" s="1"/>
  <c r="H270" i="1" s="1" a="1"/>
  <c r="H270" i="1" s="1"/>
  <c r="BB268" i="1" a="1"/>
  <c r="BB268" i="1" s="1"/>
  <c r="M268" i="1" s="1" a="1"/>
  <c r="M268" i="1" s="1"/>
  <c r="BB269" i="1" a="1"/>
  <c r="BB269" i="1" s="1"/>
  <c r="M269" i="1" s="1" a="1"/>
  <c r="M269" i="1" s="1"/>
  <c r="BB270" i="1" a="1"/>
  <c r="BB270" i="1" s="1"/>
  <c r="M270" i="1" s="1" a="1"/>
  <c r="M270" i="1" s="1"/>
  <c r="R268" i="1"/>
  <c r="R269" i="1"/>
  <c r="R270" i="1"/>
  <c r="G267" i="1" a="1"/>
  <c r="G267" i="1" s="1"/>
  <c r="S267" i="1"/>
  <c r="U267" i="1" s="1"/>
  <c r="V267" i="1"/>
  <c r="W267" i="1"/>
  <c r="AG267" i="1"/>
  <c r="AJ267" i="1" a="1"/>
  <c r="AJ267" i="1" s="1"/>
  <c r="AM267" i="1" a="1"/>
  <c r="AM267" i="1" s="1"/>
  <c r="H267" i="1" s="1" a="1"/>
  <c r="H267" i="1" s="1"/>
  <c r="BB267" i="1" a="1"/>
  <c r="BB267" i="1" s="1"/>
  <c r="M267" i="1" s="1" a="1"/>
  <c r="M267" i="1" s="1"/>
  <c r="R267" i="1"/>
  <c r="AT266" i="1"/>
  <c r="AV266" i="1" s="1" a="1"/>
  <c r="AV266" i="1" s="1"/>
  <c r="K266" i="1" s="1" a="1"/>
  <c r="K266" i="1" s="1"/>
  <c r="AN266" i="1"/>
  <c r="AP266" i="1" s="1" a="1"/>
  <c r="AP266" i="1" s="1"/>
  <c r="I266" i="1" s="1" a="1"/>
  <c r="I266" i="1" s="1"/>
  <c r="Z266" i="1"/>
  <c r="AA183" i="7"/>
  <c r="AA184" i="7"/>
  <c r="AA185" i="7"/>
  <c r="AA186" i="7"/>
  <c r="AA187" i="7"/>
  <c r="AA188" i="7"/>
  <c r="AA189" i="7"/>
  <c r="AA190" i="7"/>
  <c r="AA191" i="7"/>
  <c r="F191" i="7" a="1"/>
  <c r="F191" i="7" s="1"/>
  <c r="R191" i="7"/>
  <c r="AE191" i="7" a="1"/>
  <c r="AE191" i="7" s="1"/>
  <c r="AH191" i="7" a="1"/>
  <c r="AH191" i="7" s="1"/>
  <c r="G191" i="7" s="1" a="1"/>
  <c r="G191" i="7" s="1"/>
  <c r="AI191" i="7"/>
  <c r="AL191" i="7" s="1"/>
  <c r="AK191" i="7" a="1"/>
  <c r="AK191" i="7" s="1"/>
  <c r="H191" i="7" s="1" a="1"/>
  <c r="H191" i="7" s="1"/>
  <c r="N191" i="7"/>
  <c r="AT263" i="1"/>
  <c r="AV263" i="1" s="1" a="1"/>
  <c r="AV263" i="1" s="1"/>
  <c r="K263" i="1" s="1" a="1"/>
  <c r="K263" i="1" s="1"/>
  <c r="AN263" i="1"/>
  <c r="AQ263" i="1" s="1"/>
  <c r="AS263" i="1" s="1" a="1"/>
  <c r="AS263" i="1" s="1"/>
  <c r="J263" i="1" s="1" a="1"/>
  <c r="J263" i="1" s="1"/>
  <c r="AT265" i="1"/>
  <c r="AW265" i="1" s="1"/>
  <c r="BC265" i="1" s="1"/>
  <c r="BF265" i="1" s="1"/>
  <c r="BI265" i="1" s="1"/>
  <c r="BL265" i="1" s="1"/>
  <c r="AN265" i="1"/>
  <c r="AQ265" i="1" s="1"/>
  <c r="Z265" i="1"/>
  <c r="G263" i="1" a="1"/>
  <c r="G263" i="1" s="1"/>
  <c r="G266" i="1" a="1"/>
  <c r="G266" i="1" s="1"/>
  <c r="S263" i="1"/>
  <c r="U263" i="1" s="1"/>
  <c r="S266" i="1"/>
  <c r="U266" i="1" s="1"/>
  <c r="V263" i="1"/>
  <c r="V266" i="1"/>
  <c r="W263" i="1"/>
  <c r="W266" i="1"/>
  <c r="Z263" i="1"/>
  <c r="AG263" i="1"/>
  <c r="AG266" i="1"/>
  <c r="AJ263" i="1" a="1"/>
  <c r="AJ263" i="1" s="1"/>
  <c r="AJ266" i="1" a="1"/>
  <c r="AJ266" i="1" s="1"/>
  <c r="AM263" i="1" a="1"/>
  <c r="AM263" i="1" s="1"/>
  <c r="H263" i="1" s="1" a="1"/>
  <c r="H263" i="1" s="1"/>
  <c r="AM266" i="1" a="1"/>
  <c r="AM266" i="1" s="1"/>
  <c r="H266" i="1" s="1" a="1"/>
  <c r="H266" i="1" s="1"/>
  <c r="BB263" i="1" a="1"/>
  <c r="BB263" i="1" s="1"/>
  <c r="M263" i="1" s="1" a="1"/>
  <c r="M263" i="1" s="1"/>
  <c r="BB266" i="1" a="1"/>
  <c r="BB266" i="1" s="1"/>
  <c r="M266" i="1" s="1" a="1"/>
  <c r="M266" i="1" s="1"/>
  <c r="R263" i="1"/>
  <c r="R266" i="1"/>
  <c r="AP274" i="1" l="1" a="1"/>
  <c r="AP274" i="1" s="1"/>
  <c r="I274" i="1" s="1" a="1"/>
  <c r="I274" i="1" s="1"/>
  <c r="U282" i="1"/>
  <c r="AP282" i="1" a="1"/>
  <c r="AP282" i="1" s="1"/>
  <c r="I282" i="1" s="1" a="1"/>
  <c r="I282" i="1" s="1"/>
  <c r="AO194" i="7"/>
  <c r="AN194" i="7" a="1"/>
  <c r="AN194" i="7" s="1"/>
  <c r="I194" i="7" s="1" a="1"/>
  <c r="I194" i="7" s="1"/>
  <c r="AW282" i="1"/>
  <c r="P194" i="7"/>
  <c r="Q194" i="7"/>
  <c r="AV279" i="1" a="1"/>
  <c r="AV279" i="1" s="1"/>
  <c r="K279" i="1" s="1" a="1"/>
  <c r="K279" i="1" s="1"/>
  <c r="AP280" i="1" a="1"/>
  <c r="AP280" i="1" s="1"/>
  <c r="I280" i="1" s="1" a="1"/>
  <c r="I280" i="1" s="1"/>
  <c r="BC279" i="1"/>
  <c r="BF279" i="1" s="1"/>
  <c r="BI279" i="1" s="1"/>
  <c r="BL279" i="1" s="1"/>
  <c r="BN279" i="1" s="1" a="1"/>
  <c r="BN279" i="1" s="1"/>
  <c r="Q279" i="1" s="1" a="1"/>
  <c r="Q279" i="1" s="1"/>
  <c r="AY279" i="1" a="1"/>
  <c r="AY279" i="1" s="1"/>
  <c r="L279" i="1" s="1" a="1"/>
  <c r="L279" i="1" s="1"/>
  <c r="AP278" i="1" a="1"/>
  <c r="AP278" i="1" s="1"/>
  <c r="I278" i="1" s="1" a="1"/>
  <c r="I278" i="1" s="1"/>
  <c r="AW280" i="1"/>
  <c r="AY280" i="1" s="1" a="1"/>
  <c r="AY280" i="1" s="1"/>
  <c r="L280" i="1" s="1" a="1"/>
  <c r="L280" i="1" s="1"/>
  <c r="AY278" i="1" a="1"/>
  <c r="AY278" i="1" s="1"/>
  <c r="L278" i="1" s="1" a="1"/>
  <c r="L278" i="1" s="1"/>
  <c r="BC278" i="1"/>
  <c r="AP279" i="1" a="1"/>
  <c r="AP279" i="1" s="1"/>
  <c r="I279" i="1" s="1" a="1"/>
  <c r="I279" i="1" s="1"/>
  <c r="AV278" i="1" a="1"/>
  <c r="AV278" i="1" s="1"/>
  <c r="K278" i="1" s="1" a="1"/>
  <c r="K278" i="1" s="1"/>
  <c r="T279" i="1"/>
  <c r="T280" i="1"/>
  <c r="U278" i="1"/>
  <c r="AV277" i="1" a="1"/>
  <c r="AV277" i="1" s="1"/>
  <c r="K277" i="1" s="1" a="1"/>
  <c r="K277" i="1" s="1"/>
  <c r="AP277" i="1" a="1"/>
  <c r="AP277" i="1" s="1"/>
  <c r="I277" i="1" s="1" a="1"/>
  <c r="I277" i="1" s="1"/>
  <c r="BC277" i="1"/>
  <c r="U277" i="1"/>
  <c r="AV275" i="1" a="1"/>
  <c r="AV275" i="1" s="1"/>
  <c r="K275" i="1" s="1" a="1"/>
  <c r="K275" i="1" s="1"/>
  <c r="AV274" i="1" a="1"/>
  <c r="AV274" i="1" s="1"/>
  <c r="K274" i="1" s="1" a="1"/>
  <c r="K274" i="1" s="1"/>
  <c r="T275" i="1"/>
  <c r="AQ276" i="1"/>
  <c r="AS276" i="1" s="1" a="1"/>
  <c r="AS276" i="1" s="1"/>
  <c r="J276" i="1" s="1" a="1"/>
  <c r="J276" i="1" s="1"/>
  <c r="AY275" i="1" a="1"/>
  <c r="AY275" i="1" s="1"/>
  <c r="L275" i="1" s="1" a="1"/>
  <c r="L275" i="1" s="1"/>
  <c r="BC275" i="1"/>
  <c r="AV281" i="1" a="1"/>
  <c r="AV281" i="1" s="1"/>
  <c r="K281" i="1" s="1" a="1"/>
  <c r="K281" i="1" s="1"/>
  <c r="AP275" i="1" a="1"/>
  <c r="AP275" i="1" s="1"/>
  <c r="I275" i="1" s="1" a="1"/>
  <c r="I275" i="1" s="1"/>
  <c r="BC276" i="1"/>
  <c r="AY276" i="1" a="1"/>
  <c r="AY276" i="1" s="1"/>
  <c r="L276" i="1" s="1" a="1"/>
  <c r="L276" i="1" s="1"/>
  <c r="AV276" i="1" a="1"/>
  <c r="AV276" i="1" s="1"/>
  <c r="K276" i="1" s="1" a="1"/>
  <c r="K276" i="1" s="1"/>
  <c r="U276" i="1"/>
  <c r="AY274" i="1" a="1"/>
  <c r="AY274" i="1" s="1"/>
  <c r="L274" i="1" s="1" a="1"/>
  <c r="L274" i="1" s="1"/>
  <c r="BC274" i="1"/>
  <c r="BC281" i="1"/>
  <c r="AY281" i="1" a="1"/>
  <c r="AY281" i="1" s="1"/>
  <c r="L281" i="1" s="1" a="1"/>
  <c r="L281" i="1" s="1"/>
  <c r="AT193" i="7" a="1"/>
  <c r="AT193" i="7" s="1"/>
  <c r="K193" i="7" s="1" a="1"/>
  <c r="K193" i="7" s="1"/>
  <c r="AQ193" i="7" a="1"/>
  <c r="AQ193" i="7" s="1"/>
  <c r="J193" i="7" s="1" a="1"/>
  <c r="J193" i="7" s="1"/>
  <c r="AV270" i="1" a="1"/>
  <c r="AV270" i="1" s="1"/>
  <c r="K270" i="1" s="1" a="1"/>
  <c r="K270" i="1" s="1"/>
  <c r="AN193" i="7" a="1"/>
  <c r="AN193" i="7" s="1"/>
  <c r="I193" i="7" s="1" a="1"/>
  <c r="I193" i="7" s="1"/>
  <c r="AP273" i="1" a="1"/>
  <c r="AP273" i="1" s="1"/>
  <c r="I273" i="1" s="1" a="1"/>
  <c r="I273" i="1" s="1"/>
  <c r="AV272" i="1" a="1"/>
  <c r="AV272" i="1" s="1"/>
  <c r="K272" i="1" s="1" a="1"/>
  <c r="K272" i="1" s="1"/>
  <c r="AV273" i="1" a="1"/>
  <c r="AV273" i="1" s="1"/>
  <c r="K273" i="1" s="1" a="1"/>
  <c r="K273" i="1" s="1"/>
  <c r="AV271" i="1" a="1"/>
  <c r="AV271" i="1" s="1"/>
  <c r="K271" i="1" s="1" a="1"/>
  <c r="K271" i="1" s="1"/>
  <c r="U281" i="1"/>
  <c r="AP272" i="1" a="1"/>
  <c r="AP272" i="1" s="1"/>
  <c r="I272" i="1" s="1" a="1"/>
  <c r="I272" i="1" s="1"/>
  <c r="BC273" i="1"/>
  <c r="BE273" i="1" s="1" a="1"/>
  <c r="BE273" i="1" s="1"/>
  <c r="N273" i="1" s="1" a="1"/>
  <c r="N273" i="1" s="1"/>
  <c r="AY273" i="1" a="1"/>
  <c r="AY273" i="1" s="1"/>
  <c r="L273" i="1" s="1" a="1"/>
  <c r="L273" i="1" s="1"/>
  <c r="AQ271" i="1"/>
  <c r="AS271" i="1" s="1" a="1"/>
  <c r="AS271" i="1" s="1"/>
  <c r="J271" i="1" s="1" a="1"/>
  <c r="J271" i="1" s="1"/>
  <c r="U274" i="1"/>
  <c r="AY272" i="1" a="1"/>
  <c r="AY272" i="1" s="1"/>
  <c r="L272" i="1" s="1" a="1"/>
  <c r="L272" i="1" s="1"/>
  <c r="BC272" i="1"/>
  <c r="AY271" i="1" a="1"/>
  <c r="AY271" i="1" s="1"/>
  <c r="L271" i="1" s="1" a="1"/>
  <c r="L271" i="1" s="1"/>
  <c r="BC271" i="1"/>
  <c r="BE271" i="1" s="1" a="1"/>
  <c r="BE271" i="1" s="1"/>
  <c r="N271" i="1" s="1" a="1"/>
  <c r="N271" i="1" s="1"/>
  <c r="U273" i="1"/>
  <c r="T272" i="1"/>
  <c r="AP270" i="1" a="1"/>
  <c r="AP270" i="1" s="1"/>
  <c r="I270" i="1" s="1" a="1"/>
  <c r="I270" i="1" s="1"/>
  <c r="T271" i="1"/>
  <c r="AY270" i="1" a="1"/>
  <c r="AY270" i="1" s="1"/>
  <c r="L270" i="1" s="1" a="1"/>
  <c r="L270" i="1" s="1"/>
  <c r="BC270" i="1"/>
  <c r="AP269" i="1" a="1"/>
  <c r="AP269" i="1" s="1"/>
  <c r="I269" i="1" s="1" a="1"/>
  <c r="I269" i="1" s="1"/>
  <c r="AV267" i="1" a="1"/>
  <c r="AV267" i="1" s="1"/>
  <c r="K267" i="1" s="1" a="1"/>
  <c r="K267" i="1" s="1"/>
  <c r="AP267" i="1" a="1"/>
  <c r="AP267" i="1" s="1"/>
  <c r="I267" i="1" s="1" a="1"/>
  <c r="I267" i="1" s="1"/>
  <c r="AO192" i="7"/>
  <c r="AN192" i="7" a="1"/>
  <c r="AN192" i="7" s="1"/>
  <c r="I192" i="7" s="1" a="1"/>
  <c r="I192" i="7" s="1"/>
  <c r="AQ268" i="1"/>
  <c r="AS268" i="1" s="1" a="1"/>
  <c r="AS268" i="1" s="1"/>
  <c r="J268" i="1" s="1" a="1"/>
  <c r="J268" i="1" s="1"/>
  <c r="P192" i="7"/>
  <c r="Q192" i="7"/>
  <c r="AE192" i="7" a="1"/>
  <c r="AE192" i="7" s="1"/>
  <c r="O193" i="7"/>
  <c r="AX193" i="7"/>
  <c r="AZ193" i="7" s="1" a="1"/>
  <c r="AZ193" i="7" s="1"/>
  <c r="M193" i="7" s="1" a="1"/>
  <c r="M193" i="7" s="1"/>
  <c r="AY269" i="1" a="1"/>
  <c r="AY269" i="1" s="1"/>
  <c r="L269" i="1" s="1" a="1"/>
  <c r="L269" i="1" s="1"/>
  <c r="BC269" i="1"/>
  <c r="AY268" i="1" a="1"/>
  <c r="AY268" i="1" s="1"/>
  <c r="L268" i="1" s="1" a="1"/>
  <c r="L268" i="1" s="1"/>
  <c r="BC268" i="1"/>
  <c r="AY267" i="1" a="1"/>
  <c r="AY267" i="1" s="1"/>
  <c r="L267" i="1" s="1" a="1"/>
  <c r="L267" i="1" s="1"/>
  <c r="BC267" i="1"/>
  <c r="AV269" i="1" a="1"/>
  <c r="AV269" i="1" s="1"/>
  <c r="K269" i="1" s="1" a="1"/>
  <c r="K269" i="1" s="1"/>
  <c r="AV268" i="1" a="1"/>
  <c r="AV268" i="1" s="1"/>
  <c r="K268" i="1" s="1" a="1"/>
  <c r="K268" i="1" s="1"/>
  <c r="T267" i="1"/>
  <c r="T270" i="1"/>
  <c r="T268" i="1"/>
  <c r="T269" i="1"/>
  <c r="AW266" i="1"/>
  <c r="AQ266" i="1"/>
  <c r="AS266" i="1" s="1" a="1"/>
  <c r="AS266" i="1" s="1"/>
  <c r="J266" i="1" s="1" a="1"/>
  <c r="J266" i="1" s="1"/>
  <c r="AO191" i="7"/>
  <c r="AN191" i="7" a="1"/>
  <c r="AN191" i="7" s="1"/>
  <c r="I191" i="7" s="1" a="1"/>
  <c r="I191" i="7" s="1"/>
  <c r="O191" i="7"/>
  <c r="AP263" i="1" a="1"/>
  <c r="AP263" i="1" s="1"/>
  <c r="I263" i="1" s="1" a="1"/>
  <c r="I263" i="1" s="1"/>
  <c r="AW263" i="1"/>
  <c r="T266" i="1"/>
  <c r="T263" i="1"/>
  <c r="G265" i="1" a="1"/>
  <c r="G265" i="1" s="1"/>
  <c r="S265" i="1"/>
  <c r="T265" i="1" s="1"/>
  <c r="V265" i="1"/>
  <c r="W265" i="1"/>
  <c r="AG265" i="1"/>
  <c r="AJ265" i="1" a="1"/>
  <c r="AJ265" i="1" s="1"/>
  <c r="AM265" i="1" a="1"/>
  <c r="AM265" i="1" s="1"/>
  <c r="H265" i="1" s="1" a="1"/>
  <c r="H265" i="1" s="1"/>
  <c r="AP265" i="1" a="1"/>
  <c r="AP265" i="1" s="1"/>
  <c r="I265" i="1" s="1" a="1"/>
  <c r="I265" i="1" s="1"/>
  <c r="AS265" i="1" a="1"/>
  <c r="AS265" i="1" s="1"/>
  <c r="J265" i="1" s="1" a="1"/>
  <c r="J265" i="1" s="1"/>
  <c r="AV265" i="1" a="1"/>
  <c r="AV265" i="1" s="1"/>
  <c r="K265" i="1" s="1" a="1"/>
  <c r="K265" i="1" s="1"/>
  <c r="AY265" i="1" a="1"/>
  <c r="AY265" i="1" s="1"/>
  <c r="L265" i="1" s="1" a="1"/>
  <c r="L265" i="1" s="1"/>
  <c r="BB265" i="1" a="1"/>
  <c r="BB265" i="1" s="1"/>
  <c r="M265" i="1" s="1" a="1"/>
  <c r="M265" i="1" s="1"/>
  <c r="BE265" i="1" a="1"/>
  <c r="BE265" i="1" s="1"/>
  <c r="N265" i="1" s="1" a="1"/>
  <c r="N265" i="1" s="1"/>
  <c r="BH265" i="1" a="1"/>
  <c r="BH265" i="1" s="1"/>
  <c r="O265" i="1" s="1" a="1"/>
  <c r="O265" i="1" s="1"/>
  <c r="BK265" i="1" a="1"/>
  <c r="BK265" i="1" s="1"/>
  <c r="P265" i="1" s="1" a="1"/>
  <c r="P265" i="1" s="1"/>
  <c r="BN265" i="1" a="1"/>
  <c r="BN265" i="1" s="1"/>
  <c r="Q265" i="1" s="1" a="1"/>
  <c r="Q265" i="1" s="1"/>
  <c r="R265" i="1"/>
  <c r="AN261" i="1"/>
  <c r="AN262" i="1"/>
  <c r="AN264" i="1"/>
  <c r="AP264" i="1" s="1" a="1"/>
  <c r="AP264" i="1" s="1"/>
  <c r="I264" i="1" s="1" a="1"/>
  <c r="I264" i="1" s="1"/>
  <c r="AT264" i="1"/>
  <c r="AW264" i="1" s="1"/>
  <c r="G264" i="1" a="1"/>
  <c r="G264" i="1" s="1"/>
  <c r="S264" i="1"/>
  <c r="U264" i="1" s="1"/>
  <c r="V264" i="1"/>
  <c r="W264" i="1"/>
  <c r="Z264" i="1"/>
  <c r="AG264" i="1"/>
  <c r="AJ264" i="1" a="1"/>
  <c r="AJ264" i="1" s="1"/>
  <c r="AM264" i="1" a="1"/>
  <c r="AM264" i="1" s="1"/>
  <c r="H264" i="1" s="1" a="1"/>
  <c r="H264" i="1" s="1"/>
  <c r="BB264" i="1" a="1"/>
  <c r="BB264" i="1" s="1"/>
  <c r="M264" i="1" s="1" a="1"/>
  <c r="M264" i="1" s="1"/>
  <c r="R264" i="1"/>
  <c r="BC282" i="1" l="1"/>
  <c r="AY282" i="1" a="1"/>
  <c r="AY282" i="1" s="1"/>
  <c r="L282" i="1" s="1" a="1"/>
  <c r="L282" i="1" s="1"/>
  <c r="AR194" i="7"/>
  <c r="AQ194" i="7" a="1"/>
  <c r="AQ194" i="7" s="1"/>
  <c r="J194" i="7" s="1" a="1"/>
  <c r="J194" i="7" s="1"/>
  <c r="BH279" i="1" a="1"/>
  <c r="BH279" i="1" s="1"/>
  <c r="O279" i="1" s="1" a="1"/>
  <c r="O279" i="1" s="1"/>
  <c r="BE279" i="1" a="1"/>
  <c r="BE279" i="1" s="1"/>
  <c r="N279" i="1" s="1" a="1"/>
  <c r="N279" i="1" s="1"/>
  <c r="BC280" i="1"/>
  <c r="BE280" i="1" s="1" a="1"/>
  <c r="BE280" i="1" s="1"/>
  <c r="N280" i="1" s="1" a="1"/>
  <c r="N280" i="1" s="1"/>
  <c r="BK279" i="1" a="1"/>
  <c r="BK279" i="1" s="1"/>
  <c r="P279" i="1" s="1" a="1"/>
  <c r="P279" i="1" s="1"/>
  <c r="BF278" i="1"/>
  <c r="BE278" i="1" a="1"/>
  <c r="BE278" i="1" s="1"/>
  <c r="N278" i="1" s="1" a="1"/>
  <c r="N278" i="1" s="1"/>
  <c r="BF277" i="1"/>
  <c r="BE277" i="1" a="1"/>
  <c r="BE277" i="1" s="1"/>
  <c r="N277" i="1" s="1" a="1"/>
  <c r="N277" i="1" s="1"/>
  <c r="BF275" i="1"/>
  <c r="BE275" i="1" a="1"/>
  <c r="BE275" i="1" s="1"/>
  <c r="N275" i="1" s="1" a="1"/>
  <c r="N275" i="1" s="1"/>
  <c r="BE276" i="1" a="1"/>
  <c r="BE276" i="1" s="1"/>
  <c r="N276" i="1" s="1" a="1"/>
  <c r="N276" i="1" s="1"/>
  <c r="BF276" i="1"/>
  <c r="BE281" i="1" a="1"/>
  <c r="BE281" i="1" s="1"/>
  <c r="N281" i="1" s="1" a="1"/>
  <c r="N281" i="1" s="1"/>
  <c r="BF281" i="1"/>
  <c r="BE274" i="1" a="1"/>
  <c r="BE274" i="1" s="1"/>
  <c r="N274" i="1" s="1" a="1"/>
  <c r="N274" i="1" s="1"/>
  <c r="BF274" i="1"/>
  <c r="BF273" i="1"/>
  <c r="BI273" i="1" s="1"/>
  <c r="BF271" i="1"/>
  <c r="BH271" i="1" s="1" a="1"/>
  <c r="BH271" i="1" s="1"/>
  <c r="O271" i="1" s="1" a="1"/>
  <c r="O271" i="1" s="1"/>
  <c r="BE272" i="1" a="1"/>
  <c r="BE272" i="1" s="1"/>
  <c r="N272" i="1" s="1" a="1"/>
  <c r="N272" i="1" s="1"/>
  <c r="BF272" i="1"/>
  <c r="BE270" i="1" a="1"/>
  <c r="BE270" i="1" s="1"/>
  <c r="N270" i="1" s="1" a="1"/>
  <c r="N270" i="1" s="1"/>
  <c r="BF270" i="1"/>
  <c r="AR192" i="7"/>
  <c r="AQ192" i="7" a="1"/>
  <c r="AQ192" i="7" s="1"/>
  <c r="J192" i="7" s="1" a="1"/>
  <c r="J192" i="7" s="1"/>
  <c r="P193" i="7"/>
  <c r="Q193" i="7"/>
  <c r="BE267" i="1" a="1"/>
  <c r="BE267" i="1" s="1"/>
  <c r="N267" i="1" s="1" a="1"/>
  <c r="N267" i="1" s="1"/>
  <c r="BF267" i="1"/>
  <c r="BF268" i="1"/>
  <c r="BE268" i="1" a="1"/>
  <c r="BE268" i="1" s="1"/>
  <c r="N268" i="1" s="1" a="1"/>
  <c r="N268" i="1" s="1"/>
  <c r="BF269" i="1"/>
  <c r="BE269" i="1" a="1"/>
  <c r="BE269" i="1" s="1"/>
  <c r="N269" i="1" s="1" a="1"/>
  <c r="N269" i="1" s="1"/>
  <c r="AY266" i="1" a="1"/>
  <c r="AY266" i="1" s="1"/>
  <c r="L266" i="1" s="1" a="1"/>
  <c r="L266" i="1" s="1"/>
  <c r="BC266" i="1"/>
  <c r="AR191" i="7"/>
  <c r="AQ191" i="7" a="1"/>
  <c r="AQ191" i="7" s="1"/>
  <c r="J191" i="7" s="1" a="1"/>
  <c r="J191" i="7" s="1"/>
  <c r="P191" i="7"/>
  <c r="Q191" i="7"/>
  <c r="BC263" i="1"/>
  <c r="AY263" i="1" a="1"/>
  <c r="AY263" i="1" s="1"/>
  <c r="L263" i="1" s="1" a="1"/>
  <c r="L263" i="1" s="1"/>
  <c r="U265" i="1"/>
  <c r="AQ264" i="1"/>
  <c r="AS264" i="1" s="1" a="1"/>
  <c r="AS264" i="1" s="1"/>
  <c r="J264" i="1" s="1" a="1"/>
  <c r="J264" i="1" s="1"/>
  <c r="AY264" i="1" a="1"/>
  <c r="AY264" i="1" s="1"/>
  <c r="L264" i="1" s="1" a="1"/>
  <c r="L264" i="1" s="1"/>
  <c r="BC264" i="1"/>
  <c r="AV264" i="1" a="1"/>
  <c r="AV264" i="1" s="1"/>
  <c r="K264" i="1" s="1" a="1"/>
  <c r="K264" i="1" s="1"/>
  <c r="T264" i="1"/>
  <c r="AU194" i="7" l="1"/>
  <c r="AT194" i="7" a="1"/>
  <c r="AT194" i="7" s="1"/>
  <c r="K194" i="7" s="1" a="1"/>
  <c r="K194" i="7" s="1"/>
  <c r="BE282" i="1" a="1"/>
  <c r="BE282" i="1" s="1"/>
  <c r="N282" i="1" s="1" a="1"/>
  <c r="N282" i="1" s="1"/>
  <c r="BF282" i="1"/>
  <c r="BF280" i="1"/>
  <c r="BI280" i="1" s="1"/>
  <c r="BI278" i="1"/>
  <c r="BH278" i="1" a="1"/>
  <c r="BH278" i="1" s="1"/>
  <c r="O278" i="1" s="1" a="1"/>
  <c r="O278" i="1" s="1"/>
  <c r="BI277" i="1"/>
  <c r="BH277" i="1" a="1"/>
  <c r="BH277" i="1" s="1"/>
  <c r="O277" i="1" s="1" a="1"/>
  <c r="O277" i="1" s="1"/>
  <c r="BI275" i="1"/>
  <c r="BH275" i="1" a="1"/>
  <c r="BH275" i="1" s="1"/>
  <c r="O275" i="1" s="1" a="1"/>
  <c r="O275" i="1" s="1"/>
  <c r="BH276" i="1" a="1"/>
  <c r="BH276" i="1" s="1"/>
  <c r="O276" i="1" s="1" a="1"/>
  <c r="O276" i="1" s="1"/>
  <c r="BI276" i="1"/>
  <c r="BH274" i="1" a="1"/>
  <c r="BH274" i="1" s="1"/>
  <c r="O274" i="1" s="1" a="1"/>
  <c r="O274" i="1" s="1"/>
  <c r="BI274" i="1"/>
  <c r="BI281" i="1"/>
  <c r="BH281" i="1" a="1"/>
  <c r="BH281" i="1" s="1"/>
  <c r="O281" i="1" s="1" a="1"/>
  <c r="O281" i="1" s="1"/>
  <c r="BH273" i="1" a="1"/>
  <c r="BH273" i="1" s="1"/>
  <c r="O273" i="1" s="1" a="1"/>
  <c r="O273" i="1" s="1"/>
  <c r="BI271" i="1"/>
  <c r="BK271" i="1" s="1" a="1"/>
  <c r="BK271" i="1" s="1"/>
  <c r="P271" i="1" s="1" a="1"/>
  <c r="P271" i="1" s="1"/>
  <c r="BL273" i="1"/>
  <c r="BN273" i="1" s="1" a="1"/>
  <c r="BN273" i="1" s="1"/>
  <c r="Q273" i="1" s="1" a="1"/>
  <c r="Q273" i="1" s="1"/>
  <c r="BK273" i="1" a="1"/>
  <c r="BK273" i="1" s="1"/>
  <c r="P273" i="1" s="1" a="1"/>
  <c r="P273" i="1" s="1"/>
  <c r="BI272" i="1"/>
  <c r="BH272" i="1" a="1"/>
  <c r="BH272" i="1" s="1"/>
  <c r="O272" i="1" s="1" a="1"/>
  <c r="O272" i="1" s="1"/>
  <c r="BI270" i="1"/>
  <c r="BH270" i="1" a="1"/>
  <c r="BH270" i="1" s="1"/>
  <c r="O270" i="1" s="1" a="1"/>
  <c r="O270" i="1" s="1"/>
  <c r="AU192" i="7"/>
  <c r="AT192" i="7" a="1"/>
  <c r="AT192" i="7" s="1"/>
  <c r="K192" i="7" s="1" a="1"/>
  <c r="K192" i="7" s="1"/>
  <c r="BH269" i="1" a="1"/>
  <c r="BH269" i="1" s="1"/>
  <c r="O269" i="1" s="1" a="1"/>
  <c r="O269" i="1" s="1"/>
  <c r="BI269" i="1"/>
  <c r="BH268" i="1" a="1"/>
  <c r="BH268" i="1" s="1"/>
  <c r="O268" i="1" s="1" a="1"/>
  <c r="O268" i="1" s="1"/>
  <c r="BI268" i="1"/>
  <c r="BH267" i="1" a="1"/>
  <c r="BH267" i="1" s="1"/>
  <c r="O267" i="1" s="1" a="1"/>
  <c r="O267" i="1" s="1"/>
  <c r="BI267" i="1"/>
  <c r="BF266" i="1"/>
  <c r="BE266" i="1" a="1"/>
  <c r="BE266" i="1" s="1"/>
  <c r="N266" i="1" s="1" a="1"/>
  <c r="N266" i="1" s="1"/>
  <c r="AT191" i="7" a="1"/>
  <c r="AT191" i="7" s="1"/>
  <c r="K191" i="7" s="1" a="1"/>
  <c r="K191" i="7" s="1"/>
  <c r="AU191" i="7"/>
  <c r="BE263" i="1" a="1"/>
  <c r="BE263" i="1" s="1"/>
  <c r="N263" i="1" s="1" a="1"/>
  <c r="N263" i="1" s="1"/>
  <c r="BF263" i="1"/>
  <c r="BE264" i="1" a="1"/>
  <c r="BE264" i="1" s="1"/>
  <c r="N264" i="1" s="1" a="1"/>
  <c r="N264" i="1" s="1"/>
  <c r="BF264" i="1"/>
  <c r="BH282" i="1" l="1" a="1"/>
  <c r="BH282" i="1" s="1"/>
  <c r="O282" i="1" s="1" a="1"/>
  <c r="O282" i="1" s="1"/>
  <c r="BI282" i="1"/>
  <c r="AW194" i="7" a="1"/>
  <c r="AW194" i="7" s="1"/>
  <c r="L194" i="7" s="1" a="1"/>
  <c r="L194" i="7" s="1"/>
  <c r="AX194" i="7"/>
  <c r="AZ194" i="7" s="1" a="1"/>
  <c r="AZ194" i="7" s="1"/>
  <c r="M194" i="7" s="1" a="1"/>
  <c r="M194" i="7" s="1"/>
  <c r="BH280" i="1" a="1"/>
  <c r="BH280" i="1" s="1"/>
  <c r="O280" i="1" s="1" a="1"/>
  <c r="O280" i="1" s="1"/>
  <c r="BK280" i="1" a="1"/>
  <c r="BK280" i="1" s="1"/>
  <c r="P280" i="1" s="1" a="1"/>
  <c r="P280" i="1" s="1"/>
  <c r="BL280" i="1"/>
  <c r="BN280" i="1" s="1" a="1"/>
  <c r="BN280" i="1" s="1"/>
  <c r="Q280" i="1" s="1" a="1"/>
  <c r="Q280" i="1" s="1"/>
  <c r="BL278" i="1"/>
  <c r="BN278" i="1" s="1" a="1"/>
  <c r="BN278" i="1" s="1"/>
  <c r="Q278" i="1" s="1" a="1"/>
  <c r="Q278" i="1" s="1"/>
  <c r="BK278" i="1" a="1"/>
  <c r="BK278" i="1" s="1"/>
  <c r="P278" i="1" s="1" a="1"/>
  <c r="P278" i="1" s="1"/>
  <c r="BL277" i="1"/>
  <c r="BN277" i="1" s="1" a="1"/>
  <c r="BN277" i="1" s="1"/>
  <c r="Q277" i="1" s="1" a="1"/>
  <c r="Q277" i="1" s="1"/>
  <c r="BK277" i="1" a="1"/>
  <c r="BK277" i="1" s="1"/>
  <c r="P277" i="1" s="1" a="1"/>
  <c r="P277" i="1" s="1"/>
  <c r="BL275" i="1"/>
  <c r="BN275" i="1" s="1" a="1"/>
  <c r="BN275" i="1" s="1"/>
  <c r="Q275" i="1" s="1" a="1"/>
  <c r="Q275" i="1" s="1"/>
  <c r="BK275" i="1" a="1"/>
  <c r="BK275" i="1" s="1"/>
  <c r="P275" i="1" s="1" a="1"/>
  <c r="P275" i="1" s="1"/>
  <c r="BL276" i="1"/>
  <c r="BN276" i="1" s="1" a="1"/>
  <c r="BN276" i="1" s="1"/>
  <c r="Q276" i="1" s="1" a="1"/>
  <c r="Q276" i="1" s="1"/>
  <c r="BK276" i="1" a="1"/>
  <c r="BK276" i="1" s="1"/>
  <c r="P276" i="1" s="1" a="1"/>
  <c r="P276" i="1" s="1"/>
  <c r="BK281" i="1" a="1"/>
  <c r="BK281" i="1" s="1"/>
  <c r="P281" i="1" s="1" a="1"/>
  <c r="P281" i="1" s="1"/>
  <c r="BL281" i="1"/>
  <c r="BN281" i="1" s="1" a="1"/>
  <c r="BN281" i="1" s="1"/>
  <c r="Q281" i="1" s="1" a="1"/>
  <c r="Q281" i="1" s="1"/>
  <c r="BK274" i="1" a="1"/>
  <c r="BK274" i="1" s="1"/>
  <c r="P274" i="1" s="1" a="1"/>
  <c r="P274" i="1" s="1"/>
  <c r="BL274" i="1"/>
  <c r="BN274" i="1" s="1" a="1"/>
  <c r="BN274" i="1" s="1"/>
  <c r="Q274" i="1" s="1" a="1"/>
  <c r="Q274" i="1" s="1"/>
  <c r="BL271" i="1"/>
  <c r="BN271" i="1" s="1" a="1"/>
  <c r="BN271" i="1" s="1"/>
  <c r="Q271" i="1" s="1" a="1"/>
  <c r="Q271" i="1" s="1"/>
  <c r="BL272" i="1"/>
  <c r="BN272" i="1" s="1" a="1"/>
  <c r="BN272" i="1" s="1"/>
  <c r="Q272" i="1" s="1" a="1"/>
  <c r="Q272" i="1" s="1"/>
  <c r="BK272" i="1" a="1"/>
  <c r="BK272" i="1" s="1"/>
  <c r="P272" i="1" s="1" a="1"/>
  <c r="P272" i="1" s="1"/>
  <c r="BL270" i="1"/>
  <c r="BN270" i="1" s="1" a="1"/>
  <c r="BN270" i="1" s="1"/>
  <c r="Q270" i="1" s="1" a="1"/>
  <c r="Q270" i="1" s="1"/>
  <c r="BK270" i="1" a="1"/>
  <c r="BK270" i="1" s="1"/>
  <c r="P270" i="1" s="1" a="1"/>
  <c r="P270" i="1" s="1"/>
  <c r="AX192" i="7"/>
  <c r="AZ192" i="7" s="1" a="1"/>
  <c r="AZ192" i="7" s="1"/>
  <c r="M192" i="7" s="1" a="1"/>
  <c r="M192" i="7" s="1"/>
  <c r="AW192" i="7" a="1"/>
  <c r="AW192" i="7" s="1"/>
  <c r="L192" i="7" s="1" a="1"/>
  <c r="L192" i="7" s="1"/>
  <c r="BK269" i="1" a="1"/>
  <c r="BK269" i="1" s="1"/>
  <c r="P269" i="1" s="1" a="1"/>
  <c r="P269" i="1" s="1"/>
  <c r="BL269" i="1"/>
  <c r="BN269" i="1" s="1" a="1"/>
  <c r="BN269" i="1" s="1"/>
  <c r="Q269" i="1" s="1" a="1"/>
  <c r="Q269" i="1" s="1"/>
  <c r="BK267" i="1" a="1"/>
  <c r="BK267" i="1" s="1"/>
  <c r="P267" i="1" s="1" a="1"/>
  <c r="P267" i="1" s="1"/>
  <c r="BL267" i="1"/>
  <c r="BN267" i="1" s="1" a="1"/>
  <c r="BN267" i="1" s="1"/>
  <c r="Q267" i="1" s="1" a="1"/>
  <c r="Q267" i="1" s="1"/>
  <c r="BL268" i="1"/>
  <c r="BN268" i="1" s="1" a="1"/>
  <c r="BN268" i="1" s="1"/>
  <c r="Q268" i="1" s="1" a="1"/>
  <c r="Q268" i="1" s="1"/>
  <c r="BK268" i="1" a="1"/>
  <c r="BK268" i="1" s="1"/>
  <c r="P268" i="1" s="1" a="1"/>
  <c r="P268" i="1" s="1"/>
  <c r="BH266" i="1" a="1"/>
  <c r="BH266" i="1" s="1"/>
  <c r="O266" i="1" s="1" a="1"/>
  <c r="O266" i="1" s="1"/>
  <c r="BI266" i="1"/>
  <c r="AX191" i="7"/>
  <c r="AZ191" i="7" s="1" a="1"/>
  <c r="AZ191" i="7" s="1"/>
  <c r="M191" i="7" s="1" a="1"/>
  <c r="M191" i="7" s="1"/>
  <c r="AW191" i="7" a="1"/>
  <c r="AW191" i="7" s="1"/>
  <c r="L191" i="7" s="1" a="1"/>
  <c r="L191" i="7" s="1"/>
  <c r="BH263" i="1" a="1"/>
  <c r="BH263" i="1" s="1"/>
  <c r="O263" i="1" s="1" a="1"/>
  <c r="O263" i="1" s="1"/>
  <c r="BI263" i="1"/>
  <c r="BH264" i="1" a="1"/>
  <c r="BH264" i="1" s="1"/>
  <c r="O264" i="1" s="1" a="1"/>
  <c r="O264" i="1" s="1"/>
  <c r="BI264" i="1"/>
  <c r="BK282" i="1" l="1" a="1"/>
  <c r="BK282" i="1" s="1"/>
  <c r="P282" i="1" s="1" a="1"/>
  <c r="P282" i="1" s="1"/>
  <c r="BL282" i="1"/>
  <c r="BN282" i="1" s="1" a="1"/>
  <c r="BN282" i="1" s="1"/>
  <c r="Q282" i="1" s="1" a="1"/>
  <c r="Q282" i="1" s="1"/>
  <c r="BL266" i="1"/>
  <c r="BN266" i="1" s="1" a="1"/>
  <c r="BN266" i="1" s="1"/>
  <c r="Q266" i="1" s="1" a="1"/>
  <c r="Q266" i="1" s="1"/>
  <c r="BK266" i="1" a="1"/>
  <c r="BK266" i="1" s="1"/>
  <c r="P266" i="1" s="1" a="1"/>
  <c r="P266" i="1" s="1"/>
  <c r="BL263" i="1"/>
  <c r="BN263" i="1" s="1" a="1"/>
  <c r="BN263" i="1" s="1"/>
  <c r="Q263" i="1" s="1" a="1"/>
  <c r="Q263" i="1" s="1"/>
  <c r="BK263" i="1" a="1"/>
  <c r="BK263" i="1" s="1"/>
  <c r="P263" i="1" s="1" a="1"/>
  <c r="P263" i="1" s="1"/>
  <c r="BL264" i="1"/>
  <c r="BN264" i="1" s="1" a="1"/>
  <c r="BN264" i="1" s="1"/>
  <c r="Q264" i="1" s="1" a="1"/>
  <c r="Q264" i="1" s="1"/>
  <c r="BK264" i="1" a="1"/>
  <c r="BK264" i="1" s="1"/>
  <c r="P264" i="1" s="1" a="1"/>
  <c r="P264" i="1" s="1"/>
  <c r="AT262" i="1" l="1"/>
  <c r="AW262" i="1" s="1"/>
  <c r="BC262" i="1" s="1"/>
  <c r="BF262" i="1" s="1"/>
  <c r="BI262" i="1" s="1"/>
  <c r="BL262" i="1" s="1"/>
  <c r="AQ262" i="1"/>
  <c r="N190" i="7" l="1"/>
  <c r="F190" i="7" a="1"/>
  <c r="F190" i="7" s="1"/>
  <c r="R190" i="7"/>
  <c r="O190" i="7"/>
  <c r="AH190" i="7" a="1"/>
  <c r="AH190" i="7" s="1"/>
  <c r="G190" i="7" s="1" a="1"/>
  <c r="G190" i="7" s="1"/>
  <c r="AI190" i="7"/>
  <c r="AL190" i="7" s="1"/>
  <c r="AO190" i="7" s="1"/>
  <c r="AR190" i="7" s="1"/>
  <c r="AU190" i="7" s="1"/>
  <c r="AX190" i="7" s="1"/>
  <c r="AZ190" i="7" s="1" a="1"/>
  <c r="AZ190" i="7" s="1"/>
  <c r="M190" i="7" s="1" a="1"/>
  <c r="M190" i="7" s="1"/>
  <c r="AK190" i="7" a="1"/>
  <c r="AK190" i="7" s="1"/>
  <c r="H190" i="7" s="1" a="1"/>
  <c r="H190" i="7" s="1"/>
  <c r="G262" i="1" a="1"/>
  <c r="G262" i="1" s="1"/>
  <c r="S262" i="1"/>
  <c r="U262" i="1" s="1"/>
  <c r="V262" i="1"/>
  <c r="W262" i="1"/>
  <c r="Z262" i="1"/>
  <c r="AG262" i="1"/>
  <c r="AJ262" i="1" a="1"/>
  <c r="AJ262" i="1" s="1"/>
  <c r="AM262" i="1" a="1"/>
  <c r="AM262" i="1" s="1"/>
  <c r="H262" i="1" s="1" a="1"/>
  <c r="H262" i="1" s="1"/>
  <c r="AP262" i="1" a="1"/>
  <c r="AP262" i="1" s="1"/>
  <c r="I262" i="1" s="1" a="1"/>
  <c r="I262" i="1" s="1"/>
  <c r="AS262" i="1" a="1"/>
  <c r="AS262" i="1" s="1"/>
  <c r="J262" i="1" s="1" a="1"/>
  <c r="J262" i="1" s="1"/>
  <c r="AV262" i="1" a="1"/>
  <c r="AV262" i="1" s="1"/>
  <c r="K262" i="1" s="1" a="1"/>
  <c r="K262" i="1" s="1"/>
  <c r="AY262" i="1" a="1"/>
  <c r="AY262" i="1" s="1"/>
  <c r="L262" i="1" s="1" a="1"/>
  <c r="L262" i="1" s="1"/>
  <c r="BB262" i="1" a="1"/>
  <c r="BB262" i="1" s="1"/>
  <c r="M262" i="1" s="1" a="1"/>
  <c r="M262" i="1" s="1"/>
  <c r="BE262" i="1" a="1"/>
  <c r="BE262" i="1" s="1"/>
  <c r="N262" i="1" s="1" a="1"/>
  <c r="N262" i="1" s="1"/>
  <c r="BH262" i="1" a="1"/>
  <c r="BH262" i="1" s="1"/>
  <c r="O262" i="1" s="1" a="1"/>
  <c r="O262" i="1" s="1"/>
  <c r="BK262" i="1" a="1"/>
  <c r="BK262" i="1" s="1"/>
  <c r="P262" i="1" s="1" a="1"/>
  <c r="P262" i="1" s="1"/>
  <c r="BN262" i="1" a="1"/>
  <c r="BN262" i="1" s="1"/>
  <c r="Q262" i="1" s="1" a="1"/>
  <c r="Q262" i="1" s="1"/>
  <c r="R262" i="1"/>
  <c r="F189" i="7" a="1"/>
  <c r="F189" i="7" s="1"/>
  <c r="R189" i="7"/>
  <c r="AE189" i="7" a="1"/>
  <c r="AE189" i="7" s="1"/>
  <c r="AH189" i="7" a="1"/>
  <c r="AH189" i="7" s="1"/>
  <c r="G189" i="7" s="1" a="1"/>
  <c r="G189" i="7" s="1"/>
  <c r="AI189" i="7"/>
  <c r="AL189" i="7" s="1"/>
  <c r="AK189" i="7" a="1"/>
  <c r="AK189" i="7" s="1"/>
  <c r="H189" i="7" s="1" a="1"/>
  <c r="H189" i="7" s="1"/>
  <c r="N189" i="7"/>
  <c r="AT258" i="1"/>
  <c r="AW258" i="1" s="1"/>
  <c r="AT261" i="1"/>
  <c r="AW261" i="1" s="1"/>
  <c r="AN258" i="1"/>
  <c r="AQ258" i="1" s="1"/>
  <c r="AS258" i="1" s="1" a="1"/>
  <c r="AS258" i="1" s="1"/>
  <c r="J258" i="1" s="1" a="1"/>
  <c r="J258" i="1" s="1"/>
  <c r="AP261" i="1" a="1"/>
  <c r="AP261" i="1" s="1"/>
  <c r="I261" i="1" s="1" a="1"/>
  <c r="I261" i="1" s="1"/>
  <c r="G261" i="1" a="1"/>
  <c r="G261" i="1" s="1"/>
  <c r="R261" i="1"/>
  <c r="S261" i="1"/>
  <c r="T261" i="1" s="1"/>
  <c r="V261" i="1"/>
  <c r="W261" i="1"/>
  <c r="Z261" i="1"/>
  <c r="AG261" i="1"/>
  <c r="AJ261" i="1" a="1"/>
  <c r="AJ261" i="1" s="1"/>
  <c r="AM261" i="1" a="1"/>
  <c r="AM261" i="1" s="1"/>
  <c r="H261" i="1" s="1" a="1"/>
  <c r="H261" i="1" s="1"/>
  <c r="BB261" i="1" a="1"/>
  <c r="BB261" i="1" s="1"/>
  <c r="M261" i="1" s="1" a="1"/>
  <c r="M261" i="1" s="1"/>
  <c r="G258" i="1" a="1"/>
  <c r="G258" i="1" s="1"/>
  <c r="S258" i="1"/>
  <c r="U258" i="1" s="1"/>
  <c r="V258" i="1"/>
  <c r="W258" i="1"/>
  <c r="AG258" i="1"/>
  <c r="AJ258" i="1" a="1"/>
  <c r="AJ258" i="1" s="1"/>
  <c r="AM258" i="1" a="1"/>
  <c r="AM258" i="1" s="1"/>
  <c r="H258" i="1" s="1" a="1"/>
  <c r="H258" i="1" s="1"/>
  <c r="BB258" i="1" a="1"/>
  <c r="BB258" i="1" s="1"/>
  <c r="M258" i="1" s="1" a="1"/>
  <c r="M258" i="1" s="1"/>
  <c r="R258" i="1"/>
  <c r="AN260" i="1"/>
  <c r="AQ260" i="1" s="1"/>
  <c r="AS260" i="1" s="1" a="1"/>
  <c r="AS260" i="1" s="1"/>
  <c r="J260" i="1" s="1" a="1"/>
  <c r="J260" i="1" s="1"/>
  <c r="Z260" i="1"/>
  <c r="AT257" i="1"/>
  <c r="AW257" i="1" s="1"/>
  <c r="BC257" i="1" s="1"/>
  <c r="BF257" i="1" s="1"/>
  <c r="BI257" i="1" s="1"/>
  <c r="BL257" i="1" s="1"/>
  <c r="AT259" i="1"/>
  <c r="AW259" i="1" s="1"/>
  <c r="BC259" i="1" s="1"/>
  <c r="BF259" i="1" s="1"/>
  <c r="BI259" i="1" s="1"/>
  <c r="BL259" i="1" s="1"/>
  <c r="AT260" i="1"/>
  <c r="AW260" i="1" s="1"/>
  <c r="G260" i="1" a="1"/>
  <c r="G260" i="1" s="1"/>
  <c r="R260" i="1"/>
  <c r="S260" i="1"/>
  <c r="T260" i="1" s="1"/>
  <c r="V260" i="1"/>
  <c r="W260" i="1"/>
  <c r="AG260" i="1"/>
  <c r="AJ260" i="1" a="1"/>
  <c r="AJ260" i="1" s="1"/>
  <c r="AM260" i="1" a="1"/>
  <c r="AM260" i="1" s="1"/>
  <c r="H260" i="1" s="1" a="1"/>
  <c r="H260" i="1" s="1"/>
  <c r="BB260" i="1" a="1"/>
  <c r="BB260" i="1" s="1"/>
  <c r="M260" i="1" s="1" a="1"/>
  <c r="M260" i="1" s="1"/>
  <c r="AN257" i="1"/>
  <c r="AQ257" i="1" s="1"/>
  <c r="AN259" i="1"/>
  <c r="AQ259" i="1" s="1"/>
  <c r="AG257" i="1"/>
  <c r="AT255" i="1"/>
  <c r="AW255" i="1" s="1"/>
  <c r="BC255" i="1" s="1"/>
  <c r="BF255" i="1" s="1"/>
  <c r="BI255" i="1" s="1"/>
  <c r="BL255" i="1" s="1"/>
  <c r="AN255" i="1"/>
  <c r="AQ255" i="1" s="1"/>
  <c r="AV261" i="1" l="1" a="1"/>
  <c r="AV261" i="1" s="1"/>
  <c r="K261" i="1" s="1" a="1"/>
  <c r="K261" i="1" s="1"/>
  <c r="AN190" i="7" a="1"/>
  <c r="AN190" i="7" s="1"/>
  <c r="I190" i="7" s="1" a="1"/>
  <c r="I190" i="7" s="1"/>
  <c r="AW190" i="7" a="1"/>
  <c r="AW190" i="7" s="1"/>
  <c r="L190" i="7" s="1" a="1"/>
  <c r="L190" i="7" s="1"/>
  <c r="AT190" i="7" a="1"/>
  <c r="AT190" i="7" s="1"/>
  <c r="K190" i="7" s="1" a="1"/>
  <c r="K190" i="7" s="1"/>
  <c r="AQ190" i="7" a="1"/>
  <c r="AQ190" i="7" s="1"/>
  <c r="J190" i="7" s="1" a="1"/>
  <c r="J190" i="7" s="1"/>
  <c r="T262" i="1"/>
  <c r="P190" i="7"/>
  <c r="Q190" i="7"/>
  <c r="AO189" i="7"/>
  <c r="AN189" i="7" a="1"/>
  <c r="AN189" i="7" s="1"/>
  <c r="I189" i="7" s="1" a="1"/>
  <c r="I189" i="7" s="1"/>
  <c r="AE190" i="7" a="1"/>
  <c r="AE190" i="7" s="1"/>
  <c r="AV258" i="1" a="1"/>
  <c r="AV258" i="1" s="1"/>
  <c r="K258" i="1" s="1" a="1"/>
  <c r="K258" i="1" s="1"/>
  <c r="AP258" i="1" a="1"/>
  <c r="AP258" i="1" s="1"/>
  <c r="I258" i="1" s="1" a="1"/>
  <c r="I258" i="1" s="1"/>
  <c r="O189" i="7"/>
  <c r="AY261" i="1" a="1"/>
  <c r="AY261" i="1" s="1"/>
  <c r="L261" i="1" s="1" a="1"/>
  <c r="L261" i="1" s="1"/>
  <c r="BC261" i="1"/>
  <c r="BC258" i="1"/>
  <c r="BE258" i="1" s="1" a="1"/>
  <c r="BE258" i="1" s="1"/>
  <c r="N258" i="1" s="1" a="1"/>
  <c r="N258" i="1" s="1"/>
  <c r="AY258" i="1" a="1"/>
  <c r="AY258" i="1" s="1"/>
  <c r="L258" i="1" s="1" a="1"/>
  <c r="L258" i="1" s="1"/>
  <c r="T258" i="1"/>
  <c r="AQ261" i="1"/>
  <c r="AS261" i="1" s="1" a="1"/>
  <c r="AS261" i="1" s="1"/>
  <c r="J261" i="1" s="1" a="1"/>
  <c r="J261" i="1" s="1"/>
  <c r="U261" i="1"/>
  <c r="AP260" i="1" a="1"/>
  <c r="AP260" i="1" s="1"/>
  <c r="I260" i="1" s="1" a="1"/>
  <c r="I260" i="1" s="1"/>
  <c r="AV260" i="1" a="1"/>
  <c r="AV260" i="1" s="1"/>
  <c r="K260" i="1" s="1" a="1"/>
  <c r="K260" i="1" s="1"/>
  <c r="AY260" i="1" a="1"/>
  <c r="AY260" i="1" s="1"/>
  <c r="L260" i="1" s="1" a="1"/>
  <c r="L260" i="1" s="1"/>
  <c r="BC260" i="1"/>
  <c r="U260" i="1"/>
  <c r="G255" i="1" a="1"/>
  <c r="G255" i="1" s="1"/>
  <c r="G257" i="1" a="1"/>
  <c r="G257" i="1" s="1"/>
  <c r="G259" i="1" a="1"/>
  <c r="G259" i="1" s="1"/>
  <c r="S255" i="1"/>
  <c r="T255" i="1" s="1"/>
  <c r="S257" i="1"/>
  <c r="U257" i="1" s="1"/>
  <c r="S259" i="1"/>
  <c r="U259" i="1" s="1"/>
  <c r="V255" i="1"/>
  <c r="V257" i="1"/>
  <c r="V259" i="1"/>
  <c r="W255" i="1"/>
  <c r="W257" i="1"/>
  <c r="W259" i="1"/>
  <c r="Z257" i="1"/>
  <c r="Z259" i="1"/>
  <c r="AG255" i="1"/>
  <c r="AG259" i="1"/>
  <c r="AJ255" i="1" a="1"/>
  <c r="AJ255" i="1" s="1"/>
  <c r="AJ257" i="1" a="1"/>
  <c r="AJ257" i="1" s="1"/>
  <c r="AJ259" i="1" a="1"/>
  <c r="AJ259" i="1" s="1"/>
  <c r="AM255" i="1" a="1"/>
  <c r="AM255" i="1" s="1"/>
  <c r="H255" i="1" s="1" a="1"/>
  <c r="H255" i="1" s="1"/>
  <c r="AM257" i="1" a="1"/>
  <c r="AM257" i="1" s="1"/>
  <c r="H257" i="1" s="1" a="1"/>
  <c r="H257" i="1" s="1"/>
  <c r="AM259" i="1" a="1"/>
  <c r="AM259" i="1" s="1"/>
  <c r="H259" i="1" s="1" a="1"/>
  <c r="H259" i="1" s="1"/>
  <c r="AP255" i="1" a="1"/>
  <c r="AP255" i="1" s="1"/>
  <c r="I255" i="1" s="1" a="1"/>
  <c r="I255" i="1" s="1"/>
  <c r="AP257" i="1" a="1"/>
  <c r="AP257" i="1" s="1"/>
  <c r="I257" i="1" s="1" a="1"/>
  <c r="I257" i="1" s="1"/>
  <c r="AP259" i="1" a="1"/>
  <c r="AP259" i="1" s="1"/>
  <c r="I259" i="1" s="1" a="1"/>
  <c r="I259" i="1" s="1"/>
  <c r="AS255" i="1" a="1"/>
  <c r="AS255" i="1" s="1"/>
  <c r="J255" i="1" s="1" a="1"/>
  <c r="J255" i="1" s="1"/>
  <c r="AS257" i="1" a="1"/>
  <c r="AS257" i="1" s="1"/>
  <c r="J257" i="1" s="1" a="1"/>
  <c r="J257" i="1" s="1"/>
  <c r="AS259" i="1" a="1"/>
  <c r="AS259" i="1" s="1"/>
  <c r="J259" i="1" s="1" a="1"/>
  <c r="J259" i="1" s="1"/>
  <c r="AV255" i="1" a="1"/>
  <c r="AV255" i="1" s="1"/>
  <c r="K255" i="1" s="1" a="1"/>
  <c r="K255" i="1" s="1"/>
  <c r="AV257" i="1" a="1"/>
  <c r="AV257" i="1" s="1"/>
  <c r="K257" i="1" s="1" a="1"/>
  <c r="K257" i="1" s="1"/>
  <c r="AV259" i="1" a="1"/>
  <c r="AV259" i="1" s="1"/>
  <c r="K259" i="1" s="1" a="1"/>
  <c r="K259" i="1" s="1"/>
  <c r="AY255" i="1" a="1"/>
  <c r="AY255" i="1" s="1"/>
  <c r="L255" i="1" s="1" a="1"/>
  <c r="L255" i="1" s="1"/>
  <c r="AY257" i="1" a="1"/>
  <c r="AY257" i="1" s="1"/>
  <c r="L257" i="1" s="1" a="1"/>
  <c r="L257" i="1" s="1"/>
  <c r="AY259" i="1" a="1"/>
  <c r="AY259" i="1" s="1"/>
  <c r="L259" i="1" s="1" a="1"/>
  <c r="L259" i="1" s="1"/>
  <c r="BB255" i="1" a="1"/>
  <c r="BB255" i="1" s="1"/>
  <c r="M255" i="1" s="1" a="1"/>
  <c r="M255" i="1" s="1"/>
  <c r="BB257" i="1" a="1"/>
  <c r="BB257" i="1" s="1"/>
  <c r="M257" i="1" s="1" a="1"/>
  <c r="M257" i="1" s="1"/>
  <c r="BB259" i="1" a="1"/>
  <c r="BB259" i="1" s="1"/>
  <c r="M259" i="1" s="1" a="1"/>
  <c r="M259" i="1" s="1"/>
  <c r="BE255" i="1" a="1"/>
  <c r="BE255" i="1" s="1"/>
  <c r="N255" i="1" s="1" a="1"/>
  <c r="N255" i="1" s="1"/>
  <c r="BE257" i="1" a="1"/>
  <c r="BE257" i="1" s="1"/>
  <c r="N257" i="1" s="1" a="1"/>
  <c r="N257" i="1" s="1"/>
  <c r="BE259" i="1" a="1"/>
  <c r="BE259" i="1" s="1"/>
  <c r="N259" i="1" s="1" a="1"/>
  <c r="N259" i="1" s="1"/>
  <c r="BH255" i="1" a="1"/>
  <c r="BH255" i="1" s="1"/>
  <c r="O255" i="1" s="1" a="1"/>
  <c r="O255" i="1" s="1"/>
  <c r="BH257" i="1" a="1"/>
  <c r="BH257" i="1" s="1"/>
  <c r="O257" i="1" s="1" a="1"/>
  <c r="O257" i="1" s="1"/>
  <c r="BH259" i="1" a="1"/>
  <c r="BH259" i="1" s="1"/>
  <c r="O259" i="1" s="1" a="1"/>
  <c r="O259" i="1" s="1"/>
  <c r="BK255" i="1" a="1"/>
  <c r="BK255" i="1" s="1"/>
  <c r="P255" i="1" s="1" a="1"/>
  <c r="P255" i="1" s="1"/>
  <c r="BK257" i="1" a="1"/>
  <c r="BK257" i="1" s="1"/>
  <c r="P257" i="1" s="1" a="1"/>
  <c r="P257" i="1" s="1"/>
  <c r="BK259" i="1" a="1"/>
  <c r="BK259" i="1" s="1"/>
  <c r="P259" i="1" s="1" a="1"/>
  <c r="P259" i="1" s="1"/>
  <c r="BN255" i="1" a="1"/>
  <c r="BN255" i="1" s="1"/>
  <c r="Q255" i="1" s="1" a="1"/>
  <c r="Q255" i="1" s="1"/>
  <c r="BN257" i="1" a="1"/>
  <c r="BN257" i="1" s="1"/>
  <c r="Q257" i="1" s="1" a="1"/>
  <c r="Q257" i="1" s="1"/>
  <c r="BN259" i="1" a="1"/>
  <c r="BN259" i="1" s="1"/>
  <c r="Q259" i="1" s="1" a="1"/>
  <c r="Q259" i="1" s="1"/>
  <c r="R255" i="1"/>
  <c r="R257" i="1"/>
  <c r="R259" i="1"/>
  <c r="AT256" i="1"/>
  <c r="AW256" i="1" s="1"/>
  <c r="BC256" i="1" s="1"/>
  <c r="BF256" i="1" s="1"/>
  <c r="BI256" i="1" s="1"/>
  <c r="BL256" i="1" s="1"/>
  <c r="AT254" i="1"/>
  <c r="AW254" i="1" s="1"/>
  <c r="BC254" i="1" s="1"/>
  <c r="AN243" i="1"/>
  <c r="AN246" i="1"/>
  <c r="AN245" i="1"/>
  <c r="AN250" i="1"/>
  <c r="AN248" i="1"/>
  <c r="AN249" i="1"/>
  <c r="AN247" i="1"/>
  <c r="AN251" i="1"/>
  <c r="AN252" i="1"/>
  <c r="AN253" i="1"/>
  <c r="AN256" i="1"/>
  <c r="AQ256" i="1" s="1"/>
  <c r="AN254" i="1"/>
  <c r="AQ254" i="1" s="1"/>
  <c r="AQ189" i="7" l="1" a="1"/>
  <c r="AQ189" i="7" s="1"/>
  <c r="J189" i="7" s="1" a="1"/>
  <c r="J189" i="7" s="1"/>
  <c r="AR189" i="7"/>
  <c r="P189" i="7"/>
  <c r="Q189" i="7"/>
  <c r="BF258" i="1"/>
  <c r="BH258" i="1" s="1" a="1"/>
  <c r="BH258" i="1" s="1"/>
  <c r="O258" i="1" s="1" a="1"/>
  <c r="O258" i="1" s="1"/>
  <c r="BE261" i="1" a="1"/>
  <c r="BE261" i="1" s="1"/>
  <c r="N261" i="1" s="1" a="1"/>
  <c r="N261" i="1" s="1"/>
  <c r="BF261" i="1"/>
  <c r="BE260" i="1" a="1"/>
  <c r="BE260" i="1" s="1"/>
  <c r="N260" i="1" s="1" a="1"/>
  <c r="N260" i="1" s="1"/>
  <c r="BF260" i="1"/>
  <c r="T257" i="1"/>
  <c r="T259" i="1"/>
  <c r="BF254" i="1"/>
  <c r="BH254" i="1" s="1" a="1"/>
  <c r="BH254" i="1" s="1"/>
  <c r="O254" i="1" s="1" a="1"/>
  <c r="O254" i="1" s="1"/>
  <c r="U255" i="1"/>
  <c r="G256" i="1" a="1"/>
  <c r="G256" i="1" s="1"/>
  <c r="G254" i="1" a="1"/>
  <c r="G254" i="1" s="1"/>
  <c r="S256" i="1"/>
  <c r="T256" i="1" s="1"/>
  <c r="S254" i="1"/>
  <c r="U254" i="1" s="1"/>
  <c r="V256" i="1"/>
  <c r="V254" i="1"/>
  <c r="W256" i="1"/>
  <c r="W254" i="1"/>
  <c r="AG256" i="1"/>
  <c r="AG254" i="1"/>
  <c r="AJ256" i="1" a="1"/>
  <c r="AJ256" i="1" s="1"/>
  <c r="AJ254" i="1" a="1"/>
  <c r="AJ254" i="1" s="1"/>
  <c r="AM256" i="1" a="1"/>
  <c r="AM256" i="1" s="1"/>
  <c r="H256" i="1" s="1" a="1"/>
  <c r="H256" i="1" s="1"/>
  <c r="AM254" i="1" a="1"/>
  <c r="AM254" i="1" s="1"/>
  <c r="H254" i="1" s="1" a="1"/>
  <c r="H254" i="1" s="1"/>
  <c r="AP256" i="1" a="1"/>
  <c r="AP256" i="1" s="1"/>
  <c r="I256" i="1" s="1" a="1"/>
  <c r="I256" i="1" s="1"/>
  <c r="AP254" i="1" a="1"/>
  <c r="AP254" i="1" s="1"/>
  <c r="I254" i="1" s="1" a="1"/>
  <c r="I254" i="1" s="1"/>
  <c r="AS256" i="1" a="1"/>
  <c r="AS256" i="1" s="1"/>
  <c r="J256" i="1" s="1" a="1"/>
  <c r="J256" i="1" s="1"/>
  <c r="AS254" i="1" a="1"/>
  <c r="AS254" i="1" s="1"/>
  <c r="J254" i="1" s="1" a="1"/>
  <c r="J254" i="1" s="1"/>
  <c r="AV256" i="1" a="1"/>
  <c r="AV256" i="1" s="1"/>
  <c r="K256" i="1" s="1" a="1"/>
  <c r="K256" i="1" s="1"/>
  <c r="AV254" i="1" a="1"/>
  <c r="AV254" i="1" s="1"/>
  <c r="K254" i="1" s="1" a="1"/>
  <c r="K254" i="1" s="1"/>
  <c r="AY256" i="1" a="1"/>
  <c r="AY256" i="1" s="1"/>
  <c r="L256" i="1" s="1" a="1"/>
  <c r="L256" i="1" s="1"/>
  <c r="AY254" i="1" a="1"/>
  <c r="AY254" i="1" s="1"/>
  <c r="L254" i="1" s="1" a="1"/>
  <c r="L254" i="1" s="1"/>
  <c r="BB256" i="1" a="1"/>
  <c r="BB256" i="1" s="1"/>
  <c r="M256" i="1" s="1" a="1"/>
  <c r="M256" i="1" s="1"/>
  <c r="BB254" i="1" a="1"/>
  <c r="BB254" i="1" s="1"/>
  <c r="M254" i="1" s="1" a="1"/>
  <c r="M254" i="1" s="1"/>
  <c r="BE256" i="1" a="1"/>
  <c r="BE256" i="1" s="1"/>
  <c r="N256" i="1" s="1" a="1"/>
  <c r="N256" i="1" s="1"/>
  <c r="BE254" i="1" a="1"/>
  <c r="BE254" i="1" s="1"/>
  <c r="N254" i="1" s="1" a="1"/>
  <c r="N254" i="1" s="1"/>
  <c r="BH256" i="1" a="1"/>
  <c r="BH256" i="1" s="1"/>
  <c r="O256" i="1" s="1" a="1"/>
  <c r="O256" i="1" s="1"/>
  <c r="BK256" i="1" a="1"/>
  <c r="BK256" i="1" s="1"/>
  <c r="P256" i="1" s="1" a="1"/>
  <c r="P256" i="1" s="1"/>
  <c r="BN256" i="1" a="1"/>
  <c r="BN256" i="1" s="1"/>
  <c r="Q256" i="1" s="1" a="1"/>
  <c r="Q256" i="1" s="1"/>
  <c r="R256" i="1"/>
  <c r="R254" i="1"/>
  <c r="AT251" i="1"/>
  <c r="AW251" i="1" s="1"/>
  <c r="BC251" i="1" s="1"/>
  <c r="BF251" i="1" s="1"/>
  <c r="BI251" i="1" s="1"/>
  <c r="BL251" i="1" s="1"/>
  <c r="AT252" i="1"/>
  <c r="AW252" i="1" s="1"/>
  <c r="BC252" i="1" s="1"/>
  <c r="BF252" i="1" s="1"/>
  <c r="BI252" i="1" s="1"/>
  <c r="BL252" i="1" s="1"/>
  <c r="AT253" i="1"/>
  <c r="AW253" i="1" s="1"/>
  <c r="BC253" i="1" s="1"/>
  <c r="BF253" i="1" s="1"/>
  <c r="BI253" i="1" s="1"/>
  <c r="BL253" i="1" s="1"/>
  <c r="AQ251" i="1"/>
  <c r="AQ252" i="1"/>
  <c r="AQ253" i="1"/>
  <c r="AT189" i="7" l="1" a="1"/>
  <c r="AT189" i="7" s="1"/>
  <c r="K189" i="7" s="1" a="1"/>
  <c r="K189" i="7" s="1"/>
  <c r="AU189" i="7"/>
  <c r="BI258" i="1"/>
  <c r="BI261" i="1"/>
  <c r="BH261" i="1" a="1"/>
  <c r="BH261" i="1" s="1"/>
  <c r="O261" i="1" s="1" a="1"/>
  <c r="O261" i="1" s="1"/>
  <c r="BH260" i="1" a="1"/>
  <c r="BH260" i="1" s="1"/>
  <c r="O260" i="1" s="1" a="1"/>
  <c r="O260" i="1" s="1"/>
  <c r="BI260" i="1"/>
  <c r="T254" i="1"/>
  <c r="BI254" i="1"/>
  <c r="U256" i="1"/>
  <c r="BN253" i="1" a="1"/>
  <c r="BN253" i="1" s="1"/>
  <c r="Q253" i="1" s="1" a="1"/>
  <c r="Q253" i="1" s="1"/>
  <c r="BN252" i="1" a="1"/>
  <c r="BN252" i="1" s="1"/>
  <c r="Q252" i="1" s="1" a="1"/>
  <c r="Q252" i="1" s="1"/>
  <c r="BN251" i="1" a="1"/>
  <c r="BN251" i="1" s="1"/>
  <c r="Q251" i="1" s="1" a="1"/>
  <c r="Q251" i="1" s="1"/>
  <c r="BK253" i="1" a="1"/>
  <c r="BK253" i="1" s="1"/>
  <c r="P253" i="1" s="1" a="1"/>
  <c r="P253" i="1" s="1"/>
  <c r="BK252" i="1" a="1"/>
  <c r="BK252" i="1" s="1"/>
  <c r="P252" i="1" s="1" a="1"/>
  <c r="P252" i="1" s="1"/>
  <c r="BK251" i="1" a="1"/>
  <c r="BK251" i="1" s="1"/>
  <c r="P251" i="1" s="1" a="1"/>
  <c r="P251" i="1" s="1"/>
  <c r="BH253" i="1" a="1"/>
  <c r="BH253" i="1" s="1"/>
  <c r="O253" i="1" s="1" a="1"/>
  <c r="O253" i="1" s="1"/>
  <c r="BH252" i="1" a="1"/>
  <c r="BH252" i="1" s="1"/>
  <c r="O252" i="1" s="1" a="1"/>
  <c r="O252" i="1" s="1"/>
  <c r="BH251" i="1" a="1"/>
  <c r="BH251" i="1" s="1"/>
  <c r="O251" i="1" s="1" a="1"/>
  <c r="O251" i="1" s="1"/>
  <c r="BE253" i="1" a="1"/>
  <c r="BE253" i="1" s="1"/>
  <c r="N253" i="1" s="1" a="1"/>
  <c r="N253" i="1" s="1"/>
  <c r="BE252" i="1" a="1"/>
  <c r="BE252" i="1" s="1"/>
  <c r="N252" i="1" s="1" a="1"/>
  <c r="N252" i="1" s="1"/>
  <c r="BE251" i="1" a="1"/>
  <c r="BE251" i="1" s="1"/>
  <c r="N251" i="1" s="1" a="1"/>
  <c r="N251" i="1" s="1"/>
  <c r="BB253" i="1" a="1"/>
  <c r="BB253" i="1" s="1"/>
  <c r="M253" i="1" s="1" a="1"/>
  <c r="M253" i="1" s="1"/>
  <c r="BB252" i="1" a="1"/>
  <c r="BB252" i="1" s="1"/>
  <c r="M252" i="1" s="1" a="1"/>
  <c r="M252" i="1" s="1"/>
  <c r="BB251" i="1" a="1"/>
  <c r="BB251" i="1" s="1"/>
  <c r="M251" i="1" s="1" a="1"/>
  <c r="M251" i="1" s="1"/>
  <c r="AY253" i="1" a="1"/>
  <c r="AY253" i="1" s="1"/>
  <c r="L253" i="1" s="1" a="1"/>
  <c r="L253" i="1" s="1"/>
  <c r="AY252" i="1" a="1"/>
  <c r="AY252" i="1" s="1"/>
  <c r="L252" i="1" s="1" a="1"/>
  <c r="L252" i="1" s="1"/>
  <c r="AY251" i="1" a="1"/>
  <c r="AY251" i="1" s="1"/>
  <c r="L251" i="1" s="1" a="1"/>
  <c r="L251" i="1" s="1"/>
  <c r="AV253" i="1" a="1"/>
  <c r="AV253" i="1" s="1"/>
  <c r="K253" i="1" s="1" a="1"/>
  <c r="K253" i="1" s="1"/>
  <c r="AV252" i="1" a="1"/>
  <c r="AV252" i="1" s="1"/>
  <c r="K252" i="1" s="1" a="1"/>
  <c r="K252" i="1" s="1"/>
  <c r="AV251" i="1" a="1"/>
  <c r="AV251" i="1" s="1"/>
  <c r="K251" i="1" s="1" a="1"/>
  <c r="K251" i="1" s="1"/>
  <c r="AS253" i="1" a="1"/>
  <c r="AS253" i="1" s="1"/>
  <c r="J253" i="1" s="1" a="1"/>
  <c r="J253" i="1" s="1"/>
  <c r="AS252" i="1" a="1"/>
  <c r="AS252" i="1" s="1"/>
  <c r="J252" i="1" s="1" a="1"/>
  <c r="J252" i="1" s="1"/>
  <c r="AS251" i="1" a="1"/>
  <c r="AS251" i="1" s="1"/>
  <c r="J251" i="1" s="1" a="1"/>
  <c r="J251" i="1" s="1"/>
  <c r="AP253" i="1" a="1"/>
  <c r="AP253" i="1" s="1"/>
  <c r="I253" i="1" s="1" a="1"/>
  <c r="I253" i="1" s="1"/>
  <c r="AP252" i="1" a="1"/>
  <c r="AP252" i="1" s="1"/>
  <c r="I252" i="1" s="1" a="1"/>
  <c r="I252" i="1" s="1"/>
  <c r="AP251" i="1" a="1"/>
  <c r="AP251" i="1" s="1"/>
  <c r="I251" i="1" s="1" a="1"/>
  <c r="I251" i="1" s="1"/>
  <c r="AM253" i="1" a="1"/>
  <c r="AM253" i="1" s="1"/>
  <c r="H253" i="1" s="1" a="1"/>
  <c r="H253" i="1" s="1"/>
  <c r="AM252" i="1" a="1"/>
  <c r="AM252" i="1" s="1"/>
  <c r="H252" i="1" s="1" a="1"/>
  <c r="H252" i="1" s="1"/>
  <c r="AM251" i="1" a="1"/>
  <c r="AM251" i="1" s="1"/>
  <c r="H251" i="1" s="1" a="1"/>
  <c r="H251" i="1" s="1"/>
  <c r="AJ253" i="1" a="1"/>
  <c r="AJ253" i="1" s="1"/>
  <c r="AJ252" i="1" a="1"/>
  <c r="AJ252" i="1" s="1"/>
  <c r="AJ251" i="1" a="1"/>
  <c r="AJ251" i="1" s="1"/>
  <c r="AG251" i="1"/>
  <c r="AG252" i="1"/>
  <c r="AG253" i="1"/>
  <c r="W251" i="1"/>
  <c r="W252" i="1"/>
  <c r="W253" i="1"/>
  <c r="V251" i="1"/>
  <c r="V252" i="1"/>
  <c r="V253" i="1"/>
  <c r="S251" i="1"/>
  <c r="T251" i="1" s="1"/>
  <c r="S252" i="1"/>
  <c r="T252" i="1" s="1"/>
  <c r="S253" i="1"/>
  <c r="U253" i="1" s="1"/>
  <c r="R251" i="1"/>
  <c r="R252" i="1"/>
  <c r="R253" i="1"/>
  <c r="G253" i="1" a="1"/>
  <c r="G253" i="1" s="1"/>
  <c r="G252" i="1" a="1"/>
  <c r="G252" i="1" s="1"/>
  <c r="G251" i="1" a="1"/>
  <c r="G251" i="1" s="1"/>
  <c r="AT247" i="1"/>
  <c r="AW247" i="1" s="1"/>
  <c r="AQ247" i="1"/>
  <c r="AS247" i="1" s="1" a="1"/>
  <c r="AS247" i="1" s="1"/>
  <c r="J247" i="1" s="1" a="1"/>
  <c r="J247" i="1" s="1"/>
  <c r="G247" i="1" a="1"/>
  <c r="G247" i="1" s="1"/>
  <c r="S247" i="1"/>
  <c r="U247" i="1" s="1"/>
  <c r="V247" i="1"/>
  <c r="W247" i="1"/>
  <c r="Z247" i="1"/>
  <c r="AG247" i="1"/>
  <c r="AJ247" i="1" a="1"/>
  <c r="AJ247" i="1" s="1"/>
  <c r="AM247" i="1" a="1"/>
  <c r="AM247" i="1" s="1"/>
  <c r="H247" i="1" s="1" a="1"/>
  <c r="H247" i="1" s="1"/>
  <c r="AP247" i="1" a="1"/>
  <c r="AP247" i="1" s="1"/>
  <c r="I247" i="1" s="1" a="1"/>
  <c r="I247" i="1" s="1"/>
  <c r="BB247" i="1" a="1"/>
  <c r="BB247" i="1" s="1"/>
  <c r="M247" i="1" s="1" a="1"/>
  <c r="M247" i="1" s="1"/>
  <c r="R247" i="1"/>
  <c r="AT248" i="1"/>
  <c r="AW248" i="1" s="1"/>
  <c r="BC248" i="1" s="1"/>
  <c r="BF248" i="1" s="1"/>
  <c r="BI248" i="1" s="1"/>
  <c r="BL248" i="1" s="1"/>
  <c r="AT249" i="1"/>
  <c r="AW249" i="1" s="1"/>
  <c r="BC249" i="1" s="1"/>
  <c r="BF249" i="1" s="1"/>
  <c r="BI249" i="1" s="1"/>
  <c r="BL249" i="1" s="1"/>
  <c r="AQ248" i="1"/>
  <c r="AQ249" i="1"/>
  <c r="BK258" i="1" l="1" a="1"/>
  <c r="BK258" i="1" s="1"/>
  <c r="P258" i="1" s="1" a="1"/>
  <c r="P258" i="1" s="1"/>
  <c r="AX189" i="7"/>
  <c r="AZ189" i="7" s="1" a="1"/>
  <c r="AZ189" i="7" s="1"/>
  <c r="M189" i="7" s="1" a="1"/>
  <c r="M189" i="7" s="1"/>
  <c r="AW189" i="7" a="1"/>
  <c r="AW189" i="7" s="1"/>
  <c r="L189" i="7" s="1" a="1"/>
  <c r="L189" i="7" s="1"/>
  <c r="BL258" i="1"/>
  <c r="BN258" i="1" s="1" a="1"/>
  <c r="BN258" i="1" s="1"/>
  <c r="Q258" i="1" s="1" a="1"/>
  <c r="Q258" i="1" s="1"/>
  <c r="BL261" i="1"/>
  <c r="BN261" i="1" s="1" a="1"/>
  <c r="BN261" i="1" s="1"/>
  <c r="Q261" i="1" s="1" a="1"/>
  <c r="Q261" i="1" s="1"/>
  <c r="BK261" i="1" a="1"/>
  <c r="BK261" i="1" s="1"/>
  <c r="P261" i="1" s="1" a="1"/>
  <c r="P261" i="1" s="1"/>
  <c r="BL260" i="1"/>
  <c r="BN260" i="1" s="1" a="1"/>
  <c r="BN260" i="1" s="1"/>
  <c r="Q260" i="1" s="1" a="1"/>
  <c r="Q260" i="1" s="1"/>
  <c r="BK260" i="1" a="1"/>
  <c r="BK260" i="1" s="1"/>
  <c r="P260" i="1" s="1" a="1"/>
  <c r="P260" i="1" s="1"/>
  <c r="BL254" i="1"/>
  <c r="BN254" i="1" s="1" a="1"/>
  <c r="BN254" i="1" s="1"/>
  <c r="Q254" i="1" s="1" a="1"/>
  <c r="Q254" i="1" s="1"/>
  <c r="BK254" i="1" a="1"/>
  <c r="BK254" i="1" s="1"/>
  <c r="P254" i="1" s="1" a="1"/>
  <c r="P254" i="1" s="1"/>
  <c r="T253" i="1"/>
  <c r="U252" i="1"/>
  <c r="U251" i="1"/>
  <c r="AV247" i="1" a="1"/>
  <c r="AV247" i="1" s="1"/>
  <c r="K247" i="1" s="1" a="1"/>
  <c r="K247" i="1" s="1"/>
  <c r="BC247" i="1"/>
  <c r="AY247" i="1" a="1"/>
  <c r="AY247" i="1" s="1"/>
  <c r="L247" i="1" s="1" a="1"/>
  <c r="L247" i="1" s="1"/>
  <c r="T247" i="1"/>
  <c r="BF247" i="1" l="1"/>
  <c r="BE247" i="1" a="1"/>
  <c r="BE247" i="1" s="1"/>
  <c r="N247" i="1" s="1" a="1"/>
  <c r="N247" i="1" s="1"/>
  <c r="G248" i="1" a="1"/>
  <c r="G248" i="1" s="1"/>
  <c r="G249" i="1" a="1"/>
  <c r="G249" i="1" s="1"/>
  <c r="S248" i="1"/>
  <c r="U248" i="1" s="1"/>
  <c r="S249" i="1"/>
  <c r="U249" i="1" s="1"/>
  <c r="V248" i="1"/>
  <c r="V249" i="1"/>
  <c r="W248" i="1"/>
  <c r="W249" i="1"/>
  <c r="Z248" i="1"/>
  <c r="Z249" i="1"/>
  <c r="AG248" i="1"/>
  <c r="AG249" i="1"/>
  <c r="AJ248" i="1" a="1"/>
  <c r="AJ248" i="1" s="1"/>
  <c r="AJ249" i="1" a="1"/>
  <c r="AJ249" i="1" s="1"/>
  <c r="AM248" i="1" a="1"/>
  <c r="AM248" i="1" s="1"/>
  <c r="H248" i="1" s="1" a="1"/>
  <c r="H248" i="1" s="1"/>
  <c r="AM249" i="1" a="1"/>
  <c r="AM249" i="1" s="1"/>
  <c r="H249" i="1" s="1" a="1"/>
  <c r="H249" i="1" s="1"/>
  <c r="AP248" i="1" a="1"/>
  <c r="AP248" i="1" s="1"/>
  <c r="I248" i="1" s="1" a="1"/>
  <c r="I248" i="1" s="1"/>
  <c r="AP249" i="1" a="1"/>
  <c r="AP249" i="1" s="1"/>
  <c r="I249" i="1" s="1" a="1"/>
  <c r="I249" i="1" s="1"/>
  <c r="AS248" i="1" a="1"/>
  <c r="AS248" i="1" s="1"/>
  <c r="J248" i="1" s="1" a="1"/>
  <c r="J248" i="1" s="1"/>
  <c r="AS249" i="1" a="1"/>
  <c r="AS249" i="1" s="1"/>
  <c r="J249" i="1" s="1" a="1"/>
  <c r="J249" i="1" s="1"/>
  <c r="AV248" i="1" a="1"/>
  <c r="AV248" i="1" s="1"/>
  <c r="K248" i="1" s="1" a="1"/>
  <c r="K248" i="1" s="1"/>
  <c r="AV249" i="1" a="1"/>
  <c r="AV249" i="1" s="1"/>
  <c r="K249" i="1" s="1" a="1"/>
  <c r="K249" i="1" s="1"/>
  <c r="AY248" i="1" a="1"/>
  <c r="AY248" i="1" s="1"/>
  <c r="L248" i="1" s="1" a="1"/>
  <c r="L248" i="1" s="1"/>
  <c r="AY249" i="1" a="1"/>
  <c r="AY249" i="1" s="1"/>
  <c r="L249" i="1" s="1" a="1"/>
  <c r="L249" i="1" s="1"/>
  <c r="BB248" i="1" a="1"/>
  <c r="BB248" i="1" s="1"/>
  <c r="M248" i="1" s="1" a="1"/>
  <c r="M248" i="1" s="1"/>
  <c r="BB249" i="1" a="1"/>
  <c r="BB249" i="1" s="1"/>
  <c r="M249" i="1" s="1" a="1"/>
  <c r="M249" i="1" s="1"/>
  <c r="BE248" i="1" a="1"/>
  <c r="BE248" i="1" s="1"/>
  <c r="N248" i="1" s="1" a="1"/>
  <c r="N248" i="1" s="1"/>
  <c r="BE249" i="1" a="1"/>
  <c r="BE249" i="1" s="1"/>
  <c r="N249" i="1" s="1" a="1"/>
  <c r="N249" i="1" s="1"/>
  <c r="BH248" i="1" a="1"/>
  <c r="BH248" i="1" s="1"/>
  <c r="O248" i="1" s="1" a="1"/>
  <c r="O248" i="1" s="1"/>
  <c r="BH249" i="1" a="1"/>
  <c r="BH249" i="1" s="1"/>
  <c r="O249" i="1" s="1" a="1"/>
  <c r="O249" i="1" s="1"/>
  <c r="BK248" i="1" a="1"/>
  <c r="BK248" i="1" s="1"/>
  <c r="P248" i="1" s="1" a="1"/>
  <c r="P248" i="1" s="1"/>
  <c r="BK249" i="1" a="1"/>
  <c r="BK249" i="1" s="1"/>
  <c r="P249" i="1" s="1" a="1"/>
  <c r="P249" i="1" s="1"/>
  <c r="BN248" i="1" a="1"/>
  <c r="BN248" i="1" s="1"/>
  <c r="Q248" i="1" s="1" a="1"/>
  <c r="Q248" i="1" s="1"/>
  <c r="BN249" i="1" a="1"/>
  <c r="BN249" i="1" s="1"/>
  <c r="Q249" i="1" s="1" a="1"/>
  <c r="Q249" i="1" s="1"/>
  <c r="R248" i="1"/>
  <c r="R249" i="1"/>
  <c r="AT250" i="1"/>
  <c r="AW250" i="1" s="1"/>
  <c r="BC250" i="1" s="1"/>
  <c r="BF250" i="1" s="1"/>
  <c r="BI250" i="1" s="1"/>
  <c r="BL250" i="1" s="1"/>
  <c r="AQ250" i="1"/>
  <c r="BI247" i="1" l="1"/>
  <c r="BH247" i="1" a="1"/>
  <c r="BH247" i="1" s="1"/>
  <c r="O247" i="1" s="1" a="1"/>
  <c r="O247" i="1" s="1"/>
  <c r="T248" i="1"/>
  <c r="T249" i="1"/>
  <c r="BL247" i="1" l="1"/>
  <c r="BN247" i="1" s="1" a="1"/>
  <c r="BN247" i="1" s="1"/>
  <c r="Q247" i="1" s="1" a="1"/>
  <c r="Q247" i="1" s="1"/>
  <c r="BK247" i="1" a="1"/>
  <c r="BK247" i="1" s="1"/>
  <c r="P247" i="1" s="1" a="1"/>
  <c r="P247" i="1" s="1"/>
  <c r="F188" i="7" a="1"/>
  <c r="F188" i="7" s="1"/>
  <c r="N188" i="7"/>
  <c r="R188" i="7"/>
  <c r="AD188" i="7"/>
  <c r="AE188" i="7" s="1" a="1"/>
  <c r="AE188" i="7" s="1"/>
  <c r="AH188" i="7" a="1"/>
  <c r="AH188" i="7" s="1"/>
  <c r="G188" i="7" s="1" a="1"/>
  <c r="G188" i="7" s="1"/>
  <c r="AI188" i="7"/>
  <c r="AL188" i="7" s="1"/>
  <c r="AK188" i="7" a="1"/>
  <c r="AK188" i="7" s="1"/>
  <c r="H188" i="7" s="1" a="1"/>
  <c r="H188" i="7" s="1"/>
  <c r="G250" i="1" a="1"/>
  <c r="G250" i="1" s="1"/>
  <c r="R250" i="1"/>
  <c r="S250" i="1"/>
  <c r="U250" i="1" s="1"/>
  <c r="V250" i="1"/>
  <c r="W250" i="1"/>
  <c r="Z250" i="1"/>
  <c r="AG250" i="1"/>
  <c r="AJ250" i="1" a="1"/>
  <c r="AJ250" i="1" s="1"/>
  <c r="AM250" i="1" a="1"/>
  <c r="AM250" i="1" s="1"/>
  <c r="H250" i="1" s="1" a="1"/>
  <c r="H250" i="1" s="1"/>
  <c r="AP250" i="1" a="1"/>
  <c r="AP250" i="1" s="1"/>
  <c r="I250" i="1" s="1" a="1"/>
  <c r="I250" i="1" s="1"/>
  <c r="AS250" i="1" a="1"/>
  <c r="AS250" i="1" s="1"/>
  <c r="J250" i="1" s="1" a="1"/>
  <c r="J250" i="1" s="1"/>
  <c r="AV250" i="1" a="1"/>
  <c r="AV250" i="1" s="1"/>
  <c r="K250" i="1" s="1" a="1"/>
  <c r="K250" i="1" s="1"/>
  <c r="AY250" i="1" a="1"/>
  <c r="AY250" i="1" s="1"/>
  <c r="L250" i="1" s="1" a="1"/>
  <c r="L250" i="1" s="1"/>
  <c r="BB250" i="1" a="1"/>
  <c r="BB250" i="1" s="1"/>
  <c r="M250" i="1" s="1" a="1"/>
  <c r="M250" i="1" s="1"/>
  <c r="BE250" i="1" a="1"/>
  <c r="BE250" i="1" s="1"/>
  <c r="N250" i="1" s="1" a="1"/>
  <c r="N250" i="1" s="1"/>
  <c r="BH250" i="1" a="1"/>
  <c r="BH250" i="1" s="1"/>
  <c r="O250" i="1" s="1" a="1"/>
  <c r="O250" i="1" s="1"/>
  <c r="BK250" i="1" a="1"/>
  <c r="BK250" i="1" s="1"/>
  <c r="P250" i="1" s="1" a="1"/>
  <c r="P250" i="1" s="1"/>
  <c r="BN250" i="1" a="1"/>
  <c r="BN250" i="1" s="1"/>
  <c r="Q250" i="1" s="1" a="1"/>
  <c r="Q250" i="1" s="1"/>
  <c r="T250" i="1" l="1"/>
  <c r="AN188" i="7" a="1"/>
  <c r="AN188" i="7" s="1"/>
  <c r="I188" i="7" s="1" a="1"/>
  <c r="I188" i="7" s="1"/>
  <c r="AO188" i="7"/>
  <c r="O188" i="7"/>
  <c r="AR188" i="7" l="1"/>
  <c r="AQ188" i="7" a="1"/>
  <c r="AQ188" i="7" s="1"/>
  <c r="J188" i="7" s="1" a="1"/>
  <c r="J188" i="7" s="1"/>
  <c r="P188" i="7"/>
  <c r="Q188" i="7"/>
  <c r="AU188" i="7" l="1"/>
  <c r="AT188" i="7" a="1"/>
  <c r="AT188" i="7" s="1"/>
  <c r="K188" i="7" s="1" a="1"/>
  <c r="K188" i="7" s="1"/>
  <c r="AK184" i="7" a="1"/>
  <c r="AK184" i="7" s="1"/>
  <c r="AK185" i="7" a="1"/>
  <c r="AK185" i="7" s="1"/>
  <c r="AK186" i="7" a="1"/>
  <c r="AK186" i="7" s="1"/>
  <c r="AK187" i="7" a="1"/>
  <c r="AK187" i="7" s="1"/>
  <c r="H187" i="7" s="1" a="1"/>
  <c r="H187" i="7" s="1"/>
  <c r="F187" i="7" a="1"/>
  <c r="F187" i="7" s="1"/>
  <c r="N187" i="7"/>
  <c r="R187" i="7"/>
  <c r="AD187" i="7"/>
  <c r="O187" i="7" s="1"/>
  <c r="AH187" i="7" a="1"/>
  <c r="AH187" i="7" s="1"/>
  <c r="G187" i="7" s="1" a="1"/>
  <c r="G187" i="7" s="1"/>
  <c r="AI187" i="7"/>
  <c r="AL187" i="7" s="1"/>
  <c r="Z190" i="1"/>
  <c r="Z191" i="1"/>
  <c r="Z192" i="1"/>
  <c r="AW188" i="7" l="1" a="1"/>
  <c r="AW188" i="7" s="1"/>
  <c r="L188" i="7" s="1" a="1"/>
  <c r="L188" i="7" s="1"/>
  <c r="AX188" i="7"/>
  <c r="AZ188" i="7" s="1" a="1"/>
  <c r="AZ188" i="7" s="1"/>
  <c r="M188" i="7" s="1" a="1"/>
  <c r="M188" i="7" s="1"/>
  <c r="AO187" i="7"/>
  <c r="AN187" i="7" a="1"/>
  <c r="AN187" i="7" s="1"/>
  <c r="I187" i="7" s="1" a="1"/>
  <c r="I187" i="7" s="1"/>
  <c r="P187" i="7"/>
  <c r="Q187" i="7"/>
  <c r="AE187" i="7" a="1"/>
  <c r="AE187" i="7" s="1"/>
  <c r="AT246" i="1"/>
  <c r="AW246" i="1" s="1"/>
  <c r="AY246" i="1" s="1" a="1"/>
  <c r="AY246" i="1" s="1"/>
  <c r="L246" i="1" s="1" a="1"/>
  <c r="L246" i="1" s="1"/>
  <c r="AT245" i="1"/>
  <c r="AW245" i="1" s="1"/>
  <c r="G246" i="1" a="1"/>
  <c r="G246" i="1" s="1"/>
  <c r="G245" i="1" a="1"/>
  <c r="G245" i="1" s="1"/>
  <c r="R246" i="1"/>
  <c r="R245" i="1"/>
  <c r="S246" i="1"/>
  <c r="T246" i="1" s="1"/>
  <c r="S245" i="1"/>
  <c r="T245" i="1" s="1"/>
  <c r="V246" i="1"/>
  <c r="V245" i="1"/>
  <c r="W246" i="1"/>
  <c r="W245" i="1"/>
  <c r="Z246" i="1"/>
  <c r="Z245" i="1"/>
  <c r="AG246" i="1"/>
  <c r="AG245" i="1"/>
  <c r="AJ246" i="1" a="1"/>
  <c r="AJ246" i="1" s="1"/>
  <c r="AJ245" i="1" a="1"/>
  <c r="AJ245" i="1" s="1"/>
  <c r="AM246" i="1" a="1"/>
  <c r="AM246" i="1" s="1"/>
  <c r="H246" i="1" s="1" a="1"/>
  <c r="H246" i="1" s="1"/>
  <c r="AM245" i="1" a="1"/>
  <c r="AM245" i="1" s="1"/>
  <c r="H245" i="1" s="1" a="1"/>
  <c r="H245" i="1" s="1"/>
  <c r="BB246" i="1" a="1"/>
  <c r="BB246" i="1" s="1"/>
  <c r="M246" i="1" s="1" a="1"/>
  <c r="M246" i="1" s="1"/>
  <c r="BB245" i="1" a="1"/>
  <c r="BB245" i="1" s="1"/>
  <c r="M245" i="1" s="1" a="1"/>
  <c r="M245" i="1" s="1"/>
  <c r="AP246" i="1" a="1"/>
  <c r="AP246" i="1" s="1"/>
  <c r="I246" i="1" s="1" a="1"/>
  <c r="I246" i="1" s="1"/>
  <c r="AQ245" i="1"/>
  <c r="AS245" i="1" s="1" a="1"/>
  <c r="AS245" i="1" s="1"/>
  <c r="J245" i="1" s="1" a="1"/>
  <c r="J245" i="1" s="1"/>
  <c r="AT243" i="1"/>
  <c r="AW243" i="1" s="1"/>
  <c r="BC243" i="1" s="1"/>
  <c r="BF243" i="1" s="1"/>
  <c r="BI243" i="1" s="1"/>
  <c r="BL243" i="1" s="1"/>
  <c r="AQ243" i="1"/>
  <c r="AQ187" i="7" l="1" a="1"/>
  <c r="AQ187" i="7" s="1"/>
  <c r="J187" i="7" s="1" a="1"/>
  <c r="J187" i="7" s="1"/>
  <c r="AR187" i="7"/>
  <c r="AV246" i="1" a="1"/>
  <c r="AV246" i="1" s="1"/>
  <c r="K246" i="1" s="1" a="1"/>
  <c r="K246" i="1" s="1"/>
  <c r="AY245" i="1" a="1"/>
  <c r="AY245" i="1" s="1"/>
  <c r="L245" i="1" s="1" a="1"/>
  <c r="L245" i="1" s="1"/>
  <c r="BC245" i="1"/>
  <c r="AV245" i="1" a="1"/>
  <c r="AV245" i="1" s="1"/>
  <c r="K245" i="1" s="1" a="1"/>
  <c r="K245" i="1" s="1"/>
  <c r="BC246" i="1"/>
  <c r="AP245" i="1" a="1"/>
  <c r="AP245" i="1" s="1"/>
  <c r="I245" i="1" s="1" a="1"/>
  <c r="I245" i="1" s="1"/>
  <c r="AQ246" i="1"/>
  <c r="AS246" i="1" s="1" a="1"/>
  <c r="AS246" i="1" s="1"/>
  <c r="J246" i="1" s="1" a="1"/>
  <c r="J246" i="1" s="1"/>
  <c r="U245" i="1"/>
  <c r="U246" i="1"/>
  <c r="G243" i="1" a="1"/>
  <c r="G243" i="1" s="1"/>
  <c r="R243" i="1"/>
  <c r="S243" i="1"/>
  <c r="T243" i="1" s="1"/>
  <c r="V243" i="1"/>
  <c r="W243" i="1"/>
  <c r="AG243" i="1"/>
  <c r="AJ243" i="1" a="1"/>
  <c r="AJ243" i="1" s="1"/>
  <c r="AM243" i="1" a="1"/>
  <c r="AM243" i="1" s="1"/>
  <c r="H243" i="1" s="1" a="1"/>
  <c r="H243" i="1" s="1"/>
  <c r="AP243" i="1" a="1"/>
  <c r="AP243" i="1" s="1"/>
  <c r="I243" i="1" s="1" a="1"/>
  <c r="I243" i="1" s="1"/>
  <c r="AS243" i="1" a="1"/>
  <c r="AS243" i="1" s="1"/>
  <c r="J243" i="1" s="1" a="1"/>
  <c r="J243" i="1" s="1"/>
  <c r="AV243" i="1" a="1"/>
  <c r="AV243" i="1" s="1"/>
  <c r="K243" i="1" s="1" a="1"/>
  <c r="K243" i="1" s="1"/>
  <c r="AY243" i="1" a="1"/>
  <c r="AY243" i="1" s="1"/>
  <c r="L243" i="1" s="1" a="1"/>
  <c r="L243" i="1" s="1"/>
  <c r="BB243" i="1" a="1"/>
  <c r="BB243" i="1" s="1"/>
  <c r="M243" i="1" s="1" a="1"/>
  <c r="M243" i="1" s="1"/>
  <c r="BE243" i="1" a="1"/>
  <c r="BE243" i="1" s="1"/>
  <c r="N243" i="1" s="1" a="1"/>
  <c r="N243" i="1" s="1"/>
  <c r="BH243" i="1" a="1"/>
  <c r="BH243" i="1" s="1"/>
  <c r="O243" i="1" s="1" a="1"/>
  <c r="O243" i="1" s="1"/>
  <c r="BK243" i="1" a="1"/>
  <c r="BK243" i="1" s="1"/>
  <c r="P243" i="1" s="1" a="1"/>
  <c r="P243" i="1" s="1"/>
  <c r="BN243" i="1" a="1"/>
  <c r="BN243" i="1" s="1"/>
  <c r="Q243" i="1" s="1" a="1"/>
  <c r="Q243" i="1" s="1"/>
  <c r="AU187" i="7" l="1"/>
  <c r="AT187" i="7" a="1"/>
  <c r="AT187" i="7" s="1"/>
  <c r="K187" i="7" s="1" a="1"/>
  <c r="K187" i="7" s="1"/>
  <c r="BF245" i="1"/>
  <c r="BE245" i="1" a="1"/>
  <c r="BE245" i="1" s="1"/>
  <c r="N245" i="1" s="1" a="1"/>
  <c r="N245" i="1" s="1"/>
  <c r="BF246" i="1"/>
  <c r="BE246" i="1" a="1"/>
  <c r="BE246" i="1" s="1"/>
  <c r="N246" i="1" s="1" a="1"/>
  <c r="N246" i="1" s="1"/>
  <c r="U243" i="1"/>
  <c r="AW187" i="7" l="1" a="1"/>
  <c r="AW187" i="7" s="1"/>
  <c r="L187" i="7" s="1" a="1"/>
  <c r="L187" i="7" s="1"/>
  <c r="AX187" i="7"/>
  <c r="AZ187" i="7" s="1" a="1"/>
  <c r="AZ187" i="7" s="1"/>
  <c r="M187" i="7" s="1" a="1"/>
  <c r="M187" i="7" s="1"/>
  <c r="BI245" i="1"/>
  <c r="BH245" i="1" a="1"/>
  <c r="BH245" i="1" s="1"/>
  <c r="O245" i="1" s="1" a="1"/>
  <c r="O245" i="1" s="1"/>
  <c r="BI246" i="1"/>
  <c r="BH246" i="1" a="1"/>
  <c r="BH246" i="1" s="1"/>
  <c r="O246" i="1" s="1" a="1"/>
  <c r="O246" i="1" s="1"/>
  <c r="F185" i="7" a="1"/>
  <c r="F185" i="7" s="1"/>
  <c r="F186" i="7" a="1"/>
  <c r="F186" i="7" s="1"/>
  <c r="N185" i="7"/>
  <c r="N186" i="7"/>
  <c r="R185" i="7"/>
  <c r="R186" i="7"/>
  <c r="AD185" i="7"/>
  <c r="O185" i="7" s="1"/>
  <c r="AD186" i="7"/>
  <c r="AE186" i="7" s="1" a="1"/>
  <c r="AE186" i="7" s="1"/>
  <c r="AH185" i="7" a="1"/>
  <c r="AH185" i="7" s="1"/>
  <c r="G185" i="7" s="1" a="1"/>
  <c r="G185" i="7" s="1"/>
  <c r="AH186" i="7" a="1"/>
  <c r="AH186" i="7" s="1"/>
  <c r="G186" i="7" s="1" a="1"/>
  <c r="G186" i="7" s="1"/>
  <c r="AI185" i="7"/>
  <c r="AL185" i="7" s="1"/>
  <c r="AI186" i="7"/>
  <c r="AL186" i="7" s="1"/>
  <c r="H185" i="7" a="1"/>
  <c r="H185" i="7" s="1"/>
  <c r="H186" i="7" a="1"/>
  <c r="H186" i="7" s="1"/>
  <c r="AN244" i="1"/>
  <c r="AQ244" i="1" s="1"/>
  <c r="AS244" i="1" s="1" a="1"/>
  <c r="AS244" i="1" s="1"/>
  <c r="J244" i="1" s="1" a="1"/>
  <c r="J244" i="1" s="1"/>
  <c r="G244" i="1" a="1"/>
  <c r="G244" i="1" s="1"/>
  <c r="R244" i="1"/>
  <c r="S244" i="1"/>
  <c r="U244" i="1" s="1"/>
  <c r="V244" i="1"/>
  <c r="W244" i="1"/>
  <c r="AG244" i="1"/>
  <c r="AJ244" i="1" a="1"/>
  <c r="AJ244" i="1" s="1"/>
  <c r="AM244" i="1" a="1"/>
  <c r="AM244" i="1" s="1"/>
  <c r="H244" i="1" s="1" a="1"/>
  <c r="H244" i="1" s="1"/>
  <c r="BB244" i="1" a="1"/>
  <c r="BB244" i="1" s="1"/>
  <c r="M244" i="1" s="1" a="1"/>
  <c r="M244" i="1" s="1"/>
  <c r="AT244" i="1"/>
  <c r="AV244" i="1" s="1" a="1"/>
  <c r="AV244" i="1" s="1"/>
  <c r="K244" i="1" s="1" a="1"/>
  <c r="K244" i="1" s="1"/>
  <c r="AT242" i="1"/>
  <c r="AW242" i="1" s="1"/>
  <c r="AY242" i="1" s="1" a="1"/>
  <c r="AY242" i="1" s="1"/>
  <c r="L242" i="1" s="1" a="1"/>
  <c r="L242" i="1" s="1"/>
  <c r="G242" i="1" a="1"/>
  <c r="G242" i="1" s="1"/>
  <c r="R242" i="1"/>
  <c r="S242" i="1"/>
  <c r="U242" i="1" s="1"/>
  <c r="V242" i="1"/>
  <c r="W242" i="1"/>
  <c r="Z242" i="1"/>
  <c r="AG242" i="1"/>
  <c r="AJ242" i="1" a="1"/>
  <c r="AJ242" i="1" s="1"/>
  <c r="AM242" i="1" a="1"/>
  <c r="AM242" i="1" s="1"/>
  <c r="H242" i="1" s="1" a="1"/>
  <c r="H242" i="1" s="1"/>
  <c r="BB242" i="1" a="1"/>
  <c r="BB242" i="1" s="1"/>
  <c r="M242" i="1" s="1" a="1"/>
  <c r="M242" i="1" s="1"/>
  <c r="AN242" i="1"/>
  <c r="AP242" i="1" s="1" a="1"/>
  <c r="AP242" i="1" s="1"/>
  <c r="I242" i="1" s="1" a="1"/>
  <c r="I242" i="1" s="1"/>
  <c r="BL245" i="1" l="1"/>
  <c r="BN245" i="1" s="1" a="1"/>
  <c r="BN245" i="1" s="1"/>
  <c r="Q245" i="1" s="1" a="1"/>
  <c r="Q245" i="1" s="1"/>
  <c r="BK245" i="1" a="1"/>
  <c r="BK245" i="1" s="1"/>
  <c r="P245" i="1" s="1" a="1"/>
  <c r="P245" i="1" s="1"/>
  <c r="BL246" i="1"/>
  <c r="BN246" i="1" s="1" a="1"/>
  <c r="BN246" i="1" s="1"/>
  <c r="Q246" i="1" s="1" a="1"/>
  <c r="Q246" i="1" s="1"/>
  <c r="BK246" i="1" a="1"/>
  <c r="BK246" i="1" s="1"/>
  <c r="P246" i="1" s="1" a="1"/>
  <c r="P246" i="1" s="1"/>
  <c r="AO185" i="7"/>
  <c r="AN185" i="7" a="1"/>
  <c r="AN185" i="7" s="1"/>
  <c r="I185" i="7" s="1" a="1"/>
  <c r="I185" i="7" s="1"/>
  <c r="T244" i="1"/>
  <c r="AP244" i="1" a="1"/>
  <c r="AP244" i="1" s="1"/>
  <c r="I244" i="1" s="1" a="1"/>
  <c r="I244" i="1" s="1"/>
  <c r="AW244" i="1"/>
  <c r="AN186" i="7" a="1"/>
  <c r="AN186" i="7" s="1"/>
  <c r="I186" i="7" s="1" a="1"/>
  <c r="I186" i="7" s="1"/>
  <c r="AO186" i="7"/>
  <c r="P185" i="7"/>
  <c r="Q185" i="7"/>
  <c r="AE185" i="7" a="1"/>
  <c r="AE185" i="7" s="1"/>
  <c r="O186" i="7"/>
  <c r="P186" i="7" s="1"/>
  <c r="AV242" i="1" a="1"/>
  <c r="AV242" i="1" s="1"/>
  <c r="K242" i="1" s="1" a="1"/>
  <c r="K242" i="1" s="1"/>
  <c r="AQ242" i="1"/>
  <c r="AS242" i="1" s="1" a="1"/>
  <c r="AS242" i="1" s="1"/>
  <c r="J242" i="1" s="1" a="1"/>
  <c r="J242" i="1" s="1"/>
  <c r="BC242" i="1"/>
  <c r="T242" i="1"/>
  <c r="F184" i="7" a="1"/>
  <c r="F184" i="7" s="1"/>
  <c r="N184" i="7"/>
  <c r="R184" i="7"/>
  <c r="AD184" i="7"/>
  <c r="AE184" i="7" s="1" a="1"/>
  <c r="AE184" i="7" s="1"/>
  <c r="AH184" i="7" a="1"/>
  <c r="AH184" i="7" s="1"/>
  <c r="G184" i="7" s="1" a="1"/>
  <c r="G184" i="7" s="1"/>
  <c r="AI184" i="7"/>
  <c r="AL184" i="7" s="1"/>
  <c r="H184" i="7" a="1"/>
  <c r="H184" i="7" s="1"/>
  <c r="AT241" i="1"/>
  <c r="AW241" i="1" s="1"/>
  <c r="AN241" i="1"/>
  <c r="AQ241" i="1" s="1"/>
  <c r="AS241" i="1" s="1" a="1"/>
  <c r="AS241" i="1" s="1"/>
  <c r="J241" i="1" s="1" a="1"/>
  <c r="J241" i="1" s="1"/>
  <c r="AT239" i="1"/>
  <c r="AW239" i="1" s="1"/>
  <c r="AM234" i="1" a="1"/>
  <c r="AM234" i="1" s="1"/>
  <c r="H234" i="1" s="1" a="1"/>
  <c r="H234" i="1" s="1"/>
  <c r="AM237" i="1" a="1"/>
  <c r="AM237" i="1" s="1"/>
  <c r="H237" i="1" s="1" a="1"/>
  <c r="H237" i="1" s="1"/>
  <c r="AM238" i="1" a="1"/>
  <c r="AM238" i="1" s="1"/>
  <c r="H238" i="1" s="1" a="1"/>
  <c r="H238" i="1" s="1"/>
  <c r="AM235" i="1" a="1"/>
  <c r="AM235" i="1" s="1"/>
  <c r="H235" i="1" s="1" a="1"/>
  <c r="H235" i="1" s="1"/>
  <c r="AM236" i="1" a="1"/>
  <c r="AM236" i="1" s="1"/>
  <c r="H236" i="1" s="1" a="1"/>
  <c r="H236" i="1" s="1"/>
  <c r="AM239" i="1" a="1"/>
  <c r="AM239" i="1" s="1"/>
  <c r="H239" i="1" s="1" a="1"/>
  <c r="H239" i="1" s="1"/>
  <c r="AN239" i="1"/>
  <c r="AQ239" i="1" s="1"/>
  <c r="AS239" i="1" s="1" a="1"/>
  <c r="AS239" i="1" s="1"/>
  <c r="J239" i="1" s="1" a="1"/>
  <c r="J239" i="1" s="1"/>
  <c r="R239" i="1"/>
  <c r="R241" i="1"/>
  <c r="S239" i="1"/>
  <c r="U239" i="1" s="1"/>
  <c r="S241" i="1"/>
  <c r="T241" i="1" s="1"/>
  <c r="V239" i="1"/>
  <c r="V241" i="1"/>
  <c r="W239" i="1"/>
  <c r="W241" i="1"/>
  <c r="Z239" i="1"/>
  <c r="Z241" i="1"/>
  <c r="AG239" i="1"/>
  <c r="AG241" i="1"/>
  <c r="AJ239" i="1" a="1"/>
  <c r="AJ239" i="1" s="1"/>
  <c r="AJ241" i="1" a="1"/>
  <c r="AJ241" i="1" s="1"/>
  <c r="AM241" i="1" a="1"/>
  <c r="AM241" i="1" s="1"/>
  <c r="H241" i="1" s="1" a="1"/>
  <c r="H241" i="1" s="1"/>
  <c r="BB239" i="1" a="1"/>
  <c r="BB239" i="1" s="1"/>
  <c r="M239" i="1" s="1" a="1"/>
  <c r="M239" i="1" s="1"/>
  <c r="BB241" i="1" a="1"/>
  <c r="BB241" i="1" s="1"/>
  <c r="M241" i="1" s="1" a="1"/>
  <c r="M241" i="1" s="1"/>
  <c r="G239" i="1" a="1"/>
  <c r="G239" i="1" s="1"/>
  <c r="G241" i="1" a="1"/>
  <c r="G241" i="1" s="1"/>
  <c r="G236" i="1" a="1"/>
  <c r="G236" i="1" s="1"/>
  <c r="R236" i="1"/>
  <c r="S236" i="1"/>
  <c r="T236" i="1" s="1"/>
  <c r="V236" i="1"/>
  <c r="W236" i="1"/>
  <c r="Z236" i="1"/>
  <c r="AG236" i="1"/>
  <c r="AJ236" i="1" a="1"/>
  <c r="AJ236" i="1" s="1"/>
  <c r="AN236" i="1"/>
  <c r="AQ236" i="1" s="1"/>
  <c r="AS236" i="1" s="1" a="1"/>
  <c r="AS236" i="1" s="1"/>
  <c r="J236" i="1" s="1" a="1"/>
  <c r="J236" i="1" s="1"/>
  <c r="AT236" i="1"/>
  <c r="AV236" i="1" s="1" a="1"/>
  <c r="AV236" i="1" s="1"/>
  <c r="K236" i="1" s="1" a="1"/>
  <c r="K236" i="1" s="1"/>
  <c r="BB236" i="1" a="1"/>
  <c r="BB236" i="1" s="1"/>
  <c r="M236" i="1" s="1" a="1"/>
  <c r="M236" i="1" s="1"/>
  <c r="AT235" i="1"/>
  <c r="AV235" i="1" s="1" a="1"/>
  <c r="AV235" i="1" s="1"/>
  <c r="K235" i="1" s="1" a="1"/>
  <c r="K235" i="1" s="1"/>
  <c r="AN235" i="1"/>
  <c r="AP235" i="1" s="1" a="1"/>
  <c r="AP235" i="1" s="1"/>
  <c r="G235" i="1" a="1"/>
  <c r="G235" i="1" s="1"/>
  <c r="R235" i="1"/>
  <c r="S235" i="1"/>
  <c r="T235" i="1" s="1"/>
  <c r="V235" i="1"/>
  <c r="W235" i="1"/>
  <c r="Z235" i="1"/>
  <c r="AG235" i="1"/>
  <c r="AJ235" i="1" a="1"/>
  <c r="AJ235" i="1" s="1"/>
  <c r="BB235" i="1" a="1"/>
  <c r="BB235" i="1" s="1"/>
  <c r="M235" i="1" s="1" a="1"/>
  <c r="M235" i="1" s="1"/>
  <c r="Z238" i="1"/>
  <c r="Z237" i="1"/>
  <c r="AT238" i="1"/>
  <c r="AV238" i="1" s="1" a="1"/>
  <c r="AV238" i="1" s="1"/>
  <c r="K238" i="1" s="1" a="1"/>
  <c r="K238" i="1" s="1"/>
  <c r="AT234" i="1"/>
  <c r="AV234" i="1" s="1" a="1"/>
  <c r="AV234" i="1" s="1"/>
  <c r="K234" i="1" s="1" a="1"/>
  <c r="K234" i="1" s="1"/>
  <c r="AT237" i="1"/>
  <c r="AW237" i="1" s="1"/>
  <c r="AN237" i="1"/>
  <c r="AQ237" i="1" s="1"/>
  <c r="AS237" i="1" s="1" a="1"/>
  <c r="AS237" i="1" s="1"/>
  <c r="J237" i="1" s="1" a="1"/>
  <c r="J237" i="1" s="1"/>
  <c r="AN238" i="1"/>
  <c r="AQ238" i="1" s="1"/>
  <c r="AS238" i="1" s="1" a="1"/>
  <c r="AS238" i="1" s="1"/>
  <c r="J238" i="1" s="1" a="1"/>
  <c r="J238" i="1" s="1"/>
  <c r="AN234" i="1"/>
  <c r="AP234" i="1" s="1" a="1"/>
  <c r="AP234" i="1" s="1"/>
  <c r="I234" i="1" s="1" a="1"/>
  <c r="I234" i="1" s="1"/>
  <c r="Z234" i="1"/>
  <c r="G237" i="1" a="1"/>
  <c r="G237" i="1" s="1"/>
  <c r="G238" i="1" a="1"/>
  <c r="G238" i="1" s="1"/>
  <c r="R237" i="1"/>
  <c r="R238" i="1"/>
  <c r="S237" i="1"/>
  <c r="T237" i="1" s="1"/>
  <c r="S238" i="1"/>
  <c r="T238" i="1" s="1"/>
  <c r="V237" i="1"/>
  <c r="V238" i="1"/>
  <c r="W237" i="1"/>
  <c r="W238" i="1"/>
  <c r="AG237" i="1"/>
  <c r="AG238" i="1"/>
  <c r="AJ237" i="1" a="1"/>
  <c r="AJ237" i="1" s="1"/>
  <c r="AJ238" i="1" a="1"/>
  <c r="AJ238" i="1" s="1"/>
  <c r="BB237" i="1" a="1"/>
  <c r="BB237" i="1" s="1"/>
  <c r="M237" i="1" s="1" a="1"/>
  <c r="M237" i="1" s="1"/>
  <c r="BB238" i="1" a="1"/>
  <c r="BB238" i="1" s="1"/>
  <c r="M238" i="1" s="1" a="1"/>
  <c r="M238" i="1" s="1"/>
  <c r="G234" i="1" a="1"/>
  <c r="G234" i="1" s="1"/>
  <c r="R234" i="1"/>
  <c r="S234" i="1"/>
  <c r="U234" i="1" s="1"/>
  <c r="V234" i="1"/>
  <c r="W234" i="1"/>
  <c r="AG234" i="1"/>
  <c r="AJ234" i="1" a="1"/>
  <c r="AJ234" i="1" s="1"/>
  <c r="BB234" i="1" a="1"/>
  <c r="BB234" i="1" s="1"/>
  <c r="M234" i="1" s="1" a="1"/>
  <c r="M234" i="1" s="1"/>
  <c r="AT240" i="1"/>
  <c r="AW240" i="1" s="1"/>
  <c r="AT232" i="1"/>
  <c r="AV232" i="1" s="1" a="1"/>
  <c r="AV232" i="1" s="1"/>
  <c r="K232" i="1" s="1" a="1"/>
  <c r="K232" i="1" s="1"/>
  <c r="AN240" i="1"/>
  <c r="AQ240" i="1" s="1"/>
  <c r="AS240" i="1" s="1" a="1"/>
  <c r="AS240" i="1" s="1"/>
  <c r="J240" i="1" s="1" a="1"/>
  <c r="J240" i="1" s="1"/>
  <c r="AN232" i="1"/>
  <c r="AQ232" i="1" s="1"/>
  <c r="AS232" i="1" s="1" a="1"/>
  <c r="AS232" i="1" s="1"/>
  <c r="J232" i="1" s="1" a="1"/>
  <c r="J232" i="1" s="1"/>
  <c r="Z240" i="1"/>
  <c r="Z232" i="1"/>
  <c r="G232" i="1" a="1"/>
  <c r="G232" i="1" s="1"/>
  <c r="R232" i="1"/>
  <c r="S232" i="1"/>
  <c r="T232" i="1" s="1"/>
  <c r="V232" i="1"/>
  <c r="W232" i="1"/>
  <c r="AG232" i="1"/>
  <c r="AJ232" i="1" a="1"/>
  <c r="AJ232" i="1" s="1"/>
  <c r="AM232" i="1" a="1"/>
  <c r="AM232" i="1" s="1"/>
  <c r="H232" i="1" s="1" a="1"/>
  <c r="H232" i="1" s="1"/>
  <c r="BB232" i="1" a="1"/>
  <c r="BB232" i="1" s="1"/>
  <c r="M232" i="1" s="1" a="1"/>
  <c r="M232" i="1" s="1"/>
  <c r="G240" i="1" a="1"/>
  <c r="G240" i="1" s="1"/>
  <c r="R240" i="1"/>
  <c r="S240" i="1"/>
  <c r="T240" i="1" s="1"/>
  <c r="V240" i="1"/>
  <c r="W240" i="1"/>
  <c r="AG240" i="1"/>
  <c r="AJ240" i="1" a="1"/>
  <c r="AJ240" i="1" s="1"/>
  <c r="AM240" i="1" a="1"/>
  <c r="AM240" i="1" s="1"/>
  <c r="H240" i="1" s="1" a="1"/>
  <c r="H240" i="1" s="1"/>
  <c r="BB240" i="1" a="1"/>
  <c r="BB240" i="1" s="1"/>
  <c r="M240" i="1" s="1" a="1"/>
  <c r="M240" i="1" s="1"/>
  <c r="AT233" i="1"/>
  <c r="AV233" i="1" s="1" a="1"/>
  <c r="AV233" i="1" s="1"/>
  <c r="K233" i="1" s="1" a="1"/>
  <c r="K233" i="1" s="1"/>
  <c r="AN233" i="1"/>
  <c r="AP233" i="1" s="1" a="1"/>
  <c r="AP233" i="1" s="1"/>
  <c r="I233" i="1" s="1" a="1"/>
  <c r="I233" i="1" s="1"/>
  <c r="Z233" i="1"/>
  <c r="G233" i="1" a="1"/>
  <c r="G233" i="1" s="1"/>
  <c r="R233" i="1"/>
  <c r="S233" i="1"/>
  <c r="T233" i="1" s="1"/>
  <c r="V233" i="1"/>
  <c r="W233" i="1"/>
  <c r="AG233" i="1"/>
  <c r="AJ233" i="1" a="1"/>
  <c r="AJ233" i="1" s="1"/>
  <c r="AM233" i="1" a="1"/>
  <c r="AM233" i="1" s="1"/>
  <c r="H233" i="1" s="1" a="1"/>
  <c r="H233" i="1" s="1"/>
  <c r="BB233" i="1" a="1"/>
  <c r="BB233" i="1" s="1"/>
  <c r="M233" i="1" s="1" a="1"/>
  <c r="M233" i="1" s="1"/>
  <c r="AT231" i="1"/>
  <c r="AW231" i="1" s="1"/>
  <c r="AT230" i="1"/>
  <c r="AW230" i="1" s="1"/>
  <c r="BC230" i="1" s="1"/>
  <c r="AN231" i="1"/>
  <c r="AP231" i="1" s="1" a="1"/>
  <c r="AP231" i="1" s="1"/>
  <c r="I231" i="1" s="1" a="1"/>
  <c r="I231" i="1" s="1"/>
  <c r="AN230" i="1"/>
  <c r="AQ230" i="1" s="1"/>
  <c r="AS230" i="1" s="1" a="1"/>
  <c r="AS230" i="1" s="1"/>
  <c r="J230" i="1" s="1" a="1"/>
  <c r="J230" i="1" s="1"/>
  <c r="G230" i="1" a="1"/>
  <c r="G230" i="1" s="1"/>
  <c r="G231" i="1" a="1"/>
  <c r="G231" i="1" s="1"/>
  <c r="R230" i="1"/>
  <c r="R231" i="1"/>
  <c r="S230" i="1"/>
  <c r="T230" i="1" s="1"/>
  <c r="S231" i="1"/>
  <c r="T231" i="1" s="1"/>
  <c r="V230" i="1"/>
  <c r="V231" i="1"/>
  <c r="W230" i="1"/>
  <c r="W231" i="1"/>
  <c r="Z230" i="1"/>
  <c r="Z231" i="1"/>
  <c r="AG230" i="1"/>
  <c r="AG231" i="1"/>
  <c r="AJ230" i="1" a="1"/>
  <c r="AJ230" i="1" s="1"/>
  <c r="AJ231" i="1" a="1"/>
  <c r="AJ231" i="1" s="1"/>
  <c r="AM230" i="1" a="1"/>
  <c r="AM230" i="1" s="1"/>
  <c r="H230" i="1" s="1" a="1"/>
  <c r="H230" i="1" s="1"/>
  <c r="AM231" i="1" a="1"/>
  <c r="AM231" i="1" s="1"/>
  <c r="H231" i="1" s="1" a="1"/>
  <c r="H231" i="1" s="1"/>
  <c r="BB230" i="1" a="1"/>
  <c r="BB230" i="1" s="1"/>
  <c r="M230" i="1" s="1" a="1"/>
  <c r="M230" i="1" s="1"/>
  <c r="BB231" i="1" a="1"/>
  <c r="BB231" i="1" s="1"/>
  <c r="M231" i="1" s="1" a="1"/>
  <c r="M231" i="1" s="1"/>
  <c r="AT229" i="1"/>
  <c r="AW229" i="1" s="1"/>
  <c r="BC229" i="1" s="1"/>
  <c r="BF229" i="1" s="1"/>
  <c r="BI229" i="1" s="1"/>
  <c r="BL229" i="1" s="1"/>
  <c r="AT224" i="1"/>
  <c r="AW224" i="1" s="1"/>
  <c r="BC224" i="1" s="1"/>
  <c r="BF224" i="1" s="1"/>
  <c r="BI224" i="1" s="1"/>
  <c r="BL224" i="1" s="1"/>
  <c r="AQ185" i="7" l="1" a="1"/>
  <c r="AQ185" i="7" s="1"/>
  <c r="J185" i="7" s="1" a="1"/>
  <c r="J185" i="7" s="1"/>
  <c r="AR185" i="7"/>
  <c r="AY244" i="1" a="1"/>
  <c r="AY244" i="1" s="1"/>
  <c r="L244" i="1" s="1" a="1"/>
  <c r="L244" i="1" s="1"/>
  <c r="BC244" i="1"/>
  <c r="AR186" i="7"/>
  <c r="AQ186" i="7" a="1"/>
  <c r="AQ186" i="7" s="1"/>
  <c r="J186" i="7" s="1" a="1"/>
  <c r="J186" i="7" s="1"/>
  <c r="Q186" i="7"/>
  <c r="BF242" i="1"/>
  <c r="BE242" i="1" a="1"/>
  <c r="BE242" i="1" s="1"/>
  <c r="N242" i="1" s="1" a="1"/>
  <c r="N242" i="1" s="1"/>
  <c r="AP241" i="1" a="1"/>
  <c r="AP241" i="1" s="1"/>
  <c r="I241" i="1" s="1" a="1"/>
  <c r="I241" i="1" s="1"/>
  <c r="AV239" i="1" a="1"/>
  <c r="AV239" i="1" s="1"/>
  <c r="K239" i="1" s="1" a="1"/>
  <c r="K239" i="1" s="1"/>
  <c r="AO184" i="7"/>
  <c r="AN184" i="7" a="1"/>
  <c r="AN184" i="7" s="1"/>
  <c r="I184" i="7" s="1" a="1"/>
  <c r="I184" i="7" s="1"/>
  <c r="O184" i="7"/>
  <c r="AV241" i="1" a="1"/>
  <c r="AV241" i="1" s="1"/>
  <c r="K241" i="1" s="1" a="1"/>
  <c r="K241" i="1" s="1"/>
  <c r="AY241" i="1" a="1"/>
  <c r="AY241" i="1" s="1"/>
  <c r="L241" i="1" s="1" a="1"/>
  <c r="L241" i="1" s="1"/>
  <c r="BC241" i="1"/>
  <c r="T239" i="1"/>
  <c r="AP239" i="1" a="1"/>
  <c r="AP239" i="1" s="1"/>
  <c r="I239" i="1" s="1" a="1"/>
  <c r="I239" i="1" s="1"/>
  <c r="BC239" i="1"/>
  <c r="AY239" i="1" a="1"/>
  <c r="AY239" i="1" s="1"/>
  <c r="L239" i="1" s="1" a="1"/>
  <c r="L239" i="1" s="1"/>
  <c r="AP236" i="1" a="1"/>
  <c r="AP236" i="1" s="1"/>
  <c r="I236" i="1" s="1" a="1"/>
  <c r="I236" i="1" s="1"/>
  <c r="U241" i="1"/>
  <c r="AP238" i="1" a="1"/>
  <c r="AP238" i="1" s="1"/>
  <c r="I238" i="1" s="1" a="1"/>
  <c r="I238" i="1" s="1"/>
  <c r="I235" i="1" a="1"/>
  <c r="I235" i="1" s="1"/>
  <c r="AW236" i="1"/>
  <c r="U236" i="1"/>
  <c r="AP237" i="1" a="1"/>
  <c r="AP237" i="1" s="1"/>
  <c r="I237" i="1" s="1" a="1"/>
  <c r="I237" i="1" s="1"/>
  <c r="AW235" i="1"/>
  <c r="AQ235" i="1"/>
  <c r="AS235" i="1" s="1" a="1"/>
  <c r="AS235" i="1" s="1"/>
  <c r="J235" i="1" s="1" a="1"/>
  <c r="J235" i="1" s="1"/>
  <c r="AW234" i="1"/>
  <c r="AV237" i="1" a="1"/>
  <c r="AV237" i="1" s="1"/>
  <c r="K237" i="1" s="1" a="1"/>
  <c r="K237" i="1" s="1"/>
  <c r="AQ234" i="1"/>
  <c r="AS234" i="1" s="1" a="1"/>
  <c r="AS234" i="1" s="1"/>
  <c r="J234" i="1" s="1" a="1"/>
  <c r="J234" i="1" s="1"/>
  <c r="U235" i="1"/>
  <c r="AW238" i="1"/>
  <c r="AY237" i="1" a="1"/>
  <c r="AY237" i="1" s="1"/>
  <c r="L237" i="1" s="1" a="1"/>
  <c r="L237" i="1" s="1"/>
  <c r="BC237" i="1"/>
  <c r="T234" i="1"/>
  <c r="U238" i="1"/>
  <c r="U237" i="1"/>
  <c r="AP232" i="1" a="1"/>
  <c r="AP232" i="1" s="1"/>
  <c r="I232" i="1" s="1" a="1"/>
  <c r="I232" i="1" s="1"/>
  <c r="AP240" i="1" a="1"/>
  <c r="AP240" i="1" s="1"/>
  <c r="I240" i="1" s="1" a="1"/>
  <c r="I240" i="1" s="1"/>
  <c r="AV240" i="1" a="1"/>
  <c r="AV240" i="1" s="1"/>
  <c r="K240" i="1" s="1" a="1"/>
  <c r="K240" i="1" s="1"/>
  <c r="AY240" i="1" a="1"/>
  <c r="AY240" i="1" s="1"/>
  <c r="L240" i="1" s="1" a="1"/>
  <c r="L240" i="1" s="1"/>
  <c r="BC240" i="1"/>
  <c r="AW232" i="1"/>
  <c r="AQ233" i="1"/>
  <c r="AS233" i="1" s="1" a="1"/>
  <c r="AS233" i="1" s="1"/>
  <c r="J233" i="1" s="1" a="1"/>
  <c r="J233" i="1" s="1"/>
  <c r="AY230" i="1" a="1"/>
  <c r="AY230" i="1" s="1"/>
  <c r="L230" i="1" s="1" a="1"/>
  <c r="L230" i="1" s="1"/>
  <c r="U232" i="1"/>
  <c r="AW233" i="1"/>
  <c r="U240" i="1"/>
  <c r="U233" i="1"/>
  <c r="AV231" i="1" a="1"/>
  <c r="AV231" i="1" s="1"/>
  <c r="K231" i="1" s="1" a="1"/>
  <c r="K231" i="1" s="1"/>
  <c r="AV230" i="1" a="1"/>
  <c r="AV230" i="1" s="1"/>
  <c r="K230" i="1" s="1" a="1"/>
  <c r="K230" i="1" s="1"/>
  <c r="AP230" i="1" a="1"/>
  <c r="AP230" i="1" s="1"/>
  <c r="I230" i="1" s="1" a="1"/>
  <c r="I230" i="1" s="1"/>
  <c r="AY231" i="1" a="1"/>
  <c r="AY231" i="1" s="1"/>
  <c r="L231" i="1" s="1" a="1"/>
  <c r="L231" i="1" s="1"/>
  <c r="BC231" i="1"/>
  <c r="AQ231" i="1"/>
  <c r="AS231" i="1" s="1" a="1"/>
  <c r="AS231" i="1" s="1"/>
  <c r="J231" i="1" s="1" a="1"/>
  <c r="J231" i="1" s="1"/>
  <c r="BF230" i="1"/>
  <c r="BE230" i="1" a="1"/>
  <c r="BE230" i="1" s="1"/>
  <c r="N230" i="1" s="1" a="1"/>
  <c r="N230" i="1" s="1"/>
  <c r="U231" i="1"/>
  <c r="U230" i="1"/>
  <c r="AN227" i="1"/>
  <c r="AQ227" i="1" s="1"/>
  <c r="AS227" i="1" s="1" a="1"/>
  <c r="AS227" i="1" s="1"/>
  <c r="J227" i="1" s="1" a="1"/>
  <c r="J227" i="1" s="1"/>
  <c r="AN224" i="1"/>
  <c r="AQ224" i="1" s="1"/>
  <c r="AS224" i="1" s="1" a="1"/>
  <c r="AS224" i="1" s="1"/>
  <c r="J224" i="1" s="1" a="1"/>
  <c r="J224" i="1" s="1"/>
  <c r="AN229" i="1"/>
  <c r="AP229" i="1" s="1" a="1"/>
  <c r="AP229" i="1" s="1"/>
  <c r="I229" i="1" s="1" a="1"/>
  <c r="I229" i="1" s="1"/>
  <c r="AJ227" i="1" a="1"/>
  <c r="AJ227" i="1" s="1"/>
  <c r="Z227" i="1"/>
  <c r="G224" i="1" a="1"/>
  <c r="G224" i="1" s="1"/>
  <c r="G229" i="1" a="1"/>
  <c r="G229" i="1" s="1"/>
  <c r="R224" i="1"/>
  <c r="R229" i="1"/>
  <c r="S224" i="1"/>
  <c r="T224" i="1" s="1"/>
  <c r="S229" i="1"/>
  <c r="T229" i="1" s="1"/>
  <c r="V224" i="1"/>
  <c r="V229" i="1"/>
  <c r="W224" i="1"/>
  <c r="W229" i="1"/>
  <c r="Z224" i="1"/>
  <c r="Z229" i="1"/>
  <c r="AG224" i="1"/>
  <c r="AG229" i="1"/>
  <c r="AJ224" i="1" a="1"/>
  <c r="AJ224" i="1" s="1"/>
  <c r="AJ229" i="1" a="1"/>
  <c r="AJ229" i="1" s="1"/>
  <c r="AM224" i="1" a="1"/>
  <c r="AM224" i="1" s="1"/>
  <c r="H224" i="1" s="1" a="1"/>
  <c r="H224" i="1" s="1"/>
  <c r="AM229" i="1" a="1"/>
  <c r="AM229" i="1" s="1"/>
  <c r="H229" i="1" s="1" a="1"/>
  <c r="H229" i="1" s="1"/>
  <c r="AV224" i="1" a="1"/>
  <c r="AV224" i="1" s="1"/>
  <c r="K224" i="1" s="1" a="1"/>
  <c r="K224" i="1" s="1"/>
  <c r="AV229" i="1" a="1"/>
  <c r="AV229" i="1" s="1"/>
  <c r="K229" i="1" s="1" a="1"/>
  <c r="K229" i="1" s="1"/>
  <c r="AY224" i="1" a="1"/>
  <c r="AY224" i="1" s="1"/>
  <c r="L224" i="1" s="1" a="1"/>
  <c r="L224" i="1" s="1"/>
  <c r="AY229" i="1" a="1"/>
  <c r="AY229" i="1" s="1"/>
  <c r="L229" i="1" s="1" a="1"/>
  <c r="L229" i="1" s="1"/>
  <c r="BB224" i="1" a="1"/>
  <c r="BB224" i="1" s="1"/>
  <c r="M224" i="1" s="1" a="1"/>
  <c r="M224" i="1" s="1"/>
  <c r="BB229" i="1" a="1"/>
  <c r="BB229" i="1" s="1"/>
  <c r="M229" i="1" s="1" a="1"/>
  <c r="M229" i="1" s="1"/>
  <c r="BE224" i="1" a="1"/>
  <c r="BE224" i="1" s="1"/>
  <c r="N224" i="1" s="1" a="1"/>
  <c r="N224" i="1" s="1"/>
  <c r="BE229" i="1" a="1"/>
  <c r="BE229" i="1" s="1"/>
  <c r="N229" i="1" s="1" a="1"/>
  <c r="N229" i="1" s="1"/>
  <c r="BH224" i="1" a="1"/>
  <c r="BH224" i="1" s="1"/>
  <c r="O224" i="1" s="1" a="1"/>
  <c r="O224" i="1" s="1"/>
  <c r="BH229" i="1" a="1"/>
  <c r="BH229" i="1" s="1"/>
  <c r="O229" i="1" s="1" a="1"/>
  <c r="O229" i="1" s="1"/>
  <c r="BK224" i="1" a="1"/>
  <c r="BK224" i="1" s="1"/>
  <c r="P224" i="1" s="1" a="1"/>
  <c r="P224" i="1" s="1"/>
  <c r="BK229" i="1" a="1"/>
  <c r="BK229" i="1" s="1"/>
  <c r="P229" i="1" s="1" a="1"/>
  <c r="P229" i="1" s="1"/>
  <c r="BN224" i="1" a="1"/>
  <c r="BN224" i="1" s="1"/>
  <c r="Q224" i="1" s="1" a="1"/>
  <c r="Q224" i="1" s="1"/>
  <c r="BN229" i="1" a="1"/>
  <c r="BN229" i="1" s="1"/>
  <c r="Q229" i="1" s="1" a="1"/>
  <c r="Q229" i="1" s="1"/>
  <c r="AT226" i="1"/>
  <c r="AW226" i="1" s="1"/>
  <c r="AT227" i="1"/>
  <c r="AW227" i="1" s="1"/>
  <c r="AY227" i="1" s="1" a="1"/>
  <c r="AY227" i="1" s="1"/>
  <c r="L227" i="1" s="1" a="1"/>
  <c r="L227" i="1" s="1"/>
  <c r="AN226" i="1"/>
  <c r="AQ226" i="1" s="1"/>
  <c r="AS226" i="1" s="1" a="1"/>
  <c r="AS226" i="1" s="1"/>
  <c r="J226" i="1" s="1" a="1"/>
  <c r="J226" i="1" s="1"/>
  <c r="AJ226" i="1" a="1"/>
  <c r="AJ226" i="1" s="1"/>
  <c r="Z226" i="1"/>
  <c r="AJ228" i="1" a="1"/>
  <c r="AJ228" i="1" s="1"/>
  <c r="Z228" i="1"/>
  <c r="AJ225" i="1" a="1"/>
  <c r="AJ225" i="1" s="1"/>
  <c r="Z225" i="1"/>
  <c r="G227" i="1" a="1"/>
  <c r="G227" i="1" s="1"/>
  <c r="R227" i="1"/>
  <c r="S227" i="1"/>
  <c r="T227" i="1" s="1"/>
  <c r="V227" i="1"/>
  <c r="W227" i="1"/>
  <c r="AG227" i="1"/>
  <c r="AM227" i="1" a="1"/>
  <c r="AM227" i="1" s="1"/>
  <c r="H227" i="1" s="1" a="1"/>
  <c r="H227" i="1" s="1"/>
  <c r="BB227" i="1" a="1"/>
  <c r="BB227" i="1" s="1"/>
  <c r="M227" i="1" s="1" a="1"/>
  <c r="M227" i="1" s="1"/>
  <c r="G226" i="1" a="1"/>
  <c r="G226" i="1" s="1"/>
  <c r="R226" i="1"/>
  <c r="S226" i="1"/>
  <c r="T226" i="1" s="1"/>
  <c r="V226" i="1"/>
  <c r="W226" i="1"/>
  <c r="AG226" i="1"/>
  <c r="AM226" i="1" a="1"/>
  <c r="AM226" i="1" s="1"/>
  <c r="H226" i="1" s="1" a="1"/>
  <c r="H226" i="1" s="1"/>
  <c r="BB226" i="1" a="1"/>
  <c r="BB226" i="1" s="1"/>
  <c r="M226" i="1" s="1" a="1"/>
  <c r="M226" i="1" s="1"/>
  <c r="AT223" i="1"/>
  <c r="AW223" i="1" s="1"/>
  <c r="BC223" i="1" s="1"/>
  <c r="BF223" i="1" s="1"/>
  <c r="BI223" i="1" s="1"/>
  <c r="BL223" i="1" s="1"/>
  <c r="AT225" i="1"/>
  <c r="AW225" i="1" s="1"/>
  <c r="BC225" i="1" s="1"/>
  <c r="BF225" i="1" s="1"/>
  <c r="BI225" i="1" s="1"/>
  <c r="BL225" i="1" s="1"/>
  <c r="AT228" i="1"/>
  <c r="AW228" i="1" s="1"/>
  <c r="G228" i="1" a="1"/>
  <c r="G228" i="1" s="1"/>
  <c r="R228" i="1"/>
  <c r="S228" i="1"/>
  <c r="T228" i="1" s="1"/>
  <c r="V228" i="1"/>
  <c r="W228" i="1"/>
  <c r="AG228" i="1"/>
  <c r="AM228" i="1" a="1"/>
  <c r="AM228" i="1" s="1"/>
  <c r="H228" i="1" s="1" a="1"/>
  <c r="H228" i="1" s="1"/>
  <c r="BB228" i="1" a="1"/>
  <c r="BB228" i="1" s="1"/>
  <c r="M228" i="1" s="1" a="1"/>
  <c r="M228" i="1" s="1"/>
  <c r="AN225" i="1"/>
  <c r="AQ225" i="1" s="1"/>
  <c r="AN228" i="1"/>
  <c r="AP228" i="1" s="1" a="1"/>
  <c r="AP228" i="1" s="1"/>
  <c r="I228" i="1" s="1" a="1"/>
  <c r="I228" i="1" s="1"/>
  <c r="AN223" i="1"/>
  <c r="AQ223" i="1" s="1"/>
  <c r="AT185" i="7" l="1" a="1"/>
  <c r="AT185" i="7" s="1"/>
  <c r="K185" i="7" s="1" a="1"/>
  <c r="K185" i="7" s="1"/>
  <c r="AU185" i="7"/>
  <c r="BE244" i="1" a="1"/>
  <c r="BE244" i="1" s="1"/>
  <c r="N244" i="1" s="1" a="1"/>
  <c r="N244" i="1" s="1"/>
  <c r="BF244" i="1"/>
  <c r="AU186" i="7"/>
  <c r="AT186" i="7" a="1"/>
  <c r="AT186" i="7" s="1"/>
  <c r="K186" i="7" s="1" a="1"/>
  <c r="K186" i="7" s="1"/>
  <c r="BI242" i="1"/>
  <c r="BH242" i="1" a="1"/>
  <c r="BH242" i="1" s="1"/>
  <c r="O242" i="1" s="1" a="1"/>
  <c r="O242" i="1" s="1"/>
  <c r="AQ184" i="7" a="1"/>
  <c r="AQ184" i="7" s="1"/>
  <c r="J184" i="7" s="1" a="1"/>
  <c r="J184" i="7" s="1"/>
  <c r="AR184" i="7"/>
  <c r="P184" i="7"/>
  <c r="Q184" i="7"/>
  <c r="BE241" i="1" a="1"/>
  <c r="BE241" i="1" s="1"/>
  <c r="N241" i="1" s="1" a="1"/>
  <c r="N241" i="1" s="1"/>
  <c r="BF241" i="1"/>
  <c r="BF239" i="1"/>
  <c r="BE239" i="1" a="1"/>
  <c r="BE239" i="1" s="1"/>
  <c r="N239" i="1" s="1" a="1"/>
  <c r="N239" i="1" s="1"/>
  <c r="BC236" i="1"/>
  <c r="AY236" i="1" a="1"/>
  <c r="AY236" i="1" s="1"/>
  <c r="L236" i="1" s="1" a="1"/>
  <c r="L236" i="1" s="1"/>
  <c r="AY235" i="1" a="1"/>
  <c r="AY235" i="1" s="1"/>
  <c r="L235" i="1" s="1" a="1"/>
  <c r="L235" i="1" s="1"/>
  <c r="BC235" i="1"/>
  <c r="AY234" i="1" a="1"/>
  <c r="AY234" i="1" s="1"/>
  <c r="L234" i="1" s="1" a="1"/>
  <c r="L234" i="1" s="1"/>
  <c r="BC234" i="1"/>
  <c r="AY238" i="1" a="1"/>
  <c r="AY238" i="1" s="1"/>
  <c r="L238" i="1" s="1" a="1"/>
  <c r="L238" i="1" s="1"/>
  <c r="BC238" i="1"/>
  <c r="BE237" i="1" a="1"/>
  <c r="BE237" i="1" s="1"/>
  <c r="N237" i="1" s="1" a="1"/>
  <c r="N237" i="1" s="1"/>
  <c r="BF237" i="1"/>
  <c r="AY232" i="1" a="1"/>
  <c r="AY232" i="1" s="1"/>
  <c r="L232" i="1" s="1" a="1"/>
  <c r="L232" i="1" s="1"/>
  <c r="BC232" i="1"/>
  <c r="BE240" i="1" a="1"/>
  <c r="BE240" i="1" s="1"/>
  <c r="N240" i="1" s="1" a="1"/>
  <c r="N240" i="1" s="1"/>
  <c r="BF240" i="1"/>
  <c r="AY233" i="1" a="1"/>
  <c r="AY233" i="1" s="1"/>
  <c r="L233" i="1" s="1" a="1"/>
  <c r="L233" i="1" s="1"/>
  <c r="BC233" i="1"/>
  <c r="BE231" i="1" a="1"/>
  <c r="BE231" i="1" s="1"/>
  <c r="N231" i="1" s="1" a="1"/>
  <c r="N231" i="1" s="1"/>
  <c r="BF231" i="1"/>
  <c r="BH230" i="1" a="1"/>
  <c r="BH230" i="1" s="1"/>
  <c r="O230" i="1" s="1" a="1"/>
  <c r="O230" i="1" s="1"/>
  <c r="BI230" i="1"/>
  <c r="AP227" i="1" a="1"/>
  <c r="AP227" i="1" s="1"/>
  <c r="I227" i="1" s="1" a="1"/>
  <c r="I227" i="1" s="1"/>
  <c r="AQ229" i="1"/>
  <c r="AS229" i="1" s="1" a="1"/>
  <c r="AS229" i="1" s="1"/>
  <c r="J229" i="1" s="1" a="1"/>
  <c r="J229" i="1" s="1"/>
  <c r="AP224" i="1" a="1"/>
  <c r="AP224" i="1" s="1"/>
  <c r="I224" i="1" s="1" a="1"/>
  <c r="I224" i="1" s="1"/>
  <c r="BC227" i="1"/>
  <c r="AV227" i="1" a="1"/>
  <c r="AV227" i="1" s="1"/>
  <c r="K227" i="1" s="1" a="1"/>
  <c r="K227" i="1" s="1"/>
  <c r="U229" i="1"/>
  <c r="U224" i="1"/>
  <c r="AV226" i="1" a="1"/>
  <c r="AV226" i="1" s="1"/>
  <c r="K226" i="1" s="1" a="1"/>
  <c r="K226" i="1" s="1"/>
  <c r="BC226" i="1"/>
  <c r="AY226" i="1" a="1"/>
  <c r="AY226" i="1" s="1"/>
  <c r="L226" i="1" s="1" a="1"/>
  <c r="L226" i="1" s="1"/>
  <c r="AQ228" i="1"/>
  <c r="AS228" i="1" s="1" a="1"/>
  <c r="AS228" i="1" s="1"/>
  <c r="J228" i="1" s="1" a="1"/>
  <c r="J228" i="1" s="1"/>
  <c r="AP226" i="1" a="1"/>
  <c r="AP226" i="1" s="1"/>
  <c r="I226" i="1" s="1" a="1"/>
  <c r="I226" i="1" s="1"/>
  <c r="AV228" i="1" a="1"/>
  <c r="AV228" i="1" s="1"/>
  <c r="K228" i="1" s="1" a="1"/>
  <c r="K228" i="1" s="1"/>
  <c r="U227" i="1"/>
  <c r="AY228" i="1" a="1"/>
  <c r="AY228" i="1" s="1"/>
  <c r="L228" i="1" s="1" a="1"/>
  <c r="L228" i="1" s="1"/>
  <c r="BC228" i="1"/>
  <c r="U228" i="1"/>
  <c r="U226" i="1"/>
  <c r="AW185" i="7" l="1" a="1"/>
  <c r="AW185" i="7" s="1"/>
  <c r="L185" i="7" s="1" a="1"/>
  <c r="L185" i="7" s="1"/>
  <c r="AX185" i="7"/>
  <c r="AZ185" i="7" s="1" a="1"/>
  <c r="AZ185" i="7" s="1"/>
  <c r="M185" i="7" s="1" a="1"/>
  <c r="M185" i="7" s="1"/>
  <c r="BH244" i="1" a="1"/>
  <c r="BH244" i="1" s="1"/>
  <c r="O244" i="1" s="1" a="1"/>
  <c r="O244" i="1" s="1"/>
  <c r="BI244" i="1"/>
  <c r="BL244" i="1" s="1"/>
  <c r="AW186" i="7" a="1"/>
  <c r="AW186" i="7" s="1"/>
  <c r="L186" i="7" s="1" a="1"/>
  <c r="L186" i="7" s="1"/>
  <c r="AX186" i="7"/>
  <c r="AZ186" i="7" s="1" a="1"/>
  <c r="AZ186" i="7" s="1"/>
  <c r="M186" i="7" s="1" a="1"/>
  <c r="M186" i="7" s="1"/>
  <c r="BL242" i="1"/>
  <c r="BN242" i="1" s="1" a="1"/>
  <c r="BN242" i="1" s="1"/>
  <c r="Q242" i="1" s="1" a="1"/>
  <c r="Q242" i="1" s="1"/>
  <c r="BK242" i="1" a="1"/>
  <c r="BK242" i="1" s="1"/>
  <c r="P242" i="1" s="1" a="1"/>
  <c r="P242" i="1" s="1"/>
  <c r="AU184" i="7"/>
  <c r="AT184" i="7" a="1"/>
  <c r="AT184" i="7" s="1"/>
  <c r="K184" i="7" s="1" a="1"/>
  <c r="K184" i="7" s="1"/>
  <c r="BH241" i="1" a="1"/>
  <c r="BH241" i="1" s="1"/>
  <c r="O241" i="1" s="1" a="1"/>
  <c r="O241" i="1" s="1"/>
  <c r="BI241" i="1"/>
  <c r="BH239" i="1" a="1"/>
  <c r="BH239" i="1" s="1"/>
  <c r="O239" i="1" s="1" a="1"/>
  <c r="O239" i="1" s="1"/>
  <c r="BI239" i="1"/>
  <c r="BL239" i="1" s="1"/>
  <c r="BN239" i="1" s="1" a="1"/>
  <c r="BN239" i="1" s="1"/>
  <c r="Q239" i="1" s="1" a="1"/>
  <c r="Q239" i="1" s="1"/>
  <c r="BF236" i="1"/>
  <c r="BI236" i="1" s="1"/>
  <c r="BE236" i="1" a="1"/>
  <c r="BE236" i="1" s="1"/>
  <c r="N236" i="1" s="1" a="1"/>
  <c r="N236" i="1" s="1"/>
  <c r="BE235" i="1" a="1"/>
  <c r="BE235" i="1" s="1"/>
  <c r="N235" i="1" s="1" a="1"/>
  <c r="N235" i="1" s="1"/>
  <c r="BF235" i="1"/>
  <c r="BF234" i="1"/>
  <c r="BE234" i="1" a="1"/>
  <c r="BE234" i="1" s="1"/>
  <c r="N234" i="1" s="1" a="1"/>
  <c r="N234" i="1" s="1"/>
  <c r="BE238" i="1" a="1"/>
  <c r="BE238" i="1" s="1"/>
  <c r="N238" i="1" s="1" a="1"/>
  <c r="N238" i="1" s="1"/>
  <c r="BF238" i="1"/>
  <c r="BI237" i="1"/>
  <c r="BH237" i="1" a="1"/>
  <c r="BH237" i="1" s="1"/>
  <c r="O237" i="1" s="1" a="1"/>
  <c r="O237" i="1" s="1"/>
  <c r="BI240" i="1"/>
  <c r="BH240" i="1" a="1"/>
  <c r="BH240" i="1" s="1"/>
  <c r="O240" i="1" s="1" a="1"/>
  <c r="O240" i="1" s="1"/>
  <c r="BF232" i="1"/>
  <c r="BE232" i="1" a="1"/>
  <c r="BE232" i="1" s="1"/>
  <c r="N232" i="1" s="1" a="1"/>
  <c r="N232" i="1" s="1"/>
  <c r="BF233" i="1"/>
  <c r="BE233" i="1" a="1"/>
  <c r="BE233" i="1" s="1"/>
  <c r="N233" i="1" s="1" a="1"/>
  <c r="N233" i="1" s="1"/>
  <c r="BI231" i="1"/>
  <c r="BH231" i="1" a="1"/>
  <c r="BH231" i="1" s="1"/>
  <c r="O231" i="1" s="1" a="1"/>
  <c r="O231" i="1" s="1"/>
  <c r="BK230" i="1" a="1"/>
  <c r="BK230" i="1" s="1"/>
  <c r="P230" i="1" s="1" a="1"/>
  <c r="P230" i="1" s="1"/>
  <c r="BL230" i="1"/>
  <c r="BN230" i="1" s="1" a="1"/>
  <c r="BN230" i="1" s="1"/>
  <c r="Q230" i="1" s="1" a="1"/>
  <c r="Q230" i="1" s="1"/>
  <c r="BF227" i="1"/>
  <c r="BE227" i="1" a="1"/>
  <c r="BE227" i="1" s="1"/>
  <c r="N227" i="1" s="1" a="1"/>
  <c r="N227" i="1" s="1"/>
  <c r="BF226" i="1"/>
  <c r="BE226" i="1" a="1"/>
  <c r="BE226" i="1" s="1"/>
  <c r="N226" i="1" s="1" a="1"/>
  <c r="N226" i="1" s="1"/>
  <c r="BF228" i="1"/>
  <c r="BE228" i="1" a="1"/>
  <c r="BE228" i="1" s="1"/>
  <c r="N228" i="1" s="1" a="1"/>
  <c r="N228" i="1" s="1"/>
  <c r="BK244" i="1" l="1" a="1"/>
  <c r="BK244" i="1" s="1"/>
  <c r="P244" i="1" s="1" a="1"/>
  <c r="P244" i="1" s="1"/>
  <c r="BN244" i="1" a="1"/>
  <c r="BN244" i="1" s="1"/>
  <c r="Q244" i="1" s="1" a="1"/>
  <c r="Q244" i="1" s="1"/>
  <c r="AX184" i="7"/>
  <c r="AZ184" i="7" s="1" a="1"/>
  <c r="AZ184" i="7" s="1"/>
  <c r="M184" i="7" s="1" a="1"/>
  <c r="M184" i="7" s="1"/>
  <c r="AW184" i="7" a="1"/>
  <c r="AW184" i="7" s="1"/>
  <c r="L184" i="7" s="1" a="1"/>
  <c r="L184" i="7" s="1"/>
  <c r="BK241" i="1" a="1"/>
  <c r="BK241" i="1" s="1"/>
  <c r="P241" i="1" s="1" a="1"/>
  <c r="P241" i="1" s="1"/>
  <c r="BL241" i="1"/>
  <c r="BN241" i="1" s="1" a="1"/>
  <c r="BN241" i="1" s="1"/>
  <c r="Q241" i="1" s="1" a="1"/>
  <c r="Q241" i="1" s="1"/>
  <c r="BH236" i="1" a="1"/>
  <c r="BH236" i="1" s="1"/>
  <c r="O236" i="1" s="1" a="1"/>
  <c r="O236" i="1" s="1"/>
  <c r="BK239" i="1" a="1"/>
  <c r="BK239" i="1" s="1"/>
  <c r="P239" i="1" s="1" a="1"/>
  <c r="P239" i="1" s="1"/>
  <c r="BI235" i="1"/>
  <c r="BH235" i="1" a="1"/>
  <c r="BH235" i="1" s="1"/>
  <c r="O235" i="1" s="1" a="1"/>
  <c r="O235" i="1" s="1"/>
  <c r="BI234" i="1"/>
  <c r="BH234" i="1" a="1"/>
  <c r="BH234" i="1" s="1"/>
  <c r="O234" i="1" s="1" a="1"/>
  <c r="O234" i="1" s="1"/>
  <c r="BI238" i="1"/>
  <c r="BH238" i="1" a="1"/>
  <c r="BH238" i="1" s="1"/>
  <c r="O238" i="1" s="1" a="1"/>
  <c r="O238" i="1" s="1"/>
  <c r="BL237" i="1"/>
  <c r="BN237" i="1" s="1" a="1"/>
  <c r="BN237" i="1" s="1"/>
  <c r="Q237" i="1" s="1" a="1"/>
  <c r="Q237" i="1" s="1"/>
  <c r="BK237" i="1" a="1"/>
  <c r="BK237" i="1" s="1"/>
  <c r="P237" i="1" s="1" a="1"/>
  <c r="P237" i="1" s="1"/>
  <c r="BI232" i="1"/>
  <c r="BH232" i="1" a="1"/>
  <c r="BH232" i="1" s="1"/>
  <c r="O232" i="1" s="1" a="1"/>
  <c r="O232" i="1" s="1"/>
  <c r="BL240" i="1"/>
  <c r="BN240" i="1" s="1" a="1"/>
  <c r="BN240" i="1" s="1"/>
  <c r="Q240" i="1" s="1" a="1"/>
  <c r="Q240" i="1" s="1"/>
  <c r="BK240" i="1" a="1"/>
  <c r="BK240" i="1" s="1"/>
  <c r="P240" i="1" s="1" a="1"/>
  <c r="P240" i="1" s="1"/>
  <c r="BH233" i="1" a="1"/>
  <c r="BH233" i="1" s="1"/>
  <c r="O233" i="1" s="1" a="1"/>
  <c r="O233" i="1" s="1"/>
  <c r="BI233" i="1"/>
  <c r="BL231" i="1"/>
  <c r="BN231" i="1" s="1" a="1"/>
  <c r="BN231" i="1" s="1"/>
  <c r="Q231" i="1" s="1" a="1"/>
  <c r="Q231" i="1" s="1"/>
  <c r="BK231" i="1" a="1"/>
  <c r="BK231" i="1" s="1"/>
  <c r="P231" i="1" s="1" a="1"/>
  <c r="P231" i="1" s="1"/>
  <c r="BI227" i="1"/>
  <c r="BH227" i="1" a="1"/>
  <c r="BH227" i="1" s="1"/>
  <c r="O227" i="1" s="1" a="1"/>
  <c r="O227" i="1" s="1"/>
  <c r="BH226" i="1" a="1"/>
  <c r="BH226" i="1" s="1"/>
  <c r="O226" i="1" s="1" a="1"/>
  <c r="O226" i="1" s="1"/>
  <c r="BI226" i="1"/>
  <c r="BH228" i="1" a="1"/>
  <c r="BH228" i="1" s="1"/>
  <c r="O228" i="1" s="1" a="1"/>
  <c r="O228" i="1" s="1"/>
  <c r="BI228" i="1"/>
  <c r="BL236" i="1" l="1"/>
  <c r="BK236" i="1" a="1"/>
  <c r="BK236" i="1" s="1"/>
  <c r="P236" i="1" s="1" a="1"/>
  <c r="P236" i="1" s="1"/>
  <c r="BL235" i="1"/>
  <c r="BK235" i="1" a="1"/>
  <c r="BK235" i="1" s="1"/>
  <c r="P235" i="1" s="1" a="1"/>
  <c r="P235" i="1" s="1"/>
  <c r="BK234" i="1" a="1"/>
  <c r="BK234" i="1" s="1"/>
  <c r="P234" i="1" s="1" a="1"/>
  <c r="P234" i="1" s="1"/>
  <c r="BL234" i="1"/>
  <c r="BN234" i="1" s="1" a="1"/>
  <c r="BN234" i="1" s="1"/>
  <c r="Q234" i="1" s="1" a="1"/>
  <c r="Q234" i="1" s="1"/>
  <c r="BK238" i="1" a="1"/>
  <c r="BK238" i="1" s="1"/>
  <c r="P238" i="1" s="1" a="1"/>
  <c r="P238" i="1" s="1"/>
  <c r="BL238" i="1"/>
  <c r="BN238" i="1" s="1" a="1"/>
  <c r="BN238" i="1" s="1"/>
  <c r="Q238" i="1" s="1" a="1"/>
  <c r="Q238" i="1" s="1"/>
  <c r="BL232" i="1"/>
  <c r="BN232" i="1" s="1" a="1"/>
  <c r="BN232" i="1" s="1"/>
  <c r="Q232" i="1" s="1" a="1"/>
  <c r="Q232" i="1" s="1"/>
  <c r="BK232" i="1" a="1"/>
  <c r="BK232" i="1" s="1"/>
  <c r="P232" i="1" s="1" a="1"/>
  <c r="P232" i="1" s="1"/>
  <c r="BL233" i="1"/>
  <c r="BN233" i="1" s="1" a="1"/>
  <c r="BN233" i="1" s="1"/>
  <c r="Q233" i="1" s="1" a="1"/>
  <c r="Q233" i="1" s="1"/>
  <c r="BK233" i="1" a="1"/>
  <c r="BK233" i="1" s="1"/>
  <c r="P233" i="1" s="1" a="1"/>
  <c r="P233" i="1" s="1"/>
  <c r="BL227" i="1"/>
  <c r="BN227" i="1" s="1" a="1"/>
  <c r="BN227" i="1" s="1"/>
  <c r="Q227" i="1" s="1" a="1"/>
  <c r="Q227" i="1" s="1"/>
  <c r="BK227" i="1" a="1"/>
  <c r="BK227" i="1" s="1"/>
  <c r="P227" i="1" s="1" a="1"/>
  <c r="P227" i="1" s="1"/>
  <c r="BK226" i="1" a="1"/>
  <c r="BK226" i="1" s="1"/>
  <c r="P226" i="1" s="1" a="1"/>
  <c r="P226" i="1" s="1"/>
  <c r="BL226" i="1"/>
  <c r="BN226" i="1" s="1" a="1"/>
  <c r="BN226" i="1" s="1"/>
  <c r="Q226" i="1" s="1" a="1"/>
  <c r="Q226" i="1" s="1"/>
  <c r="BL228" i="1"/>
  <c r="BN228" i="1" s="1" a="1"/>
  <c r="BN228" i="1" s="1"/>
  <c r="Q228" i="1" s="1" a="1"/>
  <c r="Q228" i="1" s="1"/>
  <c r="BK228" i="1" a="1"/>
  <c r="BK228" i="1" s="1"/>
  <c r="P228" i="1" s="1" a="1"/>
  <c r="P228" i="1" s="1"/>
  <c r="BN235" i="1" l="1" a="1"/>
  <c r="BN235" i="1" s="1"/>
  <c r="Q235" i="1" s="1" a="1"/>
  <c r="Q235" i="1" s="1"/>
  <c r="BN236" i="1" a="1"/>
  <c r="BN236" i="1" s="1"/>
  <c r="Q236" i="1" s="1" a="1"/>
  <c r="Q236" i="1" s="1"/>
  <c r="G223" i="1" a="1"/>
  <c r="G223" i="1" s="1"/>
  <c r="G225" i="1" a="1"/>
  <c r="G225" i="1" s="1"/>
  <c r="R223" i="1"/>
  <c r="R225" i="1"/>
  <c r="S223" i="1"/>
  <c r="U223" i="1" s="1"/>
  <c r="S225" i="1"/>
  <c r="T225" i="1" s="1"/>
  <c r="V223" i="1"/>
  <c r="V225" i="1"/>
  <c r="W223" i="1"/>
  <c r="W225" i="1"/>
  <c r="Z223" i="1"/>
  <c r="AG223" i="1"/>
  <c r="AG225" i="1"/>
  <c r="AJ223" i="1" a="1"/>
  <c r="AJ223" i="1" s="1"/>
  <c r="AM223" i="1" a="1"/>
  <c r="AM223" i="1" s="1"/>
  <c r="H223" i="1" s="1" a="1"/>
  <c r="H223" i="1" s="1"/>
  <c r="AM225" i="1" a="1"/>
  <c r="AM225" i="1" s="1"/>
  <c r="H225" i="1" s="1" a="1"/>
  <c r="H225" i="1" s="1"/>
  <c r="AP223" i="1" a="1"/>
  <c r="AP223" i="1" s="1"/>
  <c r="I223" i="1" s="1" a="1"/>
  <c r="I223" i="1" s="1"/>
  <c r="AP225" i="1" a="1"/>
  <c r="AP225" i="1" s="1"/>
  <c r="I225" i="1" s="1" a="1"/>
  <c r="I225" i="1" s="1"/>
  <c r="AS223" i="1" a="1"/>
  <c r="AS223" i="1" s="1"/>
  <c r="J223" i="1" s="1" a="1"/>
  <c r="J223" i="1" s="1"/>
  <c r="AS225" i="1" a="1"/>
  <c r="AS225" i="1" s="1"/>
  <c r="J225" i="1" s="1" a="1"/>
  <c r="J225" i="1" s="1"/>
  <c r="AV223" i="1" a="1"/>
  <c r="AV223" i="1" s="1"/>
  <c r="K223" i="1" s="1" a="1"/>
  <c r="K223" i="1" s="1"/>
  <c r="AV225" i="1" a="1"/>
  <c r="AV225" i="1" s="1"/>
  <c r="K225" i="1" s="1" a="1"/>
  <c r="K225" i="1" s="1"/>
  <c r="AY223" i="1" a="1"/>
  <c r="AY223" i="1" s="1"/>
  <c r="L223" i="1" s="1" a="1"/>
  <c r="L223" i="1" s="1"/>
  <c r="AY225" i="1" a="1"/>
  <c r="AY225" i="1" s="1"/>
  <c r="L225" i="1" s="1" a="1"/>
  <c r="L225" i="1" s="1"/>
  <c r="BB223" i="1" a="1"/>
  <c r="BB223" i="1" s="1"/>
  <c r="M223" i="1" s="1" a="1"/>
  <c r="M223" i="1" s="1"/>
  <c r="BB225" i="1" a="1"/>
  <c r="BB225" i="1" s="1"/>
  <c r="M225" i="1" s="1" a="1"/>
  <c r="M225" i="1" s="1"/>
  <c r="BE223" i="1" a="1"/>
  <c r="BE223" i="1" s="1"/>
  <c r="N223" i="1" s="1" a="1"/>
  <c r="N223" i="1" s="1"/>
  <c r="BE225" i="1" a="1"/>
  <c r="BE225" i="1" s="1"/>
  <c r="N225" i="1" s="1" a="1"/>
  <c r="N225" i="1" s="1"/>
  <c r="BH223" i="1" a="1"/>
  <c r="BH223" i="1" s="1"/>
  <c r="O223" i="1" s="1" a="1"/>
  <c r="O223" i="1" s="1"/>
  <c r="BH225" i="1" a="1"/>
  <c r="BH225" i="1" s="1"/>
  <c r="O225" i="1" s="1" a="1"/>
  <c r="O225" i="1" s="1"/>
  <c r="BK223" i="1" a="1"/>
  <c r="BK223" i="1" s="1"/>
  <c r="P223" i="1" s="1" a="1"/>
  <c r="P223" i="1" s="1"/>
  <c r="BK225" i="1" a="1"/>
  <c r="BK225" i="1" s="1"/>
  <c r="P225" i="1" s="1" a="1"/>
  <c r="P225" i="1" s="1"/>
  <c r="BN223" i="1" a="1"/>
  <c r="BN223" i="1" s="1"/>
  <c r="Q223" i="1" s="1" a="1"/>
  <c r="Q223" i="1" s="1"/>
  <c r="BN225" i="1" a="1"/>
  <c r="BN225" i="1" s="1"/>
  <c r="Q225" i="1" s="1" a="1"/>
  <c r="Q225" i="1" s="1"/>
  <c r="AT222" i="1"/>
  <c r="AW222" i="1" s="1"/>
  <c r="BC222" i="1" s="1"/>
  <c r="BF222" i="1" s="1"/>
  <c r="BI222" i="1" s="1"/>
  <c r="BL222" i="1" s="1"/>
  <c r="AN222" i="1"/>
  <c r="AQ222" i="1" s="1"/>
  <c r="T223" i="1" l="1"/>
  <c r="U225" i="1"/>
  <c r="AT220" i="1" l="1"/>
  <c r="AW220" i="1" s="1"/>
  <c r="BC220" i="1" s="1"/>
  <c r="BF220" i="1" s="1"/>
  <c r="BI220" i="1" s="1"/>
  <c r="BL220" i="1" s="1"/>
  <c r="AN220" i="1"/>
  <c r="AQ220" i="1" s="1"/>
  <c r="G222" i="1" a="1"/>
  <c r="G222" i="1" s="1"/>
  <c r="R222" i="1"/>
  <c r="S222" i="1"/>
  <c r="T222" i="1" s="1"/>
  <c r="V222" i="1"/>
  <c r="W222" i="1"/>
  <c r="AG222" i="1"/>
  <c r="AJ222" i="1" a="1"/>
  <c r="AJ222" i="1" s="1"/>
  <c r="AM222" i="1" a="1"/>
  <c r="AM222" i="1" s="1"/>
  <c r="H222" i="1" s="1" a="1"/>
  <c r="H222" i="1" s="1"/>
  <c r="AP222" i="1" a="1"/>
  <c r="AP222" i="1" s="1"/>
  <c r="I222" i="1" s="1" a="1"/>
  <c r="I222" i="1" s="1"/>
  <c r="AS222" i="1" a="1"/>
  <c r="AS222" i="1" s="1"/>
  <c r="J222" i="1" s="1" a="1"/>
  <c r="J222" i="1" s="1"/>
  <c r="AV222" i="1" a="1"/>
  <c r="AV222" i="1" s="1"/>
  <c r="K222" i="1" s="1" a="1"/>
  <c r="K222" i="1" s="1"/>
  <c r="AY222" i="1" a="1"/>
  <c r="AY222" i="1" s="1"/>
  <c r="L222" i="1" s="1" a="1"/>
  <c r="L222" i="1" s="1"/>
  <c r="BB222" i="1" a="1"/>
  <c r="BB222" i="1" s="1"/>
  <c r="M222" i="1" s="1" a="1"/>
  <c r="M222" i="1" s="1"/>
  <c r="BE222" i="1" a="1"/>
  <c r="BE222" i="1" s="1"/>
  <c r="N222" i="1" s="1" a="1"/>
  <c r="N222" i="1" s="1"/>
  <c r="BH222" i="1" a="1"/>
  <c r="BH222" i="1" s="1"/>
  <c r="O222" i="1" s="1" a="1"/>
  <c r="O222" i="1" s="1"/>
  <c r="BK222" i="1" a="1"/>
  <c r="BK222" i="1" s="1"/>
  <c r="P222" i="1" s="1" a="1"/>
  <c r="P222" i="1" s="1"/>
  <c r="BN222" i="1" a="1"/>
  <c r="BN222" i="1" s="1"/>
  <c r="Q222" i="1" s="1" a="1"/>
  <c r="Q222" i="1" s="1"/>
  <c r="AT221" i="1"/>
  <c r="AW221" i="1" s="1"/>
  <c r="BC221" i="1" s="1"/>
  <c r="BF221" i="1" s="1"/>
  <c r="BI221" i="1" s="1"/>
  <c r="BL221" i="1" s="1"/>
  <c r="AN221" i="1"/>
  <c r="AQ221" i="1" s="1"/>
  <c r="U222" i="1" l="1"/>
  <c r="G221" i="1" l="1" a="1"/>
  <c r="G221" i="1" s="1"/>
  <c r="G220" i="1" a="1"/>
  <c r="G220" i="1" s="1"/>
  <c r="R221" i="1"/>
  <c r="R220" i="1"/>
  <c r="S221" i="1"/>
  <c r="T221" i="1" s="1"/>
  <c r="S220" i="1"/>
  <c r="T220" i="1" s="1"/>
  <c r="V221" i="1"/>
  <c r="V220" i="1"/>
  <c r="W221" i="1"/>
  <c r="W220" i="1"/>
  <c r="Z221" i="1"/>
  <c r="Z220" i="1"/>
  <c r="AG221" i="1"/>
  <c r="AG220" i="1"/>
  <c r="AJ221" i="1" a="1"/>
  <c r="AJ221" i="1" s="1"/>
  <c r="AJ220" i="1" a="1"/>
  <c r="AJ220" i="1" s="1"/>
  <c r="AM221" i="1" a="1"/>
  <c r="AM221" i="1" s="1"/>
  <c r="H221" i="1" s="1" a="1"/>
  <c r="H221" i="1" s="1"/>
  <c r="AM220" i="1" a="1"/>
  <c r="AM220" i="1" s="1"/>
  <c r="H220" i="1" s="1" a="1"/>
  <c r="H220" i="1" s="1"/>
  <c r="AP221" i="1" a="1"/>
  <c r="AP221" i="1" s="1"/>
  <c r="I221" i="1" s="1" a="1"/>
  <c r="I221" i="1" s="1"/>
  <c r="AP220" i="1" a="1"/>
  <c r="AP220" i="1" s="1"/>
  <c r="I220" i="1" s="1" a="1"/>
  <c r="I220" i="1" s="1"/>
  <c r="AS221" i="1" a="1"/>
  <c r="AS221" i="1" s="1"/>
  <c r="J221" i="1" s="1" a="1"/>
  <c r="J221" i="1" s="1"/>
  <c r="AS220" i="1" a="1"/>
  <c r="AS220" i="1" s="1"/>
  <c r="J220" i="1" s="1" a="1"/>
  <c r="J220" i="1" s="1"/>
  <c r="AV221" i="1" a="1"/>
  <c r="AV221" i="1" s="1"/>
  <c r="K221" i="1" s="1" a="1"/>
  <c r="K221" i="1" s="1"/>
  <c r="AV220" i="1" a="1"/>
  <c r="AV220" i="1" s="1"/>
  <c r="K220" i="1" s="1" a="1"/>
  <c r="K220" i="1" s="1"/>
  <c r="AY221" i="1" a="1"/>
  <c r="AY221" i="1" s="1"/>
  <c r="L221" i="1" s="1" a="1"/>
  <c r="L221" i="1" s="1"/>
  <c r="AY220" i="1" a="1"/>
  <c r="AY220" i="1" s="1"/>
  <c r="L220" i="1" s="1" a="1"/>
  <c r="L220" i="1" s="1"/>
  <c r="BB221" i="1" a="1"/>
  <c r="BB221" i="1" s="1"/>
  <c r="M221" i="1" s="1" a="1"/>
  <c r="M221" i="1" s="1"/>
  <c r="BB220" i="1" a="1"/>
  <c r="BB220" i="1" s="1"/>
  <c r="M220" i="1" s="1" a="1"/>
  <c r="M220" i="1" s="1"/>
  <c r="BE221" i="1" a="1"/>
  <c r="BE221" i="1" s="1"/>
  <c r="N221" i="1" s="1" a="1"/>
  <c r="N221" i="1" s="1"/>
  <c r="BE220" i="1" a="1"/>
  <c r="BE220" i="1" s="1"/>
  <c r="N220" i="1" s="1" a="1"/>
  <c r="N220" i="1" s="1"/>
  <c r="BH221" i="1" a="1"/>
  <c r="BH221" i="1" s="1"/>
  <c r="O221" i="1" s="1" a="1"/>
  <c r="O221" i="1" s="1"/>
  <c r="BH220" i="1" a="1"/>
  <c r="BH220" i="1" s="1"/>
  <c r="O220" i="1" s="1" a="1"/>
  <c r="O220" i="1" s="1"/>
  <c r="BK221" i="1" a="1"/>
  <c r="BK221" i="1" s="1"/>
  <c r="P221" i="1" s="1" a="1"/>
  <c r="P221" i="1" s="1"/>
  <c r="BK220" i="1" a="1"/>
  <c r="BK220" i="1" s="1"/>
  <c r="P220" i="1" s="1" a="1"/>
  <c r="P220" i="1" s="1"/>
  <c r="BN221" i="1" a="1"/>
  <c r="BN221" i="1" s="1"/>
  <c r="Q221" i="1" s="1" a="1"/>
  <c r="Q221" i="1" s="1"/>
  <c r="BN220" i="1" a="1"/>
  <c r="BN220" i="1" s="1"/>
  <c r="Q220" i="1" s="1" a="1"/>
  <c r="Q220" i="1" s="1"/>
  <c r="U220" i="1" l="1"/>
  <c r="U221" i="1"/>
  <c r="AT219" i="1" l="1"/>
  <c r="AW219" i="1" s="1"/>
  <c r="BC219" i="1" s="1"/>
  <c r="AN219" i="1"/>
  <c r="AP219" i="1" s="1" a="1"/>
  <c r="AP219" i="1" s="1"/>
  <c r="I219" i="1" s="1" a="1"/>
  <c r="I219" i="1" s="1"/>
  <c r="G219" i="1" a="1"/>
  <c r="G219" i="1" s="1"/>
  <c r="R219" i="1"/>
  <c r="S219" i="1"/>
  <c r="U219" i="1" s="1"/>
  <c r="V219" i="1"/>
  <c r="W219" i="1"/>
  <c r="Z219" i="1"/>
  <c r="AG219" i="1"/>
  <c r="AJ219" i="1" a="1"/>
  <c r="AJ219" i="1" s="1"/>
  <c r="AM219" i="1" a="1"/>
  <c r="AM219" i="1" s="1"/>
  <c r="H219" i="1" s="1" a="1"/>
  <c r="H219" i="1" s="1"/>
  <c r="BB219" i="1" a="1"/>
  <c r="BB219" i="1" s="1"/>
  <c r="M219" i="1" s="1" a="1"/>
  <c r="M219" i="1" s="1"/>
  <c r="AA181" i="7"/>
  <c r="AA182" i="7"/>
  <c r="O183" i="7"/>
  <c r="Q183" i="7" s="1"/>
  <c r="F183" i="7" a="1"/>
  <c r="F183" i="7" s="1"/>
  <c r="R183" i="7"/>
  <c r="AH183" i="7" a="1"/>
  <c r="AH183" i="7" s="1"/>
  <c r="G183" i="7" s="1" a="1"/>
  <c r="G183" i="7" s="1"/>
  <c r="AI183" i="7"/>
  <c r="AL183" i="7" s="1"/>
  <c r="AK183" i="7" a="1"/>
  <c r="AK183" i="7" s="1"/>
  <c r="H183" i="7" s="1" a="1"/>
  <c r="H183" i="7" s="1"/>
  <c r="N183" i="7"/>
  <c r="AT218" i="1"/>
  <c r="AW218" i="1" s="1"/>
  <c r="AY218" i="1" s="1" a="1"/>
  <c r="AY218" i="1" s="1"/>
  <c r="L218" i="1" s="1" a="1"/>
  <c r="L218" i="1" s="1"/>
  <c r="AN218" i="1"/>
  <c r="AQ218" i="1" s="1"/>
  <c r="AS218" i="1" s="1" a="1"/>
  <c r="AS218" i="1" s="1"/>
  <c r="J218" i="1" s="1" a="1"/>
  <c r="J218" i="1" s="1"/>
  <c r="AT214" i="1"/>
  <c r="AW214" i="1" s="1"/>
  <c r="AT215" i="1"/>
  <c r="AW215" i="1" s="1"/>
  <c r="AT216" i="1"/>
  <c r="AV216" i="1" s="1" a="1"/>
  <c r="AV216" i="1" s="1"/>
  <c r="K216" i="1" s="1" a="1"/>
  <c r="K216" i="1" s="1"/>
  <c r="AT217" i="1"/>
  <c r="AV217" i="1" s="1" a="1"/>
  <c r="AV217" i="1" s="1"/>
  <c r="K217" i="1" s="1" a="1"/>
  <c r="K217" i="1" s="1"/>
  <c r="AN214" i="1"/>
  <c r="AP214" i="1" s="1" a="1"/>
  <c r="AP214" i="1" s="1"/>
  <c r="I214" i="1" s="1" a="1"/>
  <c r="I214" i="1" s="1"/>
  <c r="AN215" i="1"/>
  <c r="AP215" i="1" s="1" a="1"/>
  <c r="AP215" i="1" s="1"/>
  <c r="I215" i="1" s="1" a="1"/>
  <c r="I215" i="1" s="1"/>
  <c r="AN216" i="1"/>
  <c r="AP216" i="1" s="1" a="1"/>
  <c r="AP216" i="1" s="1"/>
  <c r="I216" i="1" s="1" a="1"/>
  <c r="I216" i="1" s="1"/>
  <c r="AN217" i="1"/>
  <c r="AP217" i="1" s="1" a="1"/>
  <c r="AP217" i="1" s="1"/>
  <c r="I217" i="1" s="1" a="1"/>
  <c r="I217" i="1" s="1"/>
  <c r="R214" i="1"/>
  <c r="R215" i="1"/>
  <c r="R216" i="1"/>
  <c r="R217" i="1"/>
  <c r="R218" i="1"/>
  <c r="G217" i="1" a="1"/>
  <c r="G217" i="1" s="1"/>
  <c r="G218" i="1" a="1"/>
  <c r="G218" i="1" s="1"/>
  <c r="S217" i="1"/>
  <c r="T217" i="1" s="1"/>
  <c r="S218" i="1"/>
  <c r="T218" i="1" s="1"/>
  <c r="V217" i="1"/>
  <c r="V218" i="1"/>
  <c r="W217" i="1"/>
  <c r="W218" i="1"/>
  <c r="Z217" i="1"/>
  <c r="Z218" i="1"/>
  <c r="AG217" i="1"/>
  <c r="AG218" i="1"/>
  <c r="AJ217" i="1" a="1"/>
  <c r="AJ217" i="1" s="1"/>
  <c r="AJ218" i="1" a="1"/>
  <c r="AJ218" i="1" s="1"/>
  <c r="AM217" i="1" a="1"/>
  <c r="AM217" i="1" s="1"/>
  <c r="H217" i="1" s="1" a="1"/>
  <c r="H217" i="1" s="1"/>
  <c r="AM218" i="1" a="1"/>
  <c r="AM218" i="1" s="1"/>
  <c r="H218" i="1" s="1" a="1"/>
  <c r="H218" i="1" s="1"/>
  <c r="BB217" i="1" a="1"/>
  <c r="BB217" i="1" s="1"/>
  <c r="M217" i="1" s="1" a="1"/>
  <c r="M217" i="1" s="1"/>
  <c r="BB218" i="1" a="1"/>
  <c r="BB218" i="1" s="1"/>
  <c r="M218" i="1" s="1" a="1"/>
  <c r="M218" i="1" s="1"/>
  <c r="G214" i="1" a="1"/>
  <c r="G214" i="1" s="1"/>
  <c r="G215" i="1" a="1"/>
  <c r="G215" i="1" s="1"/>
  <c r="G216" i="1" a="1"/>
  <c r="G216" i="1" s="1"/>
  <c r="S214" i="1"/>
  <c r="T214" i="1" s="1"/>
  <c r="S215" i="1"/>
  <c r="T215" i="1" s="1"/>
  <c r="S216" i="1"/>
  <c r="T216" i="1" s="1"/>
  <c r="V214" i="1"/>
  <c r="V215" i="1"/>
  <c r="V216" i="1"/>
  <c r="W214" i="1"/>
  <c r="W215" i="1"/>
  <c r="W216" i="1"/>
  <c r="Z214" i="1"/>
  <c r="Z215" i="1"/>
  <c r="Z216" i="1"/>
  <c r="AG214" i="1"/>
  <c r="AG215" i="1"/>
  <c r="AG216" i="1"/>
  <c r="AJ214" i="1" a="1"/>
  <c r="AJ214" i="1" s="1"/>
  <c r="AJ215" i="1" a="1"/>
  <c r="AJ215" i="1" s="1"/>
  <c r="AJ216" i="1" a="1"/>
  <c r="AJ216" i="1" s="1"/>
  <c r="AM214" i="1" a="1"/>
  <c r="AM214" i="1" s="1"/>
  <c r="H214" i="1" s="1" a="1"/>
  <c r="H214" i="1" s="1"/>
  <c r="AM215" i="1" a="1"/>
  <c r="AM215" i="1" s="1"/>
  <c r="H215" i="1" s="1" a="1"/>
  <c r="H215" i="1" s="1"/>
  <c r="AM216" i="1" a="1"/>
  <c r="AM216" i="1" s="1"/>
  <c r="H216" i="1" s="1" a="1"/>
  <c r="H216" i="1" s="1"/>
  <c r="BB214" i="1" a="1"/>
  <c r="BB214" i="1" s="1"/>
  <c r="M214" i="1" s="1" a="1"/>
  <c r="M214" i="1" s="1"/>
  <c r="BB215" i="1" a="1"/>
  <c r="BB215" i="1" s="1"/>
  <c r="M215" i="1" s="1" a="1"/>
  <c r="M215" i="1" s="1"/>
  <c r="BB216" i="1" a="1"/>
  <c r="BB216" i="1" s="1"/>
  <c r="M216" i="1" s="1" a="1"/>
  <c r="M216" i="1" s="1"/>
  <c r="AV219" i="1" l="1" a="1"/>
  <c r="AV219" i="1" s="1"/>
  <c r="K219" i="1" s="1" a="1"/>
  <c r="K219" i="1" s="1"/>
  <c r="BF219" i="1"/>
  <c r="BH219" i="1" s="1" a="1"/>
  <c r="BH219" i="1" s="1"/>
  <c r="O219" i="1" s="1" a="1"/>
  <c r="O219" i="1" s="1"/>
  <c r="BE219" i="1" a="1"/>
  <c r="BE219" i="1" s="1"/>
  <c r="N219" i="1" s="1" a="1"/>
  <c r="N219" i="1" s="1"/>
  <c r="AY219" i="1" a="1"/>
  <c r="AY219" i="1" s="1"/>
  <c r="L219" i="1" s="1" a="1"/>
  <c r="L219" i="1" s="1"/>
  <c r="AQ219" i="1"/>
  <c r="AS219" i="1" s="1" a="1"/>
  <c r="AS219" i="1" s="1"/>
  <c r="J219" i="1" s="1" a="1"/>
  <c r="J219" i="1" s="1"/>
  <c r="T219" i="1"/>
  <c r="AV215" i="1" a="1"/>
  <c r="AV215" i="1" s="1"/>
  <c r="K215" i="1" s="1" a="1"/>
  <c r="K215" i="1" s="1"/>
  <c r="AN183" i="7" a="1"/>
  <c r="AN183" i="7" s="1"/>
  <c r="I183" i="7" s="1" a="1"/>
  <c r="I183" i="7" s="1"/>
  <c r="AO183" i="7"/>
  <c r="P183" i="7"/>
  <c r="AE183" i="7" a="1"/>
  <c r="AE183" i="7" s="1"/>
  <c r="AV214" i="1" a="1"/>
  <c r="AV214" i="1" s="1"/>
  <c r="K214" i="1" s="1" a="1"/>
  <c r="K214" i="1" s="1"/>
  <c r="BC218" i="1"/>
  <c r="AV218" i="1" a="1"/>
  <c r="AV218" i="1" s="1"/>
  <c r="K218" i="1" s="1" a="1"/>
  <c r="K218" i="1" s="1"/>
  <c r="AP218" i="1" a="1"/>
  <c r="AP218" i="1" s="1"/>
  <c r="I218" i="1" s="1" a="1"/>
  <c r="I218" i="1" s="1"/>
  <c r="AQ215" i="1"/>
  <c r="AS215" i="1" s="1" a="1"/>
  <c r="AS215" i="1" s="1"/>
  <c r="J215" i="1" s="1" a="1"/>
  <c r="J215" i="1" s="1"/>
  <c r="BC215" i="1"/>
  <c r="AY215" i="1" a="1"/>
  <c r="AY215" i="1" s="1"/>
  <c r="L215" i="1" s="1" a="1"/>
  <c r="L215" i="1" s="1"/>
  <c r="BC214" i="1"/>
  <c r="BE214" i="1" s="1" a="1"/>
  <c r="BE214" i="1" s="1"/>
  <c r="N214" i="1" s="1" a="1"/>
  <c r="N214" i="1" s="1"/>
  <c r="AY214" i="1" a="1"/>
  <c r="AY214" i="1" s="1"/>
  <c r="L214" i="1" s="1" a="1"/>
  <c r="L214" i="1" s="1"/>
  <c r="AW217" i="1"/>
  <c r="AW216" i="1"/>
  <c r="AQ216" i="1"/>
  <c r="AS216" i="1" s="1" a="1"/>
  <c r="AS216" i="1" s="1"/>
  <c r="J216" i="1" s="1" a="1"/>
  <c r="J216" i="1" s="1"/>
  <c r="AQ217" i="1"/>
  <c r="AS217" i="1" s="1" a="1"/>
  <c r="AS217" i="1" s="1"/>
  <c r="J217" i="1" s="1" a="1"/>
  <c r="J217" i="1" s="1"/>
  <c r="AQ214" i="1"/>
  <c r="AS214" i="1" s="1" a="1"/>
  <c r="AS214" i="1" s="1"/>
  <c r="J214" i="1" s="1" a="1"/>
  <c r="J214" i="1" s="1"/>
  <c r="U215" i="1"/>
  <c r="U217" i="1"/>
  <c r="U216" i="1"/>
  <c r="U214" i="1"/>
  <c r="U218" i="1"/>
  <c r="BI219" i="1" l="1"/>
  <c r="BK219" i="1" s="1" a="1"/>
  <c r="BK219" i="1" s="1"/>
  <c r="P219" i="1" s="1" a="1"/>
  <c r="P219" i="1" s="1"/>
  <c r="AR183" i="7"/>
  <c r="AQ183" i="7" a="1"/>
  <c r="AQ183" i="7" s="1"/>
  <c r="J183" i="7" s="1" a="1"/>
  <c r="J183" i="7" s="1"/>
  <c r="BE218" i="1" a="1"/>
  <c r="BE218" i="1" s="1"/>
  <c r="N218" i="1" s="1" a="1"/>
  <c r="N218" i="1" s="1"/>
  <c r="BF218" i="1"/>
  <c r="BF214" i="1"/>
  <c r="BH214" i="1" s="1" a="1"/>
  <c r="BH214" i="1" s="1"/>
  <c r="O214" i="1" s="1" a="1"/>
  <c r="O214" i="1" s="1"/>
  <c r="AY217" i="1" a="1"/>
  <c r="AY217" i="1" s="1"/>
  <c r="L217" i="1" s="1" a="1"/>
  <c r="L217" i="1" s="1"/>
  <c r="BC217" i="1"/>
  <c r="AY216" i="1" a="1"/>
  <c r="AY216" i="1" s="1"/>
  <c r="L216" i="1" s="1" a="1"/>
  <c r="L216" i="1" s="1"/>
  <c r="BC216" i="1"/>
  <c r="BF215" i="1"/>
  <c r="BE215" i="1" a="1"/>
  <c r="BE215" i="1" s="1"/>
  <c r="N215" i="1" s="1" a="1"/>
  <c r="N215" i="1" s="1"/>
  <c r="BL219" i="1" l="1"/>
  <c r="BN219" i="1" s="1" a="1"/>
  <c r="BN219" i="1" s="1"/>
  <c r="Q219" i="1" s="1" a="1"/>
  <c r="Q219" i="1" s="1"/>
  <c r="AT183" i="7" a="1"/>
  <c r="AT183" i="7" s="1"/>
  <c r="K183" i="7" s="1" a="1"/>
  <c r="K183" i="7" s="1"/>
  <c r="AU183" i="7"/>
  <c r="BH218" i="1" a="1"/>
  <c r="BH218" i="1" s="1"/>
  <c r="O218" i="1" s="1" a="1"/>
  <c r="O218" i="1" s="1"/>
  <c r="BI218" i="1"/>
  <c r="BI214" i="1"/>
  <c r="BL214" i="1" s="1"/>
  <c r="BN214" i="1" s="1" a="1"/>
  <c r="BN214" i="1" s="1"/>
  <c r="Q214" i="1" s="1" a="1"/>
  <c r="Q214" i="1" s="1"/>
  <c r="BH215" i="1" a="1"/>
  <c r="BH215" i="1" s="1"/>
  <c r="O215" i="1" s="1" a="1"/>
  <c r="O215" i="1" s="1"/>
  <c r="BI215" i="1"/>
  <c r="BF216" i="1"/>
  <c r="BE216" i="1" a="1"/>
  <c r="BE216" i="1" s="1"/>
  <c r="N216" i="1" s="1" a="1"/>
  <c r="N216" i="1" s="1"/>
  <c r="BF217" i="1"/>
  <c r="BE217" i="1" a="1"/>
  <c r="BE217" i="1" s="1"/>
  <c r="N217" i="1" s="1" a="1"/>
  <c r="N217" i="1" s="1"/>
  <c r="AX183" i="7" l="1"/>
  <c r="AZ183" i="7" s="1" a="1"/>
  <c r="AZ183" i="7" s="1"/>
  <c r="M183" i="7" s="1" a="1"/>
  <c r="M183" i="7" s="1"/>
  <c r="AW183" i="7" a="1"/>
  <c r="AW183" i="7" s="1"/>
  <c r="L183" i="7" s="1" a="1"/>
  <c r="L183" i="7" s="1"/>
  <c r="BK218" i="1" a="1"/>
  <c r="BK218" i="1" s="1"/>
  <c r="P218" i="1" s="1" a="1"/>
  <c r="P218" i="1" s="1"/>
  <c r="BL218" i="1"/>
  <c r="BN218" i="1" s="1" a="1"/>
  <c r="BN218" i="1" s="1"/>
  <c r="Q218" i="1" s="1" a="1"/>
  <c r="Q218" i="1" s="1"/>
  <c r="BK214" i="1" a="1"/>
  <c r="BK214" i="1" s="1"/>
  <c r="P214" i="1" s="1" a="1"/>
  <c r="P214" i="1" s="1"/>
  <c r="BH217" i="1" a="1"/>
  <c r="BH217" i="1" s="1"/>
  <c r="O217" i="1" s="1" a="1"/>
  <c r="O217" i="1" s="1"/>
  <c r="BI217" i="1"/>
  <c r="BH216" i="1" a="1"/>
  <c r="BH216" i="1" s="1"/>
  <c r="O216" i="1" s="1" a="1"/>
  <c r="O216" i="1" s="1"/>
  <c r="BI216" i="1"/>
  <c r="BL215" i="1"/>
  <c r="BN215" i="1" s="1" a="1"/>
  <c r="BN215" i="1" s="1"/>
  <c r="Q215" i="1" s="1" a="1"/>
  <c r="Q215" i="1" s="1"/>
  <c r="BK215" i="1" a="1"/>
  <c r="BK215" i="1" s="1"/>
  <c r="P215" i="1" s="1" a="1"/>
  <c r="P215" i="1" s="1"/>
  <c r="BL216" i="1" l="1"/>
  <c r="BN216" i="1" s="1" a="1"/>
  <c r="BN216" i="1" s="1"/>
  <c r="Q216" i="1" s="1" a="1"/>
  <c r="Q216" i="1" s="1"/>
  <c r="BK216" i="1" a="1"/>
  <c r="BK216" i="1" s="1"/>
  <c r="P216" i="1" s="1" a="1"/>
  <c r="P216" i="1" s="1"/>
  <c r="BL217" i="1"/>
  <c r="BN217" i="1" s="1" a="1"/>
  <c r="BN217" i="1" s="1"/>
  <c r="Q217" i="1" s="1" a="1"/>
  <c r="Q217" i="1" s="1"/>
  <c r="BK217" i="1" a="1"/>
  <c r="BK217" i="1" s="1"/>
  <c r="P217" i="1" s="1" a="1"/>
  <c r="P217" i="1" s="1"/>
  <c r="AT213" i="1" l="1"/>
  <c r="AV213" i="1" s="1" a="1"/>
  <c r="AV213" i="1" s="1"/>
  <c r="K213" i="1" s="1" a="1"/>
  <c r="K213" i="1" s="1"/>
  <c r="AN213" i="1"/>
  <c r="AP213" i="1" s="1" a="1"/>
  <c r="AP213" i="1" s="1"/>
  <c r="I213" i="1" s="1" a="1"/>
  <c r="I213" i="1" s="1"/>
  <c r="AT211" i="1"/>
  <c r="AW211" i="1" s="1"/>
  <c r="AN211" i="1"/>
  <c r="AP211" i="1" s="1" a="1"/>
  <c r="AP211" i="1" s="1"/>
  <c r="I211" i="1" s="1" a="1"/>
  <c r="I211" i="1" s="1"/>
  <c r="G211" i="1" a="1"/>
  <c r="G211" i="1" s="1"/>
  <c r="G213" i="1" a="1"/>
  <c r="G213" i="1" s="1"/>
  <c r="R211" i="1"/>
  <c r="R213" i="1"/>
  <c r="S211" i="1"/>
  <c r="T211" i="1" s="1"/>
  <c r="S213" i="1"/>
  <c r="T213" i="1" s="1"/>
  <c r="V211" i="1"/>
  <c r="V213" i="1"/>
  <c r="W211" i="1"/>
  <c r="W213" i="1"/>
  <c r="Z211" i="1"/>
  <c r="Z213" i="1"/>
  <c r="AG211" i="1"/>
  <c r="AG213" i="1"/>
  <c r="AJ211" i="1" a="1"/>
  <c r="AJ211" i="1" s="1"/>
  <c r="AJ213" i="1" a="1"/>
  <c r="AJ213" i="1" s="1"/>
  <c r="AM211" i="1" a="1"/>
  <c r="AM211" i="1" s="1"/>
  <c r="H211" i="1" s="1" a="1"/>
  <c r="H211" i="1" s="1"/>
  <c r="AM213" i="1" a="1"/>
  <c r="AM213" i="1" s="1"/>
  <c r="H213" i="1" s="1" a="1"/>
  <c r="H213" i="1" s="1"/>
  <c r="BB211" i="1" a="1"/>
  <c r="BB211" i="1" s="1"/>
  <c r="M211" i="1" s="1" a="1"/>
  <c r="M211" i="1" s="1"/>
  <c r="BB213" i="1" a="1"/>
  <c r="BB213" i="1" s="1"/>
  <c r="M213" i="1" s="1" a="1"/>
  <c r="M213" i="1" s="1"/>
  <c r="AT212" i="1"/>
  <c r="AW212" i="1" s="1"/>
  <c r="BC212" i="1" s="1"/>
  <c r="BF212" i="1" s="1"/>
  <c r="BI212" i="1" s="1"/>
  <c r="BL212" i="1" s="1"/>
  <c r="AN212" i="1"/>
  <c r="AQ212" i="1" s="1"/>
  <c r="Z212" i="1"/>
  <c r="O182" i="7"/>
  <c r="Q182" i="7" s="1"/>
  <c r="F182" i="7" a="1"/>
  <c r="F182" i="7" s="1"/>
  <c r="N182" i="7"/>
  <c r="R182" i="7"/>
  <c r="AH182" i="7" a="1"/>
  <c r="AH182" i="7" s="1"/>
  <c r="G182" i="7" s="1" a="1"/>
  <c r="G182" i="7" s="1"/>
  <c r="AI182" i="7"/>
  <c r="AL182" i="7" s="1"/>
  <c r="AK182" i="7" a="1"/>
  <c r="AK182" i="7" s="1"/>
  <c r="H182" i="7" s="1" a="1"/>
  <c r="H182" i="7" s="1"/>
  <c r="F181" i="7" a="1"/>
  <c r="F181" i="7" s="1"/>
  <c r="N181" i="7"/>
  <c r="R181" i="7"/>
  <c r="AH181" i="7" a="1"/>
  <c r="AH181" i="7" s="1"/>
  <c r="G181" i="7" s="1" a="1"/>
  <c r="G181" i="7" s="1"/>
  <c r="AI181" i="7"/>
  <c r="AL181" i="7" s="1"/>
  <c r="AK181" i="7" a="1"/>
  <c r="AK181" i="7" s="1"/>
  <c r="H181" i="7" s="1" a="1"/>
  <c r="H181" i="7" s="1"/>
  <c r="AA180" i="7"/>
  <c r="AA179" i="7"/>
  <c r="AA178" i="7"/>
  <c r="AV211" i="1" l="1" a="1"/>
  <c r="AV211" i="1" s="1"/>
  <c r="K211" i="1" s="1" a="1"/>
  <c r="K211" i="1" s="1"/>
  <c r="AY211" i="1" a="1"/>
  <c r="AY211" i="1" s="1"/>
  <c r="L211" i="1" s="1" a="1"/>
  <c r="L211" i="1" s="1"/>
  <c r="BC211" i="1"/>
  <c r="AQ213" i="1"/>
  <c r="AS213" i="1" s="1" a="1"/>
  <c r="AS213" i="1" s="1"/>
  <c r="J213" i="1" s="1" a="1"/>
  <c r="J213" i="1" s="1"/>
  <c r="AW213" i="1"/>
  <c r="AQ211" i="1"/>
  <c r="AS211" i="1" s="1" a="1"/>
  <c r="AS211" i="1" s="1"/>
  <c r="J211" i="1" s="1" a="1"/>
  <c r="J211" i="1" s="1"/>
  <c r="U211" i="1"/>
  <c r="U213" i="1"/>
  <c r="AN182" i="7" a="1"/>
  <c r="AN182" i="7" s="1"/>
  <c r="I182" i="7" s="1" a="1"/>
  <c r="I182" i="7" s="1"/>
  <c r="AO182" i="7"/>
  <c r="AQ182" i="7" s="1" a="1"/>
  <c r="AQ182" i="7" s="1"/>
  <c r="J182" i="7" s="1" a="1"/>
  <c r="J182" i="7" s="1"/>
  <c r="AN181" i="7" a="1"/>
  <c r="AN181" i="7" s="1"/>
  <c r="I181" i="7" s="1" a="1"/>
  <c r="I181" i="7" s="1"/>
  <c r="AO181" i="7"/>
  <c r="P182" i="7"/>
  <c r="AE182" i="7" a="1"/>
  <c r="AE182" i="7" s="1"/>
  <c r="O181" i="7"/>
  <c r="Q181" i="7" s="1"/>
  <c r="AE181" i="7" a="1"/>
  <c r="AE181" i="7" s="1"/>
  <c r="AY213" i="1" l="1" a="1"/>
  <c r="AY213" i="1" s="1"/>
  <c r="L213" i="1" s="1" a="1"/>
  <c r="L213" i="1" s="1"/>
  <c r="BC213" i="1"/>
  <c r="BF211" i="1"/>
  <c r="BE211" i="1" a="1"/>
  <c r="BE211" i="1" s="1"/>
  <c r="N211" i="1" s="1" a="1"/>
  <c r="N211" i="1" s="1"/>
  <c r="AR182" i="7"/>
  <c r="AU182" i="7" s="1"/>
  <c r="AX182" i="7" s="1"/>
  <c r="AZ182" i="7" s="1" a="1"/>
  <c r="AZ182" i="7" s="1"/>
  <c r="M182" i="7" s="1" a="1"/>
  <c r="M182" i="7" s="1"/>
  <c r="AQ181" i="7" a="1"/>
  <c r="AQ181" i="7" s="1"/>
  <c r="J181" i="7" s="1" a="1"/>
  <c r="J181" i="7" s="1"/>
  <c r="AR181" i="7"/>
  <c r="P181" i="7"/>
  <c r="BH211" i="1" l="1" a="1"/>
  <c r="BH211" i="1" s="1"/>
  <c r="O211" i="1" s="1" a="1"/>
  <c r="O211" i="1" s="1"/>
  <c r="BI211" i="1"/>
  <c r="BF213" i="1"/>
  <c r="BE213" i="1" a="1"/>
  <c r="BE213" i="1" s="1"/>
  <c r="N213" i="1" s="1" a="1"/>
  <c r="N213" i="1" s="1"/>
  <c r="AT182" i="7" a="1"/>
  <c r="AT182" i="7" s="1"/>
  <c r="K182" i="7" s="1" a="1"/>
  <c r="K182" i="7" s="1"/>
  <c r="AW182" i="7" a="1"/>
  <c r="AW182" i="7" s="1"/>
  <c r="L182" i="7" s="1" a="1"/>
  <c r="L182" i="7" s="1"/>
  <c r="AT181" i="7" a="1"/>
  <c r="AT181" i="7" s="1"/>
  <c r="K181" i="7" s="1" a="1"/>
  <c r="K181" i="7" s="1"/>
  <c r="AU181" i="7"/>
  <c r="BL211" i="1" l="1"/>
  <c r="BN211" i="1" s="1" a="1"/>
  <c r="BN211" i="1" s="1"/>
  <c r="Q211" i="1" s="1" a="1"/>
  <c r="Q211" i="1" s="1"/>
  <c r="BK211" i="1" a="1"/>
  <c r="BK211" i="1" s="1"/>
  <c r="P211" i="1" s="1" a="1"/>
  <c r="P211" i="1" s="1"/>
  <c r="BI213" i="1"/>
  <c r="BH213" i="1" a="1"/>
  <c r="BH213" i="1" s="1"/>
  <c r="O213" i="1" s="1" a="1"/>
  <c r="O213" i="1" s="1"/>
  <c r="AW181" i="7" a="1"/>
  <c r="AW181" i="7" s="1"/>
  <c r="L181" i="7" s="1" a="1"/>
  <c r="L181" i="7" s="1"/>
  <c r="AX181" i="7"/>
  <c r="AZ181" i="7" s="1" a="1"/>
  <c r="AZ181" i="7" s="1"/>
  <c r="M181" i="7" s="1" a="1"/>
  <c r="M181" i="7" s="1"/>
  <c r="BK213" i="1" l="1" a="1"/>
  <c r="BK213" i="1" s="1"/>
  <c r="P213" i="1" s="1" a="1"/>
  <c r="P213" i="1" s="1"/>
  <c r="BL213" i="1"/>
  <c r="BN213" i="1" s="1" a="1"/>
  <c r="BN213" i="1" s="1"/>
  <c r="Q213" i="1" s="1" a="1"/>
  <c r="Q213" i="1" s="1"/>
  <c r="G212" i="1" a="1"/>
  <c r="G212" i="1" s="1"/>
  <c r="R212" i="1"/>
  <c r="S212" i="1"/>
  <c r="T212" i="1" s="1"/>
  <c r="V212" i="1"/>
  <c r="W212" i="1"/>
  <c r="AG212" i="1"/>
  <c r="AJ212" i="1" a="1"/>
  <c r="AJ212" i="1" s="1"/>
  <c r="AM212" i="1" a="1"/>
  <c r="AM212" i="1" s="1"/>
  <c r="H212" i="1" s="1" a="1"/>
  <c r="H212" i="1" s="1"/>
  <c r="AP212" i="1" a="1"/>
  <c r="AP212" i="1" s="1"/>
  <c r="I212" i="1" s="1" a="1"/>
  <c r="I212" i="1" s="1"/>
  <c r="AS212" i="1" a="1"/>
  <c r="AS212" i="1" s="1"/>
  <c r="J212" i="1" s="1" a="1"/>
  <c r="J212" i="1" s="1"/>
  <c r="AV212" i="1" a="1"/>
  <c r="AV212" i="1" s="1"/>
  <c r="K212" i="1" s="1" a="1"/>
  <c r="K212" i="1" s="1"/>
  <c r="AY212" i="1" a="1"/>
  <c r="AY212" i="1" s="1"/>
  <c r="L212" i="1" s="1" a="1"/>
  <c r="L212" i="1" s="1"/>
  <c r="BB212" i="1" a="1"/>
  <c r="BB212" i="1" s="1"/>
  <c r="M212" i="1" s="1" a="1"/>
  <c r="M212" i="1" s="1"/>
  <c r="BE212" i="1" a="1"/>
  <c r="BE212" i="1" s="1"/>
  <c r="N212" i="1" s="1" a="1"/>
  <c r="N212" i="1" s="1"/>
  <c r="BH212" i="1" a="1"/>
  <c r="BH212" i="1" s="1"/>
  <c r="O212" i="1" s="1" a="1"/>
  <c r="O212" i="1" s="1"/>
  <c r="BK212" i="1" a="1"/>
  <c r="BK212" i="1" s="1"/>
  <c r="P212" i="1" s="1" a="1"/>
  <c r="P212" i="1" s="1"/>
  <c r="BN212" i="1" a="1"/>
  <c r="BN212" i="1" s="1"/>
  <c r="Q212" i="1" s="1" a="1"/>
  <c r="Q212" i="1" s="1"/>
  <c r="AT208" i="1"/>
  <c r="AV208" i="1" s="1" a="1"/>
  <c r="AV208" i="1" s="1"/>
  <c r="K208" i="1" s="1" a="1"/>
  <c r="K208" i="1" s="1"/>
  <c r="AN208" i="1"/>
  <c r="AP208" i="1" s="1" a="1"/>
  <c r="AP208" i="1" s="1"/>
  <c r="I208" i="1" s="1" a="1"/>
  <c r="I208" i="1" s="1"/>
  <c r="Z208" i="1"/>
  <c r="G208" i="1" a="1"/>
  <c r="G208" i="1" s="1"/>
  <c r="R208" i="1"/>
  <c r="S208" i="1"/>
  <c r="T208" i="1" s="1"/>
  <c r="V208" i="1"/>
  <c r="W208" i="1"/>
  <c r="AG208" i="1"/>
  <c r="AJ208" i="1" a="1"/>
  <c r="AJ208" i="1" s="1"/>
  <c r="AM208" i="1" a="1"/>
  <c r="AM208" i="1" s="1"/>
  <c r="H208" i="1" s="1" a="1"/>
  <c r="H208" i="1" s="1"/>
  <c r="BB208" i="1" a="1"/>
  <c r="BB208" i="1" s="1"/>
  <c r="M208" i="1" s="1" a="1"/>
  <c r="M208" i="1" s="1"/>
  <c r="U212" i="1" l="1"/>
  <c r="AQ208" i="1"/>
  <c r="AS208" i="1" s="1" a="1"/>
  <c r="AS208" i="1" s="1"/>
  <c r="J208" i="1" s="1" a="1"/>
  <c r="J208" i="1" s="1"/>
  <c r="AW208" i="1"/>
  <c r="U208" i="1"/>
  <c r="BC208" i="1" l="1"/>
  <c r="AY208" i="1" a="1"/>
  <c r="AY208" i="1" s="1"/>
  <c r="L208" i="1" s="1" a="1"/>
  <c r="L208" i="1" s="1"/>
  <c r="AT210" i="1"/>
  <c r="AW210" i="1" s="1"/>
  <c r="AN210" i="1"/>
  <c r="AP210" i="1" s="1" a="1"/>
  <c r="AP210" i="1" s="1"/>
  <c r="I210" i="1" s="1" a="1"/>
  <c r="I210" i="1" s="1"/>
  <c r="G210" i="1" a="1"/>
  <c r="G210" i="1" s="1"/>
  <c r="R210" i="1"/>
  <c r="S210" i="1"/>
  <c r="T210" i="1" s="1"/>
  <c r="V210" i="1"/>
  <c r="W210" i="1"/>
  <c r="Z210" i="1"/>
  <c r="AG210" i="1"/>
  <c r="AJ210" i="1" a="1"/>
  <c r="AJ210" i="1" s="1"/>
  <c r="AM210" i="1" a="1"/>
  <c r="AM210" i="1" s="1"/>
  <c r="H210" i="1" s="1" a="1"/>
  <c r="H210" i="1" s="1"/>
  <c r="BB210" i="1" a="1"/>
  <c r="BB210" i="1" s="1"/>
  <c r="M210" i="1" s="1" a="1"/>
  <c r="M210" i="1" s="1"/>
  <c r="AT209" i="1"/>
  <c r="AW209" i="1" s="1"/>
  <c r="G194" i="1" a="1"/>
  <c r="G194" i="1" s="1"/>
  <c r="R194" i="1"/>
  <c r="S194" i="1"/>
  <c r="V194" i="1"/>
  <c r="W194" i="1"/>
  <c r="Z194" i="1"/>
  <c r="AG194" i="1"/>
  <c r="AJ194" i="1" a="1"/>
  <c r="AJ194" i="1" s="1"/>
  <c r="AM194" i="1" a="1"/>
  <c r="AM194" i="1" s="1"/>
  <c r="H194" i="1" s="1" a="1"/>
  <c r="H194" i="1" s="1"/>
  <c r="AN194" i="1"/>
  <c r="AQ194" i="1" s="1"/>
  <c r="AS194" i="1" s="1" a="1"/>
  <c r="AS194" i="1" s="1"/>
  <c r="J194" i="1" s="1" a="1"/>
  <c r="J194" i="1" s="1"/>
  <c r="AT194" i="1"/>
  <c r="AW194" i="1" s="1"/>
  <c r="BB194" i="1" a="1"/>
  <c r="BB194" i="1" s="1"/>
  <c r="M194" i="1" s="1" a="1"/>
  <c r="M194" i="1" s="1"/>
  <c r="G196" i="1" a="1"/>
  <c r="G196" i="1" s="1"/>
  <c r="R196" i="1"/>
  <c r="S196" i="1"/>
  <c r="V196" i="1"/>
  <c r="W196" i="1"/>
  <c r="Z196" i="1"/>
  <c r="AG196" i="1"/>
  <c r="AJ196" i="1" a="1"/>
  <c r="AJ196" i="1" s="1"/>
  <c r="AM196" i="1" a="1"/>
  <c r="AM196" i="1" s="1"/>
  <c r="H196" i="1" s="1" a="1"/>
  <c r="H196" i="1" s="1"/>
  <c r="AN196" i="1"/>
  <c r="AQ196" i="1" s="1"/>
  <c r="AS196" i="1" s="1" a="1"/>
  <c r="AS196" i="1" s="1"/>
  <c r="J196" i="1" s="1" a="1"/>
  <c r="J196" i="1" s="1"/>
  <c r="AT196" i="1"/>
  <c r="AW196" i="1" s="1"/>
  <c r="BB196" i="1" a="1"/>
  <c r="BB196" i="1" s="1"/>
  <c r="M196" i="1" s="1" a="1"/>
  <c r="M196" i="1" s="1"/>
  <c r="G198" i="1" a="1"/>
  <c r="G198" i="1" s="1"/>
  <c r="R198" i="1"/>
  <c r="S198" i="1"/>
  <c r="V198" i="1"/>
  <c r="W198" i="1"/>
  <c r="Z198" i="1"/>
  <c r="AG198" i="1"/>
  <c r="AJ198" i="1" a="1"/>
  <c r="AJ198" i="1" s="1"/>
  <c r="AM198" i="1" a="1"/>
  <c r="AM198" i="1" s="1"/>
  <c r="H198" i="1" s="1" a="1"/>
  <c r="H198" i="1" s="1"/>
  <c r="AN198" i="1"/>
  <c r="AT198" i="1"/>
  <c r="AW198" i="1" s="1"/>
  <c r="BB198" i="1" a="1"/>
  <c r="BB198" i="1" s="1"/>
  <c r="M198" i="1" s="1" a="1"/>
  <c r="M198" i="1" s="1"/>
  <c r="G13" i="1" a="1"/>
  <c r="G13" i="1" s="1"/>
  <c r="G15" i="1" a="1"/>
  <c r="G15" i="1" s="1"/>
  <c r="G104" i="1" a="1"/>
  <c r="G104" i="1" s="1"/>
  <c r="G17" i="1" a="1"/>
  <c r="G17" i="1" s="1"/>
  <c r="G41" i="1" a="1"/>
  <c r="G41" i="1" s="1"/>
  <c r="G29" i="1" a="1"/>
  <c r="G29" i="1" s="1"/>
  <c r="G88" i="1" a="1"/>
  <c r="G88" i="1" s="1"/>
  <c r="G11" i="1" a="1"/>
  <c r="G11" i="1" s="1"/>
  <c r="G110" i="1" a="1"/>
  <c r="G110" i="1" s="1"/>
  <c r="G111" i="1" a="1"/>
  <c r="G111" i="1" s="1"/>
  <c r="G71" i="1" a="1"/>
  <c r="G71" i="1" s="1"/>
  <c r="G72" i="1" a="1"/>
  <c r="G72" i="1" s="1"/>
  <c r="G73" i="1" a="1"/>
  <c r="G73" i="1" s="1"/>
  <c r="G76" i="1" a="1"/>
  <c r="G76" i="1" s="1"/>
  <c r="G107" i="1" a="1"/>
  <c r="G107" i="1" s="1"/>
  <c r="G24" i="1" a="1"/>
  <c r="G24" i="1" s="1"/>
  <c r="G28" i="1" a="1"/>
  <c r="G28" i="1" s="1"/>
  <c r="G30" i="1" a="1"/>
  <c r="G30" i="1" s="1"/>
  <c r="G52" i="1" a="1"/>
  <c r="G52" i="1" s="1"/>
  <c r="G39" i="1" a="1"/>
  <c r="G39" i="1" s="1"/>
  <c r="G45" i="1" a="1"/>
  <c r="G45" i="1" s="1"/>
  <c r="G83" i="1" a="1"/>
  <c r="G83" i="1" s="1"/>
  <c r="G47" i="1" a="1"/>
  <c r="G47" i="1" s="1"/>
  <c r="G63" i="1" a="1"/>
  <c r="G63" i="1" s="1"/>
  <c r="G9" i="1" a="1"/>
  <c r="G9" i="1" s="1"/>
  <c r="G108" i="1" a="1"/>
  <c r="G108" i="1" s="1"/>
  <c r="G32" i="1" a="1"/>
  <c r="G32" i="1" s="1"/>
  <c r="G34" i="1" a="1"/>
  <c r="G34" i="1" s="1"/>
  <c r="G56" i="1" a="1"/>
  <c r="G56" i="1" s="1"/>
  <c r="G27" i="1" a="1"/>
  <c r="G27" i="1" s="1"/>
  <c r="G31" i="1" a="1"/>
  <c r="G31" i="1" s="1"/>
  <c r="G33" i="1" a="1"/>
  <c r="G33" i="1" s="1"/>
  <c r="G74" i="1" a="1"/>
  <c r="G74" i="1" s="1"/>
  <c r="G77" i="1" a="1"/>
  <c r="G77" i="1" s="1"/>
  <c r="G78" i="1" a="1"/>
  <c r="G78" i="1" s="1"/>
  <c r="G93" i="1" a="1"/>
  <c r="G93" i="1" s="1"/>
  <c r="G100" i="1" a="1"/>
  <c r="G100" i="1" s="1"/>
  <c r="G57" i="1" a="1"/>
  <c r="G57" i="1" s="1"/>
  <c r="G58" i="1" a="1"/>
  <c r="G58" i="1" s="1"/>
  <c r="G59" i="1" a="1"/>
  <c r="G59" i="1" s="1"/>
  <c r="G60" i="1" a="1"/>
  <c r="G60" i="1" s="1"/>
  <c r="G89" i="1" a="1"/>
  <c r="G89" i="1" s="1"/>
  <c r="G23" i="1" a="1"/>
  <c r="G23" i="1" s="1"/>
  <c r="G38" i="1" a="1"/>
  <c r="G38" i="1" s="1"/>
  <c r="G75" i="1" a="1"/>
  <c r="G75" i="1" s="1"/>
  <c r="G109" i="1" a="1"/>
  <c r="G109" i="1" s="1"/>
  <c r="G112" i="1" a="1"/>
  <c r="G112" i="1" s="1"/>
  <c r="G90" i="1" a="1"/>
  <c r="G90" i="1" s="1"/>
  <c r="G8" i="1" a="1"/>
  <c r="G8" i="1" s="1"/>
  <c r="G10" i="1" a="1"/>
  <c r="G10" i="1" s="1"/>
  <c r="G42" i="1" a="1"/>
  <c r="G42" i="1" s="1"/>
  <c r="G43" i="1" a="1"/>
  <c r="G43" i="1" s="1"/>
  <c r="G44" i="1" a="1"/>
  <c r="G44" i="1" s="1"/>
  <c r="G66" i="1" a="1"/>
  <c r="G66" i="1" s="1"/>
  <c r="G67" i="1" a="1"/>
  <c r="G67" i="1" s="1"/>
  <c r="G68" i="1" a="1"/>
  <c r="G68" i="1" s="1"/>
  <c r="G82" i="1" a="1"/>
  <c r="G82" i="1" s="1"/>
  <c r="G84" i="1" a="1"/>
  <c r="G84" i="1" s="1"/>
  <c r="G85" i="1" a="1"/>
  <c r="G85" i="1" s="1"/>
  <c r="G86" i="1" a="1"/>
  <c r="G86" i="1" s="1"/>
  <c r="G87" i="1" a="1"/>
  <c r="G87" i="1" s="1"/>
  <c r="G94" i="1" a="1"/>
  <c r="G94" i="1" s="1"/>
  <c r="G101" i="1" a="1"/>
  <c r="G101" i="1" s="1"/>
  <c r="G40" i="1" a="1"/>
  <c r="G40" i="1" s="1"/>
  <c r="G48" i="1" a="1"/>
  <c r="G48" i="1" s="1"/>
  <c r="G49" i="1" a="1"/>
  <c r="G49" i="1" s="1"/>
  <c r="G54" i="1" a="1"/>
  <c r="G54" i="1" s="1"/>
  <c r="G102" i="1" a="1"/>
  <c r="G102" i="1" s="1"/>
  <c r="G4" i="1" a="1"/>
  <c r="G4" i="1" s="1"/>
  <c r="G6" i="1" a="1"/>
  <c r="G6" i="1" s="1"/>
  <c r="G14" i="1" a="1"/>
  <c r="G14" i="1" s="1"/>
  <c r="G26" i="1" a="1"/>
  <c r="G26" i="1" s="1"/>
  <c r="G79" i="1" a="1"/>
  <c r="G79" i="1" s="1"/>
  <c r="G36" i="1" a="1"/>
  <c r="G36" i="1" s="1"/>
  <c r="G69" i="1" a="1"/>
  <c r="G69" i="1" s="1"/>
  <c r="G53" i="1" a="1"/>
  <c r="G53" i="1" s="1"/>
  <c r="G95" i="1" a="1"/>
  <c r="G95" i="1" s="1"/>
  <c r="G96" i="1" a="1"/>
  <c r="G96" i="1" s="1"/>
  <c r="G98" i="1" a="1"/>
  <c r="G98" i="1" s="1"/>
  <c r="G99" i="1" a="1"/>
  <c r="G99" i="1" s="1"/>
  <c r="G16" i="1" a="1"/>
  <c r="G16" i="1" s="1"/>
  <c r="G25" i="1" a="1"/>
  <c r="G25" i="1" s="1"/>
  <c r="G35" i="1" a="1"/>
  <c r="G35" i="1" s="1"/>
  <c r="G37" i="1" a="1"/>
  <c r="G37" i="1" s="1"/>
  <c r="G62" i="1" a="1"/>
  <c r="G62" i="1" s="1"/>
  <c r="G97" i="1" a="1"/>
  <c r="G97" i="1" s="1"/>
  <c r="G18" i="1" a="1"/>
  <c r="G18" i="1" s="1"/>
  <c r="G46" i="1" a="1"/>
  <c r="G46" i="1" s="1"/>
  <c r="G50" i="1" a="1"/>
  <c r="G50" i="1" s="1"/>
  <c r="G55" i="1" a="1"/>
  <c r="G55" i="1" s="1"/>
  <c r="G5" i="1" a="1"/>
  <c r="G5" i="1" s="1"/>
  <c r="G7" i="1" a="1"/>
  <c r="G7" i="1" s="1"/>
  <c r="G12" i="1" a="1"/>
  <c r="G12" i="1" s="1"/>
  <c r="G19" i="1" a="1"/>
  <c r="G19" i="1" s="1"/>
  <c r="G51" i="1" a="1"/>
  <c r="G51" i="1" s="1"/>
  <c r="G61" i="1" a="1"/>
  <c r="G61" i="1" s="1"/>
  <c r="G65" i="1" a="1"/>
  <c r="G65" i="1" s="1"/>
  <c r="G70" i="1" a="1"/>
  <c r="G70" i="1" s="1"/>
  <c r="G80" i="1" a="1"/>
  <c r="G80" i="1" s="1"/>
  <c r="G103" i="1" a="1"/>
  <c r="G103" i="1" s="1"/>
  <c r="G105" i="1" a="1"/>
  <c r="G105" i="1" s="1"/>
  <c r="G106" i="1" a="1"/>
  <c r="G106" i="1" s="1"/>
  <c r="G64" i="1" a="1"/>
  <c r="G64" i="1" s="1"/>
  <c r="G20" i="1" a="1"/>
  <c r="G20" i="1" s="1"/>
  <c r="G21" i="1" a="1"/>
  <c r="G21" i="1" s="1"/>
  <c r="G91" i="1" a="1"/>
  <c r="G91" i="1" s="1"/>
  <c r="G92" i="1" a="1"/>
  <c r="G92" i="1" s="1"/>
  <c r="G114" i="1" a="1"/>
  <c r="G114" i="1" s="1"/>
  <c r="G22" i="1" a="1"/>
  <c r="G22" i="1" s="1"/>
  <c r="G81" i="1" a="1"/>
  <c r="G81" i="1" s="1"/>
  <c r="G113" i="1" a="1"/>
  <c r="G113" i="1" s="1"/>
  <c r="G115" i="1" a="1"/>
  <c r="G115" i="1" s="1"/>
  <c r="G116" i="1" a="1"/>
  <c r="G116" i="1" s="1"/>
  <c r="G117" i="1" a="1"/>
  <c r="G117" i="1" s="1"/>
  <c r="G119" i="1" a="1"/>
  <c r="G119" i="1" s="1"/>
  <c r="G118" i="1" a="1"/>
  <c r="G118" i="1" s="1"/>
  <c r="G120" i="1" a="1"/>
  <c r="G120" i="1" s="1"/>
  <c r="G121" i="1" a="1"/>
  <c r="G121" i="1" s="1"/>
  <c r="G122" i="1" a="1"/>
  <c r="G122" i="1" s="1"/>
  <c r="G123" i="1" a="1"/>
  <c r="G123" i="1" s="1"/>
  <c r="G124" i="1" a="1"/>
  <c r="G124" i="1" s="1"/>
  <c r="G125" i="1" a="1"/>
  <c r="G125" i="1" s="1"/>
  <c r="G126" i="1" a="1"/>
  <c r="G126" i="1" s="1"/>
  <c r="G127" i="1" a="1"/>
  <c r="G127" i="1" s="1"/>
  <c r="G129" i="1" a="1"/>
  <c r="G129" i="1" s="1"/>
  <c r="G128" i="1" a="1"/>
  <c r="G128"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3" i="1" a="1"/>
  <c r="G143" i="1" s="1"/>
  <c r="G142" i="1" a="1"/>
  <c r="G142" i="1" s="1"/>
  <c r="G144" i="1" a="1"/>
  <c r="G144" i="1" s="1"/>
  <c r="G145" i="1" a="1"/>
  <c r="G145" i="1" s="1"/>
  <c r="G147" i="1" a="1"/>
  <c r="G147" i="1" s="1"/>
  <c r="G146" i="1" a="1"/>
  <c r="G146" i="1" s="1"/>
  <c r="G148" i="1" a="1"/>
  <c r="G148" i="1" s="1"/>
  <c r="G149" i="1" a="1"/>
  <c r="G149" i="1" s="1"/>
  <c r="G150" i="1" a="1"/>
  <c r="G150" i="1" s="1"/>
  <c r="G151" i="1" a="1"/>
  <c r="G151" i="1" s="1"/>
  <c r="G152" i="1" a="1"/>
  <c r="G152" i="1" s="1"/>
  <c r="G154" i="1" a="1"/>
  <c r="G154" i="1" s="1"/>
  <c r="G153" i="1" a="1"/>
  <c r="G153" i="1" s="1"/>
  <c r="G155" i="1" a="1"/>
  <c r="G155" i="1" s="1"/>
  <c r="G156" i="1" a="1"/>
  <c r="G156" i="1" s="1"/>
  <c r="G157" i="1" a="1"/>
  <c r="G157" i="1" s="1"/>
  <c r="G160" i="1" a="1"/>
  <c r="G160" i="1" s="1"/>
  <c r="G158" i="1" a="1"/>
  <c r="G158" i="1" s="1"/>
  <c r="G159" i="1" a="1"/>
  <c r="G159"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5" i="1" a="1"/>
  <c r="G175" i="1" s="1"/>
  <c r="G176" i="1" a="1"/>
  <c r="G176" i="1" s="1"/>
  <c r="G177" i="1" a="1"/>
  <c r="G177" i="1" s="1"/>
  <c r="G171" i="1" a="1"/>
  <c r="G171" i="1" s="1"/>
  <c r="G180" i="1" a="1"/>
  <c r="G180" i="1" s="1"/>
  <c r="G172" i="1" a="1"/>
  <c r="G172" i="1" s="1"/>
  <c r="G174" i="1" a="1"/>
  <c r="G174" i="1" s="1"/>
  <c r="G178" i="1" a="1"/>
  <c r="G178" i="1" s="1"/>
  <c r="G173" i="1" a="1"/>
  <c r="G173" i="1" s="1"/>
  <c r="G184" i="1" a="1"/>
  <c r="G184" i="1" s="1"/>
  <c r="G179" i="1" a="1"/>
  <c r="G179" i="1" s="1"/>
  <c r="G181" i="1" a="1"/>
  <c r="G181" i="1" s="1"/>
  <c r="G182" i="1" a="1"/>
  <c r="G182" i="1" s="1"/>
  <c r="G183" i="1" a="1"/>
  <c r="G183" i="1" s="1"/>
  <c r="G185" i="1" a="1"/>
  <c r="G185" i="1" s="1"/>
  <c r="G186" i="1" a="1"/>
  <c r="G186" i="1" s="1"/>
  <c r="G187" i="1" a="1"/>
  <c r="G187" i="1" s="1"/>
  <c r="G188" i="1" a="1"/>
  <c r="G188" i="1" s="1"/>
  <c r="G189" i="1" a="1"/>
  <c r="G189" i="1" s="1"/>
  <c r="G190" i="1" a="1"/>
  <c r="G190" i="1" s="1"/>
  <c r="G191" i="1" a="1"/>
  <c r="G191" i="1" s="1"/>
  <c r="G192" i="1" a="1"/>
  <c r="G192" i="1" s="1"/>
  <c r="G193" i="1" a="1"/>
  <c r="G193" i="1" s="1"/>
  <c r="G195" i="1" a="1"/>
  <c r="G195" i="1" s="1"/>
  <c r="G197" i="1" a="1"/>
  <c r="G197" i="1" s="1"/>
  <c r="G199" i="1" a="1"/>
  <c r="G199" i="1" s="1"/>
  <c r="G200" i="1" a="1"/>
  <c r="G200" i="1" s="1"/>
  <c r="G201" i="1" a="1"/>
  <c r="G201" i="1" s="1"/>
  <c r="G203" i="1" a="1"/>
  <c r="G203" i="1" s="1"/>
  <c r="G202" i="1" a="1"/>
  <c r="G202" i="1" s="1"/>
  <c r="G204" i="1" a="1"/>
  <c r="G204" i="1" s="1"/>
  <c r="G205" i="1" a="1"/>
  <c r="G205" i="1" s="1"/>
  <c r="G206" i="1" a="1"/>
  <c r="G206" i="1" s="1"/>
  <c r="G207" i="1" a="1"/>
  <c r="G207" i="1" s="1"/>
  <c r="G209" i="1" a="1"/>
  <c r="G209" i="1" s="1"/>
  <c r="R13" i="1"/>
  <c r="R15" i="1"/>
  <c r="R104" i="1"/>
  <c r="R17" i="1"/>
  <c r="R41" i="1"/>
  <c r="R29" i="1"/>
  <c r="R88" i="1"/>
  <c r="R11" i="1"/>
  <c r="R110" i="1"/>
  <c r="R111" i="1"/>
  <c r="R71" i="1"/>
  <c r="R72" i="1"/>
  <c r="R73" i="1"/>
  <c r="R76" i="1"/>
  <c r="R107" i="1"/>
  <c r="R24" i="1"/>
  <c r="R28" i="1"/>
  <c r="R30" i="1"/>
  <c r="R52" i="1"/>
  <c r="R39" i="1"/>
  <c r="R45" i="1"/>
  <c r="R83" i="1"/>
  <c r="R47" i="1"/>
  <c r="R63" i="1"/>
  <c r="R9" i="1"/>
  <c r="R108" i="1"/>
  <c r="R32" i="1"/>
  <c r="R34" i="1"/>
  <c r="R56" i="1"/>
  <c r="R27" i="1"/>
  <c r="R31" i="1"/>
  <c r="R33" i="1"/>
  <c r="R74" i="1"/>
  <c r="R77" i="1"/>
  <c r="R78" i="1"/>
  <c r="R93" i="1"/>
  <c r="R100" i="1"/>
  <c r="R57" i="1"/>
  <c r="R58" i="1"/>
  <c r="R59" i="1"/>
  <c r="R60" i="1"/>
  <c r="R89" i="1"/>
  <c r="R23" i="1"/>
  <c r="R38" i="1"/>
  <c r="R75" i="1"/>
  <c r="R109" i="1"/>
  <c r="R112" i="1"/>
  <c r="R90" i="1"/>
  <c r="R8" i="1"/>
  <c r="R10" i="1"/>
  <c r="R42" i="1"/>
  <c r="R43" i="1"/>
  <c r="R44" i="1"/>
  <c r="R66" i="1"/>
  <c r="R67" i="1"/>
  <c r="R68" i="1"/>
  <c r="R82" i="1"/>
  <c r="R84" i="1"/>
  <c r="R85" i="1"/>
  <c r="R86" i="1"/>
  <c r="R87" i="1"/>
  <c r="R94" i="1"/>
  <c r="R101" i="1"/>
  <c r="R40" i="1"/>
  <c r="R48" i="1"/>
  <c r="R49" i="1"/>
  <c r="R54" i="1"/>
  <c r="R102" i="1"/>
  <c r="R4" i="1"/>
  <c r="R6" i="1"/>
  <c r="R14" i="1"/>
  <c r="R26" i="1"/>
  <c r="R79" i="1"/>
  <c r="R36" i="1"/>
  <c r="R69" i="1"/>
  <c r="R53" i="1"/>
  <c r="R95" i="1"/>
  <c r="R96" i="1"/>
  <c r="R98" i="1"/>
  <c r="R99" i="1"/>
  <c r="R16" i="1"/>
  <c r="R25" i="1"/>
  <c r="R35" i="1"/>
  <c r="R37" i="1"/>
  <c r="R62" i="1"/>
  <c r="R97" i="1"/>
  <c r="R18" i="1"/>
  <c r="R46" i="1"/>
  <c r="R50" i="1"/>
  <c r="R55" i="1"/>
  <c r="R5" i="1"/>
  <c r="R7" i="1"/>
  <c r="R12" i="1"/>
  <c r="R19" i="1"/>
  <c r="R51" i="1"/>
  <c r="R61" i="1"/>
  <c r="R65" i="1"/>
  <c r="R70" i="1"/>
  <c r="R80" i="1"/>
  <c r="R103" i="1"/>
  <c r="R105" i="1"/>
  <c r="R106" i="1"/>
  <c r="R64" i="1"/>
  <c r="R20" i="1"/>
  <c r="R21" i="1"/>
  <c r="R91" i="1"/>
  <c r="R92" i="1"/>
  <c r="R114" i="1"/>
  <c r="R22" i="1"/>
  <c r="R81" i="1"/>
  <c r="R113" i="1"/>
  <c r="R115" i="1"/>
  <c r="R116" i="1"/>
  <c r="R117" i="1"/>
  <c r="R119" i="1"/>
  <c r="R118" i="1"/>
  <c r="R120" i="1"/>
  <c r="R121" i="1"/>
  <c r="R122" i="1"/>
  <c r="R123" i="1"/>
  <c r="R124" i="1"/>
  <c r="R125" i="1"/>
  <c r="R126" i="1"/>
  <c r="R127" i="1"/>
  <c r="R129" i="1"/>
  <c r="R128" i="1"/>
  <c r="R130" i="1"/>
  <c r="R131" i="1"/>
  <c r="R132" i="1"/>
  <c r="R133" i="1"/>
  <c r="R134" i="1"/>
  <c r="R135" i="1"/>
  <c r="R136" i="1"/>
  <c r="R137" i="1"/>
  <c r="R138" i="1"/>
  <c r="R139" i="1"/>
  <c r="R140" i="1"/>
  <c r="R141" i="1"/>
  <c r="R143" i="1"/>
  <c r="R142" i="1"/>
  <c r="R144" i="1"/>
  <c r="R145" i="1"/>
  <c r="R147" i="1"/>
  <c r="R146" i="1"/>
  <c r="R148" i="1"/>
  <c r="R149" i="1"/>
  <c r="R150" i="1"/>
  <c r="R151" i="1"/>
  <c r="R152" i="1"/>
  <c r="R154" i="1"/>
  <c r="R153" i="1"/>
  <c r="R155" i="1"/>
  <c r="R156" i="1"/>
  <c r="R157" i="1"/>
  <c r="R160" i="1"/>
  <c r="R158" i="1"/>
  <c r="R159" i="1"/>
  <c r="R161" i="1"/>
  <c r="R162" i="1"/>
  <c r="R163" i="1"/>
  <c r="R164" i="1"/>
  <c r="R165" i="1"/>
  <c r="R166" i="1"/>
  <c r="R167" i="1"/>
  <c r="R168" i="1"/>
  <c r="R169" i="1"/>
  <c r="R170" i="1"/>
  <c r="R175" i="1"/>
  <c r="R176" i="1"/>
  <c r="R177" i="1"/>
  <c r="R171" i="1"/>
  <c r="R180" i="1"/>
  <c r="R172" i="1"/>
  <c r="R174" i="1"/>
  <c r="R178" i="1"/>
  <c r="R173" i="1"/>
  <c r="R184" i="1"/>
  <c r="R179" i="1"/>
  <c r="R181" i="1"/>
  <c r="R182" i="1"/>
  <c r="R183" i="1"/>
  <c r="R185" i="1"/>
  <c r="R186" i="1"/>
  <c r="R187" i="1"/>
  <c r="R188" i="1"/>
  <c r="R189" i="1"/>
  <c r="R190" i="1"/>
  <c r="R191" i="1"/>
  <c r="R192" i="1"/>
  <c r="R193" i="1"/>
  <c r="R195" i="1"/>
  <c r="R197" i="1"/>
  <c r="R199" i="1"/>
  <c r="R200" i="1"/>
  <c r="R201" i="1"/>
  <c r="R203" i="1"/>
  <c r="R202" i="1"/>
  <c r="R204" i="1"/>
  <c r="R205" i="1"/>
  <c r="R206" i="1"/>
  <c r="R207" i="1"/>
  <c r="R209" i="1"/>
  <c r="S13" i="1"/>
  <c r="T13" i="1" s="1"/>
  <c r="S15" i="1"/>
  <c r="T15" i="1" s="1"/>
  <c r="S104" i="1"/>
  <c r="T104" i="1" s="1"/>
  <c r="S17" i="1"/>
  <c r="U17" i="1" s="1"/>
  <c r="S41" i="1"/>
  <c r="U41" i="1" s="1"/>
  <c r="S29" i="1"/>
  <c r="T29" i="1" s="1"/>
  <c r="S88" i="1"/>
  <c r="T88" i="1" s="1"/>
  <c r="S11" i="1"/>
  <c r="T11" i="1" s="1"/>
  <c r="S110" i="1"/>
  <c r="T110" i="1" s="1"/>
  <c r="S111" i="1"/>
  <c r="T111" i="1" s="1"/>
  <c r="S71" i="1"/>
  <c r="U71" i="1" s="1"/>
  <c r="S72" i="1"/>
  <c r="U72" i="1" s="1"/>
  <c r="S73" i="1"/>
  <c r="T73" i="1" s="1"/>
  <c r="S76" i="1"/>
  <c r="T76" i="1" s="1"/>
  <c r="S107" i="1"/>
  <c r="T107" i="1" s="1"/>
  <c r="S24" i="1"/>
  <c r="U24" i="1" s="1"/>
  <c r="S28" i="1"/>
  <c r="U28" i="1" s="1"/>
  <c r="S30" i="1"/>
  <c r="U30" i="1" s="1"/>
  <c r="S52" i="1"/>
  <c r="U52" i="1" s="1"/>
  <c r="S39" i="1"/>
  <c r="U39" i="1" s="1"/>
  <c r="S45" i="1"/>
  <c r="T45" i="1" s="1"/>
  <c r="S83" i="1"/>
  <c r="U83" i="1" s="1"/>
  <c r="S47" i="1"/>
  <c r="U47" i="1" s="1"/>
  <c r="S63" i="1"/>
  <c r="T63" i="1" s="1"/>
  <c r="S9" i="1"/>
  <c r="T9" i="1" s="1"/>
  <c r="S108" i="1"/>
  <c r="T108" i="1" s="1"/>
  <c r="S32" i="1"/>
  <c r="U32" i="1" s="1"/>
  <c r="S34" i="1"/>
  <c r="U34" i="1" s="1"/>
  <c r="S56" i="1"/>
  <c r="U56" i="1" s="1"/>
  <c r="S27" i="1"/>
  <c r="T27" i="1" s="1"/>
  <c r="S31" i="1"/>
  <c r="U31" i="1" s="1"/>
  <c r="S33" i="1"/>
  <c r="U33" i="1" s="1"/>
  <c r="S74" i="1"/>
  <c r="U74" i="1" s="1"/>
  <c r="S77" i="1"/>
  <c r="T77" i="1" s="1"/>
  <c r="S78" i="1"/>
  <c r="U78" i="1" s="1"/>
  <c r="S93" i="1"/>
  <c r="T93" i="1" s="1"/>
  <c r="S100" i="1"/>
  <c r="T100" i="1" s="1"/>
  <c r="S57" i="1"/>
  <c r="T57" i="1" s="1"/>
  <c r="S58" i="1"/>
  <c r="U58" i="1" s="1"/>
  <c r="S59" i="1"/>
  <c r="U59" i="1" s="1"/>
  <c r="S60" i="1"/>
  <c r="U60" i="1" s="1"/>
  <c r="S89" i="1"/>
  <c r="T89" i="1" s="1"/>
  <c r="S23" i="1"/>
  <c r="U23" i="1" s="1"/>
  <c r="S38" i="1"/>
  <c r="U38" i="1" s="1"/>
  <c r="S75" i="1"/>
  <c r="T75" i="1" s="1"/>
  <c r="S109" i="1"/>
  <c r="T109" i="1" s="1"/>
  <c r="S112" i="1"/>
  <c r="T112" i="1" s="1"/>
  <c r="S90" i="1"/>
  <c r="T90" i="1" s="1"/>
  <c r="S8" i="1"/>
  <c r="T8" i="1" s="1"/>
  <c r="S10" i="1"/>
  <c r="T10" i="1" s="1"/>
  <c r="S42" i="1"/>
  <c r="U42" i="1" s="1"/>
  <c r="S43" i="1"/>
  <c r="U43" i="1" s="1"/>
  <c r="S44" i="1"/>
  <c r="U44" i="1" s="1"/>
  <c r="S66" i="1"/>
  <c r="U66" i="1" s="1"/>
  <c r="S67" i="1"/>
  <c r="U67" i="1" s="1"/>
  <c r="S68" i="1"/>
  <c r="U68" i="1" s="1"/>
  <c r="S82" i="1"/>
  <c r="T82" i="1" s="1"/>
  <c r="S84" i="1"/>
  <c r="T84" i="1" s="1"/>
  <c r="S85" i="1"/>
  <c r="U85" i="1" s="1"/>
  <c r="S86" i="1"/>
  <c r="U86" i="1" s="1"/>
  <c r="S87" i="1"/>
  <c r="T87" i="1" s="1"/>
  <c r="S94" i="1"/>
  <c r="T94" i="1" s="1"/>
  <c r="S101" i="1"/>
  <c r="T101" i="1" s="1"/>
  <c r="S40" i="1"/>
  <c r="U40" i="1" s="1"/>
  <c r="S48" i="1"/>
  <c r="T48" i="1" s="1"/>
  <c r="S49" i="1"/>
  <c r="U49" i="1" s="1"/>
  <c r="S54" i="1"/>
  <c r="U54" i="1" s="1"/>
  <c r="S102" i="1"/>
  <c r="T102" i="1" s="1"/>
  <c r="S4" i="1"/>
  <c r="T4" i="1" s="1"/>
  <c r="S6" i="1"/>
  <c r="T6" i="1" s="1"/>
  <c r="S14" i="1"/>
  <c r="T14" i="1" s="1"/>
  <c r="S26" i="1"/>
  <c r="T26" i="1" s="1"/>
  <c r="S79" i="1"/>
  <c r="T79" i="1" s="1"/>
  <c r="S36" i="1"/>
  <c r="T36" i="1" s="1"/>
  <c r="S69" i="1"/>
  <c r="T69" i="1" s="1"/>
  <c r="S53" i="1"/>
  <c r="U53" i="1" s="1"/>
  <c r="S95" i="1"/>
  <c r="U95" i="1" s="1"/>
  <c r="S96" i="1"/>
  <c r="T96" i="1" s="1"/>
  <c r="S98" i="1"/>
  <c r="T98" i="1" s="1"/>
  <c r="S99" i="1"/>
  <c r="T99" i="1" s="1"/>
  <c r="S16" i="1"/>
  <c r="U16" i="1" s="1"/>
  <c r="S25" i="1"/>
  <c r="T25" i="1" s="1"/>
  <c r="S35" i="1"/>
  <c r="U35" i="1" s="1"/>
  <c r="S37" i="1"/>
  <c r="U37" i="1" s="1"/>
  <c r="S62" i="1"/>
  <c r="T62" i="1" s="1"/>
  <c r="S97" i="1"/>
  <c r="T97" i="1" s="1"/>
  <c r="S18" i="1"/>
  <c r="T18" i="1" s="1"/>
  <c r="S46" i="1"/>
  <c r="U46" i="1" s="1"/>
  <c r="S50" i="1"/>
  <c r="U50" i="1" s="1"/>
  <c r="S55" i="1"/>
  <c r="T55" i="1" s="1"/>
  <c r="S5" i="1"/>
  <c r="U5" i="1" s="1"/>
  <c r="S7" i="1"/>
  <c r="U7" i="1" s="1"/>
  <c r="S12" i="1"/>
  <c r="T12" i="1" s="1"/>
  <c r="S19" i="1"/>
  <c r="T19" i="1" s="1"/>
  <c r="S51" i="1"/>
  <c r="T51" i="1" s="1"/>
  <c r="S61" i="1"/>
  <c r="T61" i="1" s="1"/>
  <c r="S65" i="1"/>
  <c r="T65" i="1" s="1"/>
  <c r="S70" i="1"/>
  <c r="T70" i="1" s="1"/>
  <c r="S80" i="1"/>
  <c r="U80" i="1" s="1"/>
  <c r="S103" i="1"/>
  <c r="U103" i="1" s="1"/>
  <c r="S105" i="1"/>
  <c r="U105" i="1" s="1"/>
  <c r="S106" i="1"/>
  <c r="T106" i="1" s="1"/>
  <c r="S64" i="1"/>
  <c r="T64" i="1" s="1"/>
  <c r="S20" i="1"/>
  <c r="U20" i="1" s="1"/>
  <c r="S21" i="1"/>
  <c r="T21" i="1" s="1"/>
  <c r="S91" i="1"/>
  <c r="T91" i="1" s="1"/>
  <c r="S92" i="1"/>
  <c r="U92" i="1" s="1"/>
  <c r="S114" i="1"/>
  <c r="U114" i="1" s="1"/>
  <c r="S22" i="1"/>
  <c r="T22" i="1" s="1"/>
  <c r="S81" i="1"/>
  <c r="T81" i="1" s="1"/>
  <c r="S113" i="1"/>
  <c r="U113" i="1" s="1"/>
  <c r="S115" i="1"/>
  <c r="T115" i="1" s="1"/>
  <c r="S116" i="1"/>
  <c r="T116" i="1" s="1"/>
  <c r="S117" i="1"/>
  <c r="U117" i="1" s="1"/>
  <c r="S119" i="1"/>
  <c r="T119" i="1" s="1"/>
  <c r="S118" i="1"/>
  <c r="U118" i="1" s="1"/>
  <c r="S120" i="1"/>
  <c r="U120" i="1" s="1"/>
  <c r="S121" i="1"/>
  <c r="T121" i="1" s="1"/>
  <c r="S122" i="1"/>
  <c r="T122" i="1" s="1"/>
  <c r="S123" i="1"/>
  <c r="T123" i="1" s="1"/>
  <c r="S124" i="1"/>
  <c r="T124" i="1" s="1"/>
  <c r="S125" i="1"/>
  <c r="T125" i="1" s="1"/>
  <c r="S126" i="1"/>
  <c r="U126" i="1" s="1"/>
  <c r="S127" i="1"/>
  <c r="U127" i="1" s="1"/>
  <c r="S129" i="1"/>
  <c r="U129" i="1" s="1"/>
  <c r="S128" i="1"/>
  <c r="U128" i="1" s="1"/>
  <c r="S130" i="1"/>
  <c r="U130" i="1" s="1"/>
  <c r="S131" i="1"/>
  <c r="U131" i="1" s="1"/>
  <c r="S132" i="1"/>
  <c r="U132" i="1" s="1"/>
  <c r="S133" i="1"/>
  <c r="U133" i="1" s="1"/>
  <c r="S134" i="1"/>
  <c r="T134" i="1" s="1"/>
  <c r="S135" i="1"/>
  <c r="U135" i="1" s="1"/>
  <c r="S136" i="1"/>
  <c r="T136" i="1" s="1"/>
  <c r="S137" i="1"/>
  <c r="T137" i="1" s="1"/>
  <c r="S138" i="1"/>
  <c r="U138" i="1" s="1"/>
  <c r="S139" i="1"/>
  <c r="U139" i="1" s="1"/>
  <c r="S140" i="1"/>
  <c r="T140" i="1" s="1"/>
  <c r="S141" i="1"/>
  <c r="T141" i="1" s="1"/>
  <c r="S143" i="1"/>
  <c r="U143" i="1" s="1"/>
  <c r="S142" i="1"/>
  <c r="U142" i="1" s="1"/>
  <c r="S144" i="1"/>
  <c r="T144" i="1" s="1"/>
  <c r="S145" i="1"/>
  <c r="T145" i="1" s="1"/>
  <c r="S147" i="1"/>
  <c r="U147" i="1" s="1"/>
  <c r="S146" i="1"/>
  <c r="T146" i="1" s="1"/>
  <c r="S148" i="1"/>
  <c r="T148" i="1" s="1"/>
  <c r="S149" i="1"/>
  <c r="T149" i="1" s="1"/>
  <c r="S150" i="1"/>
  <c r="T150" i="1" s="1"/>
  <c r="S151" i="1"/>
  <c r="U151" i="1" s="1"/>
  <c r="S152" i="1"/>
  <c r="U152" i="1" s="1"/>
  <c r="S154" i="1"/>
  <c r="U154" i="1" s="1"/>
  <c r="S153" i="1"/>
  <c r="U153" i="1" s="1"/>
  <c r="S155" i="1"/>
  <c r="T155" i="1" s="1"/>
  <c r="S156" i="1"/>
  <c r="T156" i="1" s="1"/>
  <c r="S157" i="1"/>
  <c r="U157" i="1" s="1"/>
  <c r="S160" i="1"/>
  <c r="U160" i="1" s="1"/>
  <c r="S158" i="1"/>
  <c r="U158" i="1" s="1"/>
  <c r="S159" i="1"/>
  <c r="T159" i="1" s="1"/>
  <c r="S161" i="1"/>
  <c r="T161" i="1" s="1"/>
  <c r="S162" i="1"/>
  <c r="T162" i="1" s="1"/>
  <c r="S163" i="1"/>
  <c r="U163" i="1" s="1"/>
  <c r="S164" i="1"/>
  <c r="U164" i="1" s="1"/>
  <c r="S165" i="1"/>
  <c r="T165" i="1" s="1"/>
  <c r="S166" i="1"/>
  <c r="U166" i="1" s="1"/>
  <c r="S167" i="1"/>
  <c r="T167" i="1" s="1"/>
  <c r="S168" i="1"/>
  <c r="U168" i="1" s="1"/>
  <c r="S169" i="1"/>
  <c r="U169" i="1" s="1"/>
  <c r="S170" i="1"/>
  <c r="T170" i="1" s="1"/>
  <c r="S175" i="1"/>
  <c r="T175" i="1" s="1"/>
  <c r="S176" i="1"/>
  <c r="T176" i="1" s="1"/>
  <c r="S177" i="1"/>
  <c r="U177" i="1" s="1"/>
  <c r="S171" i="1"/>
  <c r="T171" i="1" s="1"/>
  <c r="S180" i="1"/>
  <c r="T180" i="1" s="1"/>
  <c r="S172" i="1"/>
  <c r="U172" i="1" s="1"/>
  <c r="S174" i="1"/>
  <c r="U174" i="1" s="1"/>
  <c r="S178" i="1"/>
  <c r="S173" i="1"/>
  <c r="U173" i="1" s="1"/>
  <c r="S184" i="1"/>
  <c r="T184" i="1" s="1"/>
  <c r="S179" i="1"/>
  <c r="U179" i="1" s="1"/>
  <c r="S181" i="1"/>
  <c r="T181" i="1" s="1"/>
  <c r="S182" i="1"/>
  <c r="T182" i="1" s="1"/>
  <c r="S183" i="1"/>
  <c r="T183" i="1" s="1"/>
  <c r="S185" i="1"/>
  <c r="U185" i="1" s="1"/>
  <c r="S186" i="1"/>
  <c r="U186" i="1" s="1"/>
  <c r="S187" i="1"/>
  <c r="U187" i="1" s="1"/>
  <c r="S188" i="1"/>
  <c r="T188" i="1" s="1"/>
  <c r="S189" i="1"/>
  <c r="T189" i="1" s="1"/>
  <c r="S190" i="1"/>
  <c r="U190" i="1" s="1"/>
  <c r="S191" i="1"/>
  <c r="U191" i="1" s="1"/>
  <c r="S192" i="1"/>
  <c r="T192" i="1" s="1"/>
  <c r="S193" i="1"/>
  <c r="T193" i="1" s="1"/>
  <c r="S195" i="1"/>
  <c r="U195" i="1" s="1"/>
  <c r="S197" i="1"/>
  <c r="T197" i="1" s="1"/>
  <c r="S199" i="1"/>
  <c r="T199" i="1" s="1"/>
  <c r="S200" i="1"/>
  <c r="T200" i="1" s="1"/>
  <c r="S201" i="1"/>
  <c r="T201" i="1" s="1"/>
  <c r="S203" i="1"/>
  <c r="U203" i="1" s="1"/>
  <c r="S202" i="1"/>
  <c r="U202" i="1" s="1"/>
  <c r="S204" i="1"/>
  <c r="U204" i="1" s="1"/>
  <c r="S205" i="1"/>
  <c r="T205" i="1" s="1"/>
  <c r="S206" i="1"/>
  <c r="T206" i="1" s="1"/>
  <c r="S207" i="1"/>
  <c r="T207" i="1" s="1"/>
  <c r="S209" i="1"/>
  <c r="T209" i="1" s="1"/>
  <c r="V13" i="1"/>
  <c r="V15" i="1"/>
  <c r="V104" i="1"/>
  <c r="V17" i="1"/>
  <c r="V41" i="1"/>
  <c r="V29" i="1"/>
  <c r="V88" i="1"/>
  <c r="V11" i="1"/>
  <c r="V110" i="1"/>
  <c r="V111" i="1"/>
  <c r="V71" i="1"/>
  <c r="V72" i="1"/>
  <c r="V73" i="1"/>
  <c r="V76" i="1"/>
  <c r="V107" i="1"/>
  <c r="V24" i="1"/>
  <c r="V28" i="1"/>
  <c r="V30" i="1"/>
  <c r="V52" i="1"/>
  <c r="V39" i="1"/>
  <c r="V45" i="1"/>
  <c r="V83" i="1"/>
  <c r="V47" i="1"/>
  <c r="V63" i="1"/>
  <c r="V9" i="1"/>
  <c r="V108" i="1"/>
  <c r="V32" i="1"/>
  <c r="V34" i="1"/>
  <c r="V56" i="1"/>
  <c r="V27" i="1"/>
  <c r="V31" i="1"/>
  <c r="V33" i="1"/>
  <c r="V74" i="1"/>
  <c r="V77" i="1"/>
  <c r="V78" i="1"/>
  <c r="V93" i="1"/>
  <c r="V100" i="1"/>
  <c r="V57" i="1"/>
  <c r="V58" i="1"/>
  <c r="V59" i="1"/>
  <c r="V60" i="1"/>
  <c r="V89" i="1"/>
  <c r="V23" i="1"/>
  <c r="V38" i="1"/>
  <c r="V75" i="1"/>
  <c r="V109" i="1"/>
  <c r="V112" i="1"/>
  <c r="V90" i="1"/>
  <c r="V8" i="1"/>
  <c r="V10" i="1"/>
  <c r="V42" i="1"/>
  <c r="V43" i="1"/>
  <c r="V44" i="1"/>
  <c r="V66" i="1"/>
  <c r="V67" i="1"/>
  <c r="V68" i="1"/>
  <c r="V82" i="1"/>
  <c r="V84" i="1"/>
  <c r="V85" i="1"/>
  <c r="V86" i="1"/>
  <c r="V87" i="1"/>
  <c r="V94" i="1"/>
  <c r="V101" i="1"/>
  <c r="V40" i="1"/>
  <c r="V48" i="1"/>
  <c r="V49" i="1"/>
  <c r="V54" i="1"/>
  <c r="V102" i="1"/>
  <c r="V4" i="1"/>
  <c r="V6" i="1"/>
  <c r="V14" i="1"/>
  <c r="V26" i="1"/>
  <c r="V79" i="1"/>
  <c r="V36" i="1"/>
  <c r="V69" i="1"/>
  <c r="V53" i="1"/>
  <c r="V95" i="1"/>
  <c r="V96" i="1"/>
  <c r="V98" i="1"/>
  <c r="V99" i="1"/>
  <c r="V16" i="1"/>
  <c r="V25" i="1"/>
  <c r="V35" i="1"/>
  <c r="V37" i="1"/>
  <c r="V62" i="1"/>
  <c r="V97" i="1"/>
  <c r="V18" i="1"/>
  <c r="V46" i="1"/>
  <c r="V50" i="1"/>
  <c r="V55" i="1"/>
  <c r="V5" i="1"/>
  <c r="V7" i="1"/>
  <c r="V12" i="1"/>
  <c r="V19" i="1"/>
  <c r="V51" i="1"/>
  <c r="V61" i="1"/>
  <c r="V65" i="1"/>
  <c r="V70" i="1"/>
  <c r="V80" i="1"/>
  <c r="V103" i="1"/>
  <c r="V105" i="1"/>
  <c r="V106" i="1"/>
  <c r="V64" i="1"/>
  <c r="V20" i="1"/>
  <c r="V21" i="1"/>
  <c r="V91" i="1"/>
  <c r="V92" i="1"/>
  <c r="V114" i="1"/>
  <c r="V22" i="1"/>
  <c r="V81" i="1"/>
  <c r="V113" i="1"/>
  <c r="V115" i="1"/>
  <c r="V116" i="1"/>
  <c r="V117" i="1"/>
  <c r="V119" i="1"/>
  <c r="V118" i="1"/>
  <c r="V120" i="1"/>
  <c r="V121" i="1"/>
  <c r="V122" i="1"/>
  <c r="V123" i="1"/>
  <c r="V124" i="1"/>
  <c r="V125" i="1"/>
  <c r="V126" i="1"/>
  <c r="V127" i="1"/>
  <c r="V129" i="1"/>
  <c r="V128" i="1"/>
  <c r="V130" i="1"/>
  <c r="V131" i="1"/>
  <c r="V132" i="1"/>
  <c r="V133" i="1"/>
  <c r="V134" i="1"/>
  <c r="V135" i="1"/>
  <c r="V136" i="1"/>
  <c r="V137" i="1"/>
  <c r="V138" i="1"/>
  <c r="V139" i="1"/>
  <c r="V140" i="1"/>
  <c r="V141" i="1"/>
  <c r="V143" i="1"/>
  <c r="V142" i="1"/>
  <c r="V144" i="1"/>
  <c r="V145" i="1"/>
  <c r="V147" i="1"/>
  <c r="V146" i="1"/>
  <c r="V148" i="1"/>
  <c r="V149" i="1"/>
  <c r="V150" i="1"/>
  <c r="V151" i="1"/>
  <c r="V152" i="1"/>
  <c r="V154" i="1"/>
  <c r="V153" i="1"/>
  <c r="V155" i="1"/>
  <c r="V156" i="1"/>
  <c r="V157" i="1"/>
  <c r="V160" i="1"/>
  <c r="V158" i="1"/>
  <c r="V159" i="1"/>
  <c r="V161" i="1"/>
  <c r="V162" i="1"/>
  <c r="V163" i="1"/>
  <c r="V164" i="1"/>
  <c r="V165" i="1"/>
  <c r="V166" i="1"/>
  <c r="V167" i="1"/>
  <c r="V168" i="1"/>
  <c r="V169" i="1"/>
  <c r="V170" i="1"/>
  <c r="V175" i="1"/>
  <c r="V176" i="1"/>
  <c r="V177" i="1"/>
  <c r="V171" i="1"/>
  <c r="V180" i="1"/>
  <c r="V172" i="1"/>
  <c r="V174" i="1"/>
  <c r="V178" i="1"/>
  <c r="V173" i="1"/>
  <c r="V184" i="1"/>
  <c r="V179" i="1"/>
  <c r="V181" i="1"/>
  <c r="V182" i="1"/>
  <c r="V183" i="1"/>
  <c r="V185" i="1"/>
  <c r="V186" i="1"/>
  <c r="V187" i="1"/>
  <c r="V188" i="1"/>
  <c r="V189" i="1"/>
  <c r="V190" i="1"/>
  <c r="V191" i="1"/>
  <c r="V192" i="1"/>
  <c r="V193" i="1"/>
  <c r="V195" i="1"/>
  <c r="V197" i="1"/>
  <c r="V199" i="1"/>
  <c r="V200" i="1"/>
  <c r="V201" i="1"/>
  <c r="V203" i="1"/>
  <c r="V202" i="1"/>
  <c r="V204" i="1"/>
  <c r="V205" i="1"/>
  <c r="V206" i="1"/>
  <c r="V207" i="1"/>
  <c r="V209" i="1"/>
  <c r="W13" i="1"/>
  <c r="W15" i="1"/>
  <c r="W104" i="1"/>
  <c r="W17" i="1"/>
  <c r="W41" i="1"/>
  <c r="W29" i="1"/>
  <c r="W88" i="1"/>
  <c r="W11" i="1"/>
  <c r="W110" i="1"/>
  <c r="W111" i="1"/>
  <c r="W71" i="1"/>
  <c r="W72" i="1"/>
  <c r="W73" i="1"/>
  <c r="W76" i="1"/>
  <c r="W107" i="1"/>
  <c r="W24" i="1"/>
  <c r="W28" i="1"/>
  <c r="W30" i="1"/>
  <c r="W52" i="1"/>
  <c r="W39" i="1"/>
  <c r="W45" i="1"/>
  <c r="W83" i="1"/>
  <c r="W47" i="1"/>
  <c r="W63" i="1"/>
  <c r="W9" i="1"/>
  <c r="W108" i="1"/>
  <c r="W32" i="1"/>
  <c r="W34" i="1"/>
  <c r="W56" i="1"/>
  <c r="W27" i="1"/>
  <c r="W31" i="1"/>
  <c r="W33" i="1"/>
  <c r="W74" i="1"/>
  <c r="W77" i="1"/>
  <c r="W78" i="1"/>
  <c r="W93" i="1"/>
  <c r="W100" i="1"/>
  <c r="W57" i="1"/>
  <c r="W58" i="1"/>
  <c r="W59" i="1"/>
  <c r="W60" i="1"/>
  <c r="W89" i="1"/>
  <c r="W23" i="1"/>
  <c r="W38" i="1"/>
  <c r="W75" i="1"/>
  <c r="W109" i="1"/>
  <c r="W112" i="1"/>
  <c r="W90" i="1"/>
  <c r="W8" i="1"/>
  <c r="W10" i="1"/>
  <c r="W42" i="1"/>
  <c r="W43" i="1"/>
  <c r="W44" i="1"/>
  <c r="W66" i="1"/>
  <c r="W67" i="1"/>
  <c r="W68" i="1"/>
  <c r="W82" i="1"/>
  <c r="W84" i="1"/>
  <c r="W85" i="1"/>
  <c r="W86" i="1"/>
  <c r="W87" i="1"/>
  <c r="W94" i="1"/>
  <c r="W101" i="1"/>
  <c r="W40" i="1"/>
  <c r="W48" i="1"/>
  <c r="W49" i="1"/>
  <c r="W54" i="1"/>
  <c r="W102" i="1"/>
  <c r="W4" i="1"/>
  <c r="W6" i="1"/>
  <c r="W14" i="1"/>
  <c r="W26" i="1"/>
  <c r="W79" i="1"/>
  <c r="W36" i="1"/>
  <c r="W69" i="1"/>
  <c r="W53" i="1"/>
  <c r="W95" i="1"/>
  <c r="W96" i="1"/>
  <c r="W98" i="1"/>
  <c r="W99" i="1"/>
  <c r="W16" i="1"/>
  <c r="W25" i="1"/>
  <c r="W35" i="1"/>
  <c r="W37" i="1"/>
  <c r="W62" i="1"/>
  <c r="W97" i="1"/>
  <c r="W18" i="1"/>
  <c r="W46" i="1"/>
  <c r="W50" i="1"/>
  <c r="W55" i="1"/>
  <c r="W5" i="1"/>
  <c r="W7" i="1"/>
  <c r="W12" i="1"/>
  <c r="W19" i="1"/>
  <c r="W51" i="1"/>
  <c r="W61" i="1"/>
  <c r="W65" i="1"/>
  <c r="W70" i="1"/>
  <c r="W80" i="1"/>
  <c r="W103" i="1"/>
  <c r="W105" i="1"/>
  <c r="W106" i="1"/>
  <c r="W64" i="1"/>
  <c r="W20" i="1"/>
  <c r="W21" i="1"/>
  <c r="W91" i="1"/>
  <c r="W92" i="1"/>
  <c r="W114" i="1"/>
  <c r="W22" i="1"/>
  <c r="W81" i="1"/>
  <c r="W113" i="1"/>
  <c r="W115" i="1"/>
  <c r="W116" i="1"/>
  <c r="W117" i="1"/>
  <c r="W119" i="1"/>
  <c r="W118" i="1"/>
  <c r="W120" i="1"/>
  <c r="W121" i="1"/>
  <c r="W122" i="1"/>
  <c r="W123" i="1"/>
  <c r="W124" i="1"/>
  <c r="W125" i="1"/>
  <c r="W126" i="1"/>
  <c r="W127" i="1"/>
  <c r="W129" i="1"/>
  <c r="W128" i="1"/>
  <c r="W130" i="1"/>
  <c r="W131" i="1"/>
  <c r="W132" i="1"/>
  <c r="W133" i="1"/>
  <c r="W134" i="1"/>
  <c r="W135" i="1"/>
  <c r="W136" i="1"/>
  <c r="W137" i="1"/>
  <c r="W138" i="1"/>
  <c r="W139" i="1"/>
  <c r="W140" i="1"/>
  <c r="W141" i="1"/>
  <c r="W143" i="1"/>
  <c r="W142" i="1"/>
  <c r="W144" i="1"/>
  <c r="W145" i="1"/>
  <c r="W147" i="1"/>
  <c r="W146" i="1"/>
  <c r="W148" i="1"/>
  <c r="W149" i="1"/>
  <c r="W150" i="1"/>
  <c r="W151" i="1"/>
  <c r="W152" i="1"/>
  <c r="W154" i="1"/>
  <c r="W153" i="1"/>
  <c r="W155" i="1"/>
  <c r="W156" i="1"/>
  <c r="W157" i="1"/>
  <c r="W160" i="1"/>
  <c r="W158" i="1"/>
  <c r="W159" i="1"/>
  <c r="W161" i="1"/>
  <c r="W162" i="1"/>
  <c r="W163" i="1"/>
  <c r="W164" i="1"/>
  <c r="W165" i="1"/>
  <c r="W166" i="1"/>
  <c r="W167" i="1"/>
  <c r="W168" i="1"/>
  <c r="W169" i="1"/>
  <c r="W170" i="1"/>
  <c r="W175" i="1"/>
  <c r="W176" i="1"/>
  <c r="W177" i="1"/>
  <c r="W171" i="1"/>
  <c r="W180" i="1"/>
  <c r="W172" i="1"/>
  <c r="W174" i="1"/>
  <c r="W178" i="1"/>
  <c r="W173" i="1"/>
  <c r="W184" i="1"/>
  <c r="W179" i="1"/>
  <c r="W181" i="1"/>
  <c r="W182" i="1"/>
  <c r="W183" i="1"/>
  <c r="W185" i="1"/>
  <c r="W186" i="1"/>
  <c r="W187" i="1"/>
  <c r="W188" i="1"/>
  <c r="W189" i="1"/>
  <c r="W190" i="1"/>
  <c r="W191" i="1"/>
  <c r="W192" i="1"/>
  <c r="W193" i="1"/>
  <c r="W195" i="1"/>
  <c r="W197" i="1"/>
  <c r="W199" i="1"/>
  <c r="W200" i="1"/>
  <c r="W201" i="1"/>
  <c r="W203" i="1"/>
  <c r="W202" i="1"/>
  <c r="W204" i="1"/>
  <c r="W205" i="1"/>
  <c r="W206" i="1"/>
  <c r="W207" i="1"/>
  <c r="W209" i="1"/>
  <c r="AG13" i="1"/>
  <c r="AG15" i="1"/>
  <c r="AG104" i="1"/>
  <c r="AG17" i="1"/>
  <c r="AG41" i="1"/>
  <c r="AG29" i="1"/>
  <c r="AG88" i="1"/>
  <c r="AG11" i="1"/>
  <c r="AG110" i="1"/>
  <c r="AG111" i="1"/>
  <c r="AG71" i="1"/>
  <c r="AG72" i="1"/>
  <c r="AG73" i="1"/>
  <c r="AG76" i="1"/>
  <c r="AG107" i="1"/>
  <c r="AG24" i="1"/>
  <c r="AG28" i="1"/>
  <c r="AG30" i="1"/>
  <c r="AG52" i="1"/>
  <c r="AG39" i="1"/>
  <c r="AG45" i="1"/>
  <c r="AG83" i="1"/>
  <c r="AG47" i="1"/>
  <c r="AG63" i="1"/>
  <c r="AG9" i="1"/>
  <c r="AG108" i="1"/>
  <c r="AG32" i="1"/>
  <c r="AG34" i="1"/>
  <c r="AG56" i="1"/>
  <c r="AG27" i="1"/>
  <c r="AG31" i="1"/>
  <c r="AG33" i="1"/>
  <c r="AG74" i="1"/>
  <c r="AG77" i="1"/>
  <c r="AG78" i="1"/>
  <c r="AG93" i="1"/>
  <c r="AG100" i="1"/>
  <c r="AG57" i="1"/>
  <c r="AG58" i="1"/>
  <c r="AG59" i="1"/>
  <c r="AG60" i="1"/>
  <c r="AG89" i="1"/>
  <c r="AG23" i="1"/>
  <c r="AG38" i="1"/>
  <c r="AG75" i="1"/>
  <c r="AG109" i="1"/>
  <c r="AG112" i="1"/>
  <c r="AG90" i="1"/>
  <c r="AG8" i="1"/>
  <c r="AG10" i="1"/>
  <c r="AG42" i="1"/>
  <c r="AG43" i="1"/>
  <c r="AG44" i="1"/>
  <c r="AG66" i="1"/>
  <c r="AG67" i="1"/>
  <c r="AG68" i="1"/>
  <c r="AG82" i="1"/>
  <c r="AG84" i="1"/>
  <c r="AG85" i="1"/>
  <c r="AG86" i="1"/>
  <c r="AG87" i="1"/>
  <c r="AG94" i="1"/>
  <c r="AG101" i="1"/>
  <c r="AG40" i="1"/>
  <c r="AG48" i="1"/>
  <c r="AG49" i="1"/>
  <c r="AG54" i="1"/>
  <c r="AG102" i="1"/>
  <c r="AG4" i="1"/>
  <c r="AG6" i="1"/>
  <c r="AG14" i="1"/>
  <c r="AG26" i="1"/>
  <c r="AG79" i="1"/>
  <c r="AG36" i="1"/>
  <c r="AG69" i="1"/>
  <c r="AG53" i="1"/>
  <c r="AG95" i="1"/>
  <c r="AG96" i="1"/>
  <c r="AG98" i="1"/>
  <c r="AG99" i="1"/>
  <c r="AG16" i="1"/>
  <c r="AG25" i="1"/>
  <c r="AG35" i="1"/>
  <c r="AG37" i="1"/>
  <c r="AG62" i="1"/>
  <c r="AG97" i="1"/>
  <c r="AG18" i="1"/>
  <c r="AG46" i="1"/>
  <c r="AG50" i="1"/>
  <c r="AG55" i="1"/>
  <c r="AG5" i="1"/>
  <c r="AG7" i="1"/>
  <c r="AG12" i="1"/>
  <c r="AG19" i="1"/>
  <c r="AG51" i="1"/>
  <c r="AG61" i="1"/>
  <c r="AG65" i="1"/>
  <c r="AG70" i="1"/>
  <c r="AG80" i="1"/>
  <c r="AG103" i="1"/>
  <c r="AG105" i="1"/>
  <c r="AG106" i="1"/>
  <c r="AG64" i="1"/>
  <c r="AG20" i="1"/>
  <c r="AG21" i="1"/>
  <c r="AG91" i="1"/>
  <c r="AG92" i="1"/>
  <c r="AG114" i="1"/>
  <c r="AG22" i="1"/>
  <c r="AG81" i="1"/>
  <c r="AG113" i="1"/>
  <c r="AG115" i="1"/>
  <c r="AG116" i="1"/>
  <c r="AG117" i="1"/>
  <c r="AG119" i="1"/>
  <c r="AG118" i="1"/>
  <c r="AG120" i="1"/>
  <c r="AG121" i="1"/>
  <c r="AG122" i="1"/>
  <c r="AG123" i="1"/>
  <c r="AG124" i="1"/>
  <c r="AG125" i="1"/>
  <c r="AG126" i="1"/>
  <c r="AG127" i="1"/>
  <c r="AG129" i="1"/>
  <c r="AG128" i="1"/>
  <c r="AG130" i="1"/>
  <c r="AG131" i="1"/>
  <c r="AG132" i="1"/>
  <c r="AG133" i="1"/>
  <c r="AG134" i="1"/>
  <c r="AG135" i="1"/>
  <c r="AG136" i="1"/>
  <c r="AG137" i="1"/>
  <c r="AG138" i="1"/>
  <c r="AG139" i="1"/>
  <c r="AG140" i="1"/>
  <c r="AG141" i="1"/>
  <c r="AG143" i="1"/>
  <c r="AG142" i="1"/>
  <c r="AG144" i="1"/>
  <c r="AG145" i="1"/>
  <c r="AG147" i="1"/>
  <c r="AG146" i="1"/>
  <c r="AG148" i="1"/>
  <c r="AG149" i="1"/>
  <c r="AG150" i="1"/>
  <c r="AG151" i="1"/>
  <c r="AG152" i="1"/>
  <c r="AG154" i="1"/>
  <c r="AG153" i="1"/>
  <c r="AG155" i="1"/>
  <c r="AG156" i="1"/>
  <c r="AG157" i="1"/>
  <c r="AG160" i="1"/>
  <c r="AG158" i="1"/>
  <c r="AG159" i="1"/>
  <c r="AG161" i="1"/>
  <c r="AG162" i="1"/>
  <c r="AG163" i="1"/>
  <c r="AG164" i="1"/>
  <c r="AG165" i="1"/>
  <c r="AG166" i="1"/>
  <c r="AG167" i="1"/>
  <c r="AG168" i="1"/>
  <c r="AG169" i="1"/>
  <c r="AG170" i="1"/>
  <c r="AG175" i="1"/>
  <c r="AG176" i="1"/>
  <c r="AG177" i="1"/>
  <c r="AG171" i="1"/>
  <c r="AG180" i="1"/>
  <c r="AG172" i="1"/>
  <c r="AG174" i="1"/>
  <c r="AG178" i="1"/>
  <c r="AG173" i="1"/>
  <c r="AG184" i="1"/>
  <c r="AG179" i="1"/>
  <c r="AG181" i="1"/>
  <c r="AG182" i="1"/>
  <c r="AG183" i="1"/>
  <c r="AG185" i="1"/>
  <c r="AG186" i="1"/>
  <c r="AG187" i="1"/>
  <c r="AG188" i="1"/>
  <c r="AG189" i="1"/>
  <c r="AG190" i="1"/>
  <c r="AG191" i="1"/>
  <c r="AG192" i="1"/>
  <c r="AG193" i="1"/>
  <c r="AG195" i="1"/>
  <c r="AG197" i="1"/>
  <c r="AG199" i="1"/>
  <c r="AG200" i="1"/>
  <c r="AG201" i="1"/>
  <c r="AG203" i="1"/>
  <c r="AG202" i="1"/>
  <c r="AG204" i="1"/>
  <c r="AG205" i="1"/>
  <c r="AG206" i="1"/>
  <c r="AG207" i="1"/>
  <c r="AG209" i="1"/>
  <c r="AJ13" i="1" a="1"/>
  <c r="AJ13" i="1" s="1"/>
  <c r="AJ15" i="1" a="1"/>
  <c r="AJ15" i="1" s="1"/>
  <c r="AJ104" i="1" a="1"/>
  <c r="AJ104" i="1" s="1"/>
  <c r="AJ17" i="1" a="1"/>
  <c r="AJ17" i="1" s="1"/>
  <c r="AJ41" i="1" a="1"/>
  <c r="AJ41" i="1" s="1"/>
  <c r="AJ29" i="1" a="1"/>
  <c r="AJ29" i="1" s="1"/>
  <c r="AJ88" i="1" a="1"/>
  <c r="AJ88" i="1" s="1"/>
  <c r="AJ11" i="1" a="1"/>
  <c r="AJ11" i="1" s="1"/>
  <c r="AJ110" i="1" a="1"/>
  <c r="AJ110" i="1" s="1"/>
  <c r="AJ111" i="1" a="1"/>
  <c r="AJ111" i="1" s="1"/>
  <c r="AJ71" i="1" a="1"/>
  <c r="AJ71" i="1" s="1"/>
  <c r="AJ72" i="1" a="1"/>
  <c r="AJ72" i="1" s="1"/>
  <c r="AJ73" i="1" a="1"/>
  <c r="AJ73" i="1" s="1"/>
  <c r="AJ76" i="1" a="1"/>
  <c r="AJ76" i="1" s="1"/>
  <c r="AJ107" i="1" a="1"/>
  <c r="AJ107" i="1" s="1"/>
  <c r="AJ24" i="1" a="1"/>
  <c r="AJ24" i="1" s="1"/>
  <c r="AJ28" i="1" a="1"/>
  <c r="AJ28" i="1" s="1"/>
  <c r="AJ30" i="1" a="1"/>
  <c r="AJ30" i="1" s="1"/>
  <c r="AJ52" i="1" a="1"/>
  <c r="AJ52" i="1" s="1"/>
  <c r="AJ39" i="1" a="1"/>
  <c r="AJ39" i="1" s="1"/>
  <c r="AJ45" i="1" a="1"/>
  <c r="AJ45" i="1" s="1"/>
  <c r="AJ83" i="1" a="1"/>
  <c r="AJ83" i="1" s="1"/>
  <c r="AJ47" i="1" a="1"/>
  <c r="AJ47" i="1" s="1"/>
  <c r="AJ63" i="1" a="1"/>
  <c r="AJ63" i="1" s="1"/>
  <c r="AJ9" i="1" a="1"/>
  <c r="AJ9" i="1" s="1"/>
  <c r="AJ108" i="1" a="1"/>
  <c r="AJ108" i="1" s="1"/>
  <c r="AJ32" i="1" a="1"/>
  <c r="AJ32" i="1" s="1"/>
  <c r="AJ34" i="1" a="1"/>
  <c r="AJ34" i="1" s="1"/>
  <c r="AJ56" i="1" a="1"/>
  <c r="AJ56" i="1" s="1"/>
  <c r="AJ27" i="1" a="1"/>
  <c r="AJ27" i="1" s="1"/>
  <c r="AJ31" i="1" a="1"/>
  <c r="AJ31" i="1" s="1"/>
  <c r="AJ33" i="1" a="1"/>
  <c r="AJ33" i="1" s="1"/>
  <c r="AJ74" i="1" a="1"/>
  <c r="AJ74" i="1" s="1"/>
  <c r="AJ77" i="1" a="1"/>
  <c r="AJ77" i="1" s="1"/>
  <c r="AJ78" i="1" a="1"/>
  <c r="AJ78" i="1" s="1"/>
  <c r="AJ93" i="1" a="1"/>
  <c r="AJ93" i="1" s="1"/>
  <c r="AJ100" i="1" a="1"/>
  <c r="AJ100" i="1" s="1"/>
  <c r="AJ57" i="1" a="1"/>
  <c r="AJ57" i="1" s="1"/>
  <c r="AJ58" i="1" a="1"/>
  <c r="AJ58" i="1" s="1"/>
  <c r="AJ59" i="1" a="1"/>
  <c r="AJ59" i="1" s="1"/>
  <c r="AJ60" i="1" a="1"/>
  <c r="AJ60" i="1" s="1"/>
  <c r="AJ89" i="1" a="1"/>
  <c r="AJ89" i="1" s="1"/>
  <c r="AJ23" i="1" a="1"/>
  <c r="AJ23" i="1" s="1"/>
  <c r="AJ38" i="1" a="1"/>
  <c r="AJ38" i="1" s="1"/>
  <c r="AJ75" i="1" a="1"/>
  <c r="AJ75" i="1" s="1"/>
  <c r="AJ109" i="1" a="1"/>
  <c r="AJ109" i="1" s="1"/>
  <c r="AJ112" i="1" a="1"/>
  <c r="AJ112" i="1" s="1"/>
  <c r="AJ90" i="1" a="1"/>
  <c r="AJ90" i="1" s="1"/>
  <c r="AJ8" i="1" a="1"/>
  <c r="AJ8" i="1" s="1"/>
  <c r="AJ10" i="1" a="1"/>
  <c r="AJ10" i="1" s="1"/>
  <c r="AJ42" i="1" a="1"/>
  <c r="AJ42" i="1" s="1"/>
  <c r="AJ43" i="1" a="1"/>
  <c r="AJ43" i="1" s="1"/>
  <c r="AJ44" i="1" a="1"/>
  <c r="AJ44" i="1" s="1"/>
  <c r="AJ66" i="1" a="1"/>
  <c r="AJ66" i="1" s="1"/>
  <c r="AJ67" i="1" a="1"/>
  <c r="AJ67" i="1" s="1"/>
  <c r="AJ68" i="1" a="1"/>
  <c r="AJ68" i="1" s="1"/>
  <c r="AJ82" i="1" a="1"/>
  <c r="AJ82" i="1" s="1"/>
  <c r="AJ84" i="1" a="1"/>
  <c r="AJ84" i="1" s="1"/>
  <c r="AJ85" i="1" a="1"/>
  <c r="AJ85" i="1" s="1"/>
  <c r="AJ86" i="1" a="1"/>
  <c r="AJ86" i="1" s="1"/>
  <c r="AJ87" i="1" a="1"/>
  <c r="AJ87" i="1" s="1"/>
  <c r="AJ94" i="1" a="1"/>
  <c r="AJ94" i="1" s="1"/>
  <c r="AJ101" i="1" a="1"/>
  <c r="AJ101" i="1" s="1"/>
  <c r="AJ40" i="1" a="1"/>
  <c r="AJ40" i="1" s="1"/>
  <c r="AJ48" i="1" a="1"/>
  <c r="AJ48" i="1" s="1"/>
  <c r="AJ49" i="1" a="1"/>
  <c r="AJ49" i="1" s="1"/>
  <c r="AJ54" i="1" a="1"/>
  <c r="AJ54" i="1" s="1"/>
  <c r="AJ102" i="1" a="1"/>
  <c r="AJ102" i="1" s="1"/>
  <c r="AJ4" i="1" a="1"/>
  <c r="AJ4" i="1" s="1"/>
  <c r="AJ6" i="1" a="1"/>
  <c r="AJ6" i="1" s="1"/>
  <c r="AJ14" i="1" a="1"/>
  <c r="AJ14" i="1" s="1"/>
  <c r="AJ26" i="1" a="1"/>
  <c r="AJ26" i="1" s="1"/>
  <c r="AJ79" i="1" a="1"/>
  <c r="AJ79" i="1" s="1"/>
  <c r="AJ36" i="1" a="1"/>
  <c r="AJ36" i="1" s="1"/>
  <c r="AJ69" i="1" a="1"/>
  <c r="AJ69" i="1" s="1"/>
  <c r="AJ53" i="1" a="1"/>
  <c r="AJ53" i="1" s="1"/>
  <c r="AJ95" i="1" a="1"/>
  <c r="AJ95" i="1" s="1"/>
  <c r="AJ96" i="1" a="1"/>
  <c r="AJ96" i="1" s="1"/>
  <c r="AJ98" i="1" a="1"/>
  <c r="AJ98" i="1" s="1"/>
  <c r="AJ99" i="1" a="1"/>
  <c r="AJ99" i="1" s="1"/>
  <c r="AJ16" i="1" a="1"/>
  <c r="AJ16" i="1" s="1"/>
  <c r="AJ25" i="1" a="1"/>
  <c r="AJ25" i="1" s="1"/>
  <c r="AJ35" i="1" a="1"/>
  <c r="AJ35" i="1" s="1"/>
  <c r="AJ37" i="1" a="1"/>
  <c r="AJ37" i="1" s="1"/>
  <c r="AJ62" i="1" a="1"/>
  <c r="AJ62" i="1" s="1"/>
  <c r="AJ97" i="1" a="1"/>
  <c r="AJ97" i="1" s="1"/>
  <c r="AJ18" i="1" a="1"/>
  <c r="AJ18" i="1" s="1"/>
  <c r="AJ46" i="1" a="1"/>
  <c r="AJ46" i="1" s="1"/>
  <c r="AJ50" i="1" a="1"/>
  <c r="AJ50" i="1" s="1"/>
  <c r="AJ55" i="1" a="1"/>
  <c r="AJ55" i="1" s="1"/>
  <c r="AJ5" i="1" a="1"/>
  <c r="AJ5" i="1" s="1"/>
  <c r="AJ7" i="1" a="1"/>
  <c r="AJ7" i="1" s="1"/>
  <c r="AJ12" i="1" a="1"/>
  <c r="AJ12" i="1" s="1"/>
  <c r="AJ19" i="1" a="1"/>
  <c r="AJ19" i="1" s="1"/>
  <c r="AJ51" i="1" a="1"/>
  <c r="AJ51" i="1" s="1"/>
  <c r="AJ61" i="1" a="1"/>
  <c r="AJ61" i="1" s="1"/>
  <c r="AJ65" i="1" a="1"/>
  <c r="AJ65" i="1" s="1"/>
  <c r="AJ70" i="1" a="1"/>
  <c r="AJ70" i="1" s="1"/>
  <c r="AJ80" i="1" a="1"/>
  <c r="AJ80" i="1" s="1"/>
  <c r="AJ103" i="1" a="1"/>
  <c r="AJ103" i="1" s="1"/>
  <c r="AJ105" i="1" a="1"/>
  <c r="AJ105" i="1" s="1"/>
  <c r="AJ106" i="1" a="1"/>
  <c r="AJ106" i="1" s="1"/>
  <c r="AJ64" i="1" a="1"/>
  <c r="AJ64" i="1" s="1"/>
  <c r="AJ20" i="1" a="1"/>
  <c r="AJ20" i="1" s="1"/>
  <c r="AJ21" i="1" a="1"/>
  <c r="AJ21" i="1" s="1"/>
  <c r="AJ91" i="1" a="1"/>
  <c r="AJ91" i="1" s="1"/>
  <c r="AJ92" i="1" a="1"/>
  <c r="AJ92" i="1" s="1"/>
  <c r="AJ114" i="1" a="1"/>
  <c r="AJ114" i="1" s="1"/>
  <c r="AJ22" i="1" a="1"/>
  <c r="AJ22" i="1" s="1"/>
  <c r="AJ81" i="1" a="1"/>
  <c r="AJ81" i="1" s="1"/>
  <c r="AJ113" i="1" a="1"/>
  <c r="AJ113" i="1" s="1"/>
  <c r="AJ115" i="1" a="1"/>
  <c r="AJ115" i="1" s="1"/>
  <c r="AJ116" i="1" a="1"/>
  <c r="AJ116" i="1" s="1"/>
  <c r="AJ117" i="1" a="1"/>
  <c r="AJ117" i="1" s="1"/>
  <c r="AJ119" i="1" a="1"/>
  <c r="AJ119" i="1" s="1"/>
  <c r="AJ118" i="1" a="1"/>
  <c r="AJ118" i="1" s="1"/>
  <c r="AJ120" i="1" a="1"/>
  <c r="AJ120" i="1" s="1"/>
  <c r="AJ121" i="1" a="1"/>
  <c r="AJ121" i="1" s="1"/>
  <c r="AJ122" i="1" a="1"/>
  <c r="AJ122" i="1" s="1"/>
  <c r="AJ123" i="1" a="1"/>
  <c r="AJ123" i="1" s="1"/>
  <c r="AJ124" i="1" a="1"/>
  <c r="AJ124" i="1" s="1"/>
  <c r="AJ125" i="1" a="1"/>
  <c r="AJ125" i="1" s="1"/>
  <c r="AJ126" i="1" a="1"/>
  <c r="AJ126" i="1" s="1"/>
  <c r="AJ127" i="1" a="1"/>
  <c r="AJ127" i="1" s="1"/>
  <c r="AJ129" i="1" a="1"/>
  <c r="AJ129" i="1" s="1"/>
  <c r="AJ128" i="1" a="1"/>
  <c r="AJ128" i="1" s="1"/>
  <c r="AJ130" i="1" a="1"/>
  <c r="AJ130" i="1" s="1"/>
  <c r="AJ131" i="1" a="1"/>
  <c r="AJ131" i="1" s="1"/>
  <c r="AJ132" i="1" a="1"/>
  <c r="AJ132" i="1" s="1"/>
  <c r="AJ133" i="1" a="1"/>
  <c r="AJ133" i="1" s="1"/>
  <c r="AJ134" i="1" a="1"/>
  <c r="AJ134" i="1" s="1"/>
  <c r="AJ135" i="1" a="1"/>
  <c r="AJ135" i="1" s="1"/>
  <c r="AJ136" i="1" a="1"/>
  <c r="AJ136" i="1" s="1"/>
  <c r="AJ137" i="1" a="1"/>
  <c r="AJ137" i="1" s="1"/>
  <c r="AJ138" i="1" a="1"/>
  <c r="AJ138" i="1" s="1"/>
  <c r="AJ139" i="1" a="1"/>
  <c r="AJ139" i="1" s="1"/>
  <c r="AJ140" i="1" a="1"/>
  <c r="AJ140" i="1" s="1"/>
  <c r="AJ141" i="1" a="1"/>
  <c r="AJ141" i="1" s="1"/>
  <c r="AJ143" i="1" a="1"/>
  <c r="AJ143" i="1" s="1"/>
  <c r="AJ142" i="1" a="1"/>
  <c r="AJ142" i="1" s="1"/>
  <c r="AJ144" i="1" a="1"/>
  <c r="AJ144" i="1" s="1"/>
  <c r="AJ145" i="1" a="1"/>
  <c r="AJ145" i="1" s="1"/>
  <c r="AJ147" i="1" a="1"/>
  <c r="AJ147" i="1" s="1"/>
  <c r="AJ146" i="1" a="1"/>
  <c r="AJ146" i="1" s="1"/>
  <c r="AJ148" i="1" a="1"/>
  <c r="AJ148" i="1" s="1"/>
  <c r="AJ149" i="1" a="1"/>
  <c r="AJ149" i="1" s="1"/>
  <c r="AJ150" i="1" a="1"/>
  <c r="AJ150" i="1" s="1"/>
  <c r="AJ151" i="1" a="1"/>
  <c r="AJ151" i="1" s="1"/>
  <c r="AJ152" i="1" a="1"/>
  <c r="AJ152" i="1" s="1"/>
  <c r="AJ154" i="1" a="1"/>
  <c r="AJ154" i="1" s="1"/>
  <c r="AJ153" i="1" a="1"/>
  <c r="AJ153" i="1" s="1"/>
  <c r="AJ155" i="1" a="1"/>
  <c r="AJ155" i="1" s="1"/>
  <c r="AJ156" i="1" a="1"/>
  <c r="AJ156" i="1" s="1"/>
  <c r="AJ157" i="1" a="1"/>
  <c r="AJ157" i="1" s="1"/>
  <c r="AJ160" i="1" a="1"/>
  <c r="AJ160" i="1" s="1"/>
  <c r="AJ158" i="1" a="1"/>
  <c r="AJ158" i="1" s="1"/>
  <c r="AJ159" i="1" a="1"/>
  <c r="AJ159" i="1" s="1"/>
  <c r="AJ161" i="1" a="1"/>
  <c r="AJ161" i="1" s="1"/>
  <c r="AJ162" i="1" a="1"/>
  <c r="AJ162" i="1" s="1"/>
  <c r="AJ163" i="1" a="1"/>
  <c r="AJ163" i="1" s="1"/>
  <c r="AJ164" i="1" a="1"/>
  <c r="AJ164" i="1" s="1"/>
  <c r="AJ165" i="1" a="1"/>
  <c r="AJ165" i="1" s="1"/>
  <c r="AJ166" i="1" a="1"/>
  <c r="AJ166" i="1" s="1"/>
  <c r="AJ167" i="1" a="1"/>
  <c r="AJ167" i="1" s="1"/>
  <c r="AJ169" i="1" a="1"/>
  <c r="AJ169" i="1" s="1"/>
  <c r="AJ170" i="1" a="1"/>
  <c r="AJ170" i="1" s="1"/>
  <c r="AJ175" i="1" a="1"/>
  <c r="AJ175" i="1" s="1"/>
  <c r="AJ176" i="1" a="1"/>
  <c r="AJ176" i="1" s="1"/>
  <c r="AJ177" i="1" a="1"/>
  <c r="AJ177" i="1" s="1"/>
  <c r="AJ171" i="1" a="1"/>
  <c r="AJ171" i="1" s="1"/>
  <c r="AJ180" i="1" a="1"/>
  <c r="AJ180" i="1" s="1"/>
  <c r="AJ172" i="1" a="1"/>
  <c r="AJ172" i="1" s="1"/>
  <c r="AJ174" i="1" a="1"/>
  <c r="AJ174" i="1" s="1"/>
  <c r="AJ178" i="1" a="1"/>
  <c r="AJ178" i="1" s="1"/>
  <c r="AJ173" i="1" a="1"/>
  <c r="AJ173" i="1" s="1"/>
  <c r="AJ184" i="1" a="1"/>
  <c r="AJ184" i="1" s="1"/>
  <c r="AJ179" i="1" a="1"/>
  <c r="AJ179" i="1" s="1"/>
  <c r="AJ181" i="1" a="1"/>
  <c r="AJ181" i="1" s="1"/>
  <c r="AJ182" i="1" a="1"/>
  <c r="AJ182" i="1" s="1"/>
  <c r="AJ183" i="1" a="1"/>
  <c r="AJ183" i="1" s="1"/>
  <c r="AJ185" i="1" a="1"/>
  <c r="AJ185" i="1" s="1"/>
  <c r="AJ186" i="1" a="1"/>
  <c r="AJ186" i="1" s="1"/>
  <c r="AJ187" i="1" a="1"/>
  <c r="AJ187" i="1" s="1"/>
  <c r="AJ188" i="1" a="1"/>
  <c r="AJ188" i="1" s="1"/>
  <c r="AJ189" i="1" a="1"/>
  <c r="AJ189" i="1" s="1"/>
  <c r="AJ190" i="1" a="1"/>
  <c r="AJ190" i="1" s="1"/>
  <c r="AJ191" i="1" a="1"/>
  <c r="AJ191" i="1" s="1"/>
  <c r="AJ192" i="1" a="1"/>
  <c r="AJ192" i="1" s="1"/>
  <c r="AJ193" i="1" a="1"/>
  <c r="AJ193" i="1" s="1"/>
  <c r="AJ195" i="1" a="1"/>
  <c r="AJ195" i="1" s="1"/>
  <c r="AJ197" i="1" a="1"/>
  <c r="AJ197" i="1" s="1"/>
  <c r="AJ199" i="1" a="1"/>
  <c r="AJ199" i="1" s="1"/>
  <c r="AJ200" i="1" a="1"/>
  <c r="AJ200" i="1" s="1"/>
  <c r="AJ201" i="1" a="1"/>
  <c r="AJ201" i="1" s="1"/>
  <c r="AJ203" i="1" a="1"/>
  <c r="AJ203" i="1" s="1"/>
  <c r="AJ202" i="1" a="1"/>
  <c r="AJ202" i="1" s="1"/>
  <c r="AJ204" i="1" a="1"/>
  <c r="AJ204" i="1" s="1"/>
  <c r="AJ205" i="1" a="1"/>
  <c r="AJ205" i="1" s="1"/>
  <c r="AJ206" i="1" a="1"/>
  <c r="AJ206" i="1" s="1"/>
  <c r="AJ207" i="1" a="1"/>
  <c r="AJ207" i="1" s="1"/>
  <c r="AJ209" i="1" a="1"/>
  <c r="AJ209" i="1" s="1"/>
  <c r="AM13" i="1" a="1"/>
  <c r="AM13" i="1" s="1"/>
  <c r="H13" i="1" s="1" a="1"/>
  <c r="H13" i="1" s="1"/>
  <c r="AM15" i="1" a="1"/>
  <c r="AM15" i="1" s="1"/>
  <c r="H15" i="1" s="1" a="1"/>
  <c r="H15" i="1" s="1"/>
  <c r="AM104" i="1" a="1"/>
  <c r="AM104" i="1" s="1"/>
  <c r="H104" i="1" s="1" a="1"/>
  <c r="H104" i="1" s="1"/>
  <c r="AM17" i="1" a="1"/>
  <c r="AM17" i="1" s="1"/>
  <c r="H17" i="1" s="1" a="1"/>
  <c r="H17" i="1" s="1"/>
  <c r="AM41" i="1" a="1"/>
  <c r="AM41" i="1" s="1"/>
  <c r="H41" i="1" s="1" a="1"/>
  <c r="H41" i="1" s="1"/>
  <c r="AM29" i="1" a="1"/>
  <c r="AM29" i="1" s="1"/>
  <c r="H29" i="1" s="1" a="1"/>
  <c r="H29" i="1" s="1"/>
  <c r="AM88" i="1" a="1"/>
  <c r="AM88" i="1" s="1"/>
  <c r="H88" i="1" s="1" a="1"/>
  <c r="H88" i="1" s="1"/>
  <c r="AM11" i="1" a="1"/>
  <c r="AM11" i="1" s="1"/>
  <c r="H11" i="1" s="1" a="1"/>
  <c r="H11" i="1" s="1"/>
  <c r="AM110" i="1" a="1"/>
  <c r="AM110" i="1" s="1"/>
  <c r="H110" i="1" s="1" a="1"/>
  <c r="H110" i="1" s="1"/>
  <c r="AM111" i="1" a="1"/>
  <c r="AM111" i="1" s="1"/>
  <c r="H111" i="1" s="1" a="1"/>
  <c r="H111" i="1" s="1"/>
  <c r="AM71" i="1" a="1"/>
  <c r="AM71" i="1" s="1"/>
  <c r="H71" i="1" s="1" a="1"/>
  <c r="H71" i="1" s="1"/>
  <c r="AM72" i="1" a="1"/>
  <c r="AM72" i="1" s="1"/>
  <c r="H72" i="1" s="1" a="1"/>
  <c r="H72" i="1" s="1"/>
  <c r="AM73" i="1" a="1"/>
  <c r="AM73" i="1" s="1"/>
  <c r="H73" i="1" s="1" a="1"/>
  <c r="H73" i="1" s="1"/>
  <c r="AM76" i="1" a="1"/>
  <c r="AM76" i="1" s="1"/>
  <c r="H76" i="1" s="1" a="1"/>
  <c r="H76" i="1" s="1"/>
  <c r="AM107" i="1" a="1"/>
  <c r="AM107" i="1" s="1"/>
  <c r="H107" i="1" s="1" a="1"/>
  <c r="H107" i="1" s="1"/>
  <c r="AM24" i="1" a="1"/>
  <c r="AM24" i="1" s="1"/>
  <c r="H24" i="1" s="1" a="1"/>
  <c r="H24" i="1" s="1"/>
  <c r="AM28" i="1" a="1"/>
  <c r="AM28" i="1" s="1"/>
  <c r="H28" i="1" s="1" a="1"/>
  <c r="H28" i="1" s="1"/>
  <c r="AM30" i="1" a="1"/>
  <c r="AM30" i="1" s="1"/>
  <c r="H30" i="1" s="1" a="1"/>
  <c r="H30" i="1" s="1"/>
  <c r="AM52" i="1" a="1"/>
  <c r="AM52" i="1" s="1"/>
  <c r="H52" i="1" s="1" a="1"/>
  <c r="H52" i="1" s="1"/>
  <c r="AM39" i="1" a="1"/>
  <c r="AM39" i="1" s="1"/>
  <c r="H39" i="1" s="1" a="1"/>
  <c r="H39" i="1" s="1"/>
  <c r="AM45" i="1" a="1"/>
  <c r="AM45" i="1" s="1"/>
  <c r="H45" i="1" s="1" a="1"/>
  <c r="H45" i="1" s="1"/>
  <c r="AM83" i="1" a="1"/>
  <c r="AM83" i="1" s="1"/>
  <c r="H83" i="1" s="1" a="1"/>
  <c r="H83" i="1" s="1"/>
  <c r="AM47" i="1" a="1"/>
  <c r="AM47" i="1" s="1"/>
  <c r="H47" i="1" s="1" a="1"/>
  <c r="H47" i="1" s="1"/>
  <c r="AM63" i="1" a="1"/>
  <c r="AM63" i="1" s="1"/>
  <c r="H63" i="1" s="1" a="1"/>
  <c r="H63" i="1" s="1"/>
  <c r="AM9" i="1" a="1"/>
  <c r="AM9" i="1" s="1"/>
  <c r="H9" i="1" s="1" a="1"/>
  <c r="H9" i="1" s="1"/>
  <c r="AM108" i="1" a="1"/>
  <c r="AM108" i="1" s="1"/>
  <c r="H108" i="1" s="1" a="1"/>
  <c r="H108" i="1" s="1"/>
  <c r="AM32" i="1" a="1"/>
  <c r="AM32" i="1" s="1"/>
  <c r="H32" i="1" s="1" a="1"/>
  <c r="H32" i="1" s="1"/>
  <c r="AM34" i="1" a="1"/>
  <c r="AM34" i="1" s="1"/>
  <c r="H34" i="1" s="1" a="1"/>
  <c r="H34" i="1" s="1"/>
  <c r="AM56" i="1" a="1"/>
  <c r="AM56" i="1" s="1"/>
  <c r="H56" i="1" s="1" a="1"/>
  <c r="H56" i="1" s="1"/>
  <c r="AM27" i="1" a="1"/>
  <c r="AM27" i="1" s="1"/>
  <c r="H27" i="1" s="1" a="1"/>
  <c r="H27" i="1" s="1"/>
  <c r="AM31" i="1" a="1"/>
  <c r="AM31" i="1" s="1"/>
  <c r="H31" i="1" s="1" a="1"/>
  <c r="H31" i="1" s="1"/>
  <c r="AM33" i="1" a="1"/>
  <c r="AM33" i="1" s="1"/>
  <c r="H33" i="1" s="1" a="1"/>
  <c r="H33" i="1" s="1"/>
  <c r="AM74" i="1" a="1"/>
  <c r="AM74" i="1" s="1"/>
  <c r="H74" i="1" s="1" a="1"/>
  <c r="H74" i="1" s="1"/>
  <c r="AM77" i="1" a="1"/>
  <c r="AM77" i="1" s="1"/>
  <c r="H77" i="1" s="1" a="1"/>
  <c r="H77" i="1" s="1"/>
  <c r="AM78" i="1" a="1"/>
  <c r="AM78" i="1" s="1"/>
  <c r="H78" i="1" s="1" a="1"/>
  <c r="H78" i="1" s="1"/>
  <c r="AM93" i="1" a="1"/>
  <c r="AM93" i="1" s="1"/>
  <c r="H93" i="1" s="1" a="1"/>
  <c r="H93" i="1" s="1"/>
  <c r="AM100" i="1" a="1"/>
  <c r="AM100" i="1" s="1"/>
  <c r="H100" i="1" s="1" a="1"/>
  <c r="H100" i="1" s="1"/>
  <c r="AM57" i="1" a="1"/>
  <c r="AM57" i="1" s="1"/>
  <c r="H57" i="1" s="1" a="1"/>
  <c r="H57" i="1" s="1"/>
  <c r="AM58" i="1" a="1"/>
  <c r="AM58" i="1" s="1"/>
  <c r="H58" i="1" s="1" a="1"/>
  <c r="H58" i="1" s="1"/>
  <c r="AM59" i="1" a="1"/>
  <c r="AM59" i="1" s="1"/>
  <c r="H59" i="1" s="1" a="1"/>
  <c r="H59" i="1" s="1"/>
  <c r="AM60" i="1" a="1"/>
  <c r="AM60" i="1" s="1"/>
  <c r="H60" i="1" s="1" a="1"/>
  <c r="H60" i="1" s="1"/>
  <c r="AM89" i="1" a="1"/>
  <c r="AM89" i="1" s="1"/>
  <c r="H89" i="1" s="1" a="1"/>
  <c r="H89" i="1" s="1"/>
  <c r="AM23" i="1" a="1"/>
  <c r="AM23" i="1" s="1"/>
  <c r="H23" i="1" s="1" a="1"/>
  <c r="H23" i="1" s="1"/>
  <c r="AM38" i="1" a="1"/>
  <c r="AM38" i="1" s="1"/>
  <c r="H38" i="1" s="1" a="1"/>
  <c r="H38" i="1" s="1"/>
  <c r="AM75" i="1" a="1"/>
  <c r="AM75" i="1" s="1"/>
  <c r="H75" i="1" s="1" a="1"/>
  <c r="H75" i="1" s="1"/>
  <c r="AM109" i="1" a="1"/>
  <c r="AM109" i="1" s="1"/>
  <c r="H109" i="1" s="1" a="1"/>
  <c r="H109" i="1" s="1"/>
  <c r="AM112" i="1" a="1"/>
  <c r="AM112" i="1" s="1"/>
  <c r="H112" i="1" s="1" a="1"/>
  <c r="H112" i="1" s="1"/>
  <c r="AM90" i="1" a="1"/>
  <c r="AM90" i="1" s="1"/>
  <c r="H90" i="1" s="1" a="1"/>
  <c r="H90" i="1" s="1"/>
  <c r="AM8" i="1" a="1"/>
  <c r="AM8" i="1" s="1"/>
  <c r="H8" i="1" s="1" a="1"/>
  <c r="H8" i="1" s="1"/>
  <c r="AM10" i="1" a="1"/>
  <c r="AM10" i="1" s="1"/>
  <c r="H10" i="1" s="1" a="1"/>
  <c r="H10" i="1" s="1"/>
  <c r="AM42" i="1" a="1"/>
  <c r="AM42" i="1" s="1"/>
  <c r="H42" i="1" s="1" a="1"/>
  <c r="H42" i="1" s="1"/>
  <c r="AM43" i="1" a="1"/>
  <c r="AM43" i="1" s="1"/>
  <c r="H43" i="1" s="1" a="1"/>
  <c r="H43" i="1" s="1"/>
  <c r="AM44" i="1" a="1"/>
  <c r="AM44" i="1" s="1"/>
  <c r="H44" i="1" s="1" a="1"/>
  <c r="H44" i="1" s="1"/>
  <c r="AM66" i="1" a="1"/>
  <c r="AM66" i="1" s="1"/>
  <c r="H66" i="1" s="1" a="1"/>
  <c r="H66" i="1" s="1"/>
  <c r="AM67" i="1" a="1"/>
  <c r="AM67" i="1" s="1"/>
  <c r="H67" i="1" s="1" a="1"/>
  <c r="H67" i="1" s="1"/>
  <c r="AM68" i="1" a="1"/>
  <c r="AM68" i="1" s="1"/>
  <c r="H68" i="1" s="1" a="1"/>
  <c r="H68" i="1" s="1"/>
  <c r="AM82" i="1" a="1"/>
  <c r="AM82" i="1" s="1"/>
  <c r="H82" i="1" s="1" a="1"/>
  <c r="H82" i="1" s="1"/>
  <c r="AM84" i="1" a="1"/>
  <c r="AM84" i="1" s="1"/>
  <c r="H84" i="1" s="1" a="1"/>
  <c r="H84" i="1" s="1"/>
  <c r="AM85" i="1" a="1"/>
  <c r="AM85" i="1" s="1"/>
  <c r="H85" i="1" s="1" a="1"/>
  <c r="H85" i="1" s="1"/>
  <c r="AM86" i="1" a="1"/>
  <c r="AM86" i="1" s="1"/>
  <c r="H86" i="1" s="1" a="1"/>
  <c r="H86" i="1" s="1"/>
  <c r="AM87" i="1" a="1"/>
  <c r="AM87" i="1" s="1"/>
  <c r="H87" i="1" s="1" a="1"/>
  <c r="H87" i="1" s="1"/>
  <c r="AM94" i="1" a="1"/>
  <c r="AM94" i="1" s="1"/>
  <c r="H94" i="1" s="1" a="1"/>
  <c r="H94" i="1" s="1"/>
  <c r="AM101" i="1" a="1"/>
  <c r="AM101" i="1" s="1"/>
  <c r="H101" i="1" s="1" a="1"/>
  <c r="H101" i="1" s="1"/>
  <c r="AM40" i="1" a="1"/>
  <c r="AM40" i="1" s="1"/>
  <c r="H40" i="1" s="1" a="1"/>
  <c r="H40" i="1" s="1"/>
  <c r="AM48" i="1" a="1"/>
  <c r="AM48" i="1" s="1"/>
  <c r="H48" i="1" s="1" a="1"/>
  <c r="H48" i="1" s="1"/>
  <c r="AM49" i="1" a="1"/>
  <c r="AM49" i="1" s="1"/>
  <c r="H49" i="1" s="1" a="1"/>
  <c r="H49" i="1" s="1"/>
  <c r="AM54" i="1" a="1"/>
  <c r="AM54" i="1" s="1"/>
  <c r="H54" i="1" s="1" a="1"/>
  <c r="H54" i="1" s="1"/>
  <c r="AM102" i="1" a="1"/>
  <c r="AM102" i="1" s="1"/>
  <c r="H102" i="1" s="1" a="1"/>
  <c r="H102" i="1" s="1"/>
  <c r="AM4" i="1" a="1"/>
  <c r="AM4" i="1" s="1"/>
  <c r="H4" i="1" s="1" a="1"/>
  <c r="H4" i="1" s="1"/>
  <c r="AM6" i="1" a="1"/>
  <c r="AM6" i="1" s="1"/>
  <c r="H6" i="1" s="1" a="1"/>
  <c r="H6" i="1" s="1"/>
  <c r="AM14" i="1" a="1"/>
  <c r="AM14" i="1" s="1"/>
  <c r="H14" i="1" s="1" a="1"/>
  <c r="H14" i="1" s="1"/>
  <c r="AM26" i="1" a="1"/>
  <c r="AM26" i="1" s="1"/>
  <c r="H26" i="1" s="1" a="1"/>
  <c r="H26" i="1" s="1"/>
  <c r="AM79" i="1" a="1"/>
  <c r="AM79" i="1" s="1"/>
  <c r="H79" i="1" s="1" a="1"/>
  <c r="H79" i="1" s="1"/>
  <c r="AM36" i="1" a="1"/>
  <c r="AM36" i="1" s="1"/>
  <c r="H36" i="1" s="1" a="1"/>
  <c r="H36" i="1" s="1"/>
  <c r="AM69" i="1" a="1"/>
  <c r="AM69" i="1" s="1"/>
  <c r="H69" i="1" s="1" a="1"/>
  <c r="H69" i="1" s="1"/>
  <c r="AM53" i="1" a="1"/>
  <c r="AM53" i="1" s="1"/>
  <c r="H53" i="1" s="1" a="1"/>
  <c r="H53" i="1" s="1"/>
  <c r="AM95" i="1" a="1"/>
  <c r="AM95" i="1" s="1"/>
  <c r="H95" i="1" s="1" a="1"/>
  <c r="H95" i="1" s="1"/>
  <c r="AM96" i="1" a="1"/>
  <c r="AM96" i="1" s="1"/>
  <c r="H96" i="1" s="1" a="1"/>
  <c r="H96" i="1" s="1"/>
  <c r="AM98" i="1" a="1"/>
  <c r="AM98" i="1" s="1"/>
  <c r="H98" i="1" s="1" a="1"/>
  <c r="H98" i="1" s="1"/>
  <c r="AM99" i="1" a="1"/>
  <c r="AM99" i="1" s="1"/>
  <c r="H99" i="1" s="1" a="1"/>
  <c r="H99" i="1" s="1"/>
  <c r="AM16" i="1" a="1"/>
  <c r="AM16" i="1" s="1"/>
  <c r="H16" i="1" s="1" a="1"/>
  <c r="H16" i="1" s="1"/>
  <c r="AM25" i="1" a="1"/>
  <c r="AM25" i="1" s="1"/>
  <c r="H25" i="1" s="1" a="1"/>
  <c r="H25" i="1" s="1"/>
  <c r="AM35" i="1" a="1"/>
  <c r="AM35" i="1" s="1"/>
  <c r="H35" i="1" s="1" a="1"/>
  <c r="H35" i="1" s="1"/>
  <c r="AM37" i="1" a="1"/>
  <c r="AM37" i="1" s="1"/>
  <c r="H37" i="1" s="1" a="1"/>
  <c r="H37" i="1" s="1"/>
  <c r="AM62" i="1" a="1"/>
  <c r="AM62" i="1" s="1"/>
  <c r="H62" i="1" s="1" a="1"/>
  <c r="H62" i="1" s="1"/>
  <c r="AM97" i="1" a="1"/>
  <c r="AM97" i="1" s="1"/>
  <c r="H97" i="1" s="1" a="1"/>
  <c r="H97" i="1" s="1"/>
  <c r="AM18" i="1" a="1"/>
  <c r="AM18" i="1" s="1"/>
  <c r="H18" i="1" s="1" a="1"/>
  <c r="H18" i="1" s="1"/>
  <c r="AM46" i="1" a="1"/>
  <c r="AM46" i="1" s="1"/>
  <c r="H46" i="1" s="1" a="1"/>
  <c r="H46" i="1" s="1"/>
  <c r="AM50" i="1" a="1"/>
  <c r="AM50" i="1" s="1"/>
  <c r="H50" i="1" s="1" a="1"/>
  <c r="H50" i="1" s="1"/>
  <c r="AM55" i="1" a="1"/>
  <c r="AM55" i="1" s="1"/>
  <c r="H55" i="1" s="1" a="1"/>
  <c r="H55" i="1" s="1"/>
  <c r="AM5" i="1" a="1"/>
  <c r="AM5" i="1" s="1"/>
  <c r="H5" i="1" s="1" a="1"/>
  <c r="H5" i="1" s="1"/>
  <c r="AM7" i="1" a="1"/>
  <c r="AM7" i="1" s="1"/>
  <c r="H7" i="1" s="1" a="1"/>
  <c r="H7" i="1" s="1"/>
  <c r="AM12" i="1" a="1"/>
  <c r="AM12" i="1" s="1"/>
  <c r="H12" i="1" s="1" a="1"/>
  <c r="H12" i="1" s="1"/>
  <c r="AM19" i="1" a="1"/>
  <c r="AM19" i="1" s="1"/>
  <c r="H19" i="1" s="1" a="1"/>
  <c r="H19" i="1" s="1"/>
  <c r="AM51" i="1" a="1"/>
  <c r="AM51" i="1" s="1"/>
  <c r="H51" i="1" s="1" a="1"/>
  <c r="H51" i="1" s="1"/>
  <c r="AM61" i="1" a="1"/>
  <c r="AM61" i="1" s="1"/>
  <c r="H61" i="1" s="1" a="1"/>
  <c r="H61" i="1" s="1"/>
  <c r="AM65" i="1" a="1"/>
  <c r="AM65" i="1" s="1"/>
  <c r="H65" i="1" s="1" a="1"/>
  <c r="H65" i="1" s="1"/>
  <c r="AM70" i="1" a="1"/>
  <c r="AM70" i="1" s="1"/>
  <c r="H70" i="1" s="1" a="1"/>
  <c r="H70" i="1" s="1"/>
  <c r="AM80" i="1" a="1"/>
  <c r="AM80" i="1" s="1"/>
  <c r="H80" i="1" s="1" a="1"/>
  <c r="H80" i="1" s="1"/>
  <c r="AM103" i="1" a="1"/>
  <c r="AM103" i="1" s="1"/>
  <c r="H103" i="1" s="1" a="1"/>
  <c r="H103" i="1" s="1"/>
  <c r="AM105" i="1" a="1"/>
  <c r="AM105" i="1" s="1"/>
  <c r="H105" i="1" s="1" a="1"/>
  <c r="H105" i="1" s="1"/>
  <c r="AM106" i="1" a="1"/>
  <c r="AM106" i="1" s="1"/>
  <c r="H106" i="1" s="1" a="1"/>
  <c r="H106" i="1" s="1"/>
  <c r="AM64" i="1" a="1"/>
  <c r="AM64" i="1" s="1"/>
  <c r="H64" i="1" s="1" a="1"/>
  <c r="H64" i="1" s="1"/>
  <c r="AM20" i="1" a="1"/>
  <c r="AM20" i="1" s="1"/>
  <c r="H20" i="1" s="1" a="1"/>
  <c r="H20" i="1" s="1"/>
  <c r="AM21" i="1" a="1"/>
  <c r="AM21" i="1" s="1"/>
  <c r="H21" i="1" s="1" a="1"/>
  <c r="H21" i="1" s="1"/>
  <c r="AM91" i="1" a="1"/>
  <c r="AM91" i="1" s="1"/>
  <c r="H91" i="1" s="1" a="1"/>
  <c r="H91" i="1" s="1"/>
  <c r="AM92" i="1" a="1"/>
  <c r="AM92" i="1" s="1"/>
  <c r="H92" i="1" s="1" a="1"/>
  <c r="H92" i="1" s="1"/>
  <c r="AM114" i="1" a="1"/>
  <c r="AM114" i="1" s="1"/>
  <c r="H114" i="1" s="1" a="1"/>
  <c r="H114" i="1" s="1"/>
  <c r="AM22" i="1" a="1"/>
  <c r="AM22" i="1" s="1"/>
  <c r="H22" i="1" s="1" a="1"/>
  <c r="H22" i="1" s="1"/>
  <c r="AM81" i="1" a="1"/>
  <c r="AM81" i="1" s="1"/>
  <c r="H81" i="1" s="1" a="1"/>
  <c r="H81" i="1" s="1"/>
  <c r="AM113" i="1" a="1"/>
  <c r="AM113" i="1" s="1"/>
  <c r="H113" i="1" s="1" a="1"/>
  <c r="H113" i="1" s="1"/>
  <c r="AM115" i="1" a="1"/>
  <c r="AM115" i="1" s="1"/>
  <c r="H115" i="1" s="1" a="1"/>
  <c r="H115" i="1" s="1"/>
  <c r="AM116" i="1" a="1"/>
  <c r="AM116" i="1" s="1"/>
  <c r="H116" i="1" s="1" a="1"/>
  <c r="H116" i="1" s="1"/>
  <c r="AM117" i="1" a="1"/>
  <c r="AM117" i="1" s="1"/>
  <c r="H117" i="1" s="1" a="1"/>
  <c r="H117" i="1" s="1"/>
  <c r="AM119" i="1" a="1"/>
  <c r="AM119" i="1" s="1"/>
  <c r="H119" i="1" s="1" a="1"/>
  <c r="H119" i="1" s="1"/>
  <c r="AM118" i="1" a="1"/>
  <c r="AM118" i="1" s="1"/>
  <c r="H118" i="1" s="1" a="1"/>
  <c r="H118" i="1" s="1"/>
  <c r="AM120" i="1" a="1"/>
  <c r="AM120" i="1" s="1"/>
  <c r="H120" i="1" s="1" a="1"/>
  <c r="H120" i="1" s="1"/>
  <c r="AM121" i="1" a="1"/>
  <c r="AM121" i="1" s="1"/>
  <c r="H121" i="1" s="1" a="1"/>
  <c r="H121" i="1" s="1"/>
  <c r="AM122" i="1" a="1"/>
  <c r="AM122" i="1" s="1"/>
  <c r="H122" i="1" s="1" a="1"/>
  <c r="H122" i="1" s="1"/>
  <c r="AM123" i="1" a="1"/>
  <c r="AM123" i="1" s="1"/>
  <c r="H123" i="1" s="1" a="1"/>
  <c r="H123" i="1" s="1"/>
  <c r="AM124" i="1" a="1"/>
  <c r="AM124" i="1" s="1"/>
  <c r="H124" i="1" s="1" a="1"/>
  <c r="H124" i="1" s="1"/>
  <c r="AM125" i="1" a="1"/>
  <c r="AM125" i="1" s="1"/>
  <c r="H125" i="1" s="1" a="1"/>
  <c r="H125" i="1" s="1"/>
  <c r="AM126" i="1" a="1"/>
  <c r="AM126" i="1" s="1"/>
  <c r="H126" i="1" s="1" a="1"/>
  <c r="H126" i="1" s="1"/>
  <c r="AM127" i="1" a="1"/>
  <c r="AM127" i="1" s="1"/>
  <c r="H127" i="1" s="1" a="1"/>
  <c r="H127" i="1" s="1"/>
  <c r="AM129" i="1" a="1"/>
  <c r="AM129" i="1" s="1"/>
  <c r="H129" i="1" s="1" a="1"/>
  <c r="H129" i="1" s="1"/>
  <c r="AM128" i="1" a="1"/>
  <c r="AM128" i="1" s="1"/>
  <c r="H128" i="1" s="1" a="1"/>
  <c r="H128" i="1" s="1"/>
  <c r="AM130" i="1" a="1"/>
  <c r="AM130" i="1" s="1"/>
  <c r="H130" i="1" s="1" a="1"/>
  <c r="H130" i="1" s="1"/>
  <c r="AM131" i="1" a="1"/>
  <c r="AM131" i="1" s="1"/>
  <c r="H131" i="1" s="1" a="1"/>
  <c r="H131" i="1" s="1"/>
  <c r="AM132" i="1" a="1"/>
  <c r="AM132" i="1" s="1"/>
  <c r="H132" i="1" s="1" a="1"/>
  <c r="H132" i="1" s="1"/>
  <c r="AM133" i="1" a="1"/>
  <c r="AM133" i="1" s="1"/>
  <c r="H133" i="1" s="1" a="1"/>
  <c r="H133" i="1" s="1"/>
  <c r="AM134" i="1" a="1"/>
  <c r="AM134" i="1" s="1"/>
  <c r="H134" i="1" s="1" a="1"/>
  <c r="H134" i="1" s="1"/>
  <c r="AM135" i="1" a="1"/>
  <c r="AM135" i="1" s="1"/>
  <c r="H135" i="1" s="1" a="1"/>
  <c r="H135" i="1" s="1"/>
  <c r="AM136" i="1" a="1"/>
  <c r="AM136" i="1" s="1"/>
  <c r="H136" i="1" s="1" a="1"/>
  <c r="H136" i="1" s="1"/>
  <c r="AM137" i="1" a="1"/>
  <c r="AM137" i="1" s="1"/>
  <c r="H137" i="1" s="1" a="1"/>
  <c r="H137" i="1" s="1"/>
  <c r="AM138" i="1" a="1"/>
  <c r="AM138" i="1" s="1"/>
  <c r="H138" i="1" s="1" a="1"/>
  <c r="H138" i="1" s="1"/>
  <c r="AM139" i="1" a="1"/>
  <c r="AM139" i="1" s="1"/>
  <c r="H139" i="1" s="1" a="1"/>
  <c r="H139" i="1" s="1"/>
  <c r="AM140" i="1" a="1"/>
  <c r="AM140" i="1" s="1"/>
  <c r="H140" i="1" s="1" a="1"/>
  <c r="H140" i="1" s="1"/>
  <c r="AM141" i="1" a="1"/>
  <c r="AM141" i="1" s="1"/>
  <c r="H141" i="1" s="1" a="1"/>
  <c r="H141" i="1" s="1"/>
  <c r="AM143" i="1" a="1"/>
  <c r="AM143" i="1" s="1"/>
  <c r="H143" i="1" s="1" a="1"/>
  <c r="H143" i="1" s="1"/>
  <c r="AM142" i="1" a="1"/>
  <c r="AM142" i="1" s="1"/>
  <c r="H142" i="1" s="1" a="1"/>
  <c r="H142" i="1" s="1"/>
  <c r="AM144" i="1" a="1"/>
  <c r="AM144" i="1" s="1"/>
  <c r="H144" i="1" s="1" a="1"/>
  <c r="H144" i="1" s="1"/>
  <c r="AM145" i="1" a="1"/>
  <c r="AM145" i="1" s="1"/>
  <c r="H145" i="1" s="1" a="1"/>
  <c r="H145" i="1" s="1"/>
  <c r="AM147" i="1" a="1"/>
  <c r="AM147" i="1" s="1"/>
  <c r="H147" i="1" s="1" a="1"/>
  <c r="H147" i="1" s="1"/>
  <c r="AM146" i="1" a="1"/>
  <c r="AM146" i="1" s="1"/>
  <c r="H146" i="1" s="1" a="1"/>
  <c r="H146" i="1" s="1"/>
  <c r="AM148" i="1" a="1"/>
  <c r="AM148" i="1" s="1"/>
  <c r="H148" i="1" s="1" a="1"/>
  <c r="H148" i="1" s="1"/>
  <c r="AM149" i="1" a="1"/>
  <c r="AM149" i="1" s="1"/>
  <c r="H149" i="1" s="1" a="1"/>
  <c r="H149" i="1" s="1"/>
  <c r="AM150" i="1" a="1"/>
  <c r="AM150" i="1" s="1"/>
  <c r="H150" i="1" s="1" a="1"/>
  <c r="H150" i="1" s="1"/>
  <c r="AM151" i="1" a="1"/>
  <c r="AM151" i="1" s="1"/>
  <c r="H151" i="1" s="1" a="1"/>
  <c r="H151" i="1" s="1"/>
  <c r="AM152" i="1" a="1"/>
  <c r="AM152" i="1" s="1"/>
  <c r="H152" i="1" s="1" a="1"/>
  <c r="H152" i="1" s="1"/>
  <c r="AM154" i="1" a="1"/>
  <c r="AM154" i="1" s="1"/>
  <c r="H154" i="1" s="1" a="1"/>
  <c r="H154" i="1" s="1"/>
  <c r="AM153" i="1" a="1"/>
  <c r="AM153" i="1" s="1"/>
  <c r="H153" i="1" s="1" a="1"/>
  <c r="H153" i="1" s="1"/>
  <c r="AM155" i="1" a="1"/>
  <c r="AM155" i="1" s="1"/>
  <c r="H155" i="1" s="1" a="1"/>
  <c r="H155" i="1" s="1"/>
  <c r="AM156" i="1" a="1"/>
  <c r="AM156" i="1" s="1"/>
  <c r="H156" i="1" s="1" a="1"/>
  <c r="H156" i="1" s="1"/>
  <c r="AM157" i="1" a="1"/>
  <c r="AM157" i="1" s="1"/>
  <c r="H157" i="1" s="1" a="1"/>
  <c r="H157" i="1" s="1"/>
  <c r="AM160" i="1" a="1"/>
  <c r="AM160" i="1" s="1"/>
  <c r="H160" i="1" s="1" a="1"/>
  <c r="H160" i="1" s="1"/>
  <c r="AM158" i="1" a="1"/>
  <c r="AM158" i="1" s="1"/>
  <c r="H158" i="1" s="1" a="1"/>
  <c r="H158" i="1" s="1"/>
  <c r="AM159" i="1" a="1"/>
  <c r="AM159" i="1" s="1"/>
  <c r="H159" i="1" s="1" a="1"/>
  <c r="H159" i="1" s="1"/>
  <c r="AM161" i="1" a="1"/>
  <c r="AM161" i="1" s="1"/>
  <c r="H161" i="1" s="1" a="1"/>
  <c r="H161" i="1" s="1"/>
  <c r="AM162" i="1" a="1"/>
  <c r="AM162" i="1" s="1"/>
  <c r="H162" i="1" s="1" a="1"/>
  <c r="H162" i="1" s="1"/>
  <c r="AM163" i="1" a="1"/>
  <c r="AM163" i="1" s="1"/>
  <c r="H163" i="1" s="1" a="1"/>
  <c r="H163" i="1" s="1"/>
  <c r="AM164" i="1" a="1"/>
  <c r="AM164" i="1" s="1"/>
  <c r="H164" i="1" s="1" a="1"/>
  <c r="H164" i="1" s="1"/>
  <c r="AM165" i="1" a="1"/>
  <c r="AM165" i="1" s="1"/>
  <c r="H165" i="1" s="1" a="1"/>
  <c r="H165" i="1" s="1"/>
  <c r="AM166" i="1" a="1"/>
  <c r="AM166" i="1" s="1"/>
  <c r="H166" i="1" s="1" a="1"/>
  <c r="H166" i="1" s="1"/>
  <c r="AM167" i="1" a="1"/>
  <c r="AM167" i="1" s="1"/>
  <c r="H167" i="1" s="1" a="1"/>
  <c r="H167" i="1" s="1"/>
  <c r="AM168" i="1" a="1"/>
  <c r="AM168" i="1" s="1"/>
  <c r="H168" i="1" s="1" a="1"/>
  <c r="H168" i="1" s="1"/>
  <c r="AM169" i="1" a="1"/>
  <c r="AM169" i="1" s="1"/>
  <c r="H169" i="1" s="1" a="1"/>
  <c r="H169" i="1" s="1"/>
  <c r="AM170" i="1" a="1"/>
  <c r="AM170" i="1" s="1"/>
  <c r="H170" i="1" s="1" a="1"/>
  <c r="H170" i="1" s="1"/>
  <c r="AM175" i="1" a="1"/>
  <c r="AM175" i="1" s="1"/>
  <c r="H175" i="1" s="1" a="1"/>
  <c r="H175" i="1" s="1"/>
  <c r="AM176" i="1" a="1"/>
  <c r="AM176" i="1" s="1"/>
  <c r="H176" i="1" s="1" a="1"/>
  <c r="H176" i="1" s="1"/>
  <c r="AM177" i="1" a="1"/>
  <c r="AM177" i="1" s="1"/>
  <c r="H177" i="1" s="1" a="1"/>
  <c r="H177" i="1" s="1"/>
  <c r="AM171" i="1" a="1"/>
  <c r="AM171" i="1" s="1"/>
  <c r="H171" i="1" s="1" a="1"/>
  <c r="H171" i="1" s="1"/>
  <c r="AM180" i="1" a="1"/>
  <c r="AM180" i="1" s="1"/>
  <c r="H180" i="1" s="1" a="1"/>
  <c r="H180" i="1" s="1"/>
  <c r="AM172" i="1" a="1"/>
  <c r="AM172" i="1" s="1"/>
  <c r="H172" i="1" s="1" a="1"/>
  <c r="H172" i="1" s="1"/>
  <c r="AM174" i="1" a="1"/>
  <c r="AM174" i="1" s="1"/>
  <c r="H174" i="1" s="1" a="1"/>
  <c r="H174" i="1" s="1"/>
  <c r="AM178" i="1" a="1"/>
  <c r="AM178" i="1" s="1"/>
  <c r="H178" i="1" s="1" a="1"/>
  <c r="H178" i="1" s="1"/>
  <c r="AM173" i="1" a="1"/>
  <c r="AM173" i="1" s="1"/>
  <c r="H173" i="1" s="1" a="1"/>
  <c r="H173" i="1" s="1"/>
  <c r="AM184" i="1" a="1"/>
  <c r="AM184" i="1" s="1"/>
  <c r="H184" i="1" s="1" a="1"/>
  <c r="H184" i="1" s="1"/>
  <c r="AM179" i="1" a="1"/>
  <c r="AM179" i="1" s="1"/>
  <c r="H179" i="1" s="1" a="1"/>
  <c r="H179" i="1" s="1"/>
  <c r="AM181" i="1" a="1"/>
  <c r="AM181" i="1" s="1"/>
  <c r="H181" i="1" s="1" a="1"/>
  <c r="H181" i="1" s="1"/>
  <c r="AM182" i="1" a="1"/>
  <c r="AM182" i="1" s="1"/>
  <c r="H182" i="1" s="1" a="1"/>
  <c r="H182" i="1" s="1"/>
  <c r="AM183" i="1" a="1"/>
  <c r="AM183" i="1" s="1"/>
  <c r="H183" i="1" s="1" a="1"/>
  <c r="H183" i="1" s="1"/>
  <c r="AM185" i="1" a="1"/>
  <c r="AM185" i="1" s="1"/>
  <c r="H185" i="1" s="1" a="1"/>
  <c r="H185" i="1" s="1"/>
  <c r="AM186" i="1" a="1"/>
  <c r="AM186" i="1" s="1"/>
  <c r="H186" i="1" s="1" a="1"/>
  <c r="H186" i="1" s="1"/>
  <c r="AM187" i="1" a="1"/>
  <c r="AM187" i="1" s="1"/>
  <c r="H187" i="1" s="1" a="1"/>
  <c r="H187" i="1" s="1"/>
  <c r="AM188" i="1" a="1"/>
  <c r="AM188" i="1" s="1"/>
  <c r="H188" i="1" s="1" a="1"/>
  <c r="H188" i="1" s="1"/>
  <c r="AM189" i="1" a="1"/>
  <c r="AM189" i="1" s="1"/>
  <c r="H189" i="1" s="1" a="1"/>
  <c r="H189" i="1" s="1"/>
  <c r="AM190" i="1" a="1"/>
  <c r="AM190" i="1" s="1"/>
  <c r="H190" i="1" s="1" a="1"/>
  <c r="H190" i="1" s="1"/>
  <c r="AM191" i="1" a="1"/>
  <c r="AM191" i="1" s="1"/>
  <c r="H191" i="1" s="1" a="1"/>
  <c r="H191" i="1" s="1"/>
  <c r="AM192" i="1" a="1"/>
  <c r="AM192" i="1" s="1"/>
  <c r="H192" i="1" s="1" a="1"/>
  <c r="H192" i="1" s="1"/>
  <c r="AM193" i="1" a="1"/>
  <c r="AM193" i="1" s="1"/>
  <c r="H193" i="1" s="1" a="1"/>
  <c r="H193" i="1" s="1"/>
  <c r="AM195" i="1" a="1"/>
  <c r="AM195" i="1" s="1"/>
  <c r="H195" i="1" s="1" a="1"/>
  <c r="H195" i="1" s="1"/>
  <c r="AM197" i="1" a="1"/>
  <c r="AM197" i="1" s="1"/>
  <c r="H197" i="1" s="1" a="1"/>
  <c r="H197" i="1" s="1"/>
  <c r="AM199" i="1" a="1"/>
  <c r="AM199" i="1" s="1"/>
  <c r="H199" i="1" s="1" a="1"/>
  <c r="H199" i="1" s="1"/>
  <c r="AM200" i="1" a="1"/>
  <c r="AM200" i="1" s="1"/>
  <c r="H200" i="1" s="1" a="1"/>
  <c r="H200" i="1" s="1"/>
  <c r="AM201" i="1" a="1"/>
  <c r="AM201" i="1" s="1"/>
  <c r="H201" i="1" s="1" a="1"/>
  <c r="H201" i="1" s="1"/>
  <c r="AM203" i="1" a="1"/>
  <c r="AM203" i="1" s="1"/>
  <c r="H203" i="1" s="1" a="1"/>
  <c r="H203" i="1" s="1"/>
  <c r="AM202" i="1" a="1"/>
  <c r="AM202" i="1" s="1"/>
  <c r="H202" i="1" s="1" a="1"/>
  <c r="H202" i="1" s="1"/>
  <c r="AM204" i="1" a="1"/>
  <c r="AM204" i="1" s="1"/>
  <c r="H204" i="1" s="1" a="1"/>
  <c r="H204" i="1" s="1"/>
  <c r="AM205" i="1" a="1"/>
  <c r="AM205" i="1" s="1"/>
  <c r="H205" i="1" s="1" a="1"/>
  <c r="H205" i="1" s="1"/>
  <c r="AM206" i="1" a="1"/>
  <c r="AM206" i="1" s="1"/>
  <c r="H206" i="1" s="1" a="1"/>
  <c r="H206" i="1" s="1"/>
  <c r="AM207" i="1" a="1"/>
  <c r="AM207" i="1" s="1"/>
  <c r="H207" i="1" s="1" a="1"/>
  <c r="H207" i="1" s="1"/>
  <c r="AM209" i="1" a="1"/>
  <c r="AM209" i="1" s="1"/>
  <c r="H209" i="1" s="1" a="1"/>
  <c r="H209" i="1" s="1"/>
  <c r="AP191" i="1" a="1"/>
  <c r="AP191" i="1" s="1"/>
  <c r="I191" i="1" s="1" a="1"/>
  <c r="I191" i="1" s="1"/>
  <c r="AP192" i="1" a="1"/>
  <c r="AP192" i="1" s="1"/>
  <c r="I192" i="1" s="1" a="1"/>
  <c r="I192" i="1" s="1"/>
  <c r="AP193" i="1" a="1"/>
  <c r="AP193" i="1" s="1"/>
  <c r="I193" i="1" s="1" a="1"/>
  <c r="I193" i="1" s="1"/>
  <c r="BB13" i="1" a="1"/>
  <c r="BB13" i="1" s="1"/>
  <c r="M13" i="1" s="1" a="1"/>
  <c r="M13" i="1" s="1"/>
  <c r="BB15" i="1" a="1"/>
  <c r="BB15" i="1" s="1"/>
  <c r="M15" i="1" s="1" a="1"/>
  <c r="M15" i="1" s="1"/>
  <c r="BB104" i="1" a="1"/>
  <c r="BB104" i="1" s="1"/>
  <c r="M104" i="1" s="1" a="1"/>
  <c r="M104" i="1" s="1"/>
  <c r="BB17" i="1" a="1"/>
  <c r="BB17" i="1" s="1"/>
  <c r="M17" i="1" s="1" a="1"/>
  <c r="M17" i="1" s="1"/>
  <c r="BB41" i="1" a="1"/>
  <c r="BB41" i="1" s="1"/>
  <c r="M41" i="1" s="1" a="1"/>
  <c r="M41" i="1" s="1"/>
  <c r="BB29" i="1" a="1"/>
  <c r="BB29" i="1" s="1"/>
  <c r="M29" i="1" s="1" a="1"/>
  <c r="M29" i="1" s="1"/>
  <c r="BB88" i="1" a="1"/>
  <c r="BB88" i="1" s="1"/>
  <c r="M88" i="1" s="1" a="1"/>
  <c r="M88" i="1" s="1"/>
  <c r="BB11" i="1" a="1"/>
  <c r="BB11" i="1" s="1"/>
  <c r="M11" i="1" s="1" a="1"/>
  <c r="M11" i="1" s="1"/>
  <c r="BB110" i="1" a="1"/>
  <c r="BB110" i="1" s="1"/>
  <c r="M110" i="1" s="1" a="1"/>
  <c r="M110" i="1" s="1"/>
  <c r="BB111" i="1" a="1"/>
  <c r="BB111" i="1" s="1"/>
  <c r="M111" i="1" s="1" a="1"/>
  <c r="M111" i="1" s="1"/>
  <c r="BB71" i="1" a="1"/>
  <c r="BB71" i="1" s="1"/>
  <c r="M71" i="1" s="1" a="1"/>
  <c r="M71" i="1" s="1"/>
  <c r="BB72" i="1" a="1"/>
  <c r="BB72" i="1" s="1"/>
  <c r="M72" i="1" s="1" a="1"/>
  <c r="M72" i="1" s="1"/>
  <c r="BB73" i="1" a="1"/>
  <c r="BB73" i="1" s="1"/>
  <c r="M73" i="1" s="1" a="1"/>
  <c r="M73" i="1" s="1"/>
  <c r="BB76" i="1" a="1"/>
  <c r="BB76" i="1" s="1"/>
  <c r="M76" i="1" s="1" a="1"/>
  <c r="M76" i="1" s="1"/>
  <c r="BB107" i="1" a="1"/>
  <c r="BB107" i="1" s="1"/>
  <c r="M107" i="1" s="1" a="1"/>
  <c r="M107" i="1" s="1"/>
  <c r="BB24" i="1" a="1"/>
  <c r="BB24" i="1" s="1"/>
  <c r="M24" i="1" s="1" a="1"/>
  <c r="M24" i="1" s="1"/>
  <c r="BB28" i="1" a="1"/>
  <c r="BB28" i="1" s="1"/>
  <c r="M28" i="1" s="1" a="1"/>
  <c r="M28" i="1" s="1"/>
  <c r="BB30" i="1" a="1"/>
  <c r="BB30" i="1" s="1"/>
  <c r="M30" i="1" s="1" a="1"/>
  <c r="M30" i="1" s="1"/>
  <c r="BB52" i="1" a="1"/>
  <c r="BB52" i="1" s="1"/>
  <c r="M52" i="1" s="1" a="1"/>
  <c r="M52" i="1" s="1"/>
  <c r="BB39" i="1" a="1"/>
  <c r="BB39" i="1" s="1"/>
  <c r="M39" i="1" s="1" a="1"/>
  <c r="M39" i="1" s="1"/>
  <c r="BB45" i="1" a="1"/>
  <c r="BB45" i="1" s="1"/>
  <c r="M45" i="1" s="1" a="1"/>
  <c r="M45" i="1" s="1"/>
  <c r="BB83" i="1" a="1"/>
  <c r="BB83" i="1" s="1"/>
  <c r="M83" i="1" s="1" a="1"/>
  <c r="M83" i="1" s="1"/>
  <c r="BB47" i="1" a="1"/>
  <c r="BB47" i="1" s="1"/>
  <c r="M47" i="1" s="1" a="1"/>
  <c r="M47" i="1" s="1"/>
  <c r="BB63" i="1" a="1"/>
  <c r="BB63" i="1" s="1"/>
  <c r="M63" i="1" s="1" a="1"/>
  <c r="M63" i="1" s="1"/>
  <c r="BB9" i="1" a="1"/>
  <c r="BB9" i="1" s="1"/>
  <c r="M9" i="1" s="1" a="1"/>
  <c r="M9" i="1" s="1"/>
  <c r="BB108" i="1" a="1"/>
  <c r="BB108" i="1" s="1"/>
  <c r="M108" i="1" s="1" a="1"/>
  <c r="M108" i="1" s="1"/>
  <c r="BB32" i="1" a="1"/>
  <c r="BB32" i="1" s="1"/>
  <c r="M32" i="1" s="1" a="1"/>
  <c r="M32" i="1" s="1"/>
  <c r="BB34" i="1" a="1"/>
  <c r="BB34" i="1" s="1"/>
  <c r="M34" i="1" s="1" a="1"/>
  <c r="M34" i="1" s="1"/>
  <c r="BB56" i="1" a="1"/>
  <c r="BB56" i="1" s="1"/>
  <c r="M56" i="1" s="1" a="1"/>
  <c r="M56" i="1" s="1"/>
  <c r="BB27" i="1" a="1"/>
  <c r="BB27" i="1" s="1"/>
  <c r="M27" i="1" s="1" a="1"/>
  <c r="M27" i="1" s="1"/>
  <c r="BB31" i="1" a="1"/>
  <c r="BB31" i="1" s="1"/>
  <c r="M31" i="1" s="1" a="1"/>
  <c r="M31" i="1" s="1"/>
  <c r="BB33" i="1" a="1"/>
  <c r="BB33" i="1" s="1"/>
  <c r="M33" i="1" s="1" a="1"/>
  <c r="M33" i="1" s="1"/>
  <c r="BB74" i="1" a="1"/>
  <c r="BB74" i="1" s="1"/>
  <c r="M74" i="1" s="1" a="1"/>
  <c r="M74" i="1" s="1"/>
  <c r="BB77" i="1" a="1"/>
  <c r="BB77" i="1" s="1"/>
  <c r="M77" i="1" s="1" a="1"/>
  <c r="M77" i="1" s="1"/>
  <c r="BB78" i="1" a="1"/>
  <c r="BB78" i="1" s="1"/>
  <c r="M78" i="1" s="1" a="1"/>
  <c r="M78" i="1" s="1"/>
  <c r="BB93" i="1" a="1"/>
  <c r="BB93" i="1" s="1"/>
  <c r="M93" i="1" s="1" a="1"/>
  <c r="M93" i="1" s="1"/>
  <c r="BB100" i="1" a="1"/>
  <c r="BB100" i="1" s="1"/>
  <c r="M100" i="1" s="1" a="1"/>
  <c r="M100" i="1" s="1"/>
  <c r="BB57" i="1" a="1"/>
  <c r="BB57" i="1" s="1"/>
  <c r="M57" i="1" s="1" a="1"/>
  <c r="M57" i="1" s="1"/>
  <c r="BB58" i="1" a="1"/>
  <c r="BB58" i="1" s="1"/>
  <c r="M58" i="1" s="1" a="1"/>
  <c r="M58" i="1" s="1"/>
  <c r="BB59" i="1" a="1"/>
  <c r="BB59" i="1" s="1"/>
  <c r="M59" i="1" s="1" a="1"/>
  <c r="M59" i="1" s="1"/>
  <c r="BB60" i="1" a="1"/>
  <c r="BB60" i="1" s="1"/>
  <c r="M60" i="1" s="1" a="1"/>
  <c r="M60" i="1" s="1"/>
  <c r="BB89" i="1" a="1"/>
  <c r="BB89" i="1" s="1"/>
  <c r="M89" i="1" s="1" a="1"/>
  <c r="M89" i="1" s="1"/>
  <c r="BB23" i="1" a="1"/>
  <c r="BB23" i="1" s="1"/>
  <c r="M23" i="1" s="1" a="1"/>
  <c r="M23" i="1" s="1"/>
  <c r="BB38" i="1" a="1"/>
  <c r="BB38" i="1" s="1"/>
  <c r="M38" i="1" s="1" a="1"/>
  <c r="M38" i="1" s="1"/>
  <c r="BB75" i="1" a="1"/>
  <c r="BB75" i="1" s="1"/>
  <c r="M75" i="1" s="1" a="1"/>
  <c r="M75" i="1" s="1"/>
  <c r="BB109" i="1" a="1"/>
  <c r="BB109" i="1" s="1"/>
  <c r="M109" i="1" s="1" a="1"/>
  <c r="M109" i="1" s="1"/>
  <c r="BB112" i="1" a="1"/>
  <c r="BB112" i="1" s="1"/>
  <c r="M112" i="1" s="1" a="1"/>
  <c r="M112" i="1" s="1"/>
  <c r="BB90" i="1" a="1"/>
  <c r="BB90" i="1" s="1"/>
  <c r="M90" i="1" s="1" a="1"/>
  <c r="M90" i="1" s="1"/>
  <c r="BB8" i="1" a="1"/>
  <c r="BB8" i="1" s="1"/>
  <c r="M8" i="1" s="1" a="1"/>
  <c r="M8" i="1" s="1"/>
  <c r="BB10" i="1" a="1"/>
  <c r="BB10" i="1" s="1"/>
  <c r="M10" i="1" s="1" a="1"/>
  <c r="M10" i="1" s="1"/>
  <c r="BB42" i="1" a="1"/>
  <c r="BB42" i="1" s="1"/>
  <c r="M42" i="1" s="1" a="1"/>
  <c r="M42" i="1" s="1"/>
  <c r="BB43" i="1" a="1"/>
  <c r="BB43" i="1" s="1"/>
  <c r="M43" i="1" s="1" a="1"/>
  <c r="M43" i="1" s="1"/>
  <c r="BB44" i="1" a="1"/>
  <c r="BB44" i="1" s="1"/>
  <c r="M44" i="1" s="1" a="1"/>
  <c r="M44" i="1" s="1"/>
  <c r="BB66" i="1" a="1"/>
  <c r="BB66" i="1" s="1"/>
  <c r="M66" i="1" s="1" a="1"/>
  <c r="M66" i="1" s="1"/>
  <c r="BB67" i="1" a="1"/>
  <c r="BB67" i="1" s="1"/>
  <c r="M67" i="1" s="1" a="1"/>
  <c r="M67" i="1" s="1"/>
  <c r="BB68" i="1" a="1"/>
  <c r="BB68" i="1" s="1"/>
  <c r="M68" i="1" s="1" a="1"/>
  <c r="M68" i="1" s="1"/>
  <c r="BB82" i="1" a="1"/>
  <c r="BB82" i="1" s="1"/>
  <c r="M82" i="1" s="1" a="1"/>
  <c r="M82" i="1" s="1"/>
  <c r="BB84" i="1" a="1"/>
  <c r="BB84" i="1" s="1"/>
  <c r="M84" i="1" s="1" a="1"/>
  <c r="M84" i="1" s="1"/>
  <c r="BB85" i="1" a="1"/>
  <c r="BB85" i="1" s="1"/>
  <c r="M85" i="1" s="1" a="1"/>
  <c r="M85" i="1" s="1"/>
  <c r="BB86" i="1" a="1"/>
  <c r="BB86" i="1" s="1"/>
  <c r="M86" i="1" s="1" a="1"/>
  <c r="M86" i="1" s="1"/>
  <c r="BB87" i="1" a="1"/>
  <c r="BB87" i="1" s="1"/>
  <c r="M87" i="1" s="1" a="1"/>
  <c r="M87" i="1" s="1"/>
  <c r="BB94" i="1" a="1"/>
  <c r="BB94" i="1" s="1"/>
  <c r="M94" i="1" s="1" a="1"/>
  <c r="M94" i="1" s="1"/>
  <c r="BB101" i="1" a="1"/>
  <c r="BB101" i="1" s="1"/>
  <c r="M101" i="1" s="1" a="1"/>
  <c r="M101" i="1" s="1"/>
  <c r="BB40" i="1" a="1"/>
  <c r="BB40" i="1" s="1"/>
  <c r="M40" i="1" s="1" a="1"/>
  <c r="M40" i="1" s="1"/>
  <c r="BB48" i="1" a="1"/>
  <c r="BB48" i="1" s="1"/>
  <c r="M48" i="1" s="1" a="1"/>
  <c r="M48" i="1" s="1"/>
  <c r="BB49" i="1" a="1"/>
  <c r="BB49" i="1" s="1"/>
  <c r="M49" i="1" s="1" a="1"/>
  <c r="M49" i="1" s="1"/>
  <c r="BB54" i="1" a="1"/>
  <c r="BB54" i="1" s="1"/>
  <c r="M54" i="1" s="1" a="1"/>
  <c r="M54" i="1" s="1"/>
  <c r="BB102" i="1" a="1"/>
  <c r="BB102" i="1" s="1"/>
  <c r="M102" i="1" s="1" a="1"/>
  <c r="M102" i="1" s="1"/>
  <c r="BB4" i="1" a="1"/>
  <c r="BB4" i="1" s="1"/>
  <c r="M4" i="1" s="1" a="1"/>
  <c r="M4" i="1" s="1"/>
  <c r="BB6" i="1" a="1"/>
  <c r="BB6" i="1" s="1"/>
  <c r="M6" i="1" s="1" a="1"/>
  <c r="M6" i="1" s="1"/>
  <c r="BB14" i="1" a="1"/>
  <c r="BB14" i="1" s="1"/>
  <c r="M14" i="1" s="1" a="1"/>
  <c r="M14" i="1" s="1"/>
  <c r="BB26" i="1" a="1"/>
  <c r="BB26" i="1" s="1"/>
  <c r="M26" i="1" s="1" a="1"/>
  <c r="M26" i="1" s="1"/>
  <c r="BB79" i="1" a="1"/>
  <c r="BB79" i="1" s="1"/>
  <c r="M79" i="1" s="1" a="1"/>
  <c r="M79" i="1" s="1"/>
  <c r="BB36" i="1" a="1"/>
  <c r="BB36" i="1" s="1"/>
  <c r="M36" i="1" s="1" a="1"/>
  <c r="M36" i="1" s="1"/>
  <c r="BB69" i="1" a="1"/>
  <c r="BB69" i="1" s="1"/>
  <c r="M69" i="1" s="1" a="1"/>
  <c r="M69" i="1" s="1"/>
  <c r="BB53" i="1" a="1"/>
  <c r="BB53" i="1" s="1"/>
  <c r="M53" i="1" s="1" a="1"/>
  <c r="M53" i="1" s="1"/>
  <c r="BB95" i="1" a="1"/>
  <c r="BB95" i="1" s="1"/>
  <c r="M95" i="1" s="1" a="1"/>
  <c r="M95" i="1" s="1"/>
  <c r="BB96" i="1" a="1"/>
  <c r="BB96" i="1" s="1"/>
  <c r="M96" i="1" s="1" a="1"/>
  <c r="M96" i="1" s="1"/>
  <c r="BB98" i="1" a="1"/>
  <c r="BB98" i="1" s="1"/>
  <c r="M98" i="1" s="1" a="1"/>
  <c r="M98" i="1" s="1"/>
  <c r="BB99" i="1" a="1"/>
  <c r="BB99" i="1" s="1"/>
  <c r="M99" i="1" s="1" a="1"/>
  <c r="M99" i="1" s="1"/>
  <c r="BB16" i="1" a="1"/>
  <c r="BB16" i="1" s="1"/>
  <c r="M16" i="1" s="1" a="1"/>
  <c r="M16" i="1" s="1"/>
  <c r="BB25" i="1" a="1"/>
  <c r="BB25" i="1" s="1"/>
  <c r="M25" i="1" s="1" a="1"/>
  <c r="M25" i="1" s="1"/>
  <c r="BB35" i="1" a="1"/>
  <c r="BB35" i="1" s="1"/>
  <c r="M35" i="1" s="1" a="1"/>
  <c r="M35" i="1" s="1"/>
  <c r="BB37" i="1" a="1"/>
  <c r="BB37" i="1" s="1"/>
  <c r="M37" i="1" s="1" a="1"/>
  <c r="M37" i="1" s="1"/>
  <c r="BB62" i="1" a="1"/>
  <c r="BB62" i="1" s="1"/>
  <c r="M62" i="1" s="1" a="1"/>
  <c r="M62" i="1" s="1"/>
  <c r="BB97" i="1" a="1"/>
  <c r="BB97" i="1" s="1"/>
  <c r="M97" i="1" s="1" a="1"/>
  <c r="M97" i="1" s="1"/>
  <c r="BB18" i="1" a="1"/>
  <c r="BB18" i="1" s="1"/>
  <c r="M18" i="1" s="1" a="1"/>
  <c r="M18" i="1" s="1"/>
  <c r="BB46" i="1" a="1"/>
  <c r="BB46" i="1" s="1"/>
  <c r="M46" i="1" s="1" a="1"/>
  <c r="M46" i="1" s="1"/>
  <c r="BB50" i="1" a="1"/>
  <c r="BB50" i="1" s="1"/>
  <c r="M50" i="1" s="1" a="1"/>
  <c r="M50" i="1" s="1"/>
  <c r="BB55" i="1" a="1"/>
  <c r="BB55" i="1" s="1"/>
  <c r="M55" i="1" s="1" a="1"/>
  <c r="M55" i="1" s="1"/>
  <c r="BB5" i="1" a="1"/>
  <c r="BB5" i="1" s="1"/>
  <c r="M5" i="1" s="1" a="1"/>
  <c r="M5" i="1" s="1"/>
  <c r="BB7" i="1" a="1"/>
  <c r="BB7" i="1" s="1"/>
  <c r="M7" i="1" s="1" a="1"/>
  <c r="M7" i="1" s="1"/>
  <c r="BB12" i="1" a="1"/>
  <c r="BB12" i="1" s="1"/>
  <c r="M12" i="1" s="1" a="1"/>
  <c r="M12" i="1" s="1"/>
  <c r="BB19" i="1" a="1"/>
  <c r="BB19" i="1" s="1"/>
  <c r="M19" i="1" s="1" a="1"/>
  <c r="M19" i="1" s="1"/>
  <c r="BB51" i="1" a="1"/>
  <c r="BB51" i="1" s="1"/>
  <c r="M51" i="1" s="1" a="1"/>
  <c r="M51" i="1" s="1"/>
  <c r="BB61" i="1" a="1"/>
  <c r="BB61" i="1" s="1"/>
  <c r="M61" i="1" s="1" a="1"/>
  <c r="M61" i="1" s="1"/>
  <c r="BB65" i="1" a="1"/>
  <c r="BB65" i="1" s="1"/>
  <c r="M65" i="1" s="1" a="1"/>
  <c r="M65" i="1" s="1"/>
  <c r="BB70" i="1" a="1"/>
  <c r="BB70" i="1" s="1"/>
  <c r="M70" i="1" s="1" a="1"/>
  <c r="M70" i="1" s="1"/>
  <c r="BB80" i="1" a="1"/>
  <c r="BB80" i="1" s="1"/>
  <c r="M80" i="1" s="1" a="1"/>
  <c r="M80" i="1" s="1"/>
  <c r="BB103" i="1" a="1"/>
  <c r="BB103" i="1" s="1"/>
  <c r="M103" i="1" s="1" a="1"/>
  <c r="M103" i="1" s="1"/>
  <c r="BB105" i="1" a="1"/>
  <c r="BB105" i="1" s="1"/>
  <c r="M105" i="1" s="1" a="1"/>
  <c r="M105" i="1" s="1"/>
  <c r="BB106" i="1" a="1"/>
  <c r="BB106" i="1" s="1"/>
  <c r="M106" i="1" s="1" a="1"/>
  <c r="M106" i="1" s="1"/>
  <c r="BB64" i="1" a="1"/>
  <c r="BB64" i="1" s="1"/>
  <c r="M64" i="1" s="1" a="1"/>
  <c r="M64" i="1" s="1"/>
  <c r="BB20" i="1" a="1"/>
  <c r="BB20" i="1" s="1"/>
  <c r="M20" i="1" s="1" a="1"/>
  <c r="M20" i="1" s="1"/>
  <c r="BB21" i="1" a="1"/>
  <c r="BB21" i="1" s="1"/>
  <c r="M21" i="1" s="1" a="1"/>
  <c r="M21" i="1" s="1"/>
  <c r="BB91" i="1" a="1"/>
  <c r="BB91" i="1" s="1"/>
  <c r="M91" i="1" s="1" a="1"/>
  <c r="M91" i="1" s="1"/>
  <c r="BB92" i="1" a="1"/>
  <c r="BB92" i="1" s="1"/>
  <c r="M92" i="1" s="1" a="1"/>
  <c r="M92" i="1" s="1"/>
  <c r="BB114" i="1" a="1"/>
  <c r="BB114" i="1" s="1"/>
  <c r="M114" i="1" s="1" a="1"/>
  <c r="M114" i="1" s="1"/>
  <c r="BB22" i="1" a="1"/>
  <c r="BB22" i="1" s="1"/>
  <c r="M22" i="1" s="1" a="1"/>
  <c r="M22" i="1" s="1"/>
  <c r="BB81" i="1" a="1"/>
  <c r="BB81" i="1" s="1"/>
  <c r="M81" i="1" s="1" a="1"/>
  <c r="M81" i="1" s="1"/>
  <c r="BB113" i="1" a="1"/>
  <c r="BB113" i="1" s="1"/>
  <c r="M113" i="1" s="1" a="1"/>
  <c r="M113" i="1" s="1"/>
  <c r="BB115" i="1" a="1"/>
  <c r="BB115" i="1" s="1"/>
  <c r="M115" i="1" s="1" a="1"/>
  <c r="M115" i="1" s="1"/>
  <c r="BB116" i="1" a="1"/>
  <c r="BB116" i="1" s="1"/>
  <c r="M116" i="1" s="1" a="1"/>
  <c r="M116" i="1" s="1"/>
  <c r="BB117" i="1" a="1"/>
  <c r="BB117" i="1" s="1"/>
  <c r="M117" i="1" s="1" a="1"/>
  <c r="M117" i="1" s="1"/>
  <c r="BB119" i="1" a="1"/>
  <c r="BB119" i="1" s="1"/>
  <c r="M119" i="1" s="1" a="1"/>
  <c r="M119" i="1" s="1"/>
  <c r="BB118" i="1" a="1"/>
  <c r="BB118" i="1" s="1"/>
  <c r="M118" i="1" s="1" a="1"/>
  <c r="M118" i="1" s="1"/>
  <c r="BB120" i="1" a="1"/>
  <c r="BB120" i="1" s="1"/>
  <c r="M120" i="1" s="1" a="1"/>
  <c r="M120" i="1" s="1"/>
  <c r="BB121" i="1" a="1"/>
  <c r="BB121" i="1" s="1"/>
  <c r="M121" i="1" s="1" a="1"/>
  <c r="M121" i="1" s="1"/>
  <c r="BB122" i="1" a="1"/>
  <c r="BB122" i="1" s="1"/>
  <c r="M122" i="1" s="1" a="1"/>
  <c r="M122" i="1" s="1"/>
  <c r="BB123" i="1" a="1"/>
  <c r="BB123" i="1" s="1"/>
  <c r="M123" i="1" s="1" a="1"/>
  <c r="M123" i="1" s="1"/>
  <c r="BB124" i="1" a="1"/>
  <c r="BB124" i="1" s="1"/>
  <c r="M124" i="1" s="1" a="1"/>
  <c r="M124" i="1" s="1"/>
  <c r="BB125" i="1" a="1"/>
  <c r="BB125" i="1" s="1"/>
  <c r="M125" i="1" s="1" a="1"/>
  <c r="M125" i="1" s="1"/>
  <c r="BB126" i="1" a="1"/>
  <c r="BB126" i="1" s="1"/>
  <c r="M126" i="1" s="1" a="1"/>
  <c r="M126" i="1" s="1"/>
  <c r="BB127" i="1" a="1"/>
  <c r="BB127" i="1" s="1"/>
  <c r="M127" i="1" s="1" a="1"/>
  <c r="M127" i="1" s="1"/>
  <c r="BB129" i="1" a="1"/>
  <c r="BB129" i="1" s="1"/>
  <c r="M129" i="1" s="1" a="1"/>
  <c r="M129" i="1" s="1"/>
  <c r="BB128" i="1" a="1"/>
  <c r="BB128" i="1" s="1"/>
  <c r="M128" i="1" s="1" a="1"/>
  <c r="M128" i="1" s="1"/>
  <c r="BB130" i="1" a="1"/>
  <c r="BB130" i="1" s="1"/>
  <c r="M130" i="1" s="1" a="1"/>
  <c r="M130" i="1" s="1"/>
  <c r="BB131" i="1" a="1"/>
  <c r="BB131" i="1" s="1"/>
  <c r="M131" i="1" s="1" a="1"/>
  <c r="M131" i="1" s="1"/>
  <c r="BB132" i="1" a="1"/>
  <c r="BB132" i="1" s="1"/>
  <c r="M132" i="1" s="1" a="1"/>
  <c r="M132" i="1" s="1"/>
  <c r="BB133" i="1" a="1"/>
  <c r="BB133" i="1" s="1"/>
  <c r="M133" i="1" s="1" a="1"/>
  <c r="M133" i="1" s="1"/>
  <c r="BB134" i="1" a="1"/>
  <c r="BB134" i="1" s="1"/>
  <c r="M134" i="1" s="1" a="1"/>
  <c r="M134" i="1" s="1"/>
  <c r="BB135" i="1" a="1"/>
  <c r="BB135" i="1" s="1"/>
  <c r="M135" i="1" s="1" a="1"/>
  <c r="M135" i="1" s="1"/>
  <c r="BB136" i="1" a="1"/>
  <c r="BB136" i="1" s="1"/>
  <c r="M136" i="1" s="1" a="1"/>
  <c r="M136" i="1" s="1"/>
  <c r="BB137" i="1" a="1"/>
  <c r="BB137" i="1" s="1"/>
  <c r="M137" i="1" s="1" a="1"/>
  <c r="M137" i="1" s="1"/>
  <c r="BB138" i="1" a="1"/>
  <c r="BB138" i="1" s="1"/>
  <c r="M138" i="1" s="1" a="1"/>
  <c r="M138" i="1" s="1"/>
  <c r="BB139" i="1" a="1"/>
  <c r="BB139" i="1" s="1"/>
  <c r="M139" i="1" s="1" a="1"/>
  <c r="M139" i="1" s="1"/>
  <c r="BB140" i="1" a="1"/>
  <c r="BB140" i="1" s="1"/>
  <c r="M140" i="1" s="1" a="1"/>
  <c r="M140" i="1" s="1"/>
  <c r="BB141" i="1" a="1"/>
  <c r="BB141" i="1" s="1"/>
  <c r="M141" i="1" s="1" a="1"/>
  <c r="M141" i="1" s="1"/>
  <c r="BB143" i="1" a="1"/>
  <c r="BB143" i="1" s="1"/>
  <c r="M143" i="1" s="1" a="1"/>
  <c r="M143" i="1" s="1"/>
  <c r="BB142" i="1" a="1"/>
  <c r="BB142" i="1" s="1"/>
  <c r="M142" i="1" s="1" a="1"/>
  <c r="M142" i="1" s="1"/>
  <c r="BB144" i="1" a="1"/>
  <c r="BB144" i="1" s="1"/>
  <c r="M144" i="1" s="1" a="1"/>
  <c r="M144" i="1" s="1"/>
  <c r="BB145" i="1" a="1"/>
  <c r="BB145" i="1" s="1"/>
  <c r="M145" i="1" s="1" a="1"/>
  <c r="M145" i="1" s="1"/>
  <c r="BB147" i="1" a="1"/>
  <c r="BB147" i="1" s="1"/>
  <c r="M147" i="1" s="1" a="1"/>
  <c r="M147" i="1" s="1"/>
  <c r="BB146" i="1" a="1"/>
  <c r="BB146" i="1" s="1"/>
  <c r="M146" i="1" s="1" a="1"/>
  <c r="M146" i="1" s="1"/>
  <c r="BB148" i="1" a="1"/>
  <c r="BB148" i="1" s="1"/>
  <c r="M148" i="1" s="1" a="1"/>
  <c r="M148" i="1" s="1"/>
  <c r="BB149" i="1" a="1"/>
  <c r="BB149" i="1" s="1"/>
  <c r="M149" i="1" s="1" a="1"/>
  <c r="M149" i="1" s="1"/>
  <c r="BB150" i="1" a="1"/>
  <c r="BB150" i="1" s="1"/>
  <c r="M150" i="1" s="1" a="1"/>
  <c r="M150" i="1" s="1"/>
  <c r="BB151" i="1" a="1"/>
  <c r="BB151" i="1" s="1"/>
  <c r="M151" i="1" s="1" a="1"/>
  <c r="M151" i="1" s="1"/>
  <c r="BB152" i="1" a="1"/>
  <c r="BB152" i="1" s="1"/>
  <c r="M152" i="1" s="1" a="1"/>
  <c r="M152" i="1" s="1"/>
  <c r="BB154" i="1" a="1"/>
  <c r="BB154" i="1" s="1"/>
  <c r="M154" i="1" s="1" a="1"/>
  <c r="M154" i="1" s="1"/>
  <c r="BB153" i="1" a="1"/>
  <c r="BB153" i="1" s="1"/>
  <c r="M153" i="1" s="1" a="1"/>
  <c r="M153" i="1" s="1"/>
  <c r="BB155" i="1" a="1"/>
  <c r="BB155" i="1" s="1"/>
  <c r="M155" i="1" s="1" a="1"/>
  <c r="M155" i="1" s="1"/>
  <c r="BB156" i="1" a="1"/>
  <c r="BB156" i="1" s="1"/>
  <c r="M156" i="1" s="1" a="1"/>
  <c r="M156" i="1" s="1"/>
  <c r="BB157" i="1" a="1"/>
  <c r="BB157" i="1" s="1"/>
  <c r="M157" i="1" s="1" a="1"/>
  <c r="M157" i="1" s="1"/>
  <c r="BB160" i="1" a="1"/>
  <c r="BB160" i="1" s="1"/>
  <c r="M160" i="1" s="1" a="1"/>
  <c r="M160" i="1" s="1"/>
  <c r="BB158" i="1" a="1"/>
  <c r="BB158" i="1" s="1"/>
  <c r="M158" i="1" s="1" a="1"/>
  <c r="M158" i="1" s="1"/>
  <c r="BB159" i="1" a="1"/>
  <c r="BB159" i="1" s="1"/>
  <c r="M159" i="1" s="1" a="1"/>
  <c r="M159" i="1" s="1"/>
  <c r="BB161" i="1" a="1"/>
  <c r="BB161" i="1" s="1"/>
  <c r="M161" i="1" s="1" a="1"/>
  <c r="M161" i="1" s="1"/>
  <c r="BB162" i="1" a="1"/>
  <c r="BB162" i="1" s="1"/>
  <c r="M162" i="1" s="1" a="1"/>
  <c r="M162" i="1" s="1"/>
  <c r="BB163" i="1" a="1"/>
  <c r="BB163" i="1" s="1"/>
  <c r="M163" i="1" s="1" a="1"/>
  <c r="M163" i="1" s="1"/>
  <c r="BB164" i="1" a="1"/>
  <c r="BB164" i="1" s="1"/>
  <c r="M164" i="1" s="1" a="1"/>
  <c r="M164" i="1" s="1"/>
  <c r="BB165" i="1" a="1"/>
  <c r="BB165" i="1" s="1"/>
  <c r="M165" i="1" s="1" a="1"/>
  <c r="M165" i="1" s="1"/>
  <c r="BB166" i="1" a="1"/>
  <c r="BB166" i="1" s="1"/>
  <c r="M166" i="1" s="1" a="1"/>
  <c r="M166" i="1" s="1"/>
  <c r="BB167" i="1" a="1"/>
  <c r="BB167" i="1" s="1"/>
  <c r="M167" i="1" s="1" a="1"/>
  <c r="M167" i="1" s="1"/>
  <c r="BB168" i="1" a="1"/>
  <c r="BB168" i="1" s="1"/>
  <c r="M168" i="1" s="1" a="1"/>
  <c r="M168" i="1" s="1"/>
  <c r="BB169" i="1" a="1"/>
  <c r="BB169" i="1" s="1"/>
  <c r="M169" i="1" s="1" a="1"/>
  <c r="M169" i="1" s="1"/>
  <c r="BB170" i="1" a="1"/>
  <c r="BB170" i="1" s="1"/>
  <c r="M170" i="1" s="1" a="1"/>
  <c r="M170" i="1" s="1"/>
  <c r="BB175" i="1" a="1"/>
  <c r="BB175" i="1" s="1"/>
  <c r="M175" i="1" s="1" a="1"/>
  <c r="M175" i="1" s="1"/>
  <c r="BB176" i="1" a="1"/>
  <c r="BB176" i="1" s="1"/>
  <c r="M176" i="1" s="1" a="1"/>
  <c r="M176" i="1" s="1"/>
  <c r="BB177" i="1" a="1"/>
  <c r="BB177" i="1" s="1"/>
  <c r="M177" i="1" s="1" a="1"/>
  <c r="M177" i="1" s="1"/>
  <c r="BB171" i="1" a="1"/>
  <c r="BB171" i="1" s="1"/>
  <c r="M171" i="1" s="1" a="1"/>
  <c r="M171" i="1" s="1"/>
  <c r="BB180" i="1" a="1"/>
  <c r="BB180" i="1" s="1"/>
  <c r="M180" i="1" s="1" a="1"/>
  <c r="M180" i="1" s="1"/>
  <c r="BB172" i="1" a="1"/>
  <c r="BB172" i="1" s="1"/>
  <c r="M172" i="1" s="1" a="1"/>
  <c r="M172" i="1" s="1"/>
  <c r="BB174" i="1" a="1"/>
  <c r="BB174" i="1" s="1"/>
  <c r="M174" i="1" s="1" a="1"/>
  <c r="M174" i="1" s="1"/>
  <c r="BB178" i="1" a="1"/>
  <c r="BB178" i="1" s="1"/>
  <c r="M178" i="1" s="1" a="1"/>
  <c r="M178" i="1" s="1"/>
  <c r="BB173" i="1" a="1"/>
  <c r="BB173" i="1" s="1"/>
  <c r="M173" i="1" s="1" a="1"/>
  <c r="M173" i="1" s="1"/>
  <c r="BB184" i="1" a="1"/>
  <c r="BB184" i="1" s="1"/>
  <c r="M184" i="1" s="1" a="1"/>
  <c r="M184" i="1" s="1"/>
  <c r="BB179" i="1" a="1"/>
  <c r="BB179" i="1" s="1"/>
  <c r="M179" i="1" s="1" a="1"/>
  <c r="M179" i="1" s="1"/>
  <c r="BB181" i="1" a="1"/>
  <c r="BB181" i="1" s="1"/>
  <c r="M181" i="1" s="1" a="1"/>
  <c r="M181" i="1" s="1"/>
  <c r="BB182" i="1" a="1"/>
  <c r="BB182" i="1" s="1"/>
  <c r="M182" i="1" s="1" a="1"/>
  <c r="M182" i="1" s="1"/>
  <c r="BB183" i="1" a="1"/>
  <c r="BB183" i="1" s="1"/>
  <c r="M183" i="1" s="1" a="1"/>
  <c r="M183" i="1" s="1"/>
  <c r="BB185" i="1" a="1"/>
  <c r="BB185" i="1" s="1"/>
  <c r="M185" i="1" s="1" a="1"/>
  <c r="M185" i="1" s="1"/>
  <c r="BB186" i="1" a="1"/>
  <c r="BB186" i="1" s="1"/>
  <c r="M186" i="1" s="1" a="1"/>
  <c r="M186" i="1" s="1"/>
  <c r="BB187" i="1" a="1"/>
  <c r="BB187" i="1" s="1"/>
  <c r="M187" i="1" s="1" a="1"/>
  <c r="M187" i="1" s="1"/>
  <c r="BB188" i="1" a="1"/>
  <c r="BB188" i="1" s="1"/>
  <c r="M188" i="1" s="1" a="1"/>
  <c r="M188" i="1" s="1"/>
  <c r="BB189" i="1" a="1"/>
  <c r="BB189" i="1" s="1"/>
  <c r="M189" i="1" s="1" a="1"/>
  <c r="M189" i="1" s="1"/>
  <c r="BB190" i="1" a="1"/>
  <c r="BB190" i="1" s="1"/>
  <c r="M190" i="1" s="1" a="1"/>
  <c r="M190" i="1" s="1"/>
  <c r="BB191" i="1" a="1"/>
  <c r="BB191" i="1" s="1"/>
  <c r="M191" i="1" s="1" a="1"/>
  <c r="M191" i="1" s="1"/>
  <c r="BB192" i="1" a="1"/>
  <c r="BB192" i="1" s="1"/>
  <c r="M192" i="1" s="1" a="1"/>
  <c r="M192" i="1" s="1"/>
  <c r="BB193" i="1" a="1"/>
  <c r="BB193" i="1" s="1"/>
  <c r="M193" i="1" s="1" a="1"/>
  <c r="M193" i="1" s="1"/>
  <c r="BB195" i="1" a="1"/>
  <c r="BB195" i="1" s="1"/>
  <c r="M195" i="1" s="1" a="1"/>
  <c r="M195" i="1" s="1"/>
  <c r="BB197" i="1" a="1"/>
  <c r="BB197" i="1" s="1"/>
  <c r="M197" i="1" s="1" a="1"/>
  <c r="M197" i="1" s="1"/>
  <c r="BB199" i="1" a="1"/>
  <c r="BB199" i="1" s="1"/>
  <c r="M199" i="1" s="1" a="1"/>
  <c r="M199" i="1" s="1"/>
  <c r="BB200" i="1" a="1"/>
  <c r="BB200" i="1" s="1"/>
  <c r="M200" i="1" s="1" a="1"/>
  <c r="M200" i="1" s="1"/>
  <c r="BB201" i="1" a="1"/>
  <c r="BB201" i="1" s="1"/>
  <c r="M201" i="1" s="1" a="1"/>
  <c r="M201" i="1" s="1"/>
  <c r="BB203" i="1" a="1"/>
  <c r="BB203" i="1" s="1"/>
  <c r="M203" i="1" s="1" a="1"/>
  <c r="M203" i="1" s="1"/>
  <c r="BB202" i="1" a="1"/>
  <c r="BB202" i="1" s="1"/>
  <c r="M202" i="1" s="1" a="1"/>
  <c r="M202" i="1" s="1"/>
  <c r="BB204" i="1" a="1"/>
  <c r="BB204" i="1" s="1"/>
  <c r="M204" i="1" s="1" a="1"/>
  <c r="M204" i="1" s="1"/>
  <c r="BB205" i="1" a="1"/>
  <c r="BB205" i="1" s="1"/>
  <c r="M205" i="1" s="1" a="1"/>
  <c r="M205" i="1" s="1"/>
  <c r="BB206" i="1" a="1"/>
  <c r="BB206" i="1" s="1"/>
  <c r="M206" i="1" s="1" a="1"/>
  <c r="M206" i="1" s="1"/>
  <c r="BB207" i="1" a="1"/>
  <c r="BB207" i="1" s="1"/>
  <c r="M207" i="1" s="1" a="1"/>
  <c r="M207" i="1" s="1"/>
  <c r="BB209" i="1" a="1"/>
  <c r="BB209" i="1" s="1"/>
  <c r="M209" i="1" s="1" a="1"/>
  <c r="M209" i="1" s="1"/>
  <c r="Z199" i="1"/>
  <c r="AN199" i="1"/>
  <c r="AP199" i="1" s="1" a="1"/>
  <c r="AP199" i="1" s="1"/>
  <c r="I199" i="1" s="1" a="1"/>
  <c r="I199" i="1" s="1"/>
  <c r="AT199" i="1"/>
  <c r="AV199" i="1" s="1" a="1"/>
  <c r="AV199" i="1" s="1"/>
  <c r="K199" i="1" s="1" a="1"/>
  <c r="K199" i="1" s="1"/>
  <c r="Z200" i="1"/>
  <c r="AN200" i="1"/>
  <c r="AT200" i="1"/>
  <c r="AW200" i="1" s="1"/>
  <c r="Z201" i="1"/>
  <c r="AN201" i="1"/>
  <c r="AP201" i="1" s="1" a="1"/>
  <c r="AP201" i="1" s="1"/>
  <c r="I201" i="1" s="1" a="1"/>
  <c r="I201" i="1" s="1"/>
  <c r="AT201" i="1"/>
  <c r="AV201" i="1" s="1" a="1"/>
  <c r="AV201" i="1" s="1"/>
  <c r="K201" i="1" s="1" a="1"/>
  <c r="K201" i="1" s="1"/>
  <c r="Z203" i="1"/>
  <c r="AN203" i="1"/>
  <c r="AP203" i="1" s="1" a="1"/>
  <c r="AP203" i="1" s="1"/>
  <c r="I203" i="1" s="1" a="1"/>
  <c r="I203" i="1" s="1"/>
  <c r="AT203" i="1"/>
  <c r="Z202" i="1"/>
  <c r="AN202" i="1"/>
  <c r="AP202" i="1" s="1" a="1"/>
  <c r="AP202" i="1" s="1"/>
  <c r="I202" i="1" s="1" a="1"/>
  <c r="I202" i="1" s="1"/>
  <c r="AT202" i="1"/>
  <c r="AN204" i="1"/>
  <c r="AP204" i="1" s="1" a="1"/>
  <c r="AP204" i="1" s="1"/>
  <c r="I204" i="1" s="1" a="1"/>
  <c r="I204" i="1" s="1"/>
  <c r="AT204" i="1"/>
  <c r="AV204" i="1" s="1" a="1"/>
  <c r="AV204" i="1" s="1"/>
  <c r="K204" i="1" s="1" a="1"/>
  <c r="K204" i="1" s="1"/>
  <c r="Z205" i="1"/>
  <c r="AN205" i="1"/>
  <c r="AP205" i="1" s="1" a="1"/>
  <c r="AP205" i="1" s="1"/>
  <c r="I205" i="1" s="1" a="1"/>
  <c r="I205" i="1" s="1"/>
  <c r="AT205" i="1"/>
  <c r="AV205" i="1" s="1" a="1"/>
  <c r="AV205" i="1" s="1"/>
  <c r="K205" i="1" s="1" a="1"/>
  <c r="K205" i="1" s="1"/>
  <c r="Z206" i="1"/>
  <c r="AN206" i="1"/>
  <c r="AP206" i="1" s="1" a="1"/>
  <c r="AP206" i="1" s="1"/>
  <c r="I206" i="1" s="1" a="1"/>
  <c r="I206" i="1" s="1"/>
  <c r="AT206" i="1"/>
  <c r="AW206" i="1" s="1"/>
  <c r="Z207" i="1"/>
  <c r="AN207" i="1"/>
  <c r="AP207" i="1" s="1" a="1"/>
  <c r="AP207" i="1" s="1"/>
  <c r="I207" i="1" s="1" a="1"/>
  <c r="I207" i="1" s="1"/>
  <c r="AT207" i="1"/>
  <c r="Z209" i="1"/>
  <c r="AN209" i="1"/>
  <c r="U178" i="1" l="1"/>
  <c r="T178" i="1"/>
  <c r="T72" i="1"/>
  <c r="T71" i="1"/>
  <c r="T83" i="1"/>
  <c r="T44" i="1"/>
  <c r="T34" i="1"/>
  <c r="T32" i="1"/>
  <c r="U145" i="1"/>
  <c r="U121" i="1"/>
  <c r="U91" i="1"/>
  <c r="U6" i="1"/>
  <c r="U77" i="1"/>
  <c r="U84" i="1"/>
  <c r="U109" i="1"/>
  <c r="U111" i="1"/>
  <c r="U81" i="1"/>
  <c r="T179" i="1"/>
  <c r="T169" i="1"/>
  <c r="U19" i="1"/>
  <c r="T157" i="1"/>
  <c r="U25" i="1"/>
  <c r="T133" i="1"/>
  <c r="U90" i="1"/>
  <c r="U193" i="1"/>
  <c r="T37" i="1"/>
  <c r="T35" i="1"/>
  <c r="U13" i="1"/>
  <c r="T78" i="1"/>
  <c r="U87" i="1"/>
  <c r="U112" i="1"/>
  <c r="U4" i="1"/>
  <c r="T160" i="1"/>
  <c r="U144" i="1"/>
  <c r="U45" i="1"/>
  <c r="BF208" i="1"/>
  <c r="BE208" i="1" a="1"/>
  <c r="BE208" i="1" s="1"/>
  <c r="N208" i="1" s="1" a="1"/>
  <c r="N208" i="1" s="1"/>
  <c r="U207" i="1"/>
  <c r="U110" i="1"/>
  <c r="T132" i="1"/>
  <c r="T74" i="1"/>
  <c r="U192" i="1"/>
  <c r="U21" i="1"/>
  <c r="U188" i="1"/>
  <c r="U75" i="1"/>
  <c r="U184" i="1"/>
  <c r="U12" i="1"/>
  <c r="U100" i="1"/>
  <c r="AQ202" i="1"/>
  <c r="AS202" i="1" s="1" a="1"/>
  <c r="AS202" i="1" s="1"/>
  <c r="J202" i="1" s="1" a="1"/>
  <c r="J202" i="1" s="1"/>
  <c r="T16" i="1"/>
  <c r="U156" i="1"/>
  <c r="U9" i="1"/>
  <c r="T147" i="1"/>
  <c r="T131" i="1"/>
  <c r="U189" i="1"/>
  <c r="U161" i="1"/>
  <c r="U97" i="1"/>
  <c r="U57" i="1"/>
  <c r="T202" i="1"/>
  <c r="T128" i="1"/>
  <c r="AW201" i="1"/>
  <c r="BC201" i="1" s="1"/>
  <c r="BE201" i="1" s="1" a="1"/>
  <c r="BE201" i="1" s="1"/>
  <c r="N201" i="1" s="1" a="1"/>
  <c r="N201" i="1" s="1"/>
  <c r="T42" i="1"/>
  <c r="U125" i="1"/>
  <c r="U108" i="1"/>
  <c r="T103" i="1"/>
  <c r="U94" i="1"/>
  <c r="T80" i="1"/>
  <c r="T177" i="1"/>
  <c r="BC209" i="1"/>
  <c r="AY209" i="1" a="1"/>
  <c r="AY209" i="1" s="1"/>
  <c r="L209" i="1" s="1" a="1"/>
  <c r="L209" i="1" s="1"/>
  <c r="U61" i="1"/>
  <c r="U170" i="1"/>
  <c r="U134" i="1"/>
  <c r="U51" i="1"/>
  <c r="T92" i="1"/>
  <c r="U175" i="1"/>
  <c r="U93" i="1"/>
  <c r="T174" i="1"/>
  <c r="T54" i="1"/>
  <c r="U165" i="1"/>
  <c r="T135" i="1"/>
  <c r="T86" i="1"/>
  <c r="T114" i="1"/>
  <c r="U197" i="1"/>
  <c r="U123" i="1"/>
  <c r="U55" i="1"/>
  <c r="U29" i="1"/>
  <c r="T85" i="1"/>
  <c r="T47" i="1"/>
  <c r="U122" i="1"/>
  <c r="T204" i="1"/>
  <c r="T158" i="1"/>
  <c r="T66" i="1"/>
  <c r="U146" i="1"/>
  <c r="AV209" i="1" a="1"/>
  <c r="AV209" i="1" s="1"/>
  <c r="K209" i="1" s="1" a="1"/>
  <c r="K209" i="1" s="1"/>
  <c r="U182" i="1"/>
  <c r="T195" i="1"/>
  <c r="T153" i="1"/>
  <c r="T129" i="1"/>
  <c r="U63" i="1"/>
  <c r="U181" i="1"/>
  <c r="U26" i="1"/>
  <c r="T154" i="1"/>
  <c r="U141" i="1"/>
  <c r="U14" i="1"/>
  <c r="U89" i="1"/>
  <c r="AV210" i="1" a="1"/>
  <c r="AV210" i="1" s="1"/>
  <c r="K210" i="1" s="1" a="1"/>
  <c r="K210" i="1" s="1"/>
  <c r="BC210" i="1"/>
  <c r="AY210" i="1" a="1"/>
  <c r="AY210" i="1" s="1"/>
  <c r="L210" i="1" s="1" a="1"/>
  <c r="L210" i="1" s="1"/>
  <c r="U64" i="1"/>
  <c r="T127" i="1"/>
  <c r="T49" i="1"/>
  <c r="T30" i="1"/>
  <c r="U106" i="1"/>
  <c r="T126" i="1"/>
  <c r="U201" i="1"/>
  <c r="U180" i="1"/>
  <c r="U70" i="1"/>
  <c r="U96" i="1"/>
  <c r="U76" i="1"/>
  <c r="T168" i="1"/>
  <c r="T143" i="1"/>
  <c r="T58" i="1"/>
  <c r="U200" i="1"/>
  <c r="U171" i="1"/>
  <c r="U150" i="1"/>
  <c r="U36" i="1"/>
  <c r="U82" i="1"/>
  <c r="U73" i="1"/>
  <c r="AQ210" i="1"/>
  <c r="AS210" i="1" s="1" a="1"/>
  <c r="AS210" i="1" s="1"/>
  <c r="J210" i="1" s="1" a="1"/>
  <c r="J210" i="1" s="1"/>
  <c r="U149" i="1"/>
  <c r="U79" i="1"/>
  <c r="T117" i="1"/>
  <c r="AV196" i="1" a="1"/>
  <c r="AV196" i="1" s="1"/>
  <c r="K196" i="1" s="1" a="1"/>
  <c r="K196" i="1" s="1"/>
  <c r="U119" i="1"/>
  <c r="U10" i="1"/>
  <c r="T186" i="1"/>
  <c r="T113" i="1"/>
  <c r="T68" i="1"/>
  <c r="AW204" i="1"/>
  <c r="U8" i="1"/>
  <c r="U27" i="1"/>
  <c r="T185" i="1"/>
  <c r="T67" i="1"/>
  <c r="AP196" i="1" a="1"/>
  <c r="AP196" i="1" s="1"/>
  <c r="I196" i="1" s="1" a="1"/>
  <c r="I196" i="1" s="1"/>
  <c r="AV194" i="1" a="1"/>
  <c r="AV194" i="1" s="1"/>
  <c r="K194" i="1" s="1" a="1"/>
  <c r="K194" i="1" s="1"/>
  <c r="U162" i="1"/>
  <c r="U137" i="1"/>
  <c r="U62" i="1"/>
  <c r="U15" i="1"/>
  <c r="T130" i="1"/>
  <c r="T43" i="1"/>
  <c r="U210" i="1"/>
  <c r="AV202" i="1" a="1"/>
  <c r="AV202" i="1" s="1"/>
  <c r="K202" i="1" s="1" a="1"/>
  <c r="K202" i="1" s="1"/>
  <c r="AW202" i="1"/>
  <c r="AY202" i="1" s="1" a="1"/>
  <c r="AY202" i="1" s="1"/>
  <c r="L202" i="1" s="1" a="1"/>
  <c r="L202" i="1" s="1"/>
  <c r="AW205" i="1"/>
  <c r="AY205" i="1" s="1" a="1"/>
  <c r="AY205" i="1" s="1"/>
  <c r="L205" i="1" s="1" a="1"/>
  <c r="L205" i="1" s="1"/>
  <c r="AV203" i="1" a="1"/>
  <c r="AV203" i="1" s="1"/>
  <c r="K203" i="1" s="1" a="1"/>
  <c r="K203" i="1" s="1"/>
  <c r="AW203" i="1"/>
  <c r="AQ205" i="1"/>
  <c r="AS205" i="1" s="1" a="1"/>
  <c r="AS205" i="1" s="1"/>
  <c r="J205" i="1" s="1" a="1"/>
  <c r="J205" i="1" s="1"/>
  <c r="AV207" i="1" a="1"/>
  <c r="AV207" i="1" s="1"/>
  <c r="K207" i="1" s="1" a="1"/>
  <c r="K207" i="1" s="1"/>
  <c r="AW207" i="1"/>
  <c r="AP209" i="1" a="1"/>
  <c r="AP209" i="1" s="1"/>
  <c r="I209" i="1" s="1" a="1"/>
  <c r="I209" i="1" s="1"/>
  <c r="AQ209" i="1"/>
  <c r="AS209" i="1" s="1" a="1"/>
  <c r="AS209" i="1" s="1"/>
  <c r="J209" i="1" s="1" a="1"/>
  <c r="J209" i="1" s="1"/>
  <c r="AQ203" i="1"/>
  <c r="AS203" i="1" s="1" a="1"/>
  <c r="AS203" i="1" s="1"/>
  <c r="J203" i="1" s="1" a="1"/>
  <c r="J203" i="1" s="1"/>
  <c r="AW199" i="1"/>
  <c r="AY199" i="1" s="1" a="1"/>
  <c r="AY199" i="1" s="1"/>
  <c r="L199" i="1" s="1" a="1"/>
  <c r="L199" i="1" s="1"/>
  <c r="U155" i="1"/>
  <c r="U116" i="1"/>
  <c r="U18" i="1"/>
  <c r="U69" i="1"/>
  <c r="U101" i="1"/>
  <c r="U107" i="1"/>
  <c r="U104" i="1"/>
  <c r="T173" i="1"/>
  <c r="T166" i="1"/>
  <c r="T152" i="1"/>
  <c r="T139" i="1"/>
  <c r="T7" i="1"/>
  <c r="T40" i="1"/>
  <c r="T39" i="1"/>
  <c r="U167" i="1"/>
  <c r="U115" i="1"/>
  <c r="T191" i="1"/>
  <c r="T151" i="1"/>
  <c r="T138" i="1"/>
  <c r="T5" i="1"/>
  <c r="T95" i="1"/>
  <c r="T52" i="1"/>
  <c r="T41" i="1"/>
  <c r="AP194" i="1" a="1"/>
  <c r="AP194" i="1" s="1"/>
  <c r="I194" i="1" s="1" a="1"/>
  <c r="I194" i="1" s="1"/>
  <c r="U140" i="1"/>
  <c r="T190" i="1"/>
  <c r="T164" i="1"/>
  <c r="T20" i="1"/>
  <c r="T53" i="1"/>
  <c r="T33" i="1"/>
  <c r="T17" i="1"/>
  <c r="T172" i="1"/>
  <c r="T163" i="1"/>
  <c r="T120" i="1"/>
  <c r="T50" i="1"/>
  <c r="T31" i="1"/>
  <c r="T28" i="1"/>
  <c r="U206" i="1"/>
  <c r="T118" i="1"/>
  <c r="T46" i="1"/>
  <c r="T38" i="1"/>
  <c r="T24" i="1"/>
  <c r="U205" i="1"/>
  <c r="T187" i="1"/>
  <c r="T105" i="1"/>
  <c r="T23" i="1"/>
  <c r="T56" i="1"/>
  <c r="U99" i="1"/>
  <c r="U102" i="1"/>
  <c r="U11" i="1"/>
  <c r="T203" i="1"/>
  <c r="T60" i="1"/>
  <c r="U98" i="1"/>
  <c r="U88" i="1"/>
  <c r="T142" i="1"/>
  <c r="T59" i="1"/>
  <c r="AV198" i="1" a="1"/>
  <c r="AV198" i="1" s="1"/>
  <c r="K198" i="1" s="1" a="1"/>
  <c r="K198" i="1" s="1"/>
  <c r="U48" i="1"/>
  <c r="U209" i="1"/>
  <c r="AY206" i="1" a="1"/>
  <c r="AY206" i="1" s="1"/>
  <c r="L206" i="1" s="1" a="1"/>
  <c r="L206" i="1" s="1"/>
  <c r="BC206" i="1"/>
  <c r="BC200" i="1"/>
  <c r="AY200" i="1" a="1"/>
  <c r="AY200" i="1" s="1"/>
  <c r="L200" i="1" s="1" a="1"/>
  <c r="L200" i="1" s="1"/>
  <c r="AQ204" i="1"/>
  <c r="AS204" i="1" s="1" a="1"/>
  <c r="AS204" i="1" s="1"/>
  <c r="J204" i="1" s="1" a="1"/>
  <c r="J204" i="1" s="1"/>
  <c r="AQ201" i="1"/>
  <c r="AS201" i="1" s="1" a="1"/>
  <c r="AS201" i="1" s="1"/>
  <c r="J201" i="1" s="1" a="1"/>
  <c r="J201" i="1" s="1"/>
  <c r="AV206" i="1" a="1"/>
  <c r="AV206" i="1" s="1"/>
  <c r="K206" i="1" s="1" a="1"/>
  <c r="K206" i="1" s="1"/>
  <c r="AV200" i="1" a="1"/>
  <c r="AV200" i="1" s="1"/>
  <c r="K200" i="1" s="1" a="1"/>
  <c r="K200" i="1" s="1"/>
  <c r="AQ200" i="1"/>
  <c r="AS200" i="1" s="1" a="1"/>
  <c r="AS200" i="1" s="1"/>
  <c r="J200" i="1" s="1" a="1"/>
  <c r="J200" i="1" s="1"/>
  <c r="AP200" i="1" a="1"/>
  <c r="AP200" i="1" s="1"/>
  <c r="I200" i="1" s="1" a="1"/>
  <c r="I200" i="1" s="1"/>
  <c r="AQ199" i="1"/>
  <c r="AS199" i="1" s="1" a="1"/>
  <c r="AS199" i="1" s="1"/>
  <c r="J199" i="1" s="1" a="1"/>
  <c r="J199" i="1" s="1"/>
  <c r="AQ206" i="1"/>
  <c r="AS206" i="1" s="1" a="1"/>
  <c r="AS206" i="1" s="1"/>
  <c r="J206" i="1" s="1" a="1"/>
  <c r="J206" i="1" s="1"/>
  <c r="U199" i="1"/>
  <c r="U183" i="1"/>
  <c r="U176" i="1"/>
  <c r="U159" i="1"/>
  <c r="U148" i="1"/>
  <c r="U136" i="1"/>
  <c r="U124" i="1"/>
  <c r="U22" i="1"/>
  <c r="U65" i="1"/>
  <c r="AQ198" i="1"/>
  <c r="AS198" i="1" s="1" a="1"/>
  <c r="AS198" i="1" s="1"/>
  <c r="J198" i="1" s="1" a="1"/>
  <c r="J198" i="1" s="1"/>
  <c r="AP198" i="1" a="1"/>
  <c r="AP198" i="1" s="1"/>
  <c r="I198" i="1" s="1" a="1"/>
  <c r="I198" i="1" s="1"/>
  <c r="T194" i="1"/>
  <c r="U194" i="1"/>
  <c r="BC196" i="1"/>
  <c r="AY196" i="1" a="1"/>
  <c r="AY196" i="1" s="1"/>
  <c r="L196" i="1" s="1" a="1"/>
  <c r="L196" i="1" s="1"/>
  <c r="T198" i="1"/>
  <c r="U198" i="1"/>
  <c r="BC198" i="1"/>
  <c r="AY198" i="1" a="1"/>
  <c r="AY198" i="1" s="1"/>
  <c r="L198" i="1" s="1" a="1"/>
  <c r="L198" i="1" s="1"/>
  <c r="BC194" i="1"/>
  <c r="AY194" i="1" a="1"/>
  <c r="AY194" i="1" s="1"/>
  <c r="L194" i="1" s="1" a="1"/>
  <c r="L194" i="1" s="1"/>
  <c r="T196" i="1"/>
  <c r="U196" i="1"/>
  <c r="F180" i="7" a="1"/>
  <c r="F180" i="7" s="1"/>
  <c r="N180" i="7"/>
  <c r="O180" i="7"/>
  <c r="Q180" i="7" s="1"/>
  <c r="R180" i="7"/>
  <c r="AH180" i="7" a="1"/>
  <c r="AH180" i="7" s="1"/>
  <c r="G180" i="7" s="1" a="1"/>
  <c r="G180" i="7" s="1"/>
  <c r="AI180" i="7"/>
  <c r="AL180" i="7" s="1"/>
  <c r="AK180" i="7" a="1"/>
  <c r="AK180" i="7" s="1"/>
  <c r="H180" i="7" s="1" a="1"/>
  <c r="H180" i="7" s="1"/>
  <c r="BI208" i="1" l="1"/>
  <c r="BH208" i="1" a="1"/>
  <c r="BH208" i="1" s="1"/>
  <c r="O208" i="1" s="1" a="1"/>
  <c r="O208" i="1" s="1"/>
  <c r="BF201" i="1"/>
  <c r="BH201" i="1" s="1" a="1"/>
  <c r="BH201" i="1" s="1"/>
  <c r="O201" i="1" s="1" a="1"/>
  <c r="O201" i="1" s="1"/>
  <c r="BC202" i="1"/>
  <c r="BF202" i="1" s="1"/>
  <c r="AY201" i="1" a="1"/>
  <c r="AY201" i="1" s="1"/>
  <c r="L201" i="1" s="1" a="1"/>
  <c r="L201" i="1" s="1"/>
  <c r="BC199" i="1"/>
  <c r="BE199" i="1" s="1" a="1"/>
  <c r="BE199" i="1" s="1"/>
  <c r="N199" i="1" s="1" a="1"/>
  <c r="N199" i="1" s="1"/>
  <c r="BC205" i="1"/>
  <c r="BF205" i="1" s="1"/>
  <c r="BI205" i="1" s="1"/>
  <c r="BF209" i="1"/>
  <c r="BE209" i="1" a="1"/>
  <c r="BE209" i="1" s="1"/>
  <c r="N209" i="1" s="1" a="1"/>
  <c r="N209" i="1" s="1"/>
  <c r="AY204" i="1" a="1"/>
  <c r="AY204" i="1" s="1"/>
  <c r="L204" i="1" s="1" a="1"/>
  <c r="L204" i="1" s="1"/>
  <c r="BC204" i="1"/>
  <c r="BF210" i="1"/>
  <c r="BE210" i="1" a="1"/>
  <c r="BE210" i="1" s="1"/>
  <c r="N210" i="1" s="1" a="1"/>
  <c r="N210" i="1" s="1"/>
  <c r="AY207" i="1" a="1"/>
  <c r="AY207" i="1" s="1"/>
  <c r="L207" i="1" s="1" a="1"/>
  <c r="L207" i="1" s="1"/>
  <c r="BC207" i="1"/>
  <c r="AY203" i="1" a="1"/>
  <c r="AY203" i="1" s="1"/>
  <c r="L203" i="1" s="1" a="1"/>
  <c r="L203" i="1" s="1"/>
  <c r="BC203" i="1"/>
  <c r="BE200" i="1" a="1"/>
  <c r="BE200" i="1" s="1"/>
  <c r="N200" i="1" s="1" a="1"/>
  <c r="N200" i="1" s="1"/>
  <c r="BF200" i="1"/>
  <c r="BE196" i="1" a="1"/>
  <c r="BE196" i="1" s="1"/>
  <c r="N196" i="1" s="1" a="1"/>
  <c r="N196" i="1" s="1"/>
  <c r="BF196" i="1"/>
  <c r="BE206" i="1" a="1"/>
  <c r="BE206" i="1" s="1"/>
  <c r="N206" i="1" s="1" a="1"/>
  <c r="N206" i="1" s="1"/>
  <c r="BF206" i="1"/>
  <c r="BE194" i="1" a="1"/>
  <c r="BE194" i="1" s="1"/>
  <c r="N194" i="1" s="1" a="1"/>
  <c r="N194" i="1" s="1"/>
  <c r="BF194" i="1"/>
  <c r="BE198" i="1" a="1"/>
  <c r="BE198" i="1" s="1"/>
  <c r="N198" i="1" s="1" a="1"/>
  <c r="N198" i="1" s="1"/>
  <c r="BF198" i="1"/>
  <c r="AN180" i="7" a="1"/>
  <c r="AN180" i="7" s="1"/>
  <c r="I180" i="7" s="1" a="1"/>
  <c r="I180" i="7" s="1"/>
  <c r="AO180" i="7"/>
  <c r="AE180" i="7" a="1"/>
  <c r="AE180" i="7" s="1"/>
  <c r="P180" i="7"/>
  <c r="BE202" i="1" l="1" a="1"/>
  <c r="BE202" i="1" s="1"/>
  <c r="N202" i="1" s="1" a="1"/>
  <c r="N202" i="1" s="1"/>
  <c r="BF199" i="1"/>
  <c r="BI199" i="1" s="1"/>
  <c r="BI201" i="1"/>
  <c r="BL201" i="1" s="1"/>
  <c r="BN201" i="1" s="1" a="1"/>
  <c r="BN201" i="1" s="1"/>
  <c r="Q201" i="1" s="1" a="1"/>
  <c r="Q201" i="1" s="1"/>
  <c r="BL208" i="1"/>
  <c r="BN208" i="1" s="1" a="1"/>
  <c r="BN208" i="1" s="1"/>
  <c r="Q208" i="1" s="1" a="1"/>
  <c r="Q208" i="1" s="1"/>
  <c r="BK208" i="1" a="1"/>
  <c r="BK208" i="1" s="1"/>
  <c r="P208" i="1" s="1" a="1"/>
  <c r="P208" i="1" s="1"/>
  <c r="BE205" i="1" a="1"/>
  <c r="BE205" i="1" s="1"/>
  <c r="N205" i="1" s="1" a="1"/>
  <c r="N205" i="1" s="1"/>
  <c r="BI209" i="1"/>
  <c r="BH209" i="1" a="1"/>
  <c r="BH209" i="1" s="1"/>
  <c r="O209" i="1" s="1" a="1"/>
  <c r="O209" i="1" s="1"/>
  <c r="BH210" i="1" a="1"/>
  <c r="BH210" i="1" s="1"/>
  <c r="O210" i="1" s="1" a="1"/>
  <c r="O210" i="1" s="1"/>
  <c r="BI210" i="1"/>
  <c r="BE204" i="1" a="1"/>
  <c r="BE204" i="1" s="1"/>
  <c r="N204" i="1" s="1" a="1"/>
  <c r="N204" i="1" s="1"/>
  <c r="BF204" i="1"/>
  <c r="BF207" i="1"/>
  <c r="BE207" i="1" a="1"/>
  <c r="BE207" i="1" s="1"/>
  <c r="N207" i="1" s="1" a="1"/>
  <c r="N207" i="1" s="1"/>
  <c r="BH198" i="1" a="1"/>
  <c r="BH198" i="1" s="1"/>
  <c r="O198" i="1" s="1" a="1"/>
  <c r="O198" i="1" s="1"/>
  <c r="BI198" i="1"/>
  <c r="BE203" i="1" a="1"/>
  <c r="BE203" i="1" s="1"/>
  <c r="N203" i="1" s="1" a="1"/>
  <c r="N203" i="1" s="1"/>
  <c r="BF203" i="1"/>
  <c r="BH194" i="1" a="1"/>
  <c r="BH194" i="1" s="1"/>
  <c r="O194" i="1" s="1" a="1"/>
  <c r="O194" i="1" s="1"/>
  <c r="BI194" i="1"/>
  <c r="BH206" i="1" a="1"/>
  <c r="BH206" i="1" s="1"/>
  <c r="O206" i="1" s="1" a="1"/>
  <c r="O206" i="1" s="1"/>
  <c r="BI206" i="1"/>
  <c r="BI202" i="1"/>
  <c r="BH202" i="1" a="1"/>
  <c r="BH202" i="1" s="1"/>
  <c r="O202" i="1" s="1" a="1"/>
  <c r="O202" i="1" s="1"/>
  <c r="BH200" i="1" a="1"/>
  <c r="BH200" i="1" s="1"/>
  <c r="O200" i="1" s="1" a="1"/>
  <c r="O200" i="1" s="1"/>
  <c r="BI200" i="1"/>
  <c r="BH196" i="1" a="1"/>
  <c r="BH196" i="1" s="1"/>
  <c r="O196" i="1" s="1" a="1"/>
  <c r="O196" i="1" s="1"/>
  <c r="BI196" i="1"/>
  <c r="BH205" i="1" a="1"/>
  <c r="BH205" i="1" s="1"/>
  <c r="O205" i="1" s="1" a="1"/>
  <c r="O205" i="1" s="1"/>
  <c r="AR180" i="7"/>
  <c r="AQ180" i="7" a="1"/>
  <c r="AQ180" i="7" s="1"/>
  <c r="J180" i="7" s="1" a="1"/>
  <c r="J180" i="7" s="1"/>
  <c r="AT197" i="1"/>
  <c r="AV197" i="1" s="1" a="1"/>
  <c r="AV197" i="1" s="1"/>
  <c r="K197" i="1" s="1" a="1"/>
  <c r="K197" i="1" s="1"/>
  <c r="AN197" i="1"/>
  <c r="Z197" i="1"/>
  <c r="F178" i="7" a="1"/>
  <c r="F178" i="7" s="1"/>
  <c r="AK179" i="7" a="1"/>
  <c r="AK179" i="7" s="1"/>
  <c r="AK4" i="7" a="1"/>
  <c r="AK4" i="7" s="1"/>
  <c r="AK5" i="7" a="1"/>
  <c r="AK5" i="7" s="1"/>
  <c r="AK6" i="7" a="1"/>
  <c r="AK6" i="7" s="1"/>
  <c r="AK7" i="7" a="1"/>
  <c r="AK7" i="7" s="1"/>
  <c r="AK8" i="7" a="1"/>
  <c r="AK8" i="7" s="1"/>
  <c r="AK9" i="7" a="1"/>
  <c r="AK9" i="7" s="1"/>
  <c r="AK10" i="7" a="1"/>
  <c r="AK10" i="7" s="1"/>
  <c r="AK11" i="7" a="1"/>
  <c r="AK11" i="7" s="1"/>
  <c r="AK12" i="7" a="1"/>
  <c r="AK12" i="7" s="1"/>
  <c r="AK13" i="7" a="1"/>
  <c r="AK13" i="7" s="1"/>
  <c r="AK14" i="7" a="1"/>
  <c r="AK14" i="7" s="1"/>
  <c r="AK15" i="7" a="1"/>
  <c r="AK15" i="7" s="1"/>
  <c r="AK16" i="7" a="1"/>
  <c r="AK16" i="7" s="1"/>
  <c r="AK17" i="7" a="1"/>
  <c r="AK17" i="7" s="1"/>
  <c r="AK18" i="7" a="1"/>
  <c r="AK18" i="7" s="1"/>
  <c r="AK19" i="7" a="1"/>
  <c r="AK19" i="7" s="1"/>
  <c r="AK20" i="7" a="1"/>
  <c r="AK20" i="7" s="1"/>
  <c r="AK21" i="7" a="1"/>
  <c r="AK21" i="7" s="1"/>
  <c r="AK22" i="7" a="1"/>
  <c r="AK22" i="7" s="1"/>
  <c r="AK23" i="7" a="1"/>
  <c r="AK23" i="7" s="1"/>
  <c r="AK24" i="7" a="1"/>
  <c r="AK24" i="7" s="1"/>
  <c r="AK25" i="7" a="1"/>
  <c r="AK25" i="7" s="1"/>
  <c r="AK26" i="7" a="1"/>
  <c r="AK26" i="7" s="1"/>
  <c r="AK27" i="7" a="1"/>
  <c r="AK27" i="7" s="1"/>
  <c r="AK28" i="7" a="1"/>
  <c r="AK28" i="7" s="1"/>
  <c r="AK29" i="7" a="1"/>
  <c r="AK29" i="7" s="1"/>
  <c r="AK30" i="7" a="1"/>
  <c r="AK30" i="7" s="1"/>
  <c r="AK31" i="7" a="1"/>
  <c r="AK31" i="7" s="1"/>
  <c r="AK32" i="7" a="1"/>
  <c r="AK32" i="7" s="1"/>
  <c r="AK33" i="7" a="1"/>
  <c r="AK33" i="7" s="1"/>
  <c r="AK34" i="7" a="1"/>
  <c r="AK34" i="7" s="1"/>
  <c r="AK35" i="7" a="1"/>
  <c r="AK35" i="7" s="1"/>
  <c r="AK36" i="7" a="1"/>
  <c r="AK36" i="7" s="1"/>
  <c r="AK37" i="7" a="1"/>
  <c r="AK37" i="7" s="1"/>
  <c r="AK38" i="7" a="1"/>
  <c r="AK38" i="7" s="1"/>
  <c r="AK39" i="7" a="1"/>
  <c r="AK39" i="7" s="1"/>
  <c r="AK40" i="7" a="1"/>
  <c r="AK40" i="7" s="1"/>
  <c r="AK41" i="7" a="1"/>
  <c r="AK41" i="7" s="1"/>
  <c r="AK42" i="7" a="1"/>
  <c r="AK42" i="7" s="1"/>
  <c r="AK43" i="7" a="1"/>
  <c r="AK43" i="7" s="1"/>
  <c r="AK44" i="7" a="1"/>
  <c r="AK44" i="7" s="1"/>
  <c r="AK45" i="7" a="1"/>
  <c r="AK45" i="7" s="1"/>
  <c r="AK46" i="7" a="1"/>
  <c r="AK46" i="7" s="1"/>
  <c r="AK47" i="7" a="1"/>
  <c r="AK47" i="7" s="1"/>
  <c r="AK48" i="7" a="1"/>
  <c r="AK48" i="7" s="1"/>
  <c r="AK49" i="7" a="1"/>
  <c r="AK49" i="7" s="1"/>
  <c r="AK50" i="7" a="1"/>
  <c r="AK50" i="7" s="1"/>
  <c r="AK51" i="7" a="1"/>
  <c r="AK51" i="7" s="1"/>
  <c r="AK52" i="7" a="1"/>
  <c r="AK52" i="7" s="1"/>
  <c r="AK53" i="7" a="1"/>
  <c r="AK53" i="7" s="1"/>
  <c r="AK54" i="7" a="1"/>
  <c r="AK54" i="7" s="1"/>
  <c r="AK55" i="7" a="1"/>
  <c r="AK55" i="7" s="1"/>
  <c r="AK56" i="7" a="1"/>
  <c r="AK56" i="7" s="1"/>
  <c r="AK57" i="7" a="1"/>
  <c r="AK57" i="7" s="1"/>
  <c r="AK58" i="7" a="1"/>
  <c r="AK58" i="7" s="1"/>
  <c r="AK59" i="7" a="1"/>
  <c r="AK59" i="7" s="1"/>
  <c r="AK60" i="7" a="1"/>
  <c r="AK60" i="7" s="1"/>
  <c r="AK61" i="7" a="1"/>
  <c r="AK61" i="7" s="1"/>
  <c r="AK62" i="7" a="1"/>
  <c r="AK62" i="7" s="1"/>
  <c r="AK63" i="7" a="1"/>
  <c r="AK63" i="7" s="1"/>
  <c r="AK64" i="7" a="1"/>
  <c r="AK64" i="7" s="1"/>
  <c r="AK65" i="7" a="1"/>
  <c r="AK65" i="7" s="1"/>
  <c r="AK66" i="7" a="1"/>
  <c r="AK66" i="7" s="1"/>
  <c r="AK67" i="7" a="1"/>
  <c r="AK67" i="7" s="1"/>
  <c r="AK68" i="7" a="1"/>
  <c r="AK68" i="7" s="1"/>
  <c r="AK69" i="7" a="1"/>
  <c r="AK69" i="7" s="1"/>
  <c r="AK70" i="7" a="1"/>
  <c r="AK70" i="7" s="1"/>
  <c r="AK71" i="7" a="1"/>
  <c r="AK71" i="7" s="1"/>
  <c r="AK72" i="7" a="1"/>
  <c r="AK72" i="7" s="1"/>
  <c r="AK73" i="7" a="1"/>
  <c r="AK73" i="7" s="1"/>
  <c r="AK74" i="7" a="1"/>
  <c r="AK74" i="7" s="1"/>
  <c r="AK75" i="7" a="1"/>
  <c r="AK75" i="7" s="1"/>
  <c r="AK76" i="7" a="1"/>
  <c r="AK76" i="7" s="1"/>
  <c r="AK77" i="7" a="1"/>
  <c r="AK77" i="7" s="1"/>
  <c r="AK78" i="7" a="1"/>
  <c r="AK78" i="7" s="1"/>
  <c r="AK79" i="7" a="1"/>
  <c r="AK79" i="7" s="1"/>
  <c r="AK80" i="7" a="1"/>
  <c r="AK80" i="7" s="1"/>
  <c r="AK81" i="7" a="1"/>
  <c r="AK81" i="7" s="1"/>
  <c r="AK82" i="7" a="1"/>
  <c r="AK82" i="7" s="1"/>
  <c r="AK83" i="7" a="1"/>
  <c r="AK83" i="7" s="1"/>
  <c r="AK84" i="7" a="1"/>
  <c r="AK84" i="7" s="1"/>
  <c r="AK85" i="7" a="1"/>
  <c r="AK85" i="7" s="1"/>
  <c r="AK86" i="7" a="1"/>
  <c r="AK86" i="7" s="1"/>
  <c r="AK87" i="7" a="1"/>
  <c r="AK87" i="7" s="1"/>
  <c r="AK88" i="7" a="1"/>
  <c r="AK88" i="7" s="1"/>
  <c r="AK89" i="7" a="1"/>
  <c r="AK89" i="7" s="1"/>
  <c r="AK90" i="7" a="1"/>
  <c r="AK90" i="7" s="1"/>
  <c r="AK91" i="7" a="1"/>
  <c r="AK91" i="7" s="1"/>
  <c r="AK92" i="7" a="1"/>
  <c r="AK92" i="7" s="1"/>
  <c r="AK93" i="7" a="1"/>
  <c r="AK93" i="7" s="1"/>
  <c r="AK94" i="7" a="1"/>
  <c r="AK94" i="7" s="1"/>
  <c r="AK95" i="7" a="1"/>
  <c r="AK95" i="7" s="1"/>
  <c r="AK96" i="7" a="1"/>
  <c r="AK96" i="7" s="1"/>
  <c r="AK97" i="7" a="1"/>
  <c r="AK97" i="7" s="1"/>
  <c r="AK98" i="7" a="1"/>
  <c r="AK98" i="7" s="1"/>
  <c r="AK99" i="7" a="1"/>
  <c r="AK99" i="7" s="1"/>
  <c r="AK100" i="7" a="1"/>
  <c r="AK100" i="7" s="1"/>
  <c r="AK101" i="7" a="1"/>
  <c r="AK101" i="7" s="1"/>
  <c r="AK102" i="7" a="1"/>
  <c r="AK102" i="7" s="1"/>
  <c r="AK103" i="7" a="1"/>
  <c r="AK103" i="7" s="1"/>
  <c r="AK104" i="7" a="1"/>
  <c r="AK104" i="7" s="1"/>
  <c r="AK105" i="7" a="1"/>
  <c r="AK105" i="7" s="1"/>
  <c r="AK106" i="7" a="1"/>
  <c r="AK106" i="7" s="1"/>
  <c r="AK107" i="7" a="1"/>
  <c r="AK107" i="7" s="1"/>
  <c r="AK108" i="7" a="1"/>
  <c r="AK108" i="7" s="1"/>
  <c r="AK109" i="7" a="1"/>
  <c r="AK109" i="7" s="1"/>
  <c r="AK110" i="7" a="1"/>
  <c r="AK110" i="7" s="1"/>
  <c r="AK111" i="7" a="1"/>
  <c r="AK111" i="7" s="1"/>
  <c r="AK112" i="7" a="1"/>
  <c r="AK112" i="7" s="1"/>
  <c r="AK113" i="7" a="1"/>
  <c r="AK113" i="7" s="1"/>
  <c r="AK114" i="7" a="1"/>
  <c r="AK114" i="7" s="1"/>
  <c r="AK115" i="7" a="1"/>
  <c r="AK115" i="7" s="1"/>
  <c r="AK116" i="7" a="1"/>
  <c r="AK116" i="7" s="1"/>
  <c r="AK117" i="7" a="1"/>
  <c r="AK117" i="7" s="1"/>
  <c r="AK118" i="7" a="1"/>
  <c r="AK118" i="7" s="1"/>
  <c r="AK119" i="7" a="1"/>
  <c r="AK119" i="7" s="1"/>
  <c r="AK120" i="7" a="1"/>
  <c r="AK120" i="7" s="1"/>
  <c r="AK121" i="7" a="1"/>
  <c r="AK121" i="7" s="1"/>
  <c r="AK122" i="7" a="1"/>
  <c r="AK122" i="7" s="1"/>
  <c r="AK123" i="7" a="1"/>
  <c r="AK123" i="7" s="1"/>
  <c r="AK124" i="7" a="1"/>
  <c r="AK124" i="7" s="1"/>
  <c r="AK125" i="7" a="1"/>
  <c r="AK125" i="7" s="1"/>
  <c r="AK126" i="7" a="1"/>
  <c r="AK126" i="7" s="1"/>
  <c r="AK127" i="7" a="1"/>
  <c r="AK127" i="7" s="1"/>
  <c r="AK128" i="7" a="1"/>
  <c r="AK128" i="7" s="1"/>
  <c r="AK129" i="7" a="1"/>
  <c r="AK129" i="7" s="1"/>
  <c r="AK130" i="7" a="1"/>
  <c r="AK130" i="7" s="1"/>
  <c r="AK131" i="7" a="1"/>
  <c r="AK131" i="7" s="1"/>
  <c r="AK132" i="7" a="1"/>
  <c r="AK132" i="7" s="1"/>
  <c r="AK133" i="7" a="1"/>
  <c r="AK133" i="7" s="1"/>
  <c r="AK134" i="7" a="1"/>
  <c r="AK134" i="7" s="1"/>
  <c r="AK135" i="7" a="1"/>
  <c r="AK135" i="7" s="1"/>
  <c r="AK136" i="7" a="1"/>
  <c r="AK136" i="7" s="1"/>
  <c r="AK137" i="7" a="1"/>
  <c r="AK137" i="7" s="1"/>
  <c r="AK138" i="7" a="1"/>
  <c r="AK138" i="7" s="1"/>
  <c r="AK139" i="7" a="1"/>
  <c r="AK139" i="7" s="1"/>
  <c r="AK140" i="7" a="1"/>
  <c r="AK140" i="7" s="1"/>
  <c r="AK141" i="7" a="1"/>
  <c r="AK141" i="7" s="1"/>
  <c r="AK142" i="7" a="1"/>
  <c r="AK142" i="7" s="1"/>
  <c r="AK143" i="7" a="1"/>
  <c r="AK143" i="7" s="1"/>
  <c r="AK144" i="7" a="1"/>
  <c r="AK144" i="7" s="1"/>
  <c r="AK145" i="7" a="1"/>
  <c r="AK145" i="7" s="1"/>
  <c r="AK146" i="7" a="1"/>
  <c r="AK146" i="7" s="1"/>
  <c r="AK147" i="7" a="1"/>
  <c r="AK147" i="7" s="1"/>
  <c r="AK148" i="7" a="1"/>
  <c r="AK148" i="7" s="1"/>
  <c r="AK149" i="7" a="1"/>
  <c r="AK149" i="7" s="1"/>
  <c r="AK150" i="7" a="1"/>
  <c r="AK150" i="7" s="1"/>
  <c r="AK151" i="7" a="1"/>
  <c r="AK151" i="7" s="1"/>
  <c r="AK152" i="7" a="1"/>
  <c r="AK152" i="7" s="1"/>
  <c r="AK153" i="7" a="1"/>
  <c r="AK153" i="7" s="1"/>
  <c r="AK154" i="7" a="1"/>
  <c r="AK154" i="7" s="1"/>
  <c r="AK155" i="7" a="1"/>
  <c r="AK155" i="7" s="1"/>
  <c r="AK156" i="7" a="1"/>
  <c r="AK156" i="7" s="1"/>
  <c r="AK157" i="7" a="1"/>
  <c r="AK157" i="7" s="1"/>
  <c r="AK158" i="7" a="1"/>
  <c r="AK158" i="7" s="1"/>
  <c r="AK159" i="7" a="1"/>
  <c r="AK159" i="7" s="1"/>
  <c r="AK160" i="7" a="1"/>
  <c r="AK160" i="7" s="1"/>
  <c r="AK161" i="7" a="1"/>
  <c r="AK161" i="7" s="1"/>
  <c r="AK162" i="7" a="1"/>
  <c r="AK162" i="7" s="1"/>
  <c r="AK163" i="7" a="1"/>
  <c r="AK163" i="7" s="1"/>
  <c r="AK164" i="7" a="1"/>
  <c r="AK164" i="7" s="1"/>
  <c r="AK165" i="7" a="1"/>
  <c r="AK165" i="7" s="1"/>
  <c r="AK166" i="7" a="1"/>
  <c r="AK166" i="7" s="1"/>
  <c r="AK167" i="7" a="1"/>
  <c r="AK167" i="7" s="1"/>
  <c r="AK168" i="7" a="1"/>
  <c r="AK168" i="7" s="1"/>
  <c r="AK169" i="7" a="1"/>
  <c r="AK169" i="7" s="1"/>
  <c r="AK170" i="7" a="1"/>
  <c r="AK170" i="7" s="1"/>
  <c r="AK171" i="7" a="1"/>
  <c r="AK171" i="7" s="1"/>
  <c r="AK172" i="7" a="1"/>
  <c r="AK172" i="7" s="1"/>
  <c r="AK173" i="7" a="1"/>
  <c r="AK173" i="7" s="1"/>
  <c r="AK174" i="7" a="1"/>
  <c r="AK174" i="7" s="1"/>
  <c r="AK175" i="7" a="1"/>
  <c r="AK175" i="7" s="1"/>
  <c r="AK176" i="7" a="1"/>
  <c r="AK176" i="7" s="1"/>
  <c r="AK177" i="7" a="1"/>
  <c r="AK177" i="7" s="1"/>
  <c r="AK178" i="7" a="1"/>
  <c r="AK178" i="7" s="1"/>
  <c r="AH179" i="7" a="1"/>
  <c r="AH179" i="7" s="1"/>
  <c r="G179" i="7" s="1" a="1"/>
  <c r="G179" i="7" s="1"/>
  <c r="F179" i="7" a="1"/>
  <c r="F179" i="7" s="1"/>
  <c r="N179" i="7"/>
  <c r="R179" i="7"/>
  <c r="AE179" i="7" a="1"/>
  <c r="AE179" i="7" s="1"/>
  <c r="AI179" i="7"/>
  <c r="AL179" i="7" s="1"/>
  <c r="AN179" i="7" s="1" a="1"/>
  <c r="AN179" i="7" s="1"/>
  <c r="I179" i="7" s="1" a="1"/>
  <c r="I179" i="7" s="1"/>
  <c r="R178" i="7"/>
  <c r="O178" i="7"/>
  <c r="Q178" i="7" s="1"/>
  <c r="N178" i="7"/>
  <c r="BH199" i="1" l="1" a="1"/>
  <c r="BH199" i="1" s="1"/>
  <c r="O199" i="1" s="1" a="1"/>
  <c r="O199" i="1" s="1"/>
  <c r="BK201" i="1" a="1"/>
  <c r="BK201" i="1" s="1"/>
  <c r="P201" i="1" s="1" a="1"/>
  <c r="P201" i="1" s="1"/>
  <c r="BL209" i="1"/>
  <c r="BN209" i="1" s="1" a="1"/>
  <c r="BN209" i="1" s="1"/>
  <c r="Q209" i="1" s="1" a="1"/>
  <c r="Q209" i="1" s="1"/>
  <c r="BK209" i="1" a="1"/>
  <c r="BK209" i="1" s="1"/>
  <c r="P209" i="1" s="1" a="1"/>
  <c r="P209" i="1" s="1"/>
  <c r="BI204" i="1"/>
  <c r="BH204" i="1" a="1"/>
  <c r="BH204" i="1" s="1"/>
  <c r="O204" i="1" s="1" a="1"/>
  <c r="O204" i="1" s="1"/>
  <c r="BL210" i="1"/>
  <c r="BN210" i="1" s="1" a="1"/>
  <c r="BN210" i="1" s="1"/>
  <c r="Q210" i="1" s="1" a="1"/>
  <c r="Q210" i="1" s="1"/>
  <c r="BK210" i="1" a="1"/>
  <c r="BK210" i="1" s="1"/>
  <c r="P210" i="1" s="1" a="1"/>
  <c r="P210" i="1" s="1"/>
  <c r="AQ197" i="1"/>
  <c r="AS197" i="1" s="1" a="1"/>
  <c r="AS197" i="1" s="1"/>
  <c r="J197" i="1" s="1" a="1"/>
  <c r="J197" i="1" s="1"/>
  <c r="AP197" i="1" a="1"/>
  <c r="AP197" i="1" s="1"/>
  <c r="I197" i="1" s="1" a="1"/>
  <c r="I197" i="1" s="1"/>
  <c r="BH207" i="1" a="1"/>
  <c r="BH207" i="1" s="1"/>
  <c r="O207" i="1" s="1" a="1"/>
  <c r="O207" i="1" s="1"/>
  <c r="BI207" i="1"/>
  <c r="BK206" i="1" a="1"/>
  <c r="BK206" i="1" s="1"/>
  <c r="P206" i="1" s="1" a="1"/>
  <c r="P206" i="1" s="1"/>
  <c r="BL206" i="1"/>
  <c r="BN206" i="1" s="1" a="1"/>
  <c r="BN206" i="1" s="1"/>
  <c r="Q206" i="1" s="1" a="1"/>
  <c r="Q206" i="1" s="1"/>
  <c r="BK202" i="1" a="1"/>
  <c r="BK202" i="1" s="1"/>
  <c r="P202" i="1" s="1" a="1"/>
  <c r="P202" i="1" s="1"/>
  <c r="BL202" i="1"/>
  <c r="BN202" i="1" s="1" a="1"/>
  <c r="BN202" i="1" s="1"/>
  <c r="Q202" i="1" s="1" a="1"/>
  <c r="Q202" i="1" s="1"/>
  <c r="BK199" i="1" a="1"/>
  <c r="BK199" i="1" s="1"/>
  <c r="P199" i="1" s="1" a="1"/>
  <c r="P199" i="1" s="1"/>
  <c r="BL199" i="1"/>
  <c r="BN199" i="1" s="1" a="1"/>
  <c r="BN199" i="1" s="1"/>
  <c r="Q199" i="1" s="1" a="1"/>
  <c r="Q199" i="1" s="1"/>
  <c r="BL205" i="1"/>
  <c r="BN205" i="1" s="1" a="1"/>
  <c r="BN205" i="1" s="1"/>
  <c r="Q205" i="1" s="1" a="1"/>
  <c r="Q205" i="1" s="1"/>
  <c r="BK205" i="1" a="1"/>
  <c r="BK205" i="1" s="1"/>
  <c r="P205" i="1" s="1" a="1"/>
  <c r="P205" i="1" s="1"/>
  <c r="BK194" i="1" a="1"/>
  <c r="BK194" i="1" s="1"/>
  <c r="P194" i="1" s="1" a="1"/>
  <c r="P194" i="1" s="1"/>
  <c r="BL194" i="1"/>
  <c r="BN194" i="1" s="1" a="1"/>
  <c r="BN194" i="1" s="1"/>
  <c r="Q194" i="1" s="1" a="1"/>
  <c r="Q194" i="1" s="1"/>
  <c r="BK196" i="1" a="1"/>
  <c r="BK196" i="1" s="1"/>
  <c r="P196" i="1" s="1" a="1"/>
  <c r="P196" i="1" s="1"/>
  <c r="BL196" i="1"/>
  <c r="BN196" i="1" s="1" a="1"/>
  <c r="BN196" i="1" s="1"/>
  <c r="Q196" i="1" s="1" a="1"/>
  <c r="Q196" i="1" s="1"/>
  <c r="BH203" i="1" a="1"/>
  <c r="BH203" i="1" s="1"/>
  <c r="O203" i="1" s="1" a="1"/>
  <c r="O203" i="1" s="1"/>
  <c r="BI203" i="1"/>
  <c r="BL200" i="1"/>
  <c r="BN200" i="1" s="1" a="1"/>
  <c r="BN200" i="1" s="1"/>
  <c r="Q200" i="1" s="1" a="1"/>
  <c r="Q200" i="1" s="1"/>
  <c r="BK200" i="1" a="1"/>
  <c r="BK200" i="1" s="1"/>
  <c r="P200" i="1" s="1" a="1"/>
  <c r="P200" i="1" s="1"/>
  <c r="BK198" i="1" a="1"/>
  <c r="BK198" i="1" s="1"/>
  <c r="P198" i="1" s="1" a="1"/>
  <c r="P198" i="1" s="1"/>
  <c r="BL198" i="1"/>
  <c r="BN198" i="1" s="1" a="1"/>
  <c r="BN198" i="1" s="1"/>
  <c r="Q198" i="1" s="1" a="1"/>
  <c r="Q198" i="1" s="1"/>
  <c r="AU180" i="7"/>
  <c r="AT180" i="7" a="1"/>
  <c r="AT180" i="7" s="1"/>
  <c r="K180" i="7" s="1" a="1"/>
  <c r="K180" i="7" s="1"/>
  <c r="AW197" i="1"/>
  <c r="AY197" i="1" s="1" a="1"/>
  <c r="AY197" i="1" s="1"/>
  <c r="L197" i="1" s="1" a="1"/>
  <c r="L197" i="1" s="1"/>
  <c r="AO179" i="7"/>
  <c r="AQ179" i="7" s="1" a="1"/>
  <c r="AQ179" i="7" s="1"/>
  <c r="J179" i="7" s="1" a="1"/>
  <c r="J179" i="7" s="1"/>
  <c r="H179" i="7" a="1"/>
  <c r="H179" i="7" s="1"/>
  <c r="O179" i="7"/>
  <c r="Q179" i="7" s="1"/>
  <c r="P178" i="7"/>
  <c r="AI178" i="7"/>
  <c r="AL178" i="7" s="1"/>
  <c r="AH178" i="7" a="1"/>
  <c r="AH178" i="7" s="1"/>
  <c r="G178" i="7" s="1" a="1"/>
  <c r="G178" i="7" s="1"/>
  <c r="AE178" i="7" a="1"/>
  <c r="AE178" i="7" s="1"/>
  <c r="AT195" i="1"/>
  <c r="AN195" i="1"/>
  <c r="Z195" i="1"/>
  <c r="BL204" i="1" l="1"/>
  <c r="BN204" i="1" s="1" a="1"/>
  <c r="BN204" i="1" s="1"/>
  <c r="Q204" i="1" s="1" a="1"/>
  <c r="Q204" i="1" s="1"/>
  <c r="BK204" i="1" a="1"/>
  <c r="BK204" i="1" s="1"/>
  <c r="P204" i="1" s="1" a="1"/>
  <c r="P204" i="1" s="1"/>
  <c r="AQ195" i="1"/>
  <c r="AS195" i="1" s="1" a="1"/>
  <c r="AS195" i="1" s="1"/>
  <c r="J195" i="1" s="1" a="1"/>
  <c r="J195" i="1" s="1"/>
  <c r="AP195" i="1" a="1"/>
  <c r="AP195" i="1" s="1"/>
  <c r="I195" i="1" s="1" a="1"/>
  <c r="I195" i="1" s="1"/>
  <c r="AW195" i="1"/>
  <c r="AV195" i="1" a="1"/>
  <c r="AV195" i="1" s="1"/>
  <c r="K195" i="1" s="1" a="1"/>
  <c r="K195" i="1" s="1"/>
  <c r="BK207" i="1" a="1"/>
  <c r="BK207" i="1" s="1"/>
  <c r="P207" i="1" s="1" a="1"/>
  <c r="P207" i="1" s="1"/>
  <c r="BL207" i="1"/>
  <c r="BN207" i="1" s="1" a="1"/>
  <c r="BN207" i="1" s="1"/>
  <c r="Q207" i="1" s="1" a="1"/>
  <c r="Q207" i="1" s="1"/>
  <c r="BL203" i="1"/>
  <c r="BN203" i="1" s="1" a="1"/>
  <c r="BN203" i="1" s="1"/>
  <c r="Q203" i="1" s="1" a="1"/>
  <c r="Q203" i="1" s="1"/>
  <c r="BK203" i="1" a="1"/>
  <c r="BK203" i="1" s="1"/>
  <c r="P203" i="1" s="1" a="1"/>
  <c r="P203" i="1" s="1"/>
  <c r="AX180" i="7"/>
  <c r="AZ180" i="7" s="1" a="1"/>
  <c r="AZ180" i="7" s="1"/>
  <c r="M180" i="7" s="1" a="1"/>
  <c r="M180" i="7" s="1"/>
  <c r="AW180" i="7" a="1"/>
  <c r="AW180" i="7" s="1"/>
  <c r="L180" i="7" s="1" a="1"/>
  <c r="L180" i="7" s="1"/>
  <c r="BC197" i="1"/>
  <c r="BE197" i="1" s="1" a="1"/>
  <c r="BE197" i="1" s="1"/>
  <c r="N197" i="1" s="1" a="1"/>
  <c r="N197" i="1" s="1"/>
  <c r="AR179" i="7"/>
  <c r="AT179" i="7" s="1" a="1"/>
  <c r="AT179" i="7" s="1"/>
  <c r="K179" i="7" s="1" a="1"/>
  <c r="K179" i="7" s="1"/>
  <c r="P179" i="7"/>
  <c r="AO178" i="7"/>
  <c r="AN178" i="7" a="1"/>
  <c r="AN178" i="7" s="1"/>
  <c r="I178" i="7" s="1" a="1"/>
  <c r="I178" i="7" s="1"/>
  <c r="H178" i="7" a="1"/>
  <c r="H178" i="7" s="1"/>
  <c r="BC195" i="1" l="1"/>
  <c r="BE195" i="1" s="1" a="1"/>
  <c r="BE195" i="1" s="1"/>
  <c r="N195" i="1" s="1" a="1"/>
  <c r="N195" i="1" s="1"/>
  <c r="AY195" i="1" a="1"/>
  <c r="AY195" i="1" s="1"/>
  <c r="L195" i="1" s="1" a="1"/>
  <c r="L195" i="1" s="1"/>
  <c r="BF197" i="1"/>
  <c r="BH197" i="1" s="1" a="1"/>
  <c r="BH197" i="1" s="1"/>
  <c r="O197" i="1" s="1" a="1"/>
  <c r="O197" i="1" s="1"/>
  <c r="AU179" i="7"/>
  <c r="AW179" i="7" s="1" a="1"/>
  <c r="AW179" i="7" s="1"/>
  <c r="L179" i="7" s="1" a="1"/>
  <c r="L179" i="7" s="1"/>
  <c r="AR178" i="7"/>
  <c r="AQ178" i="7" a="1"/>
  <c r="AQ178" i="7" s="1"/>
  <c r="J178" i="7" s="1" a="1"/>
  <c r="J178" i="7" s="1"/>
  <c r="BF195" i="1" l="1"/>
  <c r="BH195" i="1" s="1" a="1"/>
  <c r="BH195" i="1" s="1"/>
  <c r="O195" i="1" s="1" a="1"/>
  <c r="O195" i="1" s="1"/>
  <c r="BI197" i="1"/>
  <c r="BK197" i="1" s="1" a="1"/>
  <c r="BK197" i="1" s="1"/>
  <c r="P197" i="1" s="1" a="1"/>
  <c r="P197" i="1" s="1"/>
  <c r="AX179" i="7"/>
  <c r="AZ179" i="7" s="1" a="1"/>
  <c r="AZ179" i="7" s="1"/>
  <c r="M179" i="7" s="1" a="1"/>
  <c r="M179" i="7" s="1"/>
  <c r="AU178" i="7"/>
  <c r="AT178" i="7" a="1"/>
  <c r="AT178" i="7" s="1"/>
  <c r="K178" i="7" s="1" a="1"/>
  <c r="K178" i="7" s="1"/>
  <c r="BI195" i="1" l="1"/>
  <c r="BK195" i="1" s="1" a="1"/>
  <c r="BK195" i="1" s="1"/>
  <c r="P195" i="1" s="1" a="1"/>
  <c r="P195" i="1" s="1"/>
  <c r="BL197" i="1"/>
  <c r="BN197" i="1" s="1" a="1"/>
  <c r="BN197" i="1" s="1"/>
  <c r="Q197" i="1" s="1" a="1"/>
  <c r="Q197" i="1" s="1"/>
  <c r="AX178" i="7"/>
  <c r="AZ178" i="7" s="1" a="1"/>
  <c r="AZ178" i="7" s="1"/>
  <c r="M178" i="7" s="1" a="1"/>
  <c r="M178" i="7" s="1"/>
  <c r="AW178" i="7" a="1"/>
  <c r="AW178" i="7" s="1"/>
  <c r="L178" i="7" s="1" a="1"/>
  <c r="L178" i="7" s="1"/>
  <c r="BL195" i="1" l="1"/>
  <c r="BN195" i="1" s="1" a="1"/>
  <c r="BN195" i="1" s="1"/>
  <c r="Q195" i="1" s="1" a="1"/>
  <c r="Q195" i="1" s="1"/>
  <c r="AT193" i="1"/>
  <c r="AQ193" i="1"/>
  <c r="AS193" i="1" s="1" a="1"/>
  <c r="AS193" i="1" s="1"/>
  <c r="J193" i="1" s="1" a="1"/>
  <c r="J193" i="1" s="1"/>
  <c r="AW193" i="1" l="1"/>
  <c r="AY193" i="1" s="1" a="1"/>
  <c r="AY193" i="1" s="1"/>
  <c r="L193" i="1" s="1" a="1"/>
  <c r="L193" i="1" s="1"/>
  <c r="AV193" i="1" a="1"/>
  <c r="AV193" i="1" s="1"/>
  <c r="K193" i="1" s="1" a="1"/>
  <c r="K193" i="1" s="1"/>
  <c r="Z189" i="1"/>
  <c r="Z188" i="1"/>
  <c r="Z193" i="1"/>
  <c r="AL5" i="7"/>
  <c r="AO5" i="7" s="1"/>
  <c r="AL6" i="7"/>
  <c r="AN6" i="7" s="1" a="1"/>
  <c r="AN6" i="7" s="1"/>
  <c r="AL7" i="7"/>
  <c r="AO7" i="7" s="1"/>
  <c r="AL8" i="7"/>
  <c r="AO8" i="7" s="1"/>
  <c r="AL9" i="7"/>
  <c r="AO9" i="7" s="1"/>
  <c r="AR9" i="7" s="1"/>
  <c r="AU9" i="7" s="1"/>
  <c r="AL10" i="7"/>
  <c r="AO10" i="7" s="1"/>
  <c r="AR10" i="7" s="1"/>
  <c r="AU10" i="7" s="1"/>
  <c r="AW10" i="7" s="1" a="1"/>
  <c r="AW10" i="7" s="1"/>
  <c r="AL11" i="7"/>
  <c r="AL12" i="7"/>
  <c r="AO12" i="7" s="1"/>
  <c r="AL13" i="7"/>
  <c r="AN13" i="7" s="1" a="1"/>
  <c r="AN13" i="7" s="1"/>
  <c r="AL14" i="7"/>
  <c r="AN14" i="7" s="1" a="1"/>
  <c r="AN14" i="7" s="1"/>
  <c r="AL15" i="7"/>
  <c r="AN15" i="7" s="1" a="1"/>
  <c r="AN15" i="7" s="1"/>
  <c r="AL16" i="7"/>
  <c r="AN16" i="7" s="1" a="1"/>
  <c r="AN16" i="7" s="1"/>
  <c r="AL17" i="7"/>
  <c r="AL18" i="7"/>
  <c r="AL19" i="7"/>
  <c r="AO19" i="7" s="1"/>
  <c r="AQ19" i="7" s="1" a="1"/>
  <c r="AQ19" i="7" s="1"/>
  <c r="AL20" i="7"/>
  <c r="AO20" i="7" s="1"/>
  <c r="AL21" i="7"/>
  <c r="AO21" i="7" s="1"/>
  <c r="AR21" i="7" s="1"/>
  <c r="AL22" i="7"/>
  <c r="AO22" i="7" s="1"/>
  <c r="AR22" i="7" s="1"/>
  <c r="AL23" i="7"/>
  <c r="AO23" i="7" s="1"/>
  <c r="AR23" i="7" s="1"/>
  <c r="AT23" i="7" s="1" a="1"/>
  <c r="AT23" i="7" s="1"/>
  <c r="AL24" i="7"/>
  <c r="AO24" i="7" s="1"/>
  <c r="AL25" i="7"/>
  <c r="AN25" i="7" s="1" a="1"/>
  <c r="AN25" i="7" s="1"/>
  <c r="AL26" i="7"/>
  <c r="AN26" i="7" s="1" a="1"/>
  <c r="AN26" i="7" s="1"/>
  <c r="AL27" i="7"/>
  <c r="AN27" i="7" s="1" a="1"/>
  <c r="AN27" i="7" s="1"/>
  <c r="AL28" i="7"/>
  <c r="AN28" i="7" s="1" a="1"/>
  <c r="AN28" i="7" s="1"/>
  <c r="AL29" i="7"/>
  <c r="AO29" i="7" s="1"/>
  <c r="AL30" i="7"/>
  <c r="AO30" i="7" s="1"/>
  <c r="AR30" i="7" s="1"/>
  <c r="AU30" i="7" s="1"/>
  <c r="AL31" i="7"/>
  <c r="AN31" i="7" s="1" a="1"/>
  <c r="AN31" i="7" s="1"/>
  <c r="AL32" i="7"/>
  <c r="AO32" i="7" s="1"/>
  <c r="AL33" i="7"/>
  <c r="AO33" i="7" s="1"/>
  <c r="AR33" i="7" s="1"/>
  <c r="AL34" i="7"/>
  <c r="AO34" i="7" s="1"/>
  <c r="AR34" i="7" s="1"/>
  <c r="AL35" i="7"/>
  <c r="AO35" i="7" s="1"/>
  <c r="AR35" i="7" s="1"/>
  <c r="AL36" i="7"/>
  <c r="AO36" i="7" s="1"/>
  <c r="AL37" i="7"/>
  <c r="AN37" i="7" s="1" a="1"/>
  <c r="AN37" i="7" s="1"/>
  <c r="AL38" i="7"/>
  <c r="AN38" i="7" s="1" a="1"/>
  <c r="AN38" i="7" s="1"/>
  <c r="AL39" i="7"/>
  <c r="AN39" i="7" s="1" a="1"/>
  <c r="AN39" i="7" s="1"/>
  <c r="AL40" i="7"/>
  <c r="AN40" i="7" s="1" a="1"/>
  <c r="AN40" i="7" s="1"/>
  <c r="AL41" i="7"/>
  <c r="AN41" i="7" s="1" a="1"/>
  <c r="AN41" i="7" s="1"/>
  <c r="AL42" i="7"/>
  <c r="AL43" i="7"/>
  <c r="AO43" i="7" s="1"/>
  <c r="AL44" i="7"/>
  <c r="AO44" i="7" s="1"/>
  <c r="AL45" i="7"/>
  <c r="AO45" i="7" s="1"/>
  <c r="AR45" i="7" s="1"/>
  <c r="AU45" i="7" s="1"/>
  <c r="AX45" i="7" s="1"/>
  <c r="AZ45" i="7" s="1" a="1"/>
  <c r="AZ45" i="7" s="1"/>
  <c r="AL46" i="7"/>
  <c r="AO46" i="7" s="1"/>
  <c r="AR46" i="7" s="1"/>
  <c r="AU46" i="7" s="1"/>
  <c r="AW46" i="7" s="1" a="1"/>
  <c r="AW46" i="7" s="1"/>
  <c r="AL47" i="7"/>
  <c r="AL48" i="7"/>
  <c r="AO48" i="7" s="1"/>
  <c r="AL49" i="7"/>
  <c r="AN49" i="7" s="1" a="1"/>
  <c r="AN49" i="7" s="1"/>
  <c r="AL50" i="7"/>
  <c r="AN50" i="7" s="1" a="1"/>
  <c r="AN50" i="7" s="1"/>
  <c r="AL51" i="7"/>
  <c r="AN51" i="7" s="1" a="1"/>
  <c r="AN51" i="7" s="1"/>
  <c r="AL52" i="7"/>
  <c r="AN52" i="7" s="1" a="1"/>
  <c r="AN52" i="7" s="1"/>
  <c r="AL53" i="7"/>
  <c r="AL54" i="7"/>
  <c r="AN54" i="7" s="1" a="1"/>
  <c r="AN54" i="7" s="1"/>
  <c r="AL55" i="7"/>
  <c r="AO55" i="7" s="1"/>
  <c r="AL56" i="7"/>
  <c r="AO56" i="7" s="1"/>
  <c r="AL57" i="7"/>
  <c r="AO57" i="7" s="1"/>
  <c r="AR57" i="7" s="1"/>
  <c r="AL58" i="7"/>
  <c r="AO58" i="7" s="1"/>
  <c r="AR58" i="7" s="1"/>
  <c r="AL59" i="7"/>
  <c r="AO59" i="7" s="1"/>
  <c r="AR59" i="7" s="1"/>
  <c r="AL60" i="7"/>
  <c r="AO60" i="7" s="1"/>
  <c r="AL61" i="7"/>
  <c r="AN61" i="7" s="1" a="1"/>
  <c r="AN61" i="7" s="1"/>
  <c r="AL62" i="7"/>
  <c r="AN62" i="7" s="1" a="1"/>
  <c r="AN62" i="7" s="1"/>
  <c r="AL63" i="7"/>
  <c r="AN63" i="7" s="1" a="1"/>
  <c r="AN63" i="7" s="1"/>
  <c r="AL64" i="7"/>
  <c r="AN64" i="7" s="1" a="1"/>
  <c r="AN64" i="7" s="1"/>
  <c r="AL65" i="7"/>
  <c r="AO65" i="7" s="1"/>
  <c r="AL66" i="7"/>
  <c r="AO66" i="7" s="1"/>
  <c r="AL67" i="7"/>
  <c r="AN67" i="7" s="1" a="1"/>
  <c r="AN67" i="7" s="1"/>
  <c r="AL68" i="7"/>
  <c r="AO68" i="7" s="1"/>
  <c r="AL69" i="7"/>
  <c r="AO69" i="7" s="1"/>
  <c r="AR69" i="7" s="1"/>
  <c r="AU69" i="7" s="1"/>
  <c r="AX69" i="7" s="1"/>
  <c r="AZ69" i="7" s="1" a="1"/>
  <c r="AZ69" i="7" s="1"/>
  <c r="AL70" i="7"/>
  <c r="AO70" i="7" s="1"/>
  <c r="AR70" i="7" s="1"/>
  <c r="AL71" i="7"/>
  <c r="AO71" i="7" s="1"/>
  <c r="AR71" i="7" s="1"/>
  <c r="AT71" i="7" s="1" a="1"/>
  <c r="AT71" i="7" s="1"/>
  <c r="AL72" i="7"/>
  <c r="AO72" i="7" s="1"/>
  <c r="AL73" i="7"/>
  <c r="AN73" i="7" s="1" a="1"/>
  <c r="AN73" i="7" s="1"/>
  <c r="AL74" i="7"/>
  <c r="AN74" i="7" s="1" a="1"/>
  <c r="AN74" i="7" s="1"/>
  <c r="AL75" i="7"/>
  <c r="AN75" i="7" s="1" a="1"/>
  <c r="AN75" i="7" s="1"/>
  <c r="AL76" i="7"/>
  <c r="AN76" i="7" s="1" a="1"/>
  <c r="AN76" i="7" s="1"/>
  <c r="AL77" i="7"/>
  <c r="AL78" i="7"/>
  <c r="AL79" i="7"/>
  <c r="AO79" i="7" s="1"/>
  <c r="AQ79" i="7" s="1" a="1"/>
  <c r="AQ79" i="7" s="1"/>
  <c r="AL80" i="7"/>
  <c r="AO80" i="7" s="1"/>
  <c r="AL81" i="7"/>
  <c r="AO81" i="7" s="1"/>
  <c r="AR81" i="7" s="1"/>
  <c r="AL82" i="7"/>
  <c r="AO82" i="7" s="1"/>
  <c r="AR82" i="7" s="1"/>
  <c r="AL83" i="7"/>
  <c r="AL84" i="7"/>
  <c r="AO84" i="7" s="1"/>
  <c r="AL85" i="7"/>
  <c r="AN85" i="7" s="1" a="1"/>
  <c r="AN85" i="7" s="1"/>
  <c r="AL86" i="7"/>
  <c r="AN86" i="7" s="1" a="1"/>
  <c r="AN86" i="7" s="1"/>
  <c r="AL87" i="7"/>
  <c r="AN87" i="7" s="1" a="1"/>
  <c r="AN87" i="7" s="1"/>
  <c r="AL88" i="7"/>
  <c r="AN88" i="7" s="1" a="1"/>
  <c r="AN88" i="7" s="1"/>
  <c r="AL89" i="7"/>
  <c r="AO89" i="7" s="1"/>
  <c r="AL90" i="7"/>
  <c r="AO90" i="7" s="1"/>
  <c r="AR90" i="7" s="1"/>
  <c r="AU90" i="7" s="1"/>
  <c r="AX90" i="7" s="1"/>
  <c r="AZ90" i="7" s="1" a="1"/>
  <c r="AZ90" i="7" s="1"/>
  <c r="AL91" i="7"/>
  <c r="AO91" i="7" s="1"/>
  <c r="AR91" i="7" s="1"/>
  <c r="AU91" i="7" s="1"/>
  <c r="AX91" i="7" s="1"/>
  <c r="AZ91" i="7" s="1" a="1"/>
  <c r="AZ91" i="7" s="1"/>
  <c r="AL92" i="7"/>
  <c r="AO92" i="7" s="1"/>
  <c r="AQ92" i="7" s="1" a="1"/>
  <c r="AQ92" i="7" s="1"/>
  <c r="AL93" i="7"/>
  <c r="AO93" i="7" s="1"/>
  <c r="AR93" i="7" s="1"/>
  <c r="AT93" i="7" s="1" a="1"/>
  <c r="AT93" i="7" s="1"/>
  <c r="AL94" i="7"/>
  <c r="AO94" i="7" s="1"/>
  <c r="AR94" i="7" s="1"/>
  <c r="AT94" i="7" s="1" a="1"/>
  <c r="AT94" i="7" s="1"/>
  <c r="AL95" i="7"/>
  <c r="AO95" i="7" s="1"/>
  <c r="AR95" i="7" s="1"/>
  <c r="AT95" i="7" s="1" a="1"/>
  <c r="AT95" i="7" s="1"/>
  <c r="AL96" i="7"/>
  <c r="AO96" i="7" s="1"/>
  <c r="AL97" i="7"/>
  <c r="AN97" i="7" s="1" a="1"/>
  <c r="AN97" i="7" s="1"/>
  <c r="AL98" i="7"/>
  <c r="AN98" i="7" s="1" a="1"/>
  <c r="AN98" i="7" s="1"/>
  <c r="AL99" i="7"/>
  <c r="AN99" i="7" s="1" a="1"/>
  <c r="AN99" i="7" s="1"/>
  <c r="AL100" i="7"/>
  <c r="AN100" i="7" s="1" a="1"/>
  <c r="AN100" i="7" s="1"/>
  <c r="AL101" i="7"/>
  <c r="AL102" i="7"/>
  <c r="AN102" i="7" s="1" a="1"/>
  <c r="AN102" i="7" s="1"/>
  <c r="AL103" i="7"/>
  <c r="AN103" i="7" s="1" a="1"/>
  <c r="AN103" i="7" s="1"/>
  <c r="AL104" i="7"/>
  <c r="AO104" i="7" s="1"/>
  <c r="AR104" i="7" s="1"/>
  <c r="AU104" i="7" s="1"/>
  <c r="AX104" i="7" s="1"/>
  <c r="AZ104" i="7" s="1" a="1"/>
  <c r="AZ104" i="7" s="1"/>
  <c r="AL105" i="7"/>
  <c r="AO105" i="7" s="1"/>
  <c r="AR105" i="7" s="1"/>
  <c r="AU105" i="7" s="1"/>
  <c r="AX105" i="7" s="1"/>
  <c r="AZ105" i="7" s="1" a="1"/>
  <c r="AZ105" i="7" s="1"/>
  <c r="AL106" i="7"/>
  <c r="AO106" i="7" s="1"/>
  <c r="AR106" i="7" s="1"/>
  <c r="AL107" i="7"/>
  <c r="AO107" i="7" s="1"/>
  <c r="AR107" i="7" s="1"/>
  <c r="AU107" i="7" s="1"/>
  <c r="AX107" i="7" s="1"/>
  <c r="AZ107" i="7" s="1" a="1"/>
  <c r="AZ107" i="7" s="1"/>
  <c r="AL108" i="7"/>
  <c r="AO108" i="7" s="1"/>
  <c r="AL109" i="7"/>
  <c r="AN109" i="7" s="1" a="1"/>
  <c r="AN109" i="7" s="1"/>
  <c r="AL110" i="7"/>
  <c r="AN110" i="7" s="1" a="1"/>
  <c r="AN110" i="7" s="1"/>
  <c r="AL111" i="7"/>
  <c r="AN111" i="7" s="1" a="1"/>
  <c r="AN111" i="7" s="1"/>
  <c r="AL112" i="7"/>
  <c r="AN112" i="7" s="1" a="1"/>
  <c r="AN112" i="7" s="1"/>
  <c r="AL113" i="7"/>
  <c r="AL114" i="7"/>
  <c r="AL115" i="7"/>
  <c r="AO115" i="7" s="1"/>
  <c r="AL116" i="7"/>
  <c r="AO116" i="7" s="1"/>
  <c r="AQ116" i="7" s="1" a="1"/>
  <c r="AQ116" i="7" s="1"/>
  <c r="AL117" i="7"/>
  <c r="AO117" i="7" s="1"/>
  <c r="AR117" i="7" s="1"/>
  <c r="AU117" i="7" s="1"/>
  <c r="AL118" i="7"/>
  <c r="AO118" i="7" s="1"/>
  <c r="AR118" i="7" s="1"/>
  <c r="AL119" i="7"/>
  <c r="AL120" i="7"/>
  <c r="AO120" i="7" s="1"/>
  <c r="AL121" i="7"/>
  <c r="AN121" i="7" s="1" a="1"/>
  <c r="AN121" i="7" s="1"/>
  <c r="AL122" i="7"/>
  <c r="AN122" i="7" s="1" a="1"/>
  <c r="AN122" i="7" s="1"/>
  <c r="AL4" i="7"/>
  <c r="AO4" i="7" s="1"/>
  <c r="AI170" i="7"/>
  <c r="AL170" i="7" s="1"/>
  <c r="AN170" i="7" s="1" a="1"/>
  <c r="AN170" i="7" s="1"/>
  <c r="AI171" i="7"/>
  <c r="AL171" i="7" s="1"/>
  <c r="AN171" i="7" s="1" a="1"/>
  <c r="AN171" i="7" s="1"/>
  <c r="AI172" i="7"/>
  <c r="AL172" i="7" s="1"/>
  <c r="AN172" i="7" s="1" a="1"/>
  <c r="AN172" i="7" s="1"/>
  <c r="AI173" i="7"/>
  <c r="AL173" i="7" s="1"/>
  <c r="AI174" i="7"/>
  <c r="AL174" i="7" s="1"/>
  <c r="AN174" i="7" s="1" a="1"/>
  <c r="AN174" i="7" s="1"/>
  <c r="AI175" i="7"/>
  <c r="AI176" i="7"/>
  <c r="AL176" i="7" s="1"/>
  <c r="AN176" i="7" s="1" a="1"/>
  <c r="AN176" i="7" s="1"/>
  <c r="I176" i="7" s="1" a="1"/>
  <c r="I176" i="7" s="1"/>
  <c r="AH176" i="7" a="1"/>
  <c r="AH176" i="7" s="1"/>
  <c r="G176" i="7" s="1" a="1"/>
  <c r="G176" i="7" s="1"/>
  <c r="AH4" i="7" a="1"/>
  <c r="AH4" i="7" s="1"/>
  <c r="G4" i="7" s="1" a="1"/>
  <c r="G4" i="7" s="1"/>
  <c r="AH5" i="7" a="1"/>
  <c r="AH5" i="7" s="1"/>
  <c r="G5" i="7" s="1" a="1"/>
  <c r="G5" i="7" s="1"/>
  <c r="AH6" i="7" a="1"/>
  <c r="AH6" i="7" s="1"/>
  <c r="G6" i="7" s="1" a="1"/>
  <c r="G6" i="7" s="1"/>
  <c r="AH7" i="7" a="1"/>
  <c r="AH7" i="7" s="1"/>
  <c r="G7" i="7" s="1" a="1"/>
  <c r="G7" i="7" s="1"/>
  <c r="AH8" i="7" a="1"/>
  <c r="AH8" i="7" s="1"/>
  <c r="G8" i="7" s="1" a="1"/>
  <c r="G8" i="7" s="1"/>
  <c r="AH9" i="7" a="1"/>
  <c r="AH9" i="7" s="1"/>
  <c r="G9" i="7" s="1" a="1"/>
  <c r="G9" i="7" s="1"/>
  <c r="AH10" i="7" a="1"/>
  <c r="AH10" i="7" s="1"/>
  <c r="G10" i="7" s="1" a="1"/>
  <c r="G10" i="7" s="1"/>
  <c r="AH11" i="7" a="1"/>
  <c r="AH11" i="7" s="1"/>
  <c r="G11" i="7" s="1" a="1"/>
  <c r="G11" i="7" s="1"/>
  <c r="AH12" i="7" a="1"/>
  <c r="AH12" i="7" s="1"/>
  <c r="G12" i="7" s="1" a="1"/>
  <c r="G12" i="7" s="1"/>
  <c r="AH13" i="7" a="1"/>
  <c r="AH13" i="7" s="1"/>
  <c r="G13" i="7" s="1" a="1"/>
  <c r="G13" i="7" s="1"/>
  <c r="AH14" i="7" a="1"/>
  <c r="AH14" i="7" s="1"/>
  <c r="G14" i="7" s="1" a="1"/>
  <c r="G14" i="7" s="1"/>
  <c r="AH15" i="7" a="1"/>
  <c r="AH15" i="7" s="1"/>
  <c r="G15" i="7" s="1" a="1"/>
  <c r="G15" i="7" s="1"/>
  <c r="AH16" i="7" a="1"/>
  <c r="AH16" i="7" s="1"/>
  <c r="G16" i="7" s="1" a="1"/>
  <c r="G16" i="7" s="1"/>
  <c r="AH17" i="7" a="1"/>
  <c r="AH17" i="7" s="1"/>
  <c r="G17" i="7" s="1" a="1"/>
  <c r="G17" i="7" s="1"/>
  <c r="AH18" i="7" a="1"/>
  <c r="AH18" i="7" s="1"/>
  <c r="G18" i="7" s="1" a="1"/>
  <c r="G18" i="7" s="1"/>
  <c r="AH19" i="7" a="1"/>
  <c r="AH19" i="7" s="1"/>
  <c r="G19" i="7" s="1" a="1"/>
  <c r="G19" i="7" s="1"/>
  <c r="AH20" i="7" a="1"/>
  <c r="AH20" i="7" s="1"/>
  <c r="G20" i="7" s="1" a="1"/>
  <c r="G20" i="7" s="1"/>
  <c r="AH21" i="7" a="1"/>
  <c r="AH21" i="7" s="1"/>
  <c r="G21" i="7" s="1" a="1"/>
  <c r="G21" i="7" s="1"/>
  <c r="AH22" i="7" a="1"/>
  <c r="AH22" i="7" s="1"/>
  <c r="G22" i="7" s="1" a="1"/>
  <c r="G22" i="7" s="1"/>
  <c r="AH23" i="7" a="1"/>
  <c r="AH23" i="7" s="1"/>
  <c r="G23" i="7" s="1" a="1"/>
  <c r="G23" i="7" s="1"/>
  <c r="AH24" i="7" a="1"/>
  <c r="AH24" i="7" s="1"/>
  <c r="G24" i="7" s="1" a="1"/>
  <c r="G24" i="7" s="1"/>
  <c r="AH25" i="7" a="1"/>
  <c r="AH25" i="7" s="1"/>
  <c r="G25" i="7" s="1" a="1"/>
  <c r="G25" i="7" s="1"/>
  <c r="AH26" i="7" a="1"/>
  <c r="AH26" i="7" s="1"/>
  <c r="G26" i="7" s="1" a="1"/>
  <c r="G26" i="7" s="1"/>
  <c r="AH27" i="7" a="1"/>
  <c r="AH27" i="7" s="1"/>
  <c r="G27" i="7" s="1" a="1"/>
  <c r="G27" i="7" s="1"/>
  <c r="AH28" i="7" a="1"/>
  <c r="AH28" i="7" s="1"/>
  <c r="G28" i="7" s="1" a="1"/>
  <c r="G28" i="7" s="1"/>
  <c r="AH29" i="7" a="1"/>
  <c r="AH29" i="7" s="1"/>
  <c r="G29" i="7" s="1" a="1"/>
  <c r="G29" i="7" s="1"/>
  <c r="AH30" i="7" a="1"/>
  <c r="AH30" i="7" s="1"/>
  <c r="G30" i="7" s="1" a="1"/>
  <c r="G30" i="7" s="1"/>
  <c r="AH31" i="7" a="1"/>
  <c r="AH31" i="7" s="1"/>
  <c r="G31" i="7" s="1" a="1"/>
  <c r="G31" i="7" s="1"/>
  <c r="AH32" i="7" a="1"/>
  <c r="AH32" i="7" s="1"/>
  <c r="G32" i="7" s="1" a="1"/>
  <c r="G32" i="7" s="1"/>
  <c r="AH33" i="7" a="1"/>
  <c r="AH33" i="7" s="1"/>
  <c r="G33" i="7" s="1" a="1"/>
  <c r="G33" i="7" s="1"/>
  <c r="AH34" i="7" a="1"/>
  <c r="AH34" i="7" s="1"/>
  <c r="G34" i="7" s="1" a="1"/>
  <c r="G34" i="7" s="1"/>
  <c r="AH35" i="7" a="1"/>
  <c r="AH35" i="7" s="1"/>
  <c r="G35" i="7" s="1" a="1"/>
  <c r="G35" i="7" s="1"/>
  <c r="AH36" i="7" a="1"/>
  <c r="AH36" i="7" s="1"/>
  <c r="G36" i="7" s="1" a="1"/>
  <c r="G36" i="7" s="1"/>
  <c r="AH37" i="7" a="1"/>
  <c r="AH37" i="7" s="1"/>
  <c r="G37" i="7" s="1" a="1"/>
  <c r="G37" i="7" s="1"/>
  <c r="AH38" i="7" a="1"/>
  <c r="AH38" i="7" s="1"/>
  <c r="G38" i="7" s="1" a="1"/>
  <c r="G38" i="7" s="1"/>
  <c r="AH39" i="7" a="1"/>
  <c r="AH39" i="7" s="1"/>
  <c r="G39" i="7" s="1" a="1"/>
  <c r="G39" i="7" s="1"/>
  <c r="AH40" i="7" a="1"/>
  <c r="AH40" i="7" s="1"/>
  <c r="G40" i="7" s="1" a="1"/>
  <c r="G40" i="7" s="1"/>
  <c r="AH41" i="7" a="1"/>
  <c r="AH41" i="7" s="1"/>
  <c r="G41" i="7" s="1" a="1"/>
  <c r="G41" i="7" s="1"/>
  <c r="AH42" i="7" a="1"/>
  <c r="AH42" i="7" s="1"/>
  <c r="G42" i="7" s="1" a="1"/>
  <c r="G42" i="7" s="1"/>
  <c r="AH43" i="7" a="1"/>
  <c r="AH43" i="7" s="1"/>
  <c r="G43" i="7" s="1" a="1"/>
  <c r="G43" i="7" s="1"/>
  <c r="AH44" i="7" a="1"/>
  <c r="AH44" i="7" s="1"/>
  <c r="G44" i="7" s="1" a="1"/>
  <c r="G44" i="7" s="1"/>
  <c r="AH45" i="7" a="1"/>
  <c r="AH45" i="7" s="1"/>
  <c r="G45" i="7" s="1" a="1"/>
  <c r="G45" i="7" s="1"/>
  <c r="AH46" i="7" a="1"/>
  <c r="AH46" i="7" s="1"/>
  <c r="G46" i="7" s="1" a="1"/>
  <c r="G46" i="7" s="1"/>
  <c r="AH47" i="7" a="1"/>
  <c r="AH47" i="7" s="1"/>
  <c r="G47" i="7" s="1" a="1"/>
  <c r="G47" i="7" s="1"/>
  <c r="AH48" i="7" a="1"/>
  <c r="AH48" i="7" s="1"/>
  <c r="G48" i="7" s="1" a="1"/>
  <c r="G48" i="7" s="1"/>
  <c r="AH49" i="7" a="1"/>
  <c r="AH49" i="7" s="1"/>
  <c r="G49" i="7" s="1" a="1"/>
  <c r="G49" i="7" s="1"/>
  <c r="AH50" i="7" a="1"/>
  <c r="AH50" i="7" s="1"/>
  <c r="G50" i="7" s="1" a="1"/>
  <c r="G50" i="7" s="1"/>
  <c r="AH51" i="7" a="1"/>
  <c r="AH51" i="7" s="1"/>
  <c r="G51" i="7" s="1" a="1"/>
  <c r="G51" i="7" s="1"/>
  <c r="AH52" i="7" a="1"/>
  <c r="AH52" i="7" s="1"/>
  <c r="G52" i="7" s="1" a="1"/>
  <c r="G52" i="7" s="1"/>
  <c r="AH53" i="7" a="1"/>
  <c r="AH53" i="7" s="1"/>
  <c r="G53" i="7" s="1" a="1"/>
  <c r="G53" i="7" s="1"/>
  <c r="AH54" i="7" a="1"/>
  <c r="AH54" i="7" s="1"/>
  <c r="G54" i="7" s="1" a="1"/>
  <c r="G54" i="7" s="1"/>
  <c r="AH55" i="7" a="1"/>
  <c r="AH55" i="7" s="1"/>
  <c r="G55" i="7" s="1" a="1"/>
  <c r="G55" i="7" s="1"/>
  <c r="AH56" i="7" a="1"/>
  <c r="AH56" i="7" s="1"/>
  <c r="G56" i="7" s="1" a="1"/>
  <c r="G56" i="7" s="1"/>
  <c r="AH57" i="7" a="1"/>
  <c r="AH57" i="7" s="1"/>
  <c r="G57" i="7" s="1" a="1"/>
  <c r="G57" i="7" s="1"/>
  <c r="AH58" i="7" a="1"/>
  <c r="AH58" i="7" s="1"/>
  <c r="G58" i="7" s="1" a="1"/>
  <c r="G58" i="7" s="1"/>
  <c r="AH59" i="7" a="1"/>
  <c r="AH59" i="7" s="1"/>
  <c r="G59" i="7" s="1" a="1"/>
  <c r="G59" i="7" s="1"/>
  <c r="AH60" i="7" a="1"/>
  <c r="AH60" i="7" s="1"/>
  <c r="G60" i="7" s="1" a="1"/>
  <c r="G60" i="7" s="1"/>
  <c r="AH61" i="7" a="1"/>
  <c r="AH61" i="7" s="1"/>
  <c r="G61" i="7" s="1" a="1"/>
  <c r="G61" i="7" s="1"/>
  <c r="AH62" i="7" a="1"/>
  <c r="AH62" i="7" s="1"/>
  <c r="G62" i="7" s="1" a="1"/>
  <c r="G62" i="7" s="1"/>
  <c r="AH63" i="7" a="1"/>
  <c r="AH63" i="7" s="1"/>
  <c r="G63" i="7" s="1" a="1"/>
  <c r="G63" i="7" s="1"/>
  <c r="AH64" i="7" a="1"/>
  <c r="AH64" i="7" s="1"/>
  <c r="G64" i="7" s="1" a="1"/>
  <c r="G64" i="7" s="1"/>
  <c r="AH65" i="7" a="1"/>
  <c r="AH65" i="7" s="1"/>
  <c r="G65" i="7" s="1" a="1"/>
  <c r="G65" i="7" s="1"/>
  <c r="AH66" i="7" a="1"/>
  <c r="AH66" i="7" s="1"/>
  <c r="G66" i="7" s="1" a="1"/>
  <c r="G66" i="7" s="1"/>
  <c r="AH67" i="7" a="1"/>
  <c r="AH67" i="7" s="1"/>
  <c r="G67" i="7" s="1" a="1"/>
  <c r="G67" i="7" s="1"/>
  <c r="AH68" i="7" a="1"/>
  <c r="AH68" i="7" s="1"/>
  <c r="G68" i="7" s="1" a="1"/>
  <c r="G68" i="7" s="1"/>
  <c r="AH69" i="7" a="1"/>
  <c r="AH69" i="7" s="1"/>
  <c r="G69" i="7" s="1" a="1"/>
  <c r="G69" i="7" s="1"/>
  <c r="AH70" i="7" a="1"/>
  <c r="AH70" i="7" s="1"/>
  <c r="G70" i="7" s="1" a="1"/>
  <c r="G70" i="7" s="1"/>
  <c r="AH71" i="7" a="1"/>
  <c r="AH71" i="7" s="1"/>
  <c r="G71" i="7" s="1" a="1"/>
  <c r="G71" i="7" s="1"/>
  <c r="AH72" i="7" a="1"/>
  <c r="AH72" i="7" s="1"/>
  <c r="G72" i="7" s="1" a="1"/>
  <c r="G72" i="7" s="1"/>
  <c r="AH73" i="7" a="1"/>
  <c r="AH73" i="7" s="1"/>
  <c r="G73" i="7" s="1" a="1"/>
  <c r="G73" i="7" s="1"/>
  <c r="AH74" i="7" a="1"/>
  <c r="AH74" i="7" s="1"/>
  <c r="G74" i="7" s="1" a="1"/>
  <c r="G74" i="7" s="1"/>
  <c r="AH75" i="7" a="1"/>
  <c r="AH75" i="7" s="1"/>
  <c r="G75" i="7" s="1" a="1"/>
  <c r="G75" i="7" s="1"/>
  <c r="AH76" i="7" a="1"/>
  <c r="AH76" i="7" s="1"/>
  <c r="G76" i="7" s="1" a="1"/>
  <c r="G76" i="7" s="1"/>
  <c r="AH77" i="7" a="1"/>
  <c r="AH77" i="7" s="1"/>
  <c r="G77" i="7" s="1" a="1"/>
  <c r="G77" i="7" s="1"/>
  <c r="AH78" i="7" a="1"/>
  <c r="AH78" i="7" s="1"/>
  <c r="G78" i="7" s="1" a="1"/>
  <c r="G78" i="7" s="1"/>
  <c r="AH79" i="7" a="1"/>
  <c r="AH79" i="7" s="1"/>
  <c r="G79" i="7" s="1" a="1"/>
  <c r="G79" i="7" s="1"/>
  <c r="AH80" i="7" a="1"/>
  <c r="AH80" i="7" s="1"/>
  <c r="G80" i="7" s="1" a="1"/>
  <c r="G80" i="7" s="1"/>
  <c r="AH81" i="7" a="1"/>
  <c r="AH81" i="7" s="1"/>
  <c r="G81" i="7" s="1" a="1"/>
  <c r="G81" i="7" s="1"/>
  <c r="AH82" i="7" a="1"/>
  <c r="AH82" i="7" s="1"/>
  <c r="G82" i="7" s="1" a="1"/>
  <c r="G82" i="7" s="1"/>
  <c r="AH83" i="7" a="1"/>
  <c r="AH83" i="7" s="1"/>
  <c r="G83" i="7" s="1" a="1"/>
  <c r="G83" i="7" s="1"/>
  <c r="AH84" i="7" a="1"/>
  <c r="AH84" i="7" s="1"/>
  <c r="G84" i="7" s="1" a="1"/>
  <c r="G84" i="7" s="1"/>
  <c r="AH85" i="7" a="1"/>
  <c r="AH85" i="7" s="1"/>
  <c r="G85" i="7" s="1" a="1"/>
  <c r="G85" i="7" s="1"/>
  <c r="AH86" i="7" a="1"/>
  <c r="AH86" i="7" s="1"/>
  <c r="G86" i="7" s="1" a="1"/>
  <c r="G86" i="7" s="1"/>
  <c r="AH87" i="7" a="1"/>
  <c r="AH87" i="7" s="1"/>
  <c r="G87" i="7" s="1" a="1"/>
  <c r="G87" i="7" s="1"/>
  <c r="AH88" i="7" a="1"/>
  <c r="AH88" i="7" s="1"/>
  <c r="G88" i="7" s="1" a="1"/>
  <c r="G88" i="7" s="1"/>
  <c r="AH89" i="7" a="1"/>
  <c r="AH89" i="7" s="1"/>
  <c r="G89" i="7" s="1" a="1"/>
  <c r="G89" i="7" s="1"/>
  <c r="AH90" i="7" a="1"/>
  <c r="AH90" i="7" s="1"/>
  <c r="G90" i="7" s="1" a="1"/>
  <c r="G90" i="7" s="1"/>
  <c r="AH91" i="7" a="1"/>
  <c r="AH91" i="7" s="1"/>
  <c r="G91" i="7" s="1" a="1"/>
  <c r="G91" i="7" s="1"/>
  <c r="AH92" i="7" a="1"/>
  <c r="AH92" i="7" s="1"/>
  <c r="G92" i="7" s="1" a="1"/>
  <c r="G92" i="7" s="1"/>
  <c r="AH93" i="7" a="1"/>
  <c r="AH93" i="7" s="1"/>
  <c r="G93" i="7" s="1" a="1"/>
  <c r="G93" i="7" s="1"/>
  <c r="AH94" i="7" a="1"/>
  <c r="AH94" i="7" s="1"/>
  <c r="G94" i="7" s="1" a="1"/>
  <c r="G94" i="7" s="1"/>
  <c r="AH95" i="7" a="1"/>
  <c r="AH95" i="7" s="1"/>
  <c r="G95" i="7" s="1" a="1"/>
  <c r="G95" i="7" s="1"/>
  <c r="AH96" i="7" a="1"/>
  <c r="AH96" i="7" s="1"/>
  <c r="G96" i="7" s="1" a="1"/>
  <c r="G96" i="7" s="1"/>
  <c r="AH97" i="7" a="1"/>
  <c r="AH97" i="7" s="1"/>
  <c r="G97" i="7" s="1" a="1"/>
  <c r="G97" i="7" s="1"/>
  <c r="AH98" i="7" a="1"/>
  <c r="AH98" i="7" s="1"/>
  <c r="G98" i="7" s="1" a="1"/>
  <c r="G98" i="7" s="1"/>
  <c r="AH99" i="7" a="1"/>
  <c r="AH99" i="7" s="1"/>
  <c r="G99" i="7" s="1" a="1"/>
  <c r="G99" i="7" s="1"/>
  <c r="AH100" i="7" a="1"/>
  <c r="AH100" i="7" s="1"/>
  <c r="G100" i="7" s="1" a="1"/>
  <c r="G100" i="7" s="1"/>
  <c r="AH101" i="7" a="1"/>
  <c r="AH101" i="7" s="1"/>
  <c r="G101" i="7" s="1" a="1"/>
  <c r="G101" i="7" s="1"/>
  <c r="AH102" i="7" a="1"/>
  <c r="AH102" i="7" s="1"/>
  <c r="G102" i="7" s="1" a="1"/>
  <c r="G102" i="7" s="1"/>
  <c r="AH103" i="7" a="1"/>
  <c r="AH103" i="7" s="1"/>
  <c r="G103" i="7" s="1" a="1"/>
  <c r="G103" i="7" s="1"/>
  <c r="AH104" i="7" a="1"/>
  <c r="AH104" i="7" s="1"/>
  <c r="G104" i="7" s="1" a="1"/>
  <c r="G104" i="7" s="1"/>
  <c r="AH105" i="7" a="1"/>
  <c r="AH105" i="7" s="1"/>
  <c r="G105" i="7" s="1" a="1"/>
  <c r="G105" i="7" s="1"/>
  <c r="AH106" i="7" a="1"/>
  <c r="AH106" i="7" s="1"/>
  <c r="G106" i="7" s="1" a="1"/>
  <c r="G106" i="7" s="1"/>
  <c r="AH107" i="7" a="1"/>
  <c r="AH107" i="7" s="1"/>
  <c r="G107" i="7" s="1" a="1"/>
  <c r="G107" i="7" s="1"/>
  <c r="AH108" i="7" a="1"/>
  <c r="AH108" i="7" s="1"/>
  <c r="G108" i="7" s="1" a="1"/>
  <c r="G108" i="7" s="1"/>
  <c r="AH109" i="7" a="1"/>
  <c r="AH109" i="7" s="1"/>
  <c r="G109" i="7" s="1" a="1"/>
  <c r="G109" i="7" s="1"/>
  <c r="AH110" i="7" a="1"/>
  <c r="AH110" i="7" s="1"/>
  <c r="G110" i="7" s="1" a="1"/>
  <c r="G110" i="7" s="1"/>
  <c r="AH111" i="7" a="1"/>
  <c r="AH111" i="7" s="1"/>
  <c r="G111" i="7" s="1" a="1"/>
  <c r="G111" i="7" s="1"/>
  <c r="AH112" i="7" a="1"/>
  <c r="AH112" i="7" s="1"/>
  <c r="G112" i="7" s="1" a="1"/>
  <c r="G112" i="7" s="1"/>
  <c r="AH113" i="7" a="1"/>
  <c r="AH113" i="7" s="1"/>
  <c r="G113" i="7" s="1" a="1"/>
  <c r="G113" i="7" s="1"/>
  <c r="AH114" i="7" a="1"/>
  <c r="AH114" i="7" s="1"/>
  <c r="G114" i="7" s="1" a="1"/>
  <c r="G114" i="7" s="1"/>
  <c r="AH115" i="7" a="1"/>
  <c r="AH115" i="7" s="1"/>
  <c r="G115" i="7" s="1" a="1"/>
  <c r="G115" i="7" s="1"/>
  <c r="AH116" i="7" a="1"/>
  <c r="AH116" i="7" s="1"/>
  <c r="G116" i="7" s="1" a="1"/>
  <c r="G116" i="7" s="1"/>
  <c r="AH117" i="7" a="1"/>
  <c r="AH117" i="7" s="1"/>
  <c r="G117" i="7" s="1" a="1"/>
  <c r="G117" i="7" s="1"/>
  <c r="AH118" i="7" a="1"/>
  <c r="AH118" i="7" s="1"/>
  <c r="G118" i="7" s="1" a="1"/>
  <c r="G118" i="7" s="1"/>
  <c r="AH119" i="7" a="1"/>
  <c r="AH119" i="7" s="1"/>
  <c r="G119" i="7" s="1" a="1"/>
  <c r="G119" i="7" s="1"/>
  <c r="AH120" i="7" a="1"/>
  <c r="AH120" i="7" s="1"/>
  <c r="G120" i="7" s="1" a="1"/>
  <c r="G120" i="7" s="1"/>
  <c r="AH121" i="7" a="1"/>
  <c r="AH121" i="7" s="1"/>
  <c r="G121" i="7" s="1" a="1"/>
  <c r="G121" i="7" s="1"/>
  <c r="AH122" i="7" a="1"/>
  <c r="AH122" i="7" s="1"/>
  <c r="G122" i="7" s="1" a="1"/>
  <c r="G122" i="7" s="1"/>
  <c r="AH123" i="7" a="1"/>
  <c r="AH123" i="7" s="1"/>
  <c r="G123" i="7" s="1" a="1"/>
  <c r="G123" i="7" s="1"/>
  <c r="AH124" i="7" a="1"/>
  <c r="AH124" i="7" s="1"/>
  <c r="G124" i="7" s="1" a="1"/>
  <c r="G124" i="7" s="1"/>
  <c r="AH125" i="7" a="1"/>
  <c r="AH125" i="7" s="1"/>
  <c r="G125" i="7" s="1" a="1"/>
  <c r="G125" i="7" s="1"/>
  <c r="AH126" i="7" a="1"/>
  <c r="AH126" i="7" s="1"/>
  <c r="G126" i="7" s="1" a="1"/>
  <c r="G126" i="7" s="1"/>
  <c r="AH127" i="7" a="1"/>
  <c r="AH127" i="7" s="1"/>
  <c r="G127" i="7" s="1" a="1"/>
  <c r="G127" i="7" s="1"/>
  <c r="AH128" i="7" a="1"/>
  <c r="AH128" i="7" s="1"/>
  <c r="G128" i="7" s="1" a="1"/>
  <c r="G128" i="7" s="1"/>
  <c r="AH129" i="7" a="1"/>
  <c r="AH129" i="7" s="1"/>
  <c r="G129" i="7" s="1" a="1"/>
  <c r="G129" i="7" s="1"/>
  <c r="AH130" i="7" a="1"/>
  <c r="AH130" i="7" s="1"/>
  <c r="G130" i="7" s="1" a="1"/>
  <c r="G130" i="7" s="1"/>
  <c r="AH131" i="7" a="1"/>
  <c r="AH131" i="7" s="1"/>
  <c r="G131" i="7" s="1" a="1"/>
  <c r="G131" i="7" s="1"/>
  <c r="AH132" i="7" a="1"/>
  <c r="AH132" i="7" s="1"/>
  <c r="G132" i="7" s="1" a="1"/>
  <c r="G132" i="7" s="1"/>
  <c r="AH133" i="7" a="1"/>
  <c r="AH133" i="7" s="1"/>
  <c r="G133" i="7" s="1" a="1"/>
  <c r="G133" i="7" s="1"/>
  <c r="AH134" i="7" a="1"/>
  <c r="AH134" i="7" s="1"/>
  <c r="G134" i="7" s="1" a="1"/>
  <c r="G134" i="7" s="1"/>
  <c r="AH135" i="7" a="1"/>
  <c r="AH135" i="7" s="1"/>
  <c r="G135" i="7" s="1" a="1"/>
  <c r="G135" i="7" s="1"/>
  <c r="AH136" i="7" a="1"/>
  <c r="AH136" i="7" s="1"/>
  <c r="G136" i="7" s="1" a="1"/>
  <c r="G136" i="7" s="1"/>
  <c r="AH137" i="7" a="1"/>
  <c r="AH137" i="7" s="1"/>
  <c r="G137" i="7" s="1" a="1"/>
  <c r="G137" i="7" s="1"/>
  <c r="AH138" i="7" a="1"/>
  <c r="AH138" i="7" s="1"/>
  <c r="G138" i="7" s="1" a="1"/>
  <c r="G138" i="7" s="1"/>
  <c r="AH139" i="7" a="1"/>
  <c r="AH139" i="7" s="1"/>
  <c r="G139" i="7" s="1" a="1"/>
  <c r="G139" i="7" s="1"/>
  <c r="AH140" i="7" a="1"/>
  <c r="AH140" i="7" s="1"/>
  <c r="G140" i="7" s="1" a="1"/>
  <c r="G140" i="7" s="1"/>
  <c r="AH141" i="7" a="1"/>
  <c r="AH141" i="7" s="1"/>
  <c r="G141" i="7" s="1" a="1"/>
  <c r="G141" i="7" s="1"/>
  <c r="AH142" i="7" a="1"/>
  <c r="AH142" i="7" s="1"/>
  <c r="G142" i="7" s="1" a="1"/>
  <c r="G142" i="7" s="1"/>
  <c r="AH143" i="7" a="1"/>
  <c r="AH143" i="7" s="1"/>
  <c r="G143" i="7" s="1" a="1"/>
  <c r="G143" i="7" s="1"/>
  <c r="AH144" i="7" a="1"/>
  <c r="AH144" i="7" s="1"/>
  <c r="G144" i="7" s="1" a="1"/>
  <c r="G144" i="7" s="1"/>
  <c r="AH145" i="7" a="1"/>
  <c r="AH145" i="7" s="1"/>
  <c r="G145" i="7" s="1" a="1"/>
  <c r="G145" i="7" s="1"/>
  <c r="AH146" i="7" a="1"/>
  <c r="AH146" i="7" s="1"/>
  <c r="G146" i="7" s="1" a="1"/>
  <c r="G146" i="7" s="1"/>
  <c r="AH147" i="7" a="1"/>
  <c r="AH147" i="7" s="1"/>
  <c r="G147" i="7" s="1" a="1"/>
  <c r="G147" i="7" s="1"/>
  <c r="AH148" i="7" a="1"/>
  <c r="AH148" i="7" s="1"/>
  <c r="G148" i="7" s="1" a="1"/>
  <c r="G148" i="7" s="1"/>
  <c r="AH149" i="7" a="1"/>
  <c r="AH149" i="7" s="1"/>
  <c r="G149" i="7" s="1" a="1"/>
  <c r="G149" i="7" s="1"/>
  <c r="AH150" i="7" a="1"/>
  <c r="AH150" i="7" s="1"/>
  <c r="G150" i="7" s="1" a="1"/>
  <c r="G150" i="7" s="1"/>
  <c r="AH151" i="7" a="1"/>
  <c r="AH151" i="7" s="1"/>
  <c r="G151" i="7" s="1" a="1"/>
  <c r="G151" i="7" s="1"/>
  <c r="AH152" i="7" a="1"/>
  <c r="AH152" i="7" s="1"/>
  <c r="G152" i="7" s="1" a="1"/>
  <c r="G152" i="7" s="1"/>
  <c r="AH153" i="7" a="1"/>
  <c r="AH153" i="7" s="1"/>
  <c r="G153" i="7" s="1" a="1"/>
  <c r="G153" i="7" s="1"/>
  <c r="AH154" i="7" a="1"/>
  <c r="AH154" i="7" s="1"/>
  <c r="G154" i="7" s="1" a="1"/>
  <c r="G154" i="7" s="1"/>
  <c r="AH155" i="7" a="1"/>
  <c r="AH155" i="7" s="1"/>
  <c r="G155" i="7" s="1" a="1"/>
  <c r="G155" i="7" s="1"/>
  <c r="AH156" i="7" a="1"/>
  <c r="AH156" i="7" s="1"/>
  <c r="G156" i="7" s="1" a="1"/>
  <c r="G156" i="7" s="1"/>
  <c r="AH157" i="7" a="1"/>
  <c r="AH157" i="7" s="1"/>
  <c r="G157" i="7" s="1" a="1"/>
  <c r="G157" i="7" s="1"/>
  <c r="AH158" i="7" a="1"/>
  <c r="AH158" i="7" s="1"/>
  <c r="G158" i="7" s="1" a="1"/>
  <c r="G158" i="7" s="1"/>
  <c r="AH159" i="7" a="1"/>
  <c r="AH159" i="7" s="1"/>
  <c r="G159" i="7" s="1" a="1"/>
  <c r="G159" i="7" s="1"/>
  <c r="AH160" i="7" a="1"/>
  <c r="AH160" i="7" s="1"/>
  <c r="G160" i="7" s="1" a="1"/>
  <c r="G160" i="7" s="1"/>
  <c r="AH161" i="7" a="1"/>
  <c r="AH161" i="7" s="1"/>
  <c r="G161" i="7" s="1" a="1"/>
  <c r="G161" i="7" s="1"/>
  <c r="AH162" i="7" a="1"/>
  <c r="AH162" i="7" s="1"/>
  <c r="G162" i="7" s="1" a="1"/>
  <c r="G162" i="7" s="1"/>
  <c r="AH163" i="7" a="1"/>
  <c r="AH163" i="7" s="1"/>
  <c r="G163" i="7" s="1" a="1"/>
  <c r="G163" i="7" s="1"/>
  <c r="AH164" i="7" a="1"/>
  <c r="AH164" i="7" s="1"/>
  <c r="G164" i="7" s="1" a="1"/>
  <c r="G164" i="7" s="1"/>
  <c r="AH165" i="7" a="1"/>
  <c r="AH165" i="7" s="1"/>
  <c r="G165" i="7" s="1" a="1"/>
  <c r="G165" i="7" s="1"/>
  <c r="AH166" i="7" a="1"/>
  <c r="AH166" i="7" s="1"/>
  <c r="G166" i="7" s="1" a="1"/>
  <c r="G166" i="7" s="1"/>
  <c r="AH167" i="7" a="1"/>
  <c r="AH167" i="7" s="1"/>
  <c r="G167" i="7" s="1" a="1"/>
  <c r="G167" i="7" s="1"/>
  <c r="AH168" i="7" a="1"/>
  <c r="AH168" i="7" s="1"/>
  <c r="G168" i="7" s="1" a="1"/>
  <c r="G168" i="7" s="1"/>
  <c r="AH169" i="7" a="1"/>
  <c r="AH169" i="7" s="1"/>
  <c r="G169" i="7" s="1" a="1"/>
  <c r="G169" i="7" s="1"/>
  <c r="AH170" i="7" a="1"/>
  <c r="AH170" i="7" s="1"/>
  <c r="G170" i="7" s="1" a="1"/>
  <c r="G170" i="7" s="1"/>
  <c r="AH171" i="7" a="1"/>
  <c r="AH171" i="7" s="1"/>
  <c r="G171" i="7" s="1" a="1"/>
  <c r="G171" i="7" s="1"/>
  <c r="AH172" i="7" a="1"/>
  <c r="AH172" i="7" s="1"/>
  <c r="G172" i="7" s="1" a="1"/>
  <c r="G172" i="7" s="1"/>
  <c r="AH173" i="7" a="1"/>
  <c r="AH173" i="7" s="1"/>
  <c r="G173" i="7" s="1" a="1"/>
  <c r="G173" i="7" s="1"/>
  <c r="AH174" i="7" a="1"/>
  <c r="AH174" i="7" s="1"/>
  <c r="G174" i="7" s="1" a="1"/>
  <c r="G174" i="7" s="1"/>
  <c r="AH175" i="7" a="1"/>
  <c r="AH175" i="7" s="1"/>
  <c r="G175" i="7" s="1" a="1"/>
  <c r="G175" i="7" s="1"/>
  <c r="AH177" i="7" a="1"/>
  <c r="AH177" i="7" s="1"/>
  <c r="G177" i="7" s="1" a="1"/>
  <c r="G177" i="7" s="1"/>
  <c r="F176" i="7" a="1"/>
  <c r="F176" i="7" s="1"/>
  <c r="N176" i="7"/>
  <c r="O176" i="7"/>
  <c r="Q176" i="7" s="1"/>
  <c r="R176" i="7"/>
  <c r="AA176" i="7"/>
  <c r="AE176" i="7" a="1"/>
  <c r="AE176" i="7" s="1"/>
  <c r="P176" i="7" l="1"/>
  <c r="AN23" i="7" a="1"/>
  <c r="AN23" i="7" s="1"/>
  <c r="BC193" i="1"/>
  <c r="AN108" i="7" a="1"/>
  <c r="AN108" i="7" s="1"/>
  <c r="AN60" i="7" a="1"/>
  <c r="AN60" i="7" s="1"/>
  <c r="AN35" i="7" a="1"/>
  <c r="AN35" i="7" s="1"/>
  <c r="AN59" i="7" a="1"/>
  <c r="AN59" i="7" s="1"/>
  <c r="AN19" i="7" a="1"/>
  <c r="AN19" i="7" s="1"/>
  <c r="AN34" i="7" a="1"/>
  <c r="AN34" i="7" s="1"/>
  <c r="AN115" i="7" a="1"/>
  <c r="AN115" i="7" s="1"/>
  <c r="AW91" i="7" a="1"/>
  <c r="AW91" i="7" s="1"/>
  <c r="AN22" i="7" a="1"/>
  <c r="AN22" i="7" s="1"/>
  <c r="AN82" i="7" a="1"/>
  <c r="AN82" i="7" s="1"/>
  <c r="AN106" i="7" a="1"/>
  <c r="AN106" i="7" s="1"/>
  <c r="AQ91" i="7" a="1"/>
  <c r="AQ91" i="7" s="1"/>
  <c r="AQ82" i="7" a="1"/>
  <c r="AQ82" i="7" s="1"/>
  <c r="AN58" i="7" a="1"/>
  <c r="AN58" i="7" s="1"/>
  <c r="AQ58" i="7" a="1"/>
  <c r="AQ58" i="7" s="1"/>
  <c r="AN56" i="7" a="1"/>
  <c r="AN56" i="7" s="1"/>
  <c r="AQ118" i="7" a="1"/>
  <c r="AQ118" i="7" s="1"/>
  <c r="AQ106" i="7" a="1"/>
  <c r="AQ106" i="7" s="1"/>
  <c r="AN70" i="7" a="1"/>
  <c r="AN70" i="7" s="1"/>
  <c r="AN10" i="7" a="1"/>
  <c r="AN10" i="7" s="1"/>
  <c r="AQ70" i="7" a="1"/>
  <c r="AQ70" i="7" s="1"/>
  <c r="AQ34" i="7" a="1"/>
  <c r="AQ34" i="7" s="1"/>
  <c r="AN55" i="7" a="1"/>
  <c r="AN55" i="7" s="1"/>
  <c r="AQ10" i="7" a="1"/>
  <c r="AQ10" i="7" s="1"/>
  <c r="AN46" i="7" a="1"/>
  <c r="AN46" i="7" s="1"/>
  <c r="AN118" i="7" a="1"/>
  <c r="AN118" i="7" s="1"/>
  <c r="AN107" i="7" a="1"/>
  <c r="AN107" i="7" s="1"/>
  <c r="AN117" i="7" a="1"/>
  <c r="AN117" i="7" s="1"/>
  <c r="AN21" i="7" a="1"/>
  <c r="AN21" i="7" s="1"/>
  <c r="AN57" i="7" a="1"/>
  <c r="AN57" i="7" s="1"/>
  <c r="AQ69" i="7" a="1"/>
  <c r="AQ69" i="7" s="1"/>
  <c r="AN80" i="7" a="1"/>
  <c r="AN80" i="7" s="1"/>
  <c r="AN43" i="7" a="1"/>
  <c r="AN43" i="7" s="1"/>
  <c r="AN79" i="7" a="1"/>
  <c r="AN79" i="7" s="1"/>
  <c r="AT9" i="7" a="1"/>
  <c r="AT9" i="7" s="1"/>
  <c r="AQ117" i="7" a="1"/>
  <c r="AQ117" i="7" s="1"/>
  <c r="AN45" i="7" a="1"/>
  <c r="AN45" i="7" s="1"/>
  <c r="AW69" i="7" a="1"/>
  <c r="AW69" i="7" s="1"/>
  <c r="AQ45" i="7" a="1"/>
  <c r="AQ45" i="7" s="1"/>
  <c r="AW45" i="7" a="1"/>
  <c r="AW45" i="7" s="1"/>
  <c r="AN69" i="7" a="1"/>
  <c r="AN69" i="7" s="1"/>
  <c r="AN33" i="7" a="1"/>
  <c r="AN33" i="7" s="1"/>
  <c r="AT91" i="7" a="1"/>
  <c r="AT91" i="7" s="1"/>
  <c r="AQ105" i="7" a="1"/>
  <c r="AQ105" i="7" s="1"/>
  <c r="AT69" i="7" a="1"/>
  <c r="AT69" i="7" s="1"/>
  <c r="AQ95" i="7" a="1"/>
  <c r="AQ95" i="7" s="1"/>
  <c r="AQ21" i="7" a="1"/>
  <c r="AQ21" i="7" s="1"/>
  <c r="AQ33" i="7" a="1"/>
  <c r="AQ33" i="7" s="1"/>
  <c r="AQ81" i="7" a="1"/>
  <c r="AQ81" i="7" s="1"/>
  <c r="AT105" i="7" a="1"/>
  <c r="AT105" i="7" s="1"/>
  <c r="AQ23" i="7" a="1"/>
  <c r="AQ23" i="7" s="1"/>
  <c r="AQ22" i="7" a="1"/>
  <c r="AQ22" i="7" s="1"/>
  <c r="AT46" i="7" a="1"/>
  <c r="AT46" i="7" s="1"/>
  <c r="AQ94" i="7" a="1"/>
  <c r="AQ94" i="7" s="1"/>
  <c r="AQ57" i="7" a="1"/>
  <c r="AQ57" i="7" s="1"/>
  <c r="AN94" i="7" a="1"/>
  <c r="AN94" i="7" s="1"/>
  <c r="AN9" i="7" a="1"/>
  <c r="AN9" i="7" s="1"/>
  <c r="AT45" i="7" a="1"/>
  <c r="AT45" i="7" s="1"/>
  <c r="AQ93" i="7" a="1"/>
  <c r="AQ93" i="7" s="1"/>
  <c r="AQ46" i="7" a="1"/>
  <c r="AQ46" i="7" s="1"/>
  <c r="AQ9" i="7" a="1"/>
  <c r="AQ9" i="7" s="1"/>
  <c r="AN91" i="7" a="1"/>
  <c r="AN91" i="7" s="1"/>
  <c r="AN7" i="7" a="1"/>
  <c r="AN7" i="7" s="1"/>
  <c r="AN65" i="7" a="1"/>
  <c r="AN65" i="7" s="1"/>
  <c r="AN5" i="7" a="1"/>
  <c r="AN5" i="7" s="1"/>
  <c r="AN4" i="7" a="1"/>
  <c r="AN4" i="7" s="1"/>
  <c r="AN29" i="7" a="1"/>
  <c r="AN29" i="7" s="1"/>
  <c r="AN89" i="7" a="1"/>
  <c r="AN89" i="7" s="1"/>
  <c r="AN24" i="7" a="1"/>
  <c r="AN24" i="7" s="1"/>
  <c r="AN48" i="7" a="1"/>
  <c r="AN48" i="7" s="1"/>
  <c r="AQ71" i="7" a="1"/>
  <c r="AQ71" i="7" s="1"/>
  <c r="AN104" i="7" a="1"/>
  <c r="AN104" i="7" s="1"/>
  <c r="AN96" i="7" a="1"/>
  <c r="AN96" i="7" s="1"/>
  <c r="AN20" i="7" a="1"/>
  <c r="AN20" i="7" s="1"/>
  <c r="AN68" i="7" a="1"/>
  <c r="AN68" i="7" s="1"/>
  <c r="AN72" i="7" a="1"/>
  <c r="AN72" i="7" s="1"/>
  <c r="AW90" i="7" a="1"/>
  <c r="AW90" i="7" s="1"/>
  <c r="AN95" i="7" a="1"/>
  <c r="AN95" i="7" s="1"/>
  <c r="AN44" i="7" a="1"/>
  <c r="AN44" i="7" s="1"/>
  <c r="AQ107" i="7" a="1"/>
  <c r="AQ107" i="7" s="1"/>
  <c r="AQ59" i="7" a="1"/>
  <c r="AQ59" i="7" s="1"/>
  <c r="AN120" i="7" a="1"/>
  <c r="AN120" i="7" s="1"/>
  <c r="AN92" i="7" a="1"/>
  <c r="AN92" i="7" s="1"/>
  <c r="AN36" i="7" a="1"/>
  <c r="AN36" i="7" s="1"/>
  <c r="AN12" i="7" a="1"/>
  <c r="AN12" i="7" s="1"/>
  <c r="AN116" i="7" a="1"/>
  <c r="AN116" i="7" s="1"/>
  <c r="AN84" i="7" a="1"/>
  <c r="AN84" i="7" s="1"/>
  <c r="AN8" i="7" a="1"/>
  <c r="AN8" i="7" s="1"/>
  <c r="AQ35" i="7" a="1"/>
  <c r="AQ35" i="7" s="1"/>
  <c r="AN32" i="7" a="1"/>
  <c r="AN32" i="7" s="1"/>
  <c r="AN71" i="7" a="1"/>
  <c r="AN71" i="7" s="1"/>
  <c r="AT30" i="7" a="1"/>
  <c r="AT30" i="7" s="1"/>
  <c r="AN30" i="7" a="1"/>
  <c r="AN30" i="7" s="1"/>
  <c r="AQ30" i="7" a="1"/>
  <c r="AQ30" i="7" s="1"/>
  <c r="AQ20" i="7" a="1"/>
  <c r="AQ20" i="7" s="1"/>
  <c r="AR20" i="7"/>
  <c r="AT20" i="7" s="1" a="1"/>
  <c r="AT20" i="7" s="1"/>
  <c r="AR120" i="7"/>
  <c r="AT120" i="7" s="1" a="1"/>
  <c r="AT120" i="7" s="1"/>
  <c r="AQ120" i="7" a="1"/>
  <c r="AQ120" i="7" s="1"/>
  <c r="AQ108" i="7" a="1"/>
  <c r="AQ108" i="7" s="1"/>
  <c r="AR108" i="7"/>
  <c r="AU108" i="7" s="1"/>
  <c r="AW108" i="7" s="1" a="1"/>
  <c r="AW108" i="7" s="1"/>
  <c r="AR96" i="7"/>
  <c r="AT96" i="7" s="1" a="1"/>
  <c r="AT96" i="7" s="1"/>
  <c r="AQ96" i="7" a="1"/>
  <c r="AQ96" i="7" s="1"/>
  <c r="AQ84" i="7" a="1"/>
  <c r="AQ84" i="7" s="1"/>
  <c r="AR84" i="7"/>
  <c r="AT84" i="7" s="1" a="1"/>
  <c r="AT84" i="7" s="1"/>
  <c r="AQ72" i="7" a="1"/>
  <c r="AQ72" i="7" s="1"/>
  <c r="AR72" i="7"/>
  <c r="AU72" i="7" s="1"/>
  <c r="AQ60" i="7" a="1"/>
  <c r="AQ60" i="7" s="1"/>
  <c r="AR60" i="7"/>
  <c r="AT60" i="7" s="1" a="1"/>
  <c r="AT60" i="7" s="1"/>
  <c r="AR48" i="7"/>
  <c r="AT48" i="7" s="1" a="1"/>
  <c r="AT48" i="7" s="1"/>
  <c r="AQ48" i="7" a="1"/>
  <c r="AQ48" i="7" s="1"/>
  <c r="AR36" i="7"/>
  <c r="AT36" i="7" s="1" a="1"/>
  <c r="AT36" i="7" s="1"/>
  <c r="AQ36" i="7" a="1"/>
  <c r="AQ36" i="7" s="1"/>
  <c r="AQ24" i="7" a="1"/>
  <c r="AQ24" i="7" s="1"/>
  <c r="AR24" i="7"/>
  <c r="AT24" i="7" s="1" a="1"/>
  <c r="AT24" i="7" s="1"/>
  <c r="AQ12" i="7" a="1"/>
  <c r="AQ12" i="7" s="1"/>
  <c r="AR12" i="7"/>
  <c r="AT12" i="7" s="1" a="1"/>
  <c r="AT12" i="7" s="1"/>
  <c r="AU106" i="7"/>
  <c r="AT106" i="7" a="1"/>
  <c r="AT106" i="7" s="1"/>
  <c r="AU82" i="7"/>
  <c r="AT82" i="7" a="1"/>
  <c r="AT82" i="7" s="1"/>
  <c r="AU70" i="7"/>
  <c r="AW70" i="7" s="1" a="1"/>
  <c r="AW70" i="7" s="1"/>
  <c r="AT70" i="7" a="1"/>
  <c r="AT70" i="7" s="1"/>
  <c r="AU34" i="7"/>
  <c r="AX34" i="7" s="1"/>
  <c r="AZ34" i="7" s="1" a="1"/>
  <c r="AZ34" i="7" s="1"/>
  <c r="AT34" i="7" a="1"/>
  <c r="AT34" i="7" s="1"/>
  <c r="AR7" i="7"/>
  <c r="AT7" i="7" s="1" a="1"/>
  <c r="AT7" i="7" s="1"/>
  <c r="AQ7" i="7" a="1"/>
  <c r="AQ7" i="7" s="1"/>
  <c r="AR80" i="7"/>
  <c r="AU80" i="7" s="1"/>
  <c r="AQ80" i="7" a="1"/>
  <c r="AQ80" i="7" s="1"/>
  <c r="AR68" i="7"/>
  <c r="AQ68" i="7" a="1"/>
  <c r="AQ68" i="7" s="1"/>
  <c r="AR44" i="7"/>
  <c r="AU44" i="7" s="1"/>
  <c r="AQ44" i="7" a="1"/>
  <c r="AQ44" i="7" s="1"/>
  <c r="AR32" i="7"/>
  <c r="AQ32" i="7" a="1"/>
  <c r="AQ32" i="7" s="1"/>
  <c r="AR8" i="7"/>
  <c r="AQ8" i="7" a="1"/>
  <c r="AQ8" i="7" s="1"/>
  <c r="AX30" i="7"/>
  <c r="AZ30" i="7" s="1" a="1"/>
  <c r="AZ30" i="7" s="1"/>
  <c r="AW30" i="7" a="1"/>
  <c r="AW30" i="7" s="1"/>
  <c r="AO110" i="7"/>
  <c r="AQ110" i="7" s="1" a="1"/>
  <c r="AQ110" i="7" s="1"/>
  <c r="AO87" i="7"/>
  <c r="AQ87" i="7" s="1" a="1"/>
  <c r="AQ87" i="7" s="1"/>
  <c r="AO63" i="7"/>
  <c r="AQ63" i="7" s="1" a="1"/>
  <c r="AQ63" i="7" s="1"/>
  <c r="AO41" i="7"/>
  <c r="AR41" i="7" s="1"/>
  <c r="AO109" i="7"/>
  <c r="AO86" i="7"/>
  <c r="AQ86" i="7" s="1" a="1"/>
  <c r="AQ86" i="7" s="1"/>
  <c r="AO62" i="7"/>
  <c r="AR62" i="7" s="1"/>
  <c r="AO40" i="7"/>
  <c r="AQ40" i="7" s="1" a="1"/>
  <c r="AQ40" i="7" s="1"/>
  <c r="AO16" i="7"/>
  <c r="AQ16" i="7" s="1" a="1"/>
  <c r="AQ16" i="7" s="1"/>
  <c r="AO85" i="7"/>
  <c r="AO61" i="7"/>
  <c r="AO39" i="7"/>
  <c r="AQ39" i="7" s="1" a="1"/>
  <c r="AQ39" i="7" s="1"/>
  <c r="AO15" i="7"/>
  <c r="AQ15" i="7" s="1" a="1"/>
  <c r="AQ15" i="7" s="1"/>
  <c r="AO38" i="7"/>
  <c r="AQ38" i="7" s="1" a="1"/>
  <c r="AQ38" i="7" s="1"/>
  <c r="AO14" i="7"/>
  <c r="AQ14" i="7" s="1" a="1"/>
  <c r="AQ14" i="7" s="1"/>
  <c r="AN93" i="7" a="1"/>
  <c r="AN93" i="7" s="1"/>
  <c r="AO103" i="7"/>
  <c r="AO37" i="7"/>
  <c r="AO13" i="7"/>
  <c r="AO102" i="7"/>
  <c r="AQ102" i="7" s="1" a="1"/>
  <c r="AQ102" i="7" s="1"/>
  <c r="AO76" i="7"/>
  <c r="AQ76" i="7" s="1" a="1"/>
  <c r="AQ76" i="7" s="1"/>
  <c r="AR19" i="7"/>
  <c r="AT19" i="7" s="1" a="1"/>
  <c r="AT19" i="7" s="1"/>
  <c r="AW105" i="7" a="1"/>
  <c r="AW105" i="7" s="1"/>
  <c r="AO100" i="7"/>
  <c r="AQ100" i="7" s="1" a="1"/>
  <c r="AQ100" i="7" s="1"/>
  <c r="AO75" i="7"/>
  <c r="AQ75" i="7" s="1" a="1"/>
  <c r="AQ75" i="7" s="1"/>
  <c r="AO52" i="7"/>
  <c r="AQ52" i="7" s="1" a="1"/>
  <c r="AQ52" i="7" s="1"/>
  <c r="AQ90" i="7" a="1"/>
  <c r="AQ90" i="7" s="1"/>
  <c r="AN90" i="7" a="1"/>
  <c r="AN90" i="7" s="1"/>
  <c r="AN66" i="7" a="1"/>
  <c r="AN66" i="7" s="1"/>
  <c r="AO122" i="7"/>
  <c r="AR122" i="7" s="1"/>
  <c r="AO98" i="7"/>
  <c r="AR98" i="7" s="1"/>
  <c r="AO74" i="7"/>
  <c r="AQ74" i="7" s="1" a="1"/>
  <c r="AQ74" i="7" s="1"/>
  <c r="AO51" i="7"/>
  <c r="AR51" i="7" s="1"/>
  <c r="AO28" i="7"/>
  <c r="AQ28" i="7" s="1" a="1"/>
  <c r="AQ28" i="7" s="1"/>
  <c r="AO121" i="7"/>
  <c r="AO97" i="7"/>
  <c r="AO73" i="7"/>
  <c r="AO50" i="7"/>
  <c r="AR50" i="7" s="1"/>
  <c r="AO27" i="7"/>
  <c r="AQ27" i="7" s="1" a="1"/>
  <c r="AQ27" i="7" s="1"/>
  <c r="AX10" i="7"/>
  <c r="AZ10" i="7" s="1" a="1"/>
  <c r="AZ10" i="7" s="1"/>
  <c r="AO49" i="7"/>
  <c r="AO26" i="7"/>
  <c r="AQ26" i="7" s="1" a="1"/>
  <c r="AQ26" i="7" s="1"/>
  <c r="AO25" i="7"/>
  <c r="AN105" i="7" a="1"/>
  <c r="AN105" i="7" s="1"/>
  <c r="AN81" i="7" a="1"/>
  <c r="AN81" i="7" s="1"/>
  <c r="AO112" i="7"/>
  <c r="AQ112" i="7" s="1" a="1"/>
  <c r="AQ112" i="7" s="1"/>
  <c r="AO88" i="7"/>
  <c r="AQ88" i="7" s="1" a="1"/>
  <c r="AQ88" i="7" s="1"/>
  <c r="AO64" i="7"/>
  <c r="AR64" i="7" s="1"/>
  <c r="AO172" i="7"/>
  <c r="AQ172" i="7" s="1" a="1"/>
  <c r="AQ172" i="7" s="1"/>
  <c r="H176" i="7" a="1"/>
  <c r="H176" i="7" s="1"/>
  <c r="AR89" i="7"/>
  <c r="AQ89" i="7" a="1"/>
  <c r="AQ89" i="7" s="1"/>
  <c r="AT22" i="7" a="1"/>
  <c r="AT22" i="7" s="1"/>
  <c r="AU22" i="7"/>
  <c r="AQ56" i="7" a="1"/>
  <c r="AQ56" i="7" s="1"/>
  <c r="AR56" i="7"/>
  <c r="AU58" i="7"/>
  <c r="AT58" i="7" a="1"/>
  <c r="AT58" i="7" s="1"/>
  <c r="AU33" i="7"/>
  <c r="AT33" i="7" a="1"/>
  <c r="AT33" i="7" s="1"/>
  <c r="AT21" i="7" a="1"/>
  <c r="AT21" i="7" s="1"/>
  <c r="AU21" i="7"/>
  <c r="AW9" i="7" a="1"/>
  <c r="AW9" i="7" s="1"/>
  <c r="AX9" i="7"/>
  <c r="AZ9" i="7" s="1" a="1"/>
  <c r="AZ9" i="7" s="1"/>
  <c r="AQ55" i="7" a="1"/>
  <c r="AQ55" i="7" s="1"/>
  <c r="AR55" i="7"/>
  <c r="AU57" i="7"/>
  <c r="AT57" i="7" a="1"/>
  <c r="AT57" i="7" s="1"/>
  <c r="AU23" i="7"/>
  <c r="AN173" i="7" a="1"/>
  <c r="AN173" i="7" s="1"/>
  <c r="AO173" i="7"/>
  <c r="AT107" i="7" a="1"/>
  <c r="AT107" i="7" s="1"/>
  <c r="AO54" i="7"/>
  <c r="AU94" i="7"/>
  <c r="AQ115" i="7" a="1"/>
  <c r="AQ115" i="7" s="1"/>
  <c r="AR115" i="7"/>
  <c r="AR43" i="7"/>
  <c r="AQ43" i="7" a="1"/>
  <c r="AQ43" i="7" s="1"/>
  <c r="AU118" i="7"/>
  <c r="AT118" i="7" a="1"/>
  <c r="AT118" i="7" s="1"/>
  <c r="AU81" i="7"/>
  <c r="AT81" i="7" a="1"/>
  <c r="AT81" i="7" s="1"/>
  <c r="AU93" i="7"/>
  <c r="AT59" i="7" a="1"/>
  <c r="AT59" i="7" s="1"/>
  <c r="AU59" i="7"/>
  <c r="AN114" i="7" a="1"/>
  <c r="AN114" i="7" s="1"/>
  <c r="AO114" i="7"/>
  <c r="AO78" i="7"/>
  <c r="AN78" i="7" a="1"/>
  <c r="AN78" i="7" s="1"/>
  <c r="AR66" i="7"/>
  <c r="AQ66" i="7" a="1"/>
  <c r="AQ66" i="7" s="1"/>
  <c r="AO42" i="7"/>
  <c r="AN42" i="7" a="1"/>
  <c r="AN42" i="7" s="1"/>
  <c r="AN18" i="7" a="1"/>
  <c r="AN18" i="7" s="1"/>
  <c r="AO18" i="7"/>
  <c r="AX117" i="7"/>
  <c r="AZ117" i="7" s="1" a="1"/>
  <c r="AZ117" i="7" s="1"/>
  <c r="AW117" i="7" a="1"/>
  <c r="AW117" i="7" s="1"/>
  <c r="AT104" i="7" a="1"/>
  <c r="AT104" i="7" s="1"/>
  <c r="AT10" i="7" a="1"/>
  <c r="AT10" i="7" s="1"/>
  <c r="AN113" i="7" a="1"/>
  <c r="AN113" i="7" s="1"/>
  <c r="AO113" i="7"/>
  <c r="AO101" i="7"/>
  <c r="AN101" i="7" a="1"/>
  <c r="AN101" i="7" s="1"/>
  <c r="AO77" i="7"/>
  <c r="AN77" i="7" a="1"/>
  <c r="AN77" i="7" s="1"/>
  <c r="AR65" i="7"/>
  <c r="AQ65" i="7" a="1"/>
  <c r="AQ65" i="7" s="1"/>
  <c r="AN53" i="7" a="1"/>
  <c r="AN53" i="7" s="1"/>
  <c r="AO53" i="7"/>
  <c r="AR29" i="7"/>
  <c r="AQ29" i="7" a="1"/>
  <c r="AQ29" i="7" s="1"/>
  <c r="AN17" i="7" a="1"/>
  <c r="AN17" i="7" s="1"/>
  <c r="AO17" i="7"/>
  <c r="AR5" i="7"/>
  <c r="AQ5" i="7" a="1"/>
  <c r="AQ5" i="7" s="1"/>
  <c r="AO6" i="7"/>
  <c r="AR79" i="7"/>
  <c r="AX46" i="7"/>
  <c r="AZ46" i="7" s="1" a="1"/>
  <c r="AZ46" i="7" s="1"/>
  <c r="AO176" i="7"/>
  <c r="AU35" i="7"/>
  <c r="AT35" i="7" a="1"/>
  <c r="AT35" i="7" s="1"/>
  <c r="AU71" i="7"/>
  <c r="AL175" i="7"/>
  <c r="AW107" i="7" a="1"/>
  <c r="AW107" i="7" s="1"/>
  <c r="AW104" i="7" a="1"/>
  <c r="AW104" i="7" s="1"/>
  <c r="AT90" i="7" a="1"/>
  <c r="AT90" i="7" s="1"/>
  <c r="AQ104" i="7" a="1"/>
  <c r="AQ104" i="7" s="1"/>
  <c r="AQ4" i="7" a="1"/>
  <c r="AQ4" i="7" s="1"/>
  <c r="AR4" i="7"/>
  <c r="AO174" i="7"/>
  <c r="AO67" i="7"/>
  <c r="AR116" i="7"/>
  <c r="AO99" i="7"/>
  <c r="AR92" i="7"/>
  <c r="AT117" i="7" a="1"/>
  <c r="AT117" i="7" s="1"/>
  <c r="AN119" i="7" a="1"/>
  <c r="AN119" i="7" s="1"/>
  <c r="AO119" i="7"/>
  <c r="AN83" i="7" a="1"/>
  <c r="AN83" i="7" s="1"/>
  <c r="AO83" i="7"/>
  <c r="AN47" i="7" a="1"/>
  <c r="AN47" i="7" s="1"/>
  <c r="AO47" i="7"/>
  <c r="AN11" i="7" a="1"/>
  <c r="AN11" i="7" s="1"/>
  <c r="AO11" i="7"/>
  <c r="AO171" i="7"/>
  <c r="AO31" i="7"/>
  <c r="AO170" i="7"/>
  <c r="AO111" i="7"/>
  <c r="AU95" i="7"/>
  <c r="BF193" i="1" l="1"/>
  <c r="BE193" i="1" a="1"/>
  <c r="BE193" i="1" s="1"/>
  <c r="N193" i="1" s="1" a="1"/>
  <c r="N193" i="1" s="1"/>
  <c r="AR102" i="7"/>
  <c r="AU102" i="7" s="1"/>
  <c r="AR15" i="7"/>
  <c r="AT15" i="7" s="1" a="1"/>
  <c r="AT15" i="7" s="1"/>
  <c r="AW34" i="7" a="1"/>
  <c r="AW34" i="7" s="1"/>
  <c r="AR40" i="7"/>
  <c r="AU40" i="7" s="1"/>
  <c r="AU60" i="7"/>
  <c r="AW60" i="7" s="1" a="1"/>
  <c r="AW60" i="7" s="1"/>
  <c r="AR74" i="7"/>
  <c r="AT74" i="7" s="1" a="1"/>
  <c r="AT74" i="7" s="1"/>
  <c r="AT44" i="7" a="1"/>
  <c r="AT44" i="7" s="1"/>
  <c r="AU12" i="7"/>
  <c r="AX12" i="7" s="1"/>
  <c r="AZ12" i="7" s="1" a="1"/>
  <c r="AZ12" i="7" s="1"/>
  <c r="AQ62" i="7" a="1"/>
  <c r="AQ62" i="7" s="1"/>
  <c r="AU20" i="7"/>
  <c r="AW20" i="7" s="1" a="1"/>
  <c r="AW20" i="7" s="1"/>
  <c r="AQ50" i="7" a="1"/>
  <c r="AQ50" i="7" s="1"/>
  <c r="AR26" i="7"/>
  <c r="AT26" i="7" s="1" a="1"/>
  <c r="AT26" i="7" s="1"/>
  <c r="AX70" i="7"/>
  <c r="AZ70" i="7" s="1" a="1"/>
  <c r="AZ70" i="7" s="1"/>
  <c r="AQ98" i="7" a="1"/>
  <c r="AQ98" i="7" s="1"/>
  <c r="AR86" i="7"/>
  <c r="AT86" i="7" s="1" a="1"/>
  <c r="AT86" i="7" s="1"/>
  <c r="AQ122" i="7" a="1"/>
  <c r="AQ122" i="7" s="1"/>
  <c r="AQ51" i="7" a="1"/>
  <c r="AQ51" i="7" s="1"/>
  <c r="AU19" i="7"/>
  <c r="AX19" i="7" s="1"/>
  <c r="AZ19" i="7" s="1" a="1"/>
  <c r="AZ19" i="7" s="1"/>
  <c r="AU36" i="7"/>
  <c r="AW36" i="7" s="1" a="1"/>
  <c r="AW36" i="7" s="1"/>
  <c r="AT108" i="7" a="1"/>
  <c r="AT108" i="7" s="1"/>
  <c r="AR16" i="7"/>
  <c r="AT16" i="7" s="1" a="1"/>
  <c r="AT16" i="7" s="1"/>
  <c r="AU48" i="7"/>
  <c r="AW48" i="7" s="1" a="1"/>
  <c r="AW48" i="7" s="1"/>
  <c r="AU120" i="7"/>
  <c r="AW120" i="7" s="1" a="1"/>
  <c r="AW120" i="7" s="1"/>
  <c r="AR76" i="7"/>
  <c r="AU76" i="7" s="1"/>
  <c r="AU96" i="7"/>
  <c r="AR112" i="7"/>
  <c r="AU112" i="7" s="1"/>
  <c r="AU24" i="7"/>
  <c r="AX24" i="7" s="1"/>
  <c r="AZ24" i="7" s="1" a="1"/>
  <c r="AZ24" i="7" s="1"/>
  <c r="AX108" i="7"/>
  <c r="AZ108" i="7" s="1" a="1"/>
  <c r="AZ108" i="7" s="1"/>
  <c r="AU7" i="7"/>
  <c r="AW7" i="7" s="1" a="1"/>
  <c r="AW7" i="7" s="1"/>
  <c r="AR88" i="7"/>
  <c r="AU88" i="7" s="1"/>
  <c r="AR28" i="7"/>
  <c r="AU28" i="7" s="1"/>
  <c r="AQ121" i="7" a="1"/>
  <c r="AQ121" i="7" s="1"/>
  <c r="AR121" i="7"/>
  <c r="AQ41" i="7" a="1"/>
  <c r="AQ41" i="7" s="1"/>
  <c r="AQ97" i="7" a="1"/>
  <c r="AQ97" i="7" s="1"/>
  <c r="AR97" i="7"/>
  <c r="AR27" i="7"/>
  <c r="AT27" i="7" s="1" a="1"/>
  <c r="AT27" i="7" s="1"/>
  <c r="AR14" i="7"/>
  <c r="AT14" i="7" s="1" a="1"/>
  <c r="AT14" i="7" s="1"/>
  <c r="AR63" i="7"/>
  <c r="AT63" i="7" s="1" a="1"/>
  <c r="AT63" i="7" s="1"/>
  <c r="AQ64" i="7" a="1"/>
  <c r="AQ64" i="7" s="1"/>
  <c r="AR38" i="7"/>
  <c r="AT38" i="7" s="1" a="1"/>
  <c r="AT38" i="7" s="1"/>
  <c r="AT72" i="7" a="1"/>
  <c r="AT72" i="7" s="1"/>
  <c r="AR87" i="7"/>
  <c r="AT87" i="7" s="1" a="1"/>
  <c r="AT87" i="7" s="1"/>
  <c r="AQ61" i="7" a="1"/>
  <c r="AQ61" i="7" s="1"/>
  <c r="AR61" i="7"/>
  <c r="AR172" i="7"/>
  <c r="AT172" i="7" s="1" a="1"/>
  <c r="AT172" i="7" s="1"/>
  <c r="AT80" i="7" a="1"/>
  <c r="AT80" i="7" s="1"/>
  <c r="AR39" i="7"/>
  <c r="AT39" i="7" s="1" a="1"/>
  <c r="AT39" i="7" s="1"/>
  <c r="AQ85" i="7" a="1"/>
  <c r="AQ85" i="7" s="1"/>
  <c r="AR85" i="7"/>
  <c r="AR52" i="7"/>
  <c r="AU52" i="7" s="1"/>
  <c r="AU8" i="7"/>
  <c r="AT8" i="7" a="1"/>
  <c r="AT8" i="7" s="1"/>
  <c r="AQ25" i="7" a="1"/>
  <c r="AQ25" i="7" s="1"/>
  <c r="AR25" i="7"/>
  <c r="AQ13" i="7" a="1"/>
  <c r="AQ13" i="7" s="1"/>
  <c r="AR13" i="7"/>
  <c r="AR110" i="7"/>
  <c r="AT110" i="7" s="1" a="1"/>
  <c r="AT110" i="7" s="1"/>
  <c r="AQ37" i="7" a="1"/>
  <c r="AQ37" i="7" s="1"/>
  <c r="AR37" i="7"/>
  <c r="AU32" i="7"/>
  <c r="AT32" i="7" a="1"/>
  <c r="AT32" i="7" s="1"/>
  <c r="AX106" i="7"/>
  <c r="AZ106" i="7" s="1" a="1"/>
  <c r="AZ106" i="7" s="1"/>
  <c r="AW106" i="7" a="1"/>
  <c r="AW106" i="7" s="1"/>
  <c r="AQ73" i="7" a="1"/>
  <c r="AQ73" i="7" s="1"/>
  <c r="AR73" i="7"/>
  <c r="AU84" i="7"/>
  <c r="AR75" i="7"/>
  <c r="AT75" i="7" s="1" a="1"/>
  <c r="AT75" i="7" s="1"/>
  <c r="AR100" i="7"/>
  <c r="AU100" i="7" s="1"/>
  <c r="AQ49" i="7" a="1"/>
  <c r="AQ49" i="7" s="1"/>
  <c r="AR49" i="7"/>
  <c r="AQ103" i="7" a="1"/>
  <c r="AQ103" i="7" s="1"/>
  <c r="AR103" i="7"/>
  <c r="AU68" i="7"/>
  <c r="AT68" i="7" a="1"/>
  <c r="AT68" i="7" s="1"/>
  <c r="AQ109" i="7" a="1"/>
  <c r="AQ109" i="7" s="1"/>
  <c r="AR109" i="7"/>
  <c r="AX82" i="7"/>
  <c r="AZ82" i="7" s="1" a="1"/>
  <c r="AZ82" i="7" s="1"/>
  <c r="AW82" i="7" a="1"/>
  <c r="AW82" i="7" s="1"/>
  <c r="AU29" i="7"/>
  <c r="AT29" i="7" a="1"/>
  <c r="AT29" i="7" s="1"/>
  <c r="AX58" i="7"/>
  <c r="AZ58" i="7" s="1" a="1"/>
  <c r="AZ58" i="7" s="1"/>
  <c r="AW58" i="7" a="1"/>
  <c r="AW58" i="7" s="1"/>
  <c r="AU64" i="7"/>
  <c r="AT64" i="7" a="1"/>
  <c r="AT64" i="7" s="1"/>
  <c r="AW72" i="7" a="1"/>
  <c r="AW72" i="7" s="1"/>
  <c r="AX72" i="7"/>
  <c r="AZ72" i="7" s="1" a="1"/>
  <c r="AZ72" i="7" s="1"/>
  <c r="AN175" i="7" a="1"/>
  <c r="AN175" i="7" s="1"/>
  <c r="AO175" i="7"/>
  <c r="AR83" i="7"/>
  <c r="AQ83" i="7" a="1"/>
  <c r="AQ83" i="7" s="1"/>
  <c r="AR53" i="7"/>
  <c r="AQ53" i="7" a="1"/>
  <c r="AQ53" i="7" s="1"/>
  <c r="AU41" i="7"/>
  <c r="AT41" i="7" a="1"/>
  <c r="AT41" i="7" s="1"/>
  <c r="AR173" i="7"/>
  <c r="AQ173" i="7" a="1"/>
  <c r="AQ173" i="7" s="1"/>
  <c r="AU65" i="7"/>
  <c r="AT65" i="7" a="1"/>
  <c r="AT65" i="7" s="1"/>
  <c r="AR78" i="7"/>
  <c r="AQ78" i="7" a="1"/>
  <c r="AQ78" i="7" s="1"/>
  <c r="AX23" i="7"/>
  <c r="AZ23" i="7" s="1" a="1"/>
  <c r="AZ23" i="7" s="1"/>
  <c r="AW23" i="7" a="1"/>
  <c r="AW23" i="7" s="1"/>
  <c r="AX33" i="7"/>
  <c r="AZ33" i="7" s="1" a="1"/>
  <c r="AZ33" i="7" s="1"/>
  <c r="AW33" i="7" a="1"/>
  <c r="AW33" i="7" s="1"/>
  <c r="AT116" i="7" a="1"/>
  <c r="AT116" i="7" s="1"/>
  <c r="AU116" i="7"/>
  <c r="AT79" i="7" a="1"/>
  <c r="AT79" i="7" s="1"/>
  <c r="AU79" i="7"/>
  <c r="AR114" i="7"/>
  <c r="AQ114" i="7" a="1"/>
  <c r="AQ114" i="7" s="1"/>
  <c r="AX94" i="7"/>
  <c r="AZ94" i="7" s="1" a="1"/>
  <c r="AZ94" i="7" s="1"/>
  <c r="AW94" i="7" a="1"/>
  <c r="AW94" i="7" s="1"/>
  <c r="AX22" i="7"/>
  <c r="AZ22" i="7" s="1" a="1"/>
  <c r="AZ22" i="7" s="1"/>
  <c r="AW22" i="7" a="1"/>
  <c r="AW22" i="7" s="1"/>
  <c r="AU56" i="7"/>
  <c r="AT56" i="7" a="1"/>
  <c r="AT56" i="7" s="1"/>
  <c r="AR31" i="7"/>
  <c r="AQ31" i="7" a="1"/>
  <c r="AQ31" i="7" s="1"/>
  <c r="AQ119" i="7" a="1"/>
  <c r="AQ119" i="7" s="1"/>
  <c r="AR119" i="7"/>
  <c r="AT62" i="7" a="1"/>
  <c r="AT62" i="7" s="1"/>
  <c r="AU62" i="7"/>
  <c r="AQ111" i="7" a="1"/>
  <c r="AQ111" i="7" s="1"/>
  <c r="AR111" i="7"/>
  <c r="AX71" i="7"/>
  <c r="AZ71" i="7" s="1" a="1"/>
  <c r="AZ71" i="7" s="1"/>
  <c r="AW71" i="7" a="1"/>
  <c r="AW71" i="7" s="1"/>
  <c r="AR6" i="7"/>
  <c r="AQ6" i="7" a="1"/>
  <c r="AQ6" i="7" s="1"/>
  <c r="AR77" i="7"/>
  <c r="AQ77" i="7" a="1"/>
  <c r="AQ77" i="7" s="1"/>
  <c r="AW80" i="7" a="1"/>
  <c r="AW80" i="7" s="1"/>
  <c r="AX80" i="7"/>
  <c r="AZ80" i="7" s="1" a="1"/>
  <c r="AZ80" i="7" s="1"/>
  <c r="AX57" i="7"/>
  <c r="AZ57" i="7" s="1" a="1"/>
  <c r="AZ57" i="7" s="1"/>
  <c r="AW57" i="7" a="1"/>
  <c r="AW57" i="7" s="1"/>
  <c r="AX95" i="7"/>
  <c r="AZ95" i="7" s="1" a="1"/>
  <c r="AZ95" i="7" s="1"/>
  <c r="AW95" i="7" a="1"/>
  <c r="AW95" i="7" s="1"/>
  <c r="AX81" i="7"/>
  <c r="AZ81" i="7" s="1" a="1"/>
  <c r="AZ81" i="7" s="1"/>
  <c r="AW81" i="7" a="1"/>
  <c r="AW81" i="7" s="1"/>
  <c r="AR42" i="7"/>
  <c r="AQ42" i="7" a="1"/>
  <c r="AQ42" i="7" s="1"/>
  <c r="AW21" i="7" a="1"/>
  <c r="AW21" i="7" s="1"/>
  <c r="AX21" i="7"/>
  <c r="AZ21" i="7" s="1" a="1"/>
  <c r="AZ21" i="7" s="1"/>
  <c r="AQ170" i="7" a="1"/>
  <c r="AQ170" i="7" s="1"/>
  <c r="AR170" i="7"/>
  <c r="AT92" i="7" a="1"/>
  <c r="AT92" i="7" s="1"/>
  <c r="AU92" i="7"/>
  <c r="AX59" i="7"/>
  <c r="AZ59" i="7" s="1" a="1"/>
  <c r="AZ59" i="7" s="1"/>
  <c r="AW59" i="7" a="1"/>
  <c r="AW59" i="7" s="1"/>
  <c r="AT43" i="7" a="1"/>
  <c r="AT43" i="7" s="1"/>
  <c r="AU43" i="7"/>
  <c r="AQ176" i="7" a="1"/>
  <c r="AQ176" i="7" s="1"/>
  <c r="J176" i="7" s="1" a="1"/>
  <c r="J176" i="7" s="1"/>
  <c r="AR176" i="7"/>
  <c r="AQ99" i="7" a="1"/>
  <c r="AQ99" i="7" s="1"/>
  <c r="AR99" i="7"/>
  <c r="AU66" i="7"/>
  <c r="AT66" i="7" a="1"/>
  <c r="AT66" i="7" s="1"/>
  <c r="AQ171" i="7" a="1"/>
  <c r="AQ171" i="7" s="1"/>
  <c r="AR171" i="7"/>
  <c r="AQ11" i="7" a="1"/>
  <c r="AQ11" i="7" s="1"/>
  <c r="AR11" i="7"/>
  <c r="AR67" i="7"/>
  <c r="AQ67" i="7" a="1"/>
  <c r="AQ67" i="7" s="1"/>
  <c r="AU4" i="7"/>
  <c r="AT4" i="7" a="1"/>
  <c r="AT4" i="7" s="1"/>
  <c r="AX35" i="7"/>
  <c r="AZ35" i="7" s="1" a="1"/>
  <c r="AZ35" i="7" s="1"/>
  <c r="AW35" i="7" a="1"/>
  <c r="AW35" i="7" s="1"/>
  <c r="AU5" i="7"/>
  <c r="AT5" i="7" a="1"/>
  <c r="AT5" i="7" s="1"/>
  <c r="AR101" i="7"/>
  <c r="AQ101" i="7" a="1"/>
  <c r="AQ101" i="7" s="1"/>
  <c r="AT115" i="7" a="1"/>
  <c r="AT115" i="7" s="1"/>
  <c r="AU115" i="7"/>
  <c r="AR54" i="7"/>
  <c r="AQ54" i="7" a="1"/>
  <c r="AQ54" i="7" s="1"/>
  <c r="AX44" i="7"/>
  <c r="AZ44" i="7" s="1" a="1"/>
  <c r="AZ44" i="7" s="1"/>
  <c r="AW44" i="7" a="1"/>
  <c r="AW44" i="7" s="1"/>
  <c r="AX118" i="7"/>
  <c r="AZ118" i="7" s="1" a="1"/>
  <c r="AZ118" i="7" s="1"/>
  <c r="AW118" i="7" a="1"/>
  <c r="AW118" i="7" s="1"/>
  <c r="AR17" i="7"/>
  <c r="AQ17" i="7" a="1"/>
  <c r="AQ17" i="7" s="1"/>
  <c r="AR113" i="7"/>
  <c r="AQ113" i="7" a="1"/>
  <c r="AQ113" i="7" s="1"/>
  <c r="AR18" i="7"/>
  <c r="AQ18" i="7" a="1"/>
  <c r="AQ18" i="7" s="1"/>
  <c r="AX93" i="7"/>
  <c r="AZ93" i="7" s="1" a="1"/>
  <c r="AZ93" i="7" s="1"/>
  <c r="AW93" i="7" a="1"/>
  <c r="AW93" i="7" s="1"/>
  <c r="AT122" i="7" a="1"/>
  <c r="AT122" i="7" s="1"/>
  <c r="AU122" i="7"/>
  <c r="AT55" i="7" a="1"/>
  <c r="AT55" i="7" s="1"/>
  <c r="AU55" i="7"/>
  <c r="AR174" i="7"/>
  <c r="AQ174" i="7" a="1"/>
  <c r="AQ174" i="7" s="1"/>
  <c r="AT98" i="7" a="1"/>
  <c r="AT98" i="7" s="1"/>
  <c r="AU98" i="7"/>
  <c r="AR47" i="7"/>
  <c r="AQ47" i="7" a="1"/>
  <c r="AQ47" i="7" s="1"/>
  <c r="AT50" i="7" a="1"/>
  <c r="AT50" i="7" s="1"/>
  <c r="AU50" i="7"/>
  <c r="AT51" i="7" a="1"/>
  <c r="AT51" i="7" s="1"/>
  <c r="AU51" i="7"/>
  <c r="AU89" i="7"/>
  <c r="AT89" i="7" a="1"/>
  <c r="AT89" i="7" s="1"/>
  <c r="AW12" i="7" l="1" a="1"/>
  <c r="AW12" i="7" s="1"/>
  <c r="AT102" i="7" a="1"/>
  <c r="AT102" i="7" s="1"/>
  <c r="BI193" i="1"/>
  <c r="BH193" i="1" a="1"/>
  <c r="BH193" i="1" s="1"/>
  <c r="O193" i="1" s="1" a="1"/>
  <c r="O193" i="1" s="1"/>
  <c r="AU15" i="7"/>
  <c r="AW15" i="7" s="1" a="1"/>
  <c r="AW15" i="7" s="1"/>
  <c r="AT100" i="7" a="1"/>
  <c r="AT100" i="7" s="1"/>
  <c r="AT40" i="7" a="1"/>
  <c r="AT40" i="7" s="1"/>
  <c r="AX60" i="7"/>
  <c r="AZ60" i="7" s="1" a="1"/>
  <c r="AZ60" i="7" s="1"/>
  <c r="AU74" i="7"/>
  <c r="AW74" i="7" s="1" a="1"/>
  <c r="AW74" i="7" s="1"/>
  <c r="AX48" i="7"/>
  <c r="AZ48" i="7" s="1" a="1"/>
  <c r="AZ48" i="7" s="1"/>
  <c r="AX20" i="7"/>
  <c r="AZ20" i="7" s="1" a="1"/>
  <c r="AZ20" i="7" s="1"/>
  <c r="AU16" i="7"/>
  <c r="AX16" i="7" s="1"/>
  <c r="AZ16" i="7" s="1" a="1"/>
  <c r="AZ16" i="7" s="1"/>
  <c r="AT76" i="7" a="1"/>
  <c r="AT76" i="7" s="1"/>
  <c r="AU86" i="7"/>
  <c r="AX86" i="7" s="1"/>
  <c r="AZ86" i="7" s="1" a="1"/>
  <c r="AZ86" i="7" s="1"/>
  <c r="AU39" i="7"/>
  <c r="AX39" i="7" s="1"/>
  <c r="AZ39" i="7" s="1" a="1"/>
  <c r="AZ39" i="7" s="1"/>
  <c r="AT112" i="7" a="1"/>
  <c r="AT112" i="7" s="1"/>
  <c r="AU38" i="7"/>
  <c r="AX38" i="7" s="1"/>
  <c r="AZ38" i="7" s="1" a="1"/>
  <c r="AZ38" i="7" s="1"/>
  <c r="AW24" i="7" a="1"/>
  <c r="AW24" i="7" s="1"/>
  <c r="AX120" i="7"/>
  <c r="AZ120" i="7" s="1" a="1"/>
  <c r="AZ120" i="7" s="1"/>
  <c r="AW19" i="7" a="1"/>
  <c r="AW19" i="7" s="1"/>
  <c r="AU26" i="7"/>
  <c r="AX26" i="7" s="1"/>
  <c r="AZ26" i="7" s="1" a="1"/>
  <c r="AZ26" i="7" s="1"/>
  <c r="AX7" i="7"/>
  <c r="AZ7" i="7" s="1" a="1"/>
  <c r="AZ7" i="7" s="1"/>
  <c r="AU75" i="7"/>
  <c r="AX75" i="7" s="1"/>
  <c r="AZ75" i="7" s="1" a="1"/>
  <c r="AZ75" i="7" s="1"/>
  <c r="AT88" i="7" a="1"/>
  <c r="AT88" i="7" s="1"/>
  <c r="AU14" i="7"/>
  <c r="AX14" i="7" s="1"/>
  <c r="AZ14" i="7" s="1" a="1"/>
  <c r="AZ14" i="7" s="1"/>
  <c r="AT28" i="7" a="1"/>
  <c r="AT28" i="7" s="1"/>
  <c r="AU27" i="7"/>
  <c r="AW27" i="7" s="1" a="1"/>
  <c r="AW27" i="7" s="1"/>
  <c r="AX36" i="7"/>
  <c r="AZ36" i="7" s="1" a="1"/>
  <c r="AZ36" i="7" s="1"/>
  <c r="AU172" i="7"/>
  <c r="AX172" i="7" s="1"/>
  <c r="AZ172" i="7" s="1" a="1"/>
  <c r="AZ172" i="7" s="1"/>
  <c r="AT52" i="7" a="1"/>
  <c r="AT52" i="7" s="1"/>
  <c r="AU110" i="7"/>
  <c r="AW110" i="7" s="1" a="1"/>
  <c r="AW110" i="7" s="1"/>
  <c r="AU63" i="7"/>
  <c r="AW63" i="7" s="1" a="1"/>
  <c r="AW63" i="7" s="1"/>
  <c r="AW96" i="7" a="1"/>
  <c r="AW96" i="7" s="1"/>
  <c r="AX96" i="7"/>
  <c r="AZ96" i="7" s="1" a="1"/>
  <c r="AZ96" i="7" s="1"/>
  <c r="AT109" i="7" a="1"/>
  <c r="AT109" i="7" s="1"/>
  <c r="AU109" i="7"/>
  <c r="AW84" i="7" a="1"/>
  <c r="AW84" i="7" s="1"/>
  <c r="AX84" i="7"/>
  <c r="AZ84" i="7" s="1" a="1"/>
  <c r="AZ84" i="7" s="1"/>
  <c r="AT73" i="7" a="1"/>
  <c r="AT73" i="7" s="1"/>
  <c r="AU73" i="7"/>
  <c r="AX68" i="7"/>
  <c r="AZ68" i="7" s="1" a="1"/>
  <c r="AZ68" i="7" s="1"/>
  <c r="AW68" i="7" a="1"/>
  <c r="AW68" i="7" s="1"/>
  <c r="AT85" i="7" a="1"/>
  <c r="AT85" i="7" s="1"/>
  <c r="AU85" i="7"/>
  <c r="AT103" i="7" a="1"/>
  <c r="AT103" i="7" s="1"/>
  <c r="AU103" i="7"/>
  <c r="AW32" i="7" a="1"/>
  <c r="AW32" i="7" s="1"/>
  <c r="AX32" i="7"/>
  <c r="AZ32" i="7" s="1" a="1"/>
  <c r="AZ32" i="7" s="1"/>
  <c r="AT37" i="7" a="1"/>
  <c r="AT37" i="7" s="1"/>
  <c r="AU37" i="7"/>
  <c r="AT97" i="7" a="1"/>
  <c r="AT97" i="7" s="1"/>
  <c r="AU97" i="7"/>
  <c r="AX8" i="7"/>
  <c r="AZ8" i="7" s="1" a="1"/>
  <c r="AZ8" i="7" s="1"/>
  <c r="AW8" i="7" a="1"/>
  <c r="AW8" i="7" s="1"/>
  <c r="AT49" i="7" a="1"/>
  <c r="AT49" i="7" s="1"/>
  <c r="AU49" i="7"/>
  <c r="AT25" i="7" a="1"/>
  <c r="AT25" i="7" s="1"/>
  <c r="AU25" i="7"/>
  <c r="AU87" i="7"/>
  <c r="AX87" i="7" s="1"/>
  <c r="AZ87" i="7" s="1" a="1"/>
  <c r="AZ87" i="7" s="1"/>
  <c r="AT13" i="7" a="1"/>
  <c r="AT13" i="7" s="1"/>
  <c r="AU13" i="7"/>
  <c r="AT61" i="7" a="1"/>
  <c r="AT61" i="7" s="1"/>
  <c r="AU61" i="7"/>
  <c r="AT121" i="7" a="1"/>
  <c r="AT121" i="7" s="1"/>
  <c r="AU121" i="7"/>
  <c r="AX43" i="7"/>
  <c r="AZ43" i="7" s="1" a="1"/>
  <c r="AZ43" i="7" s="1"/>
  <c r="AW43" i="7" a="1"/>
  <c r="AW43" i="7" s="1"/>
  <c r="AW28" i="7" a="1"/>
  <c r="AW28" i="7" s="1"/>
  <c r="AX28" i="7"/>
  <c r="AZ28" i="7" s="1" a="1"/>
  <c r="AZ28" i="7" s="1"/>
  <c r="AW98" i="7" a="1"/>
  <c r="AW98" i="7" s="1"/>
  <c r="AX98" i="7"/>
  <c r="AZ98" i="7" s="1" a="1"/>
  <c r="AZ98" i="7" s="1"/>
  <c r="AT99" i="7" a="1"/>
  <c r="AT99" i="7" s="1"/>
  <c r="AU99" i="7"/>
  <c r="AX92" i="7"/>
  <c r="AZ92" i="7" s="1" a="1"/>
  <c r="AZ92" i="7" s="1"/>
  <c r="AW92" i="7" a="1"/>
  <c r="AW92" i="7" s="1"/>
  <c r="AW88" i="7" a="1"/>
  <c r="AW88" i="7" s="1"/>
  <c r="AX88" i="7"/>
  <c r="AZ88" i="7" s="1" a="1"/>
  <c r="AZ88" i="7" s="1"/>
  <c r="AU119" i="7"/>
  <c r="AT119" i="7" a="1"/>
  <c r="AT119" i="7" s="1"/>
  <c r="AX89" i="7"/>
  <c r="AZ89" i="7" s="1" a="1"/>
  <c r="AZ89" i="7" s="1"/>
  <c r="AW89" i="7" a="1"/>
  <c r="AW89" i="7" s="1"/>
  <c r="AT18" i="7" a="1"/>
  <c r="AT18" i="7" s="1"/>
  <c r="AU18" i="7"/>
  <c r="AU83" i="7"/>
  <c r="AT83" i="7" a="1"/>
  <c r="AT83" i="7" s="1"/>
  <c r="AX64" i="7"/>
  <c r="AZ64" i="7" s="1" a="1"/>
  <c r="AZ64" i="7" s="1"/>
  <c r="AW64" i="7" a="1"/>
  <c r="AW64" i="7" s="1"/>
  <c r="AU53" i="7"/>
  <c r="AT53" i="7" a="1"/>
  <c r="AT53" i="7" s="1"/>
  <c r="AT170" i="7" a="1"/>
  <c r="AT170" i="7" s="1"/>
  <c r="AU170" i="7"/>
  <c r="AW52" i="7" a="1"/>
  <c r="AW52" i="7" s="1"/>
  <c r="AX52" i="7"/>
  <c r="AZ52" i="7" s="1" a="1"/>
  <c r="AZ52" i="7" s="1"/>
  <c r="AU11" i="7"/>
  <c r="AT11" i="7" a="1"/>
  <c r="AT11" i="7" s="1"/>
  <c r="AW112" i="7" a="1"/>
  <c r="AW112" i="7" s="1"/>
  <c r="AX112" i="7"/>
  <c r="AZ112" i="7" s="1" a="1"/>
  <c r="AZ112" i="7" s="1"/>
  <c r="AT174" i="7" a="1"/>
  <c r="AT174" i="7" s="1"/>
  <c r="AU174" i="7"/>
  <c r="AT113" i="7" a="1"/>
  <c r="AT113" i="7" s="1"/>
  <c r="AU113" i="7"/>
  <c r="AX4" i="7"/>
  <c r="AZ4" i="7" s="1" a="1"/>
  <c r="AZ4" i="7" s="1"/>
  <c r="AW4" i="7" a="1"/>
  <c r="AW4" i="7" s="1"/>
  <c r="AX76" i="7"/>
  <c r="AZ76" i="7" s="1" a="1"/>
  <c r="AZ76" i="7" s="1"/>
  <c r="AW76" i="7" a="1"/>
  <c r="AW76" i="7" s="1"/>
  <c r="AT31" i="7" a="1"/>
  <c r="AT31" i="7" s="1"/>
  <c r="AU31" i="7"/>
  <c r="AT114" i="7" a="1"/>
  <c r="AT114" i="7" s="1"/>
  <c r="AU114" i="7"/>
  <c r="AU78" i="7"/>
  <c r="AT78" i="7" a="1"/>
  <c r="AT78" i="7" s="1"/>
  <c r="AW122" i="7" a="1"/>
  <c r="AW122" i="7" s="1"/>
  <c r="AX122" i="7"/>
  <c r="AZ122" i="7" s="1" a="1"/>
  <c r="AZ122" i="7" s="1"/>
  <c r="AX5" i="7"/>
  <c r="AZ5" i="7" s="1" a="1"/>
  <c r="AZ5" i="7" s="1"/>
  <c r="AW5" i="7" a="1"/>
  <c r="AW5" i="7" s="1"/>
  <c r="AT171" i="7" a="1"/>
  <c r="AT171" i="7" s="1"/>
  <c r="AU171" i="7"/>
  <c r="AT176" i="7" a="1"/>
  <c r="AT176" i="7" s="1"/>
  <c r="K176" i="7" s="1" a="1"/>
  <c r="K176" i="7" s="1"/>
  <c r="AU176" i="7"/>
  <c r="AX79" i="7"/>
  <c r="AZ79" i="7" s="1" a="1"/>
  <c r="AZ79" i="7" s="1"/>
  <c r="AW79" i="7" a="1"/>
  <c r="AW79" i="7" s="1"/>
  <c r="AT6" i="7" a="1"/>
  <c r="AT6" i="7" s="1"/>
  <c r="AU6" i="7"/>
  <c r="AQ175" i="7" a="1"/>
  <c r="AQ175" i="7" s="1"/>
  <c r="AR175" i="7"/>
  <c r="AU101" i="7"/>
  <c r="AT101" i="7" a="1"/>
  <c r="AT101" i="7" s="1"/>
  <c r="AW51" i="7" a="1"/>
  <c r="AW51" i="7" s="1"/>
  <c r="AX51" i="7"/>
  <c r="AZ51" i="7" s="1" a="1"/>
  <c r="AZ51" i="7" s="1"/>
  <c r="AU17" i="7"/>
  <c r="AT17" i="7" a="1"/>
  <c r="AT17" i="7" s="1"/>
  <c r="AT54" i="7" a="1"/>
  <c r="AT54" i="7" s="1"/>
  <c r="AU54" i="7"/>
  <c r="AU67" i="7"/>
  <c r="AT67" i="7" a="1"/>
  <c r="AT67" i="7" s="1"/>
  <c r="AT111" i="7" a="1"/>
  <c r="AT111" i="7" s="1"/>
  <c r="AU111" i="7"/>
  <c r="AX56" i="7"/>
  <c r="AZ56" i="7" s="1" a="1"/>
  <c r="AZ56" i="7" s="1"/>
  <c r="AW56" i="7" a="1"/>
  <c r="AW56" i="7" s="1"/>
  <c r="AX102" i="7"/>
  <c r="AZ102" i="7" s="1" a="1"/>
  <c r="AZ102" i="7" s="1"/>
  <c r="AW102" i="7" a="1"/>
  <c r="AW102" i="7" s="1"/>
  <c r="AX65" i="7"/>
  <c r="AZ65" i="7" s="1" a="1"/>
  <c r="AZ65" i="7" s="1"/>
  <c r="AW65" i="7" a="1"/>
  <c r="AW65" i="7" s="1"/>
  <c r="AT173" i="7" a="1"/>
  <c r="AT173" i="7" s="1"/>
  <c r="AU173" i="7"/>
  <c r="AX29" i="7"/>
  <c r="AZ29" i="7" s="1" a="1"/>
  <c r="AZ29" i="7" s="1"/>
  <c r="AW29" i="7" a="1"/>
  <c r="AW29" i="7" s="1"/>
  <c r="AU42" i="7"/>
  <c r="AT42" i="7" a="1"/>
  <c r="AT42" i="7" s="1"/>
  <c r="AW100" i="7" a="1"/>
  <c r="AW100" i="7" s="1"/>
  <c r="AX100" i="7"/>
  <c r="AZ100" i="7" s="1" a="1"/>
  <c r="AZ100" i="7" s="1"/>
  <c r="AW41" i="7" a="1"/>
  <c r="AW41" i="7" s="1"/>
  <c r="AX41" i="7"/>
  <c r="AZ41" i="7" s="1" a="1"/>
  <c r="AZ41" i="7" s="1"/>
  <c r="AX40" i="7"/>
  <c r="AZ40" i="7" s="1" a="1"/>
  <c r="AZ40" i="7" s="1"/>
  <c r="AW40" i="7" a="1"/>
  <c r="AW40" i="7" s="1"/>
  <c r="AX50" i="7"/>
  <c r="AZ50" i="7" s="1" a="1"/>
  <c r="AZ50" i="7" s="1"/>
  <c r="AW50" i="7" a="1"/>
  <c r="AW50" i="7" s="1"/>
  <c r="AX55" i="7"/>
  <c r="AZ55" i="7" s="1" a="1"/>
  <c r="AZ55" i="7" s="1"/>
  <c r="AW55" i="7" a="1"/>
  <c r="AW55" i="7" s="1"/>
  <c r="AX115" i="7"/>
  <c r="AZ115" i="7" s="1" a="1"/>
  <c r="AZ115" i="7" s="1"/>
  <c r="AW115" i="7" a="1"/>
  <c r="AW115" i="7" s="1"/>
  <c r="AT77" i="7" a="1"/>
  <c r="AT77" i="7" s="1"/>
  <c r="AU77" i="7"/>
  <c r="AX116" i="7"/>
  <c r="AZ116" i="7" s="1" a="1"/>
  <c r="AZ116" i="7" s="1"/>
  <c r="AW116" i="7" a="1"/>
  <c r="AW116" i="7" s="1"/>
  <c r="AT47" i="7" a="1"/>
  <c r="AT47" i="7" s="1"/>
  <c r="AU47" i="7"/>
  <c r="AX66" i="7"/>
  <c r="AZ66" i="7" s="1" a="1"/>
  <c r="AZ66" i="7" s="1"/>
  <c r="AW66" i="7" a="1"/>
  <c r="AW66" i="7" s="1"/>
  <c r="AX62" i="7"/>
  <c r="AZ62" i="7" s="1" a="1"/>
  <c r="AZ62" i="7" s="1"/>
  <c r="AW62" i="7" a="1"/>
  <c r="AW62" i="7" s="1"/>
  <c r="AX15" i="7" l="1"/>
  <c r="AZ15" i="7" s="1" a="1"/>
  <c r="AZ15" i="7" s="1"/>
  <c r="BL193" i="1"/>
  <c r="BN193" i="1" s="1" a="1"/>
  <c r="BN193" i="1" s="1"/>
  <c r="Q193" i="1" s="1" a="1"/>
  <c r="Q193" i="1" s="1"/>
  <c r="BK193" i="1" a="1"/>
  <c r="BK193" i="1" s="1"/>
  <c r="P193" i="1" s="1" a="1"/>
  <c r="P193" i="1" s="1"/>
  <c r="AW16" i="7" a="1"/>
  <c r="AW16" i="7" s="1"/>
  <c r="AX74" i="7"/>
  <c r="AZ74" i="7" s="1" a="1"/>
  <c r="AZ74" i="7" s="1"/>
  <c r="AW39" i="7" a="1"/>
  <c r="AW39" i="7" s="1"/>
  <c r="AX27" i="7"/>
  <c r="AZ27" i="7" s="1" a="1"/>
  <c r="AZ27" i="7" s="1"/>
  <c r="AW86" i="7" a="1"/>
  <c r="AW86" i="7" s="1"/>
  <c r="AW38" i="7" a="1"/>
  <c r="AW38" i="7" s="1"/>
  <c r="AW14" i="7" a="1"/>
  <c r="AW14" i="7" s="1"/>
  <c r="AW75" i="7" a="1"/>
  <c r="AW75" i="7" s="1"/>
  <c r="AW172" i="7" a="1"/>
  <c r="AW172" i="7" s="1"/>
  <c r="AW26" i="7" a="1"/>
  <c r="AW26" i="7" s="1"/>
  <c r="AX110" i="7"/>
  <c r="AZ110" i="7" s="1" a="1"/>
  <c r="AZ110" i="7" s="1"/>
  <c r="AW87" i="7" a="1"/>
  <c r="AW87" i="7" s="1"/>
  <c r="AX63" i="7"/>
  <c r="AZ63" i="7" s="1" a="1"/>
  <c r="AZ63" i="7" s="1"/>
  <c r="AW121" i="7" a="1"/>
  <c r="AW121" i="7" s="1"/>
  <c r="AX121" i="7"/>
  <c r="AZ121" i="7" s="1" a="1"/>
  <c r="AZ121" i="7" s="1"/>
  <c r="AW85" i="7" a="1"/>
  <c r="AW85" i="7" s="1"/>
  <c r="AX85" i="7"/>
  <c r="AZ85" i="7" s="1" a="1"/>
  <c r="AZ85" i="7" s="1"/>
  <c r="AW97" i="7" a="1"/>
  <c r="AW97" i="7" s="1"/>
  <c r="AX97" i="7"/>
  <c r="AZ97" i="7" s="1" a="1"/>
  <c r="AZ97" i="7" s="1"/>
  <c r="AW73" i="7" a="1"/>
  <c r="AW73" i="7" s="1"/>
  <c r="AX73" i="7"/>
  <c r="AZ73" i="7" s="1" a="1"/>
  <c r="AZ73" i="7" s="1"/>
  <c r="AW61" i="7" a="1"/>
  <c r="AW61" i="7" s="1"/>
  <c r="AX61" i="7"/>
  <c r="AZ61" i="7" s="1" a="1"/>
  <c r="AZ61" i="7" s="1"/>
  <c r="AX103" i="7"/>
  <c r="AZ103" i="7" s="1" a="1"/>
  <c r="AZ103" i="7" s="1"/>
  <c r="AW103" i="7" a="1"/>
  <c r="AW103" i="7" s="1"/>
  <c r="AW37" i="7" a="1"/>
  <c r="AW37" i="7" s="1"/>
  <c r="AX37" i="7"/>
  <c r="AZ37" i="7" s="1" a="1"/>
  <c r="AZ37" i="7" s="1"/>
  <c r="AX25" i="7"/>
  <c r="AZ25" i="7" s="1" a="1"/>
  <c r="AZ25" i="7" s="1"/>
  <c r="AW25" i="7" a="1"/>
  <c r="AW25" i="7" s="1"/>
  <c r="AW49" i="7" a="1"/>
  <c r="AW49" i="7" s="1"/>
  <c r="AX49" i="7"/>
  <c r="AZ49" i="7" s="1" a="1"/>
  <c r="AZ49" i="7" s="1"/>
  <c r="AW13" i="7" a="1"/>
  <c r="AW13" i="7" s="1"/>
  <c r="AX13" i="7"/>
  <c r="AZ13" i="7" s="1" a="1"/>
  <c r="AZ13" i="7" s="1"/>
  <c r="AX109" i="7"/>
  <c r="AZ109" i="7" s="1" a="1"/>
  <c r="AZ109" i="7" s="1"/>
  <c r="AW109" i="7" a="1"/>
  <c r="AW109" i="7" s="1"/>
  <c r="AX174" i="7"/>
  <c r="AZ174" i="7" s="1" a="1"/>
  <c r="AZ174" i="7" s="1"/>
  <c r="AW174" i="7" a="1"/>
  <c r="AW174" i="7" s="1"/>
  <c r="AW77" i="7" a="1"/>
  <c r="AW77" i="7" s="1"/>
  <c r="AX77" i="7"/>
  <c r="AZ77" i="7" s="1" a="1"/>
  <c r="AZ77" i="7" s="1"/>
  <c r="AW176" i="7" a="1"/>
  <c r="AW176" i="7" s="1"/>
  <c r="L176" i="7" s="1" a="1"/>
  <c r="L176" i="7" s="1"/>
  <c r="AX176" i="7"/>
  <c r="AZ176" i="7" s="1" a="1"/>
  <c r="AZ176" i="7" s="1"/>
  <c r="M176" i="7" s="1" a="1"/>
  <c r="M176" i="7" s="1"/>
  <c r="AX31" i="7"/>
  <c r="AZ31" i="7" s="1" a="1"/>
  <c r="AZ31" i="7" s="1"/>
  <c r="AW31" i="7" a="1"/>
  <c r="AW31" i="7" s="1"/>
  <c r="AW114" i="7" a="1"/>
  <c r="AW114" i="7" s="1"/>
  <c r="AX114" i="7"/>
  <c r="AZ114" i="7" s="1" a="1"/>
  <c r="AZ114" i="7" s="1"/>
  <c r="AX17" i="7"/>
  <c r="AZ17" i="7" s="1" a="1"/>
  <c r="AZ17" i="7" s="1"/>
  <c r="AW17" i="7" a="1"/>
  <c r="AW17" i="7" s="1"/>
  <c r="AX101" i="7"/>
  <c r="AZ101" i="7" s="1" a="1"/>
  <c r="AZ101" i="7" s="1"/>
  <c r="AW101" i="7" a="1"/>
  <c r="AW101" i="7" s="1"/>
  <c r="AW11" i="7" a="1"/>
  <c r="AW11" i="7" s="1"/>
  <c r="AX11" i="7"/>
  <c r="AZ11" i="7" s="1" a="1"/>
  <c r="AZ11" i="7" s="1"/>
  <c r="AX18" i="7"/>
  <c r="AZ18" i="7" s="1" a="1"/>
  <c r="AZ18" i="7" s="1"/>
  <c r="AW18" i="7" a="1"/>
  <c r="AW18" i="7" s="1"/>
  <c r="AX53" i="7"/>
  <c r="AZ53" i="7" s="1" a="1"/>
  <c r="AZ53" i="7" s="1"/>
  <c r="AW53" i="7" a="1"/>
  <c r="AW53" i="7" s="1"/>
  <c r="AW111" i="7" a="1"/>
  <c r="AW111" i="7" s="1"/>
  <c r="AX111" i="7"/>
  <c r="AZ111" i="7" s="1" a="1"/>
  <c r="AZ111" i="7" s="1"/>
  <c r="AT175" i="7" a="1"/>
  <c r="AT175" i="7" s="1"/>
  <c r="AU175" i="7"/>
  <c r="AW171" i="7" a="1"/>
  <c r="AW171" i="7" s="1"/>
  <c r="AX171" i="7"/>
  <c r="AZ171" i="7" s="1" a="1"/>
  <c r="AZ171" i="7" s="1"/>
  <c r="AX42" i="7"/>
  <c r="AZ42" i="7" s="1" a="1"/>
  <c r="AZ42" i="7" s="1"/>
  <c r="AW42" i="7" a="1"/>
  <c r="AW42" i="7" s="1"/>
  <c r="AX6" i="7"/>
  <c r="AZ6" i="7" s="1" a="1"/>
  <c r="AZ6" i="7" s="1"/>
  <c r="AW6" i="7" a="1"/>
  <c r="AW6" i="7" s="1"/>
  <c r="AW99" i="7" a="1"/>
  <c r="AW99" i="7" s="1"/>
  <c r="AX99" i="7"/>
  <c r="AZ99" i="7" s="1" a="1"/>
  <c r="AZ99" i="7" s="1"/>
  <c r="AX67" i="7"/>
  <c r="AZ67" i="7" s="1" a="1"/>
  <c r="AZ67" i="7" s="1"/>
  <c r="AW67" i="7" a="1"/>
  <c r="AW67" i="7" s="1"/>
  <c r="AW78" i="7" a="1"/>
  <c r="AW78" i="7" s="1"/>
  <c r="AX78" i="7"/>
  <c r="AZ78" i="7" s="1" a="1"/>
  <c r="AZ78" i="7" s="1"/>
  <c r="AX83" i="7"/>
  <c r="AZ83" i="7" s="1" a="1"/>
  <c r="AZ83" i="7" s="1"/>
  <c r="AW83" i="7" a="1"/>
  <c r="AW83" i="7" s="1"/>
  <c r="AX119" i="7"/>
  <c r="AZ119" i="7" s="1" a="1"/>
  <c r="AZ119" i="7" s="1"/>
  <c r="AW119" i="7" a="1"/>
  <c r="AW119" i="7" s="1"/>
  <c r="AX47" i="7"/>
  <c r="AZ47" i="7" s="1" a="1"/>
  <c r="AZ47" i="7" s="1"/>
  <c r="AW47" i="7" a="1"/>
  <c r="AW47" i="7" s="1"/>
  <c r="AX173" i="7"/>
  <c r="AZ173" i="7" s="1" a="1"/>
  <c r="AZ173" i="7" s="1"/>
  <c r="AW173" i="7" a="1"/>
  <c r="AW173" i="7" s="1"/>
  <c r="AX54" i="7"/>
  <c r="AZ54" i="7" s="1" a="1"/>
  <c r="AZ54" i="7" s="1"/>
  <c r="AW54" i="7" a="1"/>
  <c r="AW54" i="7" s="1"/>
  <c r="AX113" i="7"/>
  <c r="AZ113" i="7" s="1" a="1"/>
  <c r="AZ113" i="7" s="1"/>
  <c r="AW113" i="7" a="1"/>
  <c r="AW113" i="7" s="1"/>
  <c r="AX170" i="7"/>
  <c r="AZ170" i="7" s="1" a="1"/>
  <c r="AZ170" i="7" s="1"/>
  <c r="AW170" i="7" a="1"/>
  <c r="AW170" i="7" s="1"/>
  <c r="AX175" i="7" l="1"/>
  <c r="AZ175" i="7" s="1" a="1"/>
  <c r="AZ175" i="7" s="1"/>
  <c r="AW175" i="7" a="1"/>
  <c r="AW175" i="7" s="1"/>
  <c r="AI177" i="7" l="1"/>
  <c r="AA177" i="7"/>
  <c r="R177" i="7"/>
  <c r="N177" i="7"/>
  <c r="F177" i="7" a="1"/>
  <c r="F177" i="7" s="1"/>
  <c r="AL177" i="7" l="1"/>
  <c r="H177" i="7" a="1"/>
  <c r="H177" i="7" s="1"/>
  <c r="O177" i="7"/>
  <c r="AE177" i="7" a="1"/>
  <c r="AE177" i="7" s="1"/>
  <c r="Q177" i="7" l="1"/>
  <c r="P177" i="7"/>
  <c r="AN177" i="7" a="1"/>
  <c r="AN177" i="7" s="1"/>
  <c r="I177" i="7" s="1" a="1"/>
  <c r="I177" i="7" s="1"/>
  <c r="AO177" i="7"/>
  <c r="AR177" i="7" l="1"/>
  <c r="AQ177" i="7" a="1"/>
  <c r="AQ177" i="7" s="1"/>
  <c r="J177" i="7" s="1" a="1"/>
  <c r="J177" i="7" s="1"/>
  <c r="AA175" i="7"/>
  <c r="O175" i="7" s="1"/>
  <c r="Q175" i="7" s="1"/>
  <c r="AA174" i="7"/>
  <c r="AA173" i="7"/>
  <c r="AA172" i="7"/>
  <c r="AA171" i="7"/>
  <c r="AA170" i="7"/>
  <c r="AA169" i="7"/>
  <c r="AA168" i="7"/>
  <c r="AT192" i="1"/>
  <c r="AV192" i="1" s="1" a="1"/>
  <c r="AV192" i="1" s="1"/>
  <c r="K192" i="1" s="1" a="1"/>
  <c r="K192" i="1" s="1"/>
  <c r="AQ192" i="1"/>
  <c r="AS192" i="1" s="1" a="1"/>
  <c r="AS192" i="1" s="1"/>
  <c r="J192" i="1" s="1" a="1"/>
  <c r="J192" i="1" s="1"/>
  <c r="F175" i="7" a="1"/>
  <c r="F175" i="7" s="1"/>
  <c r="N175" i="7"/>
  <c r="R175" i="7"/>
  <c r="H175" i="7" a="1"/>
  <c r="H175" i="7" s="1"/>
  <c r="I175" i="7" a="1"/>
  <c r="I175" i="7" s="1"/>
  <c r="J175" i="7" a="1"/>
  <c r="J175" i="7" s="1"/>
  <c r="K175" i="7" a="1"/>
  <c r="K175" i="7" s="1"/>
  <c r="L175" i="7" a="1"/>
  <c r="L175" i="7" s="1"/>
  <c r="M175" i="7" a="1"/>
  <c r="M175" i="7" s="1"/>
  <c r="AT177" i="7" l="1" a="1"/>
  <c r="AT177" i="7" s="1"/>
  <c r="K177" i="7" s="1" a="1"/>
  <c r="K177" i="7" s="1"/>
  <c r="AU177" i="7"/>
  <c r="AW192" i="1"/>
  <c r="P175" i="7"/>
  <c r="AE175" i="7" a="1"/>
  <c r="AE175" i="7" s="1"/>
  <c r="BC192" i="1" l="1"/>
  <c r="AY192" i="1" a="1"/>
  <c r="AY192" i="1" s="1"/>
  <c r="L192" i="1" s="1" a="1"/>
  <c r="L192" i="1" s="1"/>
  <c r="AX177" i="7"/>
  <c r="AZ177" i="7" s="1" a="1"/>
  <c r="AZ177" i="7" s="1"/>
  <c r="M177" i="7" s="1" a="1"/>
  <c r="M177" i="7" s="1"/>
  <c r="AW177" i="7" a="1"/>
  <c r="AW177" i="7" s="1"/>
  <c r="L177" i="7" s="1" a="1"/>
  <c r="L177" i="7" s="1"/>
  <c r="F169" i="7" a="1"/>
  <c r="F169" i="7" s="1"/>
  <c r="F170" i="7" a="1"/>
  <c r="F170" i="7" s="1"/>
  <c r="F171" i="7" a="1"/>
  <c r="F171" i="7" s="1"/>
  <c r="F172" i="7" a="1"/>
  <c r="F172" i="7" s="1"/>
  <c r="F173" i="7" a="1"/>
  <c r="F173" i="7" s="1"/>
  <c r="F174" i="7" a="1"/>
  <c r="F174" i="7" s="1"/>
  <c r="N169" i="7"/>
  <c r="N170" i="7"/>
  <c r="N171" i="7"/>
  <c r="N172" i="7"/>
  <c r="N173" i="7"/>
  <c r="N174" i="7"/>
  <c r="O173" i="7"/>
  <c r="Q173" i="7" s="1"/>
  <c r="O174" i="7"/>
  <c r="Q174" i="7" s="1"/>
  <c r="R169" i="7"/>
  <c r="R170" i="7"/>
  <c r="R171" i="7"/>
  <c r="R172" i="7"/>
  <c r="R173" i="7"/>
  <c r="R174" i="7"/>
  <c r="O169" i="7"/>
  <c r="Q169" i="7" s="1"/>
  <c r="O170" i="7"/>
  <c r="Q170" i="7" s="1"/>
  <c r="O171" i="7"/>
  <c r="Q171" i="7" s="1"/>
  <c r="AE172" i="7" a="1"/>
  <c r="AE172" i="7" s="1"/>
  <c r="AI169" i="7"/>
  <c r="H170" i="7" a="1"/>
  <c r="H170" i="7" s="1"/>
  <c r="H171" i="7" a="1"/>
  <c r="H171" i="7" s="1"/>
  <c r="H172" i="7" a="1"/>
  <c r="H172" i="7" s="1"/>
  <c r="H173" i="7" a="1"/>
  <c r="H173" i="7" s="1"/>
  <c r="H174" i="7" a="1"/>
  <c r="H174" i="7" s="1"/>
  <c r="I170" i="7" a="1"/>
  <c r="I170" i="7" s="1"/>
  <c r="I171" i="7" a="1"/>
  <c r="I171" i="7" s="1"/>
  <c r="I172" i="7" a="1"/>
  <c r="I172" i="7" s="1"/>
  <c r="I173" i="7" a="1"/>
  <c r="I173" i="7" s="1"/>
  <c r="I174" i="7" a="1"/>
  <c r="I174" i="7" s="1"/>
  <c r="J170" i="7" a="1"/>
  <c r="J170" i="7" s="1"/>
  <c r="J171" i="7" a="1"/>
  <c r="J171" i="7" s="1"/>
  <c r="J172" i="7" a="1"/>
  <c r="J172" i="7" s="1"/>
  <c r="J173" i="7" a="1"/>
  <c r="J173" i="7" s="1"/>
  <c r="J174" i="7" a="1"/>
  <c r="J174" i="7" s="1"/>
  <c r="K170" i="7" a="1"/>
  <c r="K170" i="7" s="1"/>
  <c r="K171" i="7" a="1"/>
  <c r="K171" i="7" s="1"/>
  <c r="K172" i="7" a="1"/>
  <c r="K172" i="7" s="1"/>
  <c r="K173" i="7" a="1"/>
  <c r="K173" i="7" s="1"/>
  <c r="K174" i="7" a="1"/>
  <c r="K174" i="7" s="1"/>
  <c r="L170" i="7" a="1"/>
  <c r="L170" i="7" s="1"/>
  <c r="L171" i="7" a="1"/>
  <c r="L171" i="7" s="1"/>
  <c r="L172" i="7" a="1"/>
  <c r="L172" i="7" s="1"/>
  <c r="L173" i="7" a="1"/>
  <c r="L173" i="7" s="1"/>
  <c r="L174" i="7" a="1"/>
  <c r="L174" i="7" s="1"/>
  <c r="M170" i="7" a="1"/>
  <c r="M170" i="7" s="1"/>
  <c r="M171" i="7" a="1"/>
  <c r="M171" i="7" s="1"/>
  <c r="M172" i="7" a="1"/>
  <c r="M172" i="7" s="1"/>
  <c r="M173" i="7" a="1"/>
  <c r="M173" i="7" s="1"/>
  <c r="M174" i="7" a="1"/>
  <c r="M174" i="7" s="1"/>
  <c r="AT191" i="1"/>
  <c r="AV191" i="1" s="1" a="1"/>
  <c r="AV191" i="1" s="1"/>
  <c r="K191" i="1" s="1" a="1"/>
  <c r="K191" i="1" s="1"/>
  <c r="AQ191" i="1"/>
  <c r="AS191" i="1" s="1" a="1"/>
  <c r="AS191" i="1" s="1"/>
  <c r="J191" i="1" s="1" a="1"/>
  <c r="J191" i="1" s="1"/>
  <c r="P174" i="7" l="1"/>
  <c r="P173" i="7"/>
  <c r="BF192" i="1"/>
  <c r="BE192" i="1" a="1"/>
  <c r="BE192" i="1" s="1"/>
  <c r="N192" i="1" s="1" a="1"/>
  <c r="N192" i="1" s="1"/>
  <c r="AL169" i="7"/>
  <c r="H169" i="7" a="1"/>
  <c r="H169" i="7" s="1"/>
  <c r="P171" i="7"/>
  <c r="P170" i="7"/>
  <c r="P169" i="7"/>
  <c r="AE171" i="7" a="1"/>
  <c r="AE171" i="7" s="1"/>
  <c r="AE170" i="7" a="1"/>
  <c r="AE170" i="7" s="1"/>
  <c r="AE169" i="7" a="1"/>
  <c r="AE169" i="7" s="1"/>
  <c r="O172" i="7"/>
  <c r="Q172" i="7" s="1"/>
  <c r="AE174" i="7" a="1"/>
  <c r="AE174" i="7" s="1"/>
  <c r="AE173" i="7" a="1"/>
  <c r="AE173" i="7" s="1"/>
  <c r="AW191" i="1"/>
  <c r="AY191" i="1" s="1" a="1"/>
  <c r="AY191" i="1" s="1"/>
  <c r="L191" i="1" s="1" a="1"/>
  <c r="L191" i="1" s="1"/>
  <c r="BH192" i="1" l="1" a="1"/>
  <c r="BH192" i="1" s="1"/>
  <c r="O192" i="1" s="1" a="1"/>
  <c r="O192" i="1" s="1"/>
  <c r="BI192" i="1"/>
  <c r="AN169" i="7" a="1"/>
  <c r="AN169" i="7" s="1"/>
  <c r="I169" i="7" s="1" a="1"/>
  <c r="I169" i="7" s="1"/>
  <c r="AO169" i="7"/>
  <c r="P172" i="7"/>
  <c r="BC191" i="1"/>
  <c r="BE191" i="1" s="1" a="1"/>
  <c r="BE191" i="1" s="1"/>
  <c r="N191" i="1" s="1" a="1"/>
  <c r="N191" i="1" s="1"/>
  <c r="BK192" i="1" l="1" a="1"/>
  <c r="BK192" i="1" s="1"/>
  <c r="P192" i="1" s="1" a="1"/>
  <c r="P192" i="1" s="1"/>
  <c r="BL192" i="1"/>
  <c r="BN192" i="1" s="1" a="1"/>
  <c r="BN192" i="1" s="1"/>
  <c r="Q192" i="1" s="1" a="1"/>
  <c r="Q192" i="1" s="1"/>
  <c r="AQ169" i="7" a="1"/>
  <c r="AQ169" i="7" s="1"/>
  <c r="J169" i="7" s="1" a="1"/>
  <c r="J169" i="7" s="1"/>
  <c r="AR169" i="7"/>
  <c r="BF191" i="1"/>
  <c r="BH191" i="1" s="1" a="1"/>
  <c r="BH191" i="1" s="1"/>
  <c r="O191" i="1" s="1" a="1"/>
  <c r="O191" i="1" s="1"/>
  <c r="AT169" i="7" l="1" a="1"/>
  <c r="AT169" i="7" s="1"/>
  <c r="K169" i="7" s="1" a="1"/>
  <c r="K169" i="7" s="1"/>
  <c r="AU169" i="7"/>
  <c r="BI191" i="1"/>
  <c r="BK191" i="1" s="1" a="1"/>
  <c r="BK191" i="1" s="1"/>
  <c r="P191" i="1" s="1" a="1"/>
  <c r="P191" i="1" s="1"/>
  <c r="AW169" i="7" l="1" a="1"/>
  <c r="AW169" i="7" s="1"/>
  <c r="L169" i="7" s="1" a="1"/>
  <c r="L169" i="7" s="1"/>
  <c r="AX169" i="7"/>
  <c r="AZ169" i="7" s="1" a="1"/>
  <c r="AZ169" i="7" s="1"/>
  <c r="M169" i="7" s="1" a="1"/>
  <c r="M169" i="7" s="1"/>
  <c r="BL191" i="1"/>
  <c r="BN191" i="1" s="1" a="1"/>
  <c r="BN191" i="1" s="1"/>
  <c r="Q191" i="1" s="1" a="1"/>
  <c r="Q191" i="1" s="1"/>
  <c r="AT184" i="1" l="1"/>
  <c r="AV184" i="1" s="1" a="1"/>
  <c r="AV184" i="1" s="1"/>
  <c r="K184" i="1" s="1" a="1"/>
  <c r="K184" i="1" s="1"/>
  <c r="AT185" i="1"/>
  <c r="AT186" i="1"/>
  <c r="AV186" i="1" s="1" a="1"/>
  <c r="AV186" i="1" s="1"/>
  <c r="K186" i="1" s="1" a="1"/>
  <c r="K186" i="1" s="1"/>
  <c r="AT187" i="1"/>
  <c r="AT188" i="1"/>
  <c r="AV188" i="1" s="1" a="1"/>
  <c r="AV188" i="1" s="1"/>
  <c r="K188" i="1" s="1" a="1"/>
  <c r="K188" i="1" s="1"/>
  <c r="AT189" i="1"/>
  <c r="AT190" i="1"/>
  <c r="AV190" i="1" s="1" a="1"/>
  <c r="AV190" i="1" s="1"/>
  <c r="K190" i="1" s="1" a="1"/>
  <c r="K190" i="1" s="1"/>
  <c r="AN185" i="1"/>
  <c r="AP185" i="1" s="1" a="1"/>
  <c r="AP185" i="1" s="1"/>
  <c r="I185" i="1" s="1" a="1"/>
  <c r="I185" i="1" s="1"/>
  <c r="AN186" i="1"/>
  <c r="AN187" i="1"/>
  <c r="AP187" i="1" s="1" a="1"/>
  <c r="AP187" i="1" s="1"/>
  <c r="I187" i="1" s="1" a="1"/>
  <c r="I187" i="1" s="1"/>
  <c r="AN188" i="1"/>
  <c r="AN189" i="1"/>
  <c r="AP189" i="1" s="1" a="1"/>
  <c r="AP189" i="1" s="1"/>
  <c r="I189" i="1" s="1" a="1"/>
  <c r="I189" i="1" s="1"/>
  <c r="AN190" i="1"/>
  <c r="Z187" i="1"/>
  <c r="Z186" i="1"/>
  <c r="AT183" i="1"/>
  <c r="AV183" i="1" s="1" a="1"/>
  <c r="AV183" i="1" s="1"/>
  <c r="K183" i="1" s="1" a="1"/>
  <c r="K183" i="1" s="1"/>
  <c r="AT175" i="1"/>
  <c r="AT176" i="1"/>
  <c r="AV176" i="1" s="1" a="1"/>
  <c r="AV176" i="1" s="1"/>
  <c r="K176" i="1" s="1" a="1"/>
  <c r="K176" i="1" s="1"/>
  <c r="AT177" i="1"/>
  <c r="AV177" i="1" s="1" a="1"/>
  <c r="AV177" i="1" s="1"/>
  <c r="K177" i="1" s="1" a="1"/>
  <c r="K177" i="1" s="1"/>
  <c r="AT171" i="1"/>
  <c r="AT180" i="1"/>
  <c r="AW180" i="1" s="1"/>
  <c r="AT172" i="1"/>
  <c r="AT174" i="1"/>
  <c r="AT178" i="1"/>
  <c r="AV178" i="1" s="1" a="1"/>
  <c r="AV178" i="1" s="1"/>
  <c r="K178" i="1" s="1" a="1"/>
  <c r="K178" i="1" s="1"/>
  <c r="AT173" i="1"/>
  <c r="AT179" i="1"/>
  <c r="AV179" i="1" s="1" a="1"/>
  <c r="AV179" i="1" s="1"/>
  <c r="K179" i="1" s="1" a="1"/>
  <c r="K179" i="1" s="1"/>
  <c r="AT181" i="1"/>
  <c r="AV181" i="1" s="1" a="1"/>
  <c r="AV181" i="1" s="1"/>
  <c r="K181" i="1" s="1" a="1"/>
  <c r="K181" i="1" s="1"/>
  <c r="AT182" i="1"/>
  <c r="Z185" i="1"/>
  <c r="AN175" i="1"/>
  <c r="AN176" i="1"/>
  <c r="AN177" i="1"/>
  <c r="AN171" i="1"/>
  <c r="AN180" i="1"/>
  <c r="AN172" i="1"/>
  <c r="AN174" i="1"/>
  <c r="AN178" i="1"/>
  <c r="AN173" i="1"/>
  <c r="AN184" i="1"/>
  <c r="AN179" i="1"/>
  <c r="AP179" i="1" s="1" a="1"/>
  <c r="AP179" i="1" s="1"/>
  <c r="I179" i="1" s="1" a="1"/>
  <c r="I179" i="1" s="1"/>
  <c r="AN181" i="1"/>
  <c r="AP181" i="1" s="1" a="1"/>
  <c r="AP181" i="1" s="1"/>
  <c r="I181" i="1" s="1" a="1"/>
  <c r="I181" i="1" s="1"/>
  <c r="AN182" i="1"/>
  <c r="AN183" i="1"/>
  <c r="AP183" i="1" s="1" a="1"/>
  <c r="AP183" i="1" s="1"/>
  <c r="I183" i="1" s="1" a="1"/>
  <c r="I183" i="1" s="1"/>
  <c r="AT158" i="1"/>
  <c r="AT159" i="1"/>
  <c r="AT161" i="1"/>
  <c r="AT162" i="1"/>
  <c r="AT163" i="1"/>
  <c r="AT164" i="1"/>
  <c r="AT165" i="1"/>
  <c r="AT166" i="1"/>
  <c r="AT167" i="1"/>
  <c r="AT168" i="1"/>
  <c r="AT169" i="1"/>
  <c r="AT170" i="1"/>
  <c r="AN158" i="1"/>
  <c r="AN159" i="1"/>
  <c r="AN161" i="1"/>
  <c r="AN162" i="1"/>
  <c r="AN163" i="1"/>
  <c r="AN164" i="1"/>
  <c r="AN165" i="1"/>
  <c r="AN166" i="1"/>
  <c r="AN167" i="1"/>
  <c r="AN168" i="1"/>
  <c r="AN169" i="1"/>
  <c r="AN170" i="1"/>
  <c r="AQ159" i="1" l="1"/>
  <c r="AS159" i="1" s="1" a="1"/>
  <c r="AS159" i="1" s="1"/>
  <c r="J159" i="1" s="1" a="1"/>
  <c r="J159" i="1" s="1"/>
  <c r="AP159" i="1" a="1"/>
  <c r="AP159" i="1" s="1"/>
  <c r="I159" i="1" s="1" a="1"/>
  <c r="I159" i="1" s="1"/>
  <c r="AW159" i="1"/>
  <c r="AV159" i="1" a="1"/>
  <c r="AV159" i="1" s="1"/>
  <c r="K159" i="1" s="1" a="1"/>
  <c r="K159" i="1" s="1"/>
  <c r="AQ171" i="1"/>
  <c r="AS171" i="1" s="1" a="1"/>
  <c r="AS171" i="1" s="1"/>
  <c r="J171" i="1" s="1" a="1"/>
  <c r="J171" i="1" s="1"/>
  <c r="AP171" i="1" a="1"/>
  <c r="AP171" i="1" s="1"/>
  <c r="I171" i="1" s="1" a="1"/>
  <c r="I171" i="1" s="1"/>
  <c r="AY180" i="1" a="1"/>
  <c r="AY180" i="1" s="1"/>
  <c r="L180" i="1" s="1" a="1"/>
  <c r="L180" i="1" s="1"/>
  <c r="AV180" i="1" a="1"/>
  <c r="AV180" i="1" s="1"/>
  <c r="K180" i="1" s="1" a="1"/>
  <c r="K180" i="1" s="1"/>
  <c r="AQ186" i="1"/>
  <c r="AS186" i="1" s="1" a="1"/>
  <c r="AS186" i="1" s="1"/>
  <c r="J186" i="1" s="1" a="1"/>
  <c r="J186" i="1" s="1"/>
  <c r="AP186" i="1" a="1"/>
  <c r="AP186" i="1" s="1"/>
  <c r="I186" i="1" s="1" a="1"/>
  <c r="I186" i="1" s="1"/>
  <c r="AQ162" i="1"/>
  <c r="AS162" i="1" s="1" a="1"/>
  <c r="AS162" i="1" s="1"/>
  <c r="J162" i="1" s="1" a="1"/>
  <c r="J162" i="1" s="1"/>
  <c r="AP162" i="1" a="1"/>
  <c r="AP162" i="1" s="1"/>
  <c r="I162" i="1" s="1" a="1"/>
  <c r="I162" i="1" s="1"/>
  <c r="AW162" i="1"/>
  <c r="AV162" i="1" a="1"/>
  <c r="AV162" i="1" s="1"/>
  <c r="K162" i="1" s="1" a="1"/>
  <c r="K162" i="1" s="1"/>
  <c r="AQ172" i="1"/>
  <c r="AS172" i="1" s="1" a="1"/>
  <c r="AS172" i="1" s="1"/>
  <c r="J172" i="1" s="1" a="1"/>
  <c r="J172" i="1" s="1"/>
  <c r="AP172" i="1" a="1"/>
  <c r="AP172" i="1" s="1"/>
  <c r="I172" i="1" s="1" a="1"/>
  <c r="I172" i="1" s="1"/>
  <c r="AW174" i="1"/>
  <c r="AY174" i="1" s="1" a="1"/>
  <c r="AY174" i="1" s="1"/>
  <c r="L174" i="1" s="1" a="1"/>
  <c r="L174" i="1" s="1"/>
  <c r="AV174" i="1" a="1"/>
  <c r="AV174" i="1" s="1"/>
  <c r="K174" i="1" s="1" a="1"/>
  <c r="K174" i="1" s="1"/>
  <c r="AQ188" i="1"/>
  <c r="AS188" i="1" s="1" a="1"/>
  <c r="AS188" i="1" s="1"/>
  <c r="J188" i="1" s="1" a="1"/>
  <c r="J188" i="1" s="1"/>
  <c r="AP188" i="1" a="1"/>
  <c r="AP188" i="1" s="1"/>
  <c r="I188" i="1" s="1" a="1"/>
  <c r="I188" i="1" s="1"/>
  <c r="AQ161" i="1"/>
  <c r="AS161" i="1" s="1" a="1"/>
  <c r="AS161" i="1" s="1"/>
  <c r="J161" i="1" s="1" a="1"/>
  <c r="J161" i="1" s="1"/>
  <c r="AP161" i="1" a="1"/>
  <c r="AP161" i="1" s="1"/>
  <c r="I161" i="1" s="1" a="1"/>
  <c r="I161" i="1" s="1"/>
  <c r="AW161" i="1"/>
  <c r="AV161" i="1" a="1"/>
  <c r="AV161" i="1" s="1"/>
  <c r="K161" i="1" s="1" a="1"/>
  <c r="K161" i="1" s="1"/>
  <c r="AQ180" i="1"/>
  <c r="AS180" i="1" s="1" a="1"/>
  <c r="AS180" i="1" s="1"/>
  <c r="J180" i="1" s="1" a="1"/>
  <c r="J180" i="1" s="1"/>
  <c r="AP180" i="1" a="1"/>
  <c r="AP180" i="1" s="1"/>
  <c r="I180" i="1" s="1" a="1"/>
  <c r="I180" i="1" s="1"/>
  <c r="AW172" i="1"/>
  <c r="AY172" i="1" s="1" a="1"/>
  <c r="AY172" i="1" s="1"/>
  <c r="L172" i="1" s="1" a="1"/>
  <c r="L172" i="1" s="1"/>
  <c r="AV172" i="1" a="1"/>
  <c r="AV172" i="1" s="1"/>
  <c r="K172" i="1" s="1" a="1"/>
  <c r="K172" i="1" s="1"/>
  <c r="AQ158" i="1"/>
  <c r="AS158" i="1" s="1" a="1"/>
  <c r="AS158" i="1" s="1"/>
  <c r="J158" i="1" s="1" a="1"/>
  <c r="J158" i="1" s="1"/>
  <c r="AP158" i="1" a="1"/>
  <c r="AP158" i="1" s="1"/>
  <c r="I158" i="1" s="1" a="1"/>
  <c r="I158" i="1" s="1"/>
  <c r="AW158" i="1"/>
  <c r="AV158" i="1" a="1"/>
  <c r="AV158" i="1" s="1"/>
  <c r="K158" i="1" s="1" a="1"/>
  <c r="K158" i="1" s="1"/>
  <c r="AQ177" i="1"/>
  <c r="AS177" i="1" s="1" a="1"/>
  <c r="AS177" i="1" s="1"/>
  <c r="J177" i="1" s="1" a="1"/>
  <c r="J177" i="1" s="1"/>
  <c r="AP177" i="1" a="1"/>
  <c r="AP177" i="1" s="1"/>
  <c r="I177" i="1" s="1" a="1"/>
  <c r="I177" i="1" s="1"/>
  <c r="AW171" i="1"/>
  <c r="AY171" i="1" s="1" a="1"/>
  <c r="AY171" i="1" s="1"/>
  <c r="L171" i="1" s="1" a="1"/>
  <c r="L171" i="1" s="1"/>
  <c r="AV171" i="1" a="1"/>
  <c r="AV171" i="1" s="1"/>
  <c r="K171" i="1" s="1" a="1"/>
  <c r="K171" i="1" s="1"/>
  <c r="AW166" i="1"/>
  <c r="AV166" i="1" a="1"/>
  <c r="AV166" i="1" s="1"/>
  <c r="K166" i="1" s="1" a="1"/>
  <c r="K166" i="1" s="1"/>
  <c r="AQ170" i="1"/>
  <c r="AS170" i="1" s="1" a="1"/>
  <c r="AS170" i="1" s="1"/>
  <c r="J170" i="1" s="1" a="1"/>
  <c r="J170" i="1" s="1"/>
  <c r="AP170" i="1" a="1"/>
  <c r="AP170" i="1" s="1"/>
  <c r="I170" i="1" s="1" a="1"/>
  <c r="I170" i="1" s="1"/>
  <c r="AQ166" i="1"/>
  <c r="AS166" i="1" s="1" a="1"/>
  <c r="AS166" i="1" s="1"/>
  <c r="J166" i="1" s="1" a="1"/>
  <c r="J166" i="1" s="1"/>
  <c r="AP166" i="1" a="1"/>
  <c r="AP166" i="1" s="1"/>
  <c r="I166" i="1" s="1" a="1"/>
  <c r="I166" i="1" s="1"/>
  <c r="AQ163" i="1"/>
  <c r="AS163" i="1" s="1" a="1"/>
  <c r="AS163" i="1" s="1"/>
  <c r="J163" i="1" s="1" a="1"/>
  <c r="J163" i="1" s="1"/>
  <c r="AP163" i="1" a="1"/>
  <c r="AP163" i="1" s="1"/>
  <c r="I163" i="1" s="1" a="1"/>
  <c r="I163" i="1" s="1"/>
  <c r="AW163" i="1"/>
  <c r="AV163" i="1" a="1"/>
  <c r="AV163" i="1" s="1"/>
  <c r="K163" i="1" s="1" a="1"/>
  <c r="K163" i="1" s="1"/>
  <c r="AQ174" i="1"/>
  <c r="AS174" i="1" s="1" a="1"/>
  <c r="AS174" i="1" s="1"/>
  <c r="J174" i="1" s="1" a="1"/>
  <c r="J174" i="1" s="1"/>
  <c r="AP174" i="1" a="1"/>
  <c r="AP174" i="1" s="1"/>
  <c r="I174" i="1" s="1" a="1"/>
  <c r="I174" i="1" s="1"/>
  <c r="AW170" i="1"/>
  <c r="AV170" i="1" a="1"/>
  <c r="AV170" i="1" s="1"/>
  <c r="K170" i="1" s="1" a="1"/>
  <c r="K170" i="1" s="1"/>
  <c r="AQ176" i="1"/>
  <c r="AS176" i="1" s="1" a="1"/>
  <c r="AS176" i="1" s="1"/>
  <c r="J176" i="1" s="1" a="1"/>
  <c r="J176" i="1" s="1"/>
  <c r="AP176" i="1" a="1"/>
  <c r="AP176" i="1" s="1"/>
  <c r="I176" i="1" s="1" a="1"/>
  <c r="I176" i="1" s="1"/>
  <c r="AQ169" i="1"/>
  <c r="AS169" i="1" s="1" a="1"/>
  <c r="AS169" i="1" s="1"/>
  <c r="J169" i="1" s="1" a="1"/>
  <c r="J169" i="1" s="1"/>
  <c r="AP169" i="1" a="1"/>
  <c r="AP169" i="1" s="1"/>
  <c r="I169" i="1" s="1" a="1"/>
  <c r="I169" i="1" s="1"/>
  <c r="AW169" i="1"/>
  <c r="AV169" i="1" a="1"/>
  <c r="AV169" i="1" s="1"/>
  <c r="K169" i="1" s="1" a="1"/>
  <c r="K169" i="1" s="1"/>
  <c r="AQ182" i="1"/>
  <c r="AS182" i="1" s="1" a="1"/>
  <c r="AS182" i="1" s="1"/>
  <c r="J182" i="1" s="1" a="1"/>
  <c r="J182" i="1" s="1"/>
  <c r="AP182" i="1" a="1"/>
  <c r="AP182" i="1" s="1"/>
  <c r="I182" i="1" s="1" a="1"/>
  <c r="I182" i="1" s="1"/>
  <c r="AQ175" i="1"/>
  <c r="AS175" i="1" s="1" a="1"/>
  <c r="AS175" i="1" s="1"/>
  <c r="J175" i="1" s="1" a="1"/>
  <c r="J175" i="1" s="1"/>
  <c r="AP175" i="1" a="1"/>
  <c r="AP175" i="1" s="1"/>
  <c r="I175" i="1" s="1" a="1"/>
  <c r="I175" i="1" s="1"/>
  <c r="AW189" i="1"/>
  <c r="AY189" i="1" s="1" a="1"/>
  <c r="AY189" i="1" s="1"/>
  <c r="L189" i="1" s="1" a="1"/>
  <c r="L189" i="1" s="1"/>
  <c r="AV189" i="1" a="1"/>
  <c r="AV189" i="1" s="1"/>
  <c r="K189" i="1" s="1" a="1"/>
  <c r="K189" i="1" s="1"/>
  <c r="AW175" i="1"/>
  <c r="AY175" i="1" s="1" a="1"/>
  <c r="AY175" i="1" s="1"/>
  <c r="L175" i="1" s="1" a="1"/>
  <c r="L175" i="1" s="1"/>
  <c r="AV175" i="1" a="1"/>
  <c r="AV175" i="1" s="1"/>
  <c r="K175" i="1" s="1" a="1"/>
  <c r="K175" i="1" s="1"/>
  <c r="AQ168" i="1"/>
  <c r="AS168" i="1" s="1" a="1"/>
  <c r="AS168" i="1" s="1"/>
  <c r="J168" i="1" s="1" a="1"/>
  <c r="J168" i="1" s="1"/>
  <c r="AP168" i="1" a="1"/>
  <c r="AP168" i="1" s="1"/>
  <c r="I168" i="1" s="1" a="1"/>
  <c r="I168" i="1" s="1"/>
  <c r="AW168" i="1"/>
  <c r="AV168" i="1" a="1"/>
  <c r="AV168" i="1" s="1"/>
  <c r="K168" i="1" s="1" a="1"/>
  <c r="K168" i="1" s="1"/>
  <c r="AQ167" i="1"/>
  <c r="AS167" i="1" s="1" a="1"/>
  <c r="AS167" i="1" s="1"/>
  <c r="J167" i="1" s="1" a="1"/>
  <c r="J167" i="1" s="1"/>
  <c r="AP167" i="1" a="1"/>
  <c r="AP167" i="1" s="1"/>
  <c r="I167" i="1" s="1" a="1"/>
  <c r="I167" i="1" s="1"/>
  <c r="AW167" i="1"/>
  <c r="AV167" i="1" a="1"/>
  <c r="AV167" i="1" s="1"/>
  <c r="K167" i="1" s="1" a="1"/>
  <c r="K167" i="1" s="1"/>
  <c r="AW182" i="1"/>
  <c r="AY182" i="1" s="1" a="1"/>
  <c r="AY182" i="1" s="1"/>
  <c r="L182" i="1" s="1" a="1"/>
  <c r="L182" i="1" s="1"/>
  <c r="AV182" i="1" a="1"/>
  <c r="AV182" i="1" s="1"/>
  <c r="K182" i="1" s="1" a="1"/>
  <c r="K182" i="1" s="1"/>
  <c r="AW187" i="1"/>
  <c r="AY187" i="1" s="1" a="1"/>
  <c r="AY187" i="1" s="1"/>
  <c r="L187" i="1" s="1" a="1"/>
  <c r="L187" i="1" s="1"/>
  <c r="AV187" i="1" a="1"/>
  <c r="AV187" i="1" s="1"/>
  <c r="K187" i="1" s="1" a="1"/>
  <c r="K187" i="1" s="1"/>
  <c r="AQ184" i="1"/>
  <c r="AS184" i="1" s="1" a="1"/>
  <c r="AS184" i="1" s="1"/>
  <c r="J184" i="1" s="1" a="1"/>
  <c r="J184" i="1" s="1"/>
  <c r="AP184" i="1" a="1"/>
  <c r="AP184" i="1" s="1"/>
  <c r="I184" i="1" s="1" a="1"/>
  <c r="I184" i="1" s="1"/>
  <c r="AW185" i="1"/>
  <c r="AY185" i="1" s="1" a="1"/>
  <c r="AY185" i="1" s="1"/>
  <c r="L185" i="1" s="1" a="1"/>
  <c r="L185" i="1" s="1"/>
  <c r="AV185" i="1" a="1"/>
  <c r="AV185" i="1" s="1"/>
  <c r="K185" i="1" s="1" a="1"/>
  <c r="K185" i="1" s="1"/>
  <c r="AQ165" i="1"/>
  <c r="AS165" i="1" s="1" a="1"/>
  <c r="AS165" i="1" s="1"/>
  <c r="J165" i="1" s="1" a="1"/>
  <c r="J165" i="1" s="1"/>
  <c r="AP165" i="1" a="1"/>
  <c r="AP165" i="1" s="1"/>
  <c r="I165" i="1" s="1" a="1"/>
  <c r="I165" i="1" s="1"/>
  <c r="AW165" i="1"/>
  <c r="AV165" i="1" a="1"/>
  <c r="AV165" i="1" s="1"/>
  <c r="K165" i="1" s="1" a="1"/>
  <c r="K165" i="1" s="1"/>
  <c r="AQ173" i="1"/>
  <c r="AS173" i="1" s="1" a="1"/>
  <c r="AS173" i="1" s="1"/>
  <c r="J173" i="1" s="1" a="1"/>
  <c r="J173" i="1" s="1"/>
  <c r="AP173" i="1" a="1"/>
  <c r="AP173" i="1" s="1"/>
  <c r="I173" i="1" s="1" a="1"/>
  <c r="I173" i="1" s="1"/>
  <c r="AQ164" i="1"/>
  <c r="AS164" i="1" s="1" a="1"/>
  <c r="AS164" i="1" s="1"/>
  <c r="J164" i="1" s="1" a="1"/>
  <c r="J164" i="1" s="1"/>
  <c r="AP164" i="1" a="1"/>
  <c r="AP164" i="1" s="1"/>
  <c r="I164" i="1" s="1" a="1"/>
  <c r="I164" i="1" s="1"/>
  <c r="AW164" i="1"/>
  <c r="AV164" i="1" a="1"/>
  <c r="AV164" i="1" s="1"/>
  <c r="K164" i="1" s="1" a="1"/>
  <c r="K164" i="1" s="1"/>
  <c r="AQ178" i="1"/>
  <c r="AS178" i="1" s="1" a="1"/>
  <c r="AS178" i="1" s="1"/>
  <c r="J178" i="1" s="1" a="1"/>
  <c r="J178" i="1" s="1"/>
  <c r="AP178" i="1" a="1"/>
  <c r="AP178" i="1" s="1"/>
  <c r="I178" i="1" s="1" a="1"/>
  <c r="I178" i="1" s="1"/>
  <c r="AW173" i="1"/>
  <c r="AY173" i="1" s="1" a="1"/>
  <c r="AY173" i="1" s="1"/>
  <c r="L173" i="1" s="1" a="1"/>
  <c r="L173" i="1" s="1"/>
  <c r="AV173" i="1" a="1"/>
  <c r="AV173" i="1" s="1"/>
  <c r="K173" i="1" s="1" a="1"/>
  <c r="K173" i="1" s="1"/>
  <c r="AQ190" i="1"/>
  <c r="AS190" i="1" s="1" a="1"/>
  <c r="AS190" i="1" s="1"/>
  <c r="J190" i="1" s="1" a="1"/>
  <c r="J190" i="1" s="1"/>
  <c r="AP190" i="1" a="1"/>
  <c r="AP190" i="1" s="1"/>
  <c r="I190" i="1" s="1" a="1"/>
  <c r="I190" i="1" s="1"/>
  <c r="AQ185" i="1"/>
  <c r="AS185" i="1" s="1" a="1"/>
  <c r="AS185" i="1" s="1"/>
  <c r="J185" i="1" s="1" a="1"/>
  <c r="J185" i="1" s="1"/>
  <c r="AQ189" i="1"/>
  <c r="AS189" i="1" s="1" a="1"/>
  <c r="AS189" i="1" s="1"/>
  <c r="J189" i="1" s="1" a="1"/>
  <c r="J189" i="1" s="1"/>
  <c r="AW177" i="1"/>
  <c r="AQ187" i="1"/>
  <c r="AS187" i="1" s="1" a="1"/>
  <c r="AS187" i="1" s="1"/>
  <c r="J187" i="1" s="1" a="1"/>
  <c r="J187" i="1" s="1"/>
  <c r="AW176" i="1"/>
  <c r="AY176" i="1" s="1" a="1"/>
  <c r="AY176" i="1" s="1"/>
  <c r="L176" i="1" s="1" a="1"/>
  <c r="L176" i="1" s="1"/>
  <c r="AW188" i="1"/>
  <c r="AY188" i="1" s="1" a="1"/>
  <c r="AY188" i="1" s="1"/>
  <c r="L188" i="1" s="1" a="1"/>
  <c r="L188" i="1" s="1"/>
  <c r="AW186" i="1"/>
  <c r="AY186" i="1" s="1" a="1"/>
  <c r="AY186" i="1" s="1"/>
  <c r="L186" i="1" s="1" a="1"/>
  <c r="L186" i="1" s="1"/>
  <c r="AW190" i="1"/>
  <c r="AY190" i="1" s="1" a="1"/>
  <c r="AY190" i="1" s="1"/>
  <c r="L190" i="1" s="1" a="1"/>
  <c r="L190" i="1" s="1"/>
  <c r="AW184" i="1"/>
  <c r="AY184" i="1" s="1" a="1"/>
  <c r="AY184" i="1" s="1"/>
  <c r="L184" i="1" s="1" a="1"/>
  <c r="L184" i="1" s="1"/>
  <c r="AQ183" i="1"/>
  <c r="AS183" i="1" s="1" a="1"/>
  <c r="AS183" i="1" s="1"/>
  <c r="J183" i="1" s="1" a="1"/>
  <c r="J183" i="1" s="1"/>
  <c r="AW179" i="1"/>
  <c r="AW178" i="1"/>
  <c r="AY178" i="1" s="1" a="1"/>
  <c r="AY178" i="1" s="1"/>
  <c r="L178" i="1" s="1" a="1"/>
  <c r="L178" i="1" s="1"/>
  <c r="AQ181" i="1"/>
  <c r="AS181" i="1" s="1" a="1"/>
  <c r="AS181" i="1" s="1"/>
  <c r="J181" i="1" s="1" a="1"/>
  <c r="J181" i="1" s="1"/>
  <c r="AW183" i="1"/>
  <c r="AY183" i="1" s="1" a="1"/>
  <c r="AY183" i="1" s="1"/>
  <c r="L183" i="1" s="1" a="1"/>
  <c r="L183" i="1" s="1"/>
  <c r="AQ179" i="1"/>
  <c r="AS179" i="1" s="1" a="1"/>
  <c r="AS179" i="1" s="1"/>
  <c r="J179" i="1" s="1" a="1"/>
  <c r="J179" i="1" s="1"/>
  <c r="AW181" i="1"/>
  <c r="AY181" i="1" s="1" a="1"/>
  <c r="AY181" i="1" s="1"/>
  <c r="L181" i="1" s="1" a="1"/>
  <c r="L181" i="1" s="1"/>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4" i="7"/>
  <c r="AD168" i="7"/>
  <c r="AE168" i="7" s="1" a="1"/>
  <c r="AE168" i="7" s="1"/>
  <c r="AA16" i="7"/>
  <c r="AD16" i="7" s="1"/>
  <c r="AA17" i="7"/>
  <c r="AD17" i="7" s="1"/>
  <c r="AA18" i="7"/>
  <c r="AD18" i="7" s="1"/>
  <c r="AA19" i="7"/>
  <c r="AD19" i="7" s="1"/>
  <c r="AA20" i="7"/>
  <c r="AD20" i="7" s="1"/>
  <c r="AA21" i="7"/>
  <c r="AD21" i="7" s="1"/>
  <c r="AA22" i="7"/>
  <c r="AD22" i="7" s="1"/>
  <c r="AA23" i="7"/>
  <c r="AD23" i="7" s="1"/>
  <c r="AA24" i="7"/>
  <c r="AD24" i="7" s="1"/>
  <c r="AA25" i="7"/>
  <c r="AD25" i="7" s="1"/>
  <c r="AA26" i="7"/>
  <c r="AD26" i="7" s="1"/>
  <c r="AA27" i="7"/>
  <c r="AD27" i="7" s="1"/>
  <c r="AA28" i="7"/>
  <c r="AD28" i="7" s="1"/>
  <c r="AA29" i="7"/>
  <c r="AD29" i="7" s="1"/>
  <c r="AA30" i="7"/>
  <c r="AD30" i="7" s="1"/>
  <c r="AA31" i="7"/>
  <c r="AD31" i="7" s="1"/>
  <c r="AA32" i="7"/>
  <c r="AD32" i="7" s="1"/>
  <c r="AA33" i="7"/>
  <c r="AD33" i="7" s="1"/>
  <c r="AA34" i="7"/>
  <c r="AD34" i="7" s="1"/>
  <c r="AA35" i="7"/>
  <c r="AD35" i="7" s="1"/>
  <c r="AA36" i="7"/>
  <c r="AD36" i="7" s="1"/>
  <c r="AA37" i="7"/>
  <c r="AD37" i="7" s="1"/>
  <c r="AA38" i="7"/>
  <c r="AD38" i="7" s="1"/>
  <c r="AA39" i="7"/>
  <c r="AD39" i="7" s="1"/>
  <c r="AA40" i="7"/>
  <c r="AD40" i="7" s="1"/>
  <c r="AA41" i="7"/>
  <c r="AD41" i="7" s="1"/>
  <c r="AA42" i="7"/>
  <c r="AD42" i="7" s="1"/>
  <c r="AA43" i="7"/>
  <c r="AD43" i="7" s="1"/>
  <c r="AA44" i="7"/>
  <c r="AD44" i="7" s="1"/>
  <c r="AA45" i="7"/>
  <c r="AD45" i="7" s="1"/>
  <c r="AA46" i="7"/>
  <c r="AD46" i="7" s="1"/>
  <c r="AA47" i="7"/>
  <c r="AD47" i="7" s="1"/>
  <c r="AA48" i="7"/>
  <c r="AD48" i="7" s="1"/>
  <c r="AA49" i="7"/>
  <c r="AD49" i="7" s="1"/>
  <c r="AA50" i="7"/>
  <c r="AD50" i="7" s="1"/>
  <c r="AA51" i="7"/>
  <c r="AD51" i="7" s="1"/>
  <c r="AA52" i="7"/>
  <c r="AD52" i="7" s="1"/>
  <c r="AA53" i="7"/>
  <c r="AD53" i="7" s="1"/>
  <c r="AA54" i="7"/>
  <c r="AD54" i="7" s="1"/>
  <c r="AA55" i="7"/>
  <c r="AD55" i="7" s="1"/>
  <c r="AA56" i="7"/>
  <c r="AD56" i="7" s="1"/>
  <c r="AA57" i="7"/>
  <c r="AD57" i="7" s="1"/>
  <c r="AA58" i="7"/>
  <c r="AD58" i="7" s="1"/>
  <c r="AA59" i="7"/>
  <c r="AD59" i="7" s="1"/>
  <c r="AA60" i="7"/>
  <c r="AD60" i="7" s="1"/>
  <c r="AA61" i="7"/>
  <c r="AD61" i="7" s="1"/>
  <c r="AA62" i="7"/>
  <c r="AD62" i="7" s="1"/>
  <c r="AA63" i="7"/>
  <c r="AD63" i="7" s="1"/>
  <c r="AA64" i="7"/>
  <c r="AD64" i="7" s="1"/>
  <c r="AA65" i="7"/>
  <c r="AD65" i="7" s="1"/>
  <c r="AA66" i="7"/>
  <c r="AD66" i="7" s="1"/>
  <c r="AA67" i="7"/>
  <c r="AD67" i="7" s="1"/>
  <c r="AA68" i="7"/>
  <c r="AD68" i="7" s="1"/>
  <c r="AA69" i="7"/>
  <c r="AD69" i="7" s="1"/>
  <c r="AA70" i="7"/>
  <c r="AD70" i="7" s="1"/>
  <c r="AA71" i="7"/>
  <c r="AD71" i="7" s="1"/>
  <c r="AA72" i="7"/>
  <c r="AD72" i="7" s="1"/>
  <c r="AA73" i="7"/>
  <c r="AD73" i="7" s="1"/>
  <c r="AA74" i="7"/>
  <c r="AD74" i="7" s="1"/>
  <c r="AA75" i="7"/>
  <c r="AD75" i="7" s="1"/>
  <c r="AA76" i="7"/>
  <c r="AD76" i="7" s="1"/>
  <c r="AA77" i="7"/>
  <c r="AD77" i="7" s="1"/>
  <c r="AA78" i="7"/>
  <c r="AD78" i="7" s="1"/>
  <c r="AA79" i="7"/>
  <c r="AD79" i="7" s="1"/>
  <c r="AA80" i="7"/>
  <c r="AD80" i="7" s="1"/>
  <c r="AA81" i="7"/>
  <c r="AD81" i="7" s="1"/>
  <c r="AA82" i="7"/>
  <c r="AD82" i="7" s="1"/>
  <c r="AA83" i="7"/>
  <c r="AD83" i="7" s="1"/>
  <c r="AA84" i="7"/>
  <c r="AD84" i="7" s="1"/>
  <c r="AA85" i="7"/>
  <c r="AD85" i="7" s="1"/>
  <c r="AA86" i="7"/>
  <c r="AD86" i="7" s="1"/>
  <c r="AA87" i="7"/>
  <c r="AD87" i="7" s="1"/>
  <c r="AA88" i="7"/>
  <c r="AD88" i="7" s="1"/>
  <c r="AA89" i="7"/>
  <c r="AD89" i="7" s="1"/>
  <c r="AA90" i="7"/>
  <c r="AD90" i="7" s="1"/>
  <c r="AA91" i="7"/>
  <c r="AD91" i="7" s="1"/>
  <c r="AA92" i="7"/>
  <c r="AD92" i="7" s="1"/>
  <c r="AA93" i="7"/>
  <c r="AD93" i="7" s="1"/>
  <c r="AA94" i="7"/>
  <c r="AD94" i="7" s="1"/>
  <c r="AA95" i="7"/>
  <c r="AD95" i="7" s="1"/>
  <c r="AA96" i="7"/>
  <c r="AD96" i="7" s="1"/>
  <c r="AA97" i="7"/>
  <c r="AD97" i="7" s="1"/>
  <c r="AA98" i="7"/>
  <c r="AD98" i="7" s="1"/>
  <c r="AA99" i="7"/>
  <c r="AD99" i="7" s="1"/>
  <c r="AA100" i="7"/>
  <c r="AD100" i="7" s="1"/>
  <c r="AA101" i="7"/>
  <c r="AD101" i="7" s="1"/>
  <c r="AA102" i="7"/>
  <c r="AD102" i="7" s="1"/>
  <c r="AA103" i="7"/>
  <c r="AD103" i="7" s="1"/>
  <c r="AA104" i="7"/>
  <c r="AD104" i="7" s="1"/>
  <c r="AA105" i="7"/>
  <c r="AD105" i="7" s="1"/>
  <c r="AA106" i="7"/>
  <c r="AD106" i="7" s="1"/>
  <c r="AA107" i="7"/>
  <c r="AD107" i="7" s="1"/>
  <c r="AA108" i="7"/>
  <c r="AD108" i="7" s="1"/>
  <c r="AA109" i="7"/>
  <c r="AD109" i="7" s="1"/>
  <c r="AA110" i="7"/>
  <c r="AD110" i="7" s="1"/>
  <c r="AA111" i="7"/>
  <c r="AD111" i="7" s="1"/>
  <c r="AA112" i="7"/>
  <c r="AD112" i="7" s="1"/>
  <c r="AA113" i="7"/>
  <c r="AD113" i="7" s="1"/>
  <c r="AA114" i="7"/>
  <c r="AD114" i="7" s="1"/>
  <c r="AA115" i="7"/>
  <c r="AD115" i="7" s="1"/>
  <c r="AA116" i="7"/>
  <c r="AD116" i="7" s="1"/>
  <c r="AA117" i="7"/>
  <c r="AD117" i="7" s="1"/>
  <c r="AA118" i="7"/>
  <c r="AD118" i="7" s="1"/>
  <c r="AA119" i="7"/>
  <c r="AD119" i="7" s="1"/>
  <c r="AA120" i="7"/>
  <c r="AD120" i="7" s="1"/>
  <c r="AA121" i="7"/>
  <c r="AD121" i="7" s="1"/>
  <c r="AA122" i="7"/>
  <c r="AD122" i="7" s="1"/>
  <c r="AA123" i="7"/>
  <c r="AD123" i="7" s="1"/>
  <c r="AA124" i="7"/>
  <c r="AD124" i="7" s="1"/>
  <c r="AA125" i="7"/>
  <c r="AD125" i="7" s="1"/>
  <c r="AA126" i="7"/>
  <c r="AD126" i="7" s="1"/>
  <c r="AA127" i="7"/>
  <c r="AD127" i="7" s="1"/>
  <c r="AA128" i="7"/>
  <c r="AD128" i="7" s="1"/>
  <c r="AA129" i="7"/>
  <c r="AD129" i="7" s="1"/>
  <c r="AA130" i="7"/>
  <c r="AD130" i="7" s="1"/>
  <c r="AA131" i="7"/>
  <c r="AD131" i="7" s="1"/>
  <c r="AA132" i="7"/>
  <c r="AD132" i="7" s="1"/>
  <c r="AA133" i="7"/>
  <c r="AD133" i="7" s="1"/>
  <c r="AA134" i="7"/>
  <c r="AD134" i="7" s="1"/>
  <c r="AA135" i="7"/>
  <c r="AD135" i="7" s="1"/>
  <c r="AA136" i="7"/>
  <c r="AD136" i="7" s="1"/>
  <c r="AA137" i="7"/>
  <c r="AD137" i="7" s="1"/>
  <c r="AA138" i="7"/>
  <c r="AD138" i="7" s="1"/>
  <c r="AA139" i="7"/>
  <c r="AD139" i="7" s="1"/>
  <c r="AA140" i="7"/>
  <c r="AD140" i="7" s="1"/>
  <c r="AA141" i="7"/>
  <c r="AD141" i="7" s="1"/>
  <c r="AA142" i="7"/>
  <c r="AD142" i="7" s="1"/>
  <c r="AA143" i="7"/>
  <c r="AD143" i="7" s="1"/>
  <c r="AA144" i="7"/>
  <c r="AD144" i="7" s="1"/>
  <c r="AA145" i="7"/>
  <c r="AD145" i="7" s="1"/>
  <c r="AA146" i="7"/>
  <c r="AD146" i="7" s="1"/>
  <c r="AA147" i="7"/>
  <c r="AD147" i="7" s="1"/>
  <c r="AA148" i="7"/>
  <c r="AD148" i="7" s="1"/>
  <c r="AA149" i="7"/>
  <c r="AD149" i="7" s="1"/>
  <c r="AA150" i="7"/>
  <c r="AD150" i="7" s="1"/>
  <c r="AA151" i="7"/>
  <c r="AD151" i="7" s="1"/>
  <c r="AA152" i="7"/>
  <c r="AD152" i="7" s="1"/>
  <c r="AA153" i="7"/>
  <c r="AD153" i="7" s="1"/>
  <c r="AA154" i="7"/>
  <c r="AD154" i="7" s="1"/>
  <c r="AA155" i="7"/>
  <c r="AD155" i="7" s="1"/>
  <c r="AA156" i="7"/>
  <c r="AD156" i="7" s="1"/>
  <c r="AA157" i="7"/>
  <c r="AD157" i="7" s="1"/>
  <c r="AA158" i="7"/>
  <c r="AD158" i="7" s="1"/>
  <c r="AA159" i="7"/>
  <c r="AD159" i="7" s="1"/>
  <c r="AA160" i="7"/>
  <c r="AD160" i="7" s="1"/>
  <c r="AA161" i="7"/>
  <c r="AD161" i="7" s="1"/>
  <c r="AA162" i="7"/>
  <c r="AD162" i="7" s="1"/>
  <c r="AA163" i="7"/>
  <c r="AA164" i="7"/>
  <c r="O164" i="7" s="1"/>
  <c r="Q164" i="7" s="1"/>
  <c r="AA165" i="7"/>
  <c r="AD165" i="7" s="1"/>
  <c r="AE165" i="7" s="1" a="1"/>
  <c r="AE165" i="7" s="1"/>
  <c r="AA166" i="7"/>
  <c r="AD166" i="7" s="1"/>
  <c r="O166" i="7" s="1"/>
  <c r="Q166" i="7" s="1"/>
  <c r="AA167" i="7"/>
  <c r="AD167" i="7" s="1"/>
  <c r="O167" i="7" s="1"/>
  <c r="Q167" i="7" s="1"/>
  <c r="AA5" i="7"/>
  <c r="AD5" i="7" s="1"/>
  <c r="AA6" i="7"/>
  <c r="AD6" i="7" s="1"/>
  <c r="AA7" i="7"/>
  <c r="AD7" i="7" s="1"/>
  <c r="AA8" i="7"/>
  <c r="AD8" i="7" s="1"/>
  <c r="AA9" i="7"/>
  <c r="AD9" i="7" s="1"/>
  <c r="AA10" i="7"/>
  <c r="AD10" i="7" s="1"/>
  <c r="AA11" i="7"/>
  <c r="AD11" i="7" s="1"/>
  <c r="AA12" i="7"/>
  <c r="AD12" i="7" s="1"/>
  <c r="AA13" i="7"/>
  <c r="AD13" i="7" s="1"/>
  <c r="AA14" i="7"/>
  <c r="AD14" i="7" s="1"/>
  <c r="AA15" i="7"/>
  <c r="AD15" i="7" s="1"/>
  <c r="AA4" i="7"/>
  <c r="AD4" i="7" s="1"/>
  <c r="N157" i="7"/>
  <c r="N158" i="7"/>
  <c r="N159" i="7"/>
  <c r="N160" i="7"/>
  <c r="N161" i="7"/>
  <c r="N162" i="7"/>
  <c r="N163" i="7"/>
  <c r="N164" i="7"/>
  <c r="N165" i="7"/>
  <c r="N166" i="7"/>
  <c r="N167" i="7"/>
  <c r="N168" i="7"/>
  <c r="F164" i="7" a="1"/>
  <c r="F164" i="7" s="1"/>
  <c r="F165" i="7" a="1"/>
  <c r="F165" i="7" s="1"/>
  <c r="F166" i="7" a="1"/>
  <c r="F166" i="7" s="1"/>
  <c r="F167" i="7" a="1"/>
  <c r="F167" i="7" s="1"/>
  <c r="F168" i="7" a="1"/>
  <c r="F168" i="7" s="1"/>
  <c r="AI164" i="7"/>
  <c r="AI165" i="7"/>
  <c r="AI166" i="7"/>
  <c r="AI167" i="7"/>
  <c r="AI168" i="7"/>
  <c r="BC185" i="1" l="1"/>
  <c r="BE185" i="1" s="1" a="1"/>
  <c r="BE185" i="1" s="1"/>
  <c r="N185" i="1" s="1" a="1"/>
  <c r="N185" i="1" s="1"/>
  <c r="BC172" i="1"/>
  <c r="BE172" i="1" s="1" a="1"/>
  <c r="BE172" i="1" s="1"/>
  <c r="N172" i="1" s="1" a="1"/>
  <c r="N172" i="1" s="1"/>
  <c r="BC189" i="1"/>
  <c r="BE189" i="1" s="1" a="1"/>
  <c r="BE189" i="1" s="1"/>
  <c r="N189" i="1" s="1" a="1"/>
  <c r="N189" i="1" s="1"/>
  <c r="BC180" i="1"/>
  <c r="BE180" i="1" s="1" a="1"/>
  <c r="BE180" i="1" s="1"/>
  <c r="N180" i="1" s="1" a="1"/>
  <c r="N180" i="1" s="1"/>
  <c r="BC174" i="1"/>
  <c r="BE174" i="1" s="1" a="1"/>
  <c r="BE174" i="1" s="1"/>
  <c r="N174" i="1" s="1" a="1"/>
  <c r="N174" i="1" s="1"/>
  <c r="BC175" i="1"/>
  <c r="BE175" i="1" s="1" a="1"/>
  <c r="BE175" i="1" s="1"/>
  <c r="N175" i="1" s="1" a="1"/>
  <c r="N175" i="1" s="1"/>
  <c r="BC173" i="1"/>
  <c r="BE173" i="1" s="1" a="1"/>
  <c r="BE173" i="1" s="1"/>
  <c r="N173" i="1" s="1" a="1"/>
  <c r="N173" i="1" s="1"/>
  <c r="BC187" i="1"/>
  <c r="BE187" i="1" s="1" a="1"/>
  <c r="BE187" i="1" s="1"/>
  <c r="N187" i="1" s="1" a="1"/>
  <c r="N187" i="1" s="1"/>
  <c r="BC182" i="1"/>
  <c r="BE182" i="1" s="1" a="1"/>
  <c r="BE182" i="1" s="1"/>
  <c r="N182" i="1" s="1" a="1"/>
  <c r="N182" i="1" s="1"/>
  <c r="BC167" i="1"/>
  <c r="AY167" i="1" a="1"/>
  <c r="AY167" i="1" s="1"/>
  <c r="L167" i="1" s="1" a="1"/>
  <c r="L167" i="1" s="1"/>
  <c r="BC161" i="1"/>
  <c r="AY161" i="1" a="1"/>
  <c r="AY161" i="1" s="1"/>
  <c r="L161" i="1" s="1" a="1"/>
  <c r="L161" i="1" s="1"/>
  <c r="BC171" i="1"/>
  <c r="BC163" i="1"/>
  <c r="AY163" i="1" a="1"/>
  <c r="AY163" i="1" s="1"/>
  <c r="L163" i="1" s="1" a="1"/>
  <c r="L163" i="1" s="1"/>
  <c r="BC168" i="1"/>
  <c r="AY168" i="1" a="1"/>
  <c r="AY168" i="1" s="1"/>
  <c r="L168" i="1" s="1" a="1"/>
  <c r="L168" i="1" s="1"/>
  <c r="BC169" i="1"/>
  <c r="AY169" i="1" a="1"/>
  <c r="AY169" i="1" s="1"/>
  <c r="L169" i="1" s="1" a="1"/>
  <c r="L169" i="1" s="1"/>
  <c r="BC158" i="1"/>
  <c r="AY158" i="1" a="1"/>
  <c r="AY158" i="1" s="1"/>
  <c r="L158" i="1" s="1" a="1"/>
  <c r="L158" i="1" s="1"/>
  <c r="BC165" i="1"/>
  <c r="AY165" i="1" a="1"/>
  <c r="AY165" i="1" s="1"/>
  <c r="L165" i="1" s="1" a="1"/>
  <c r="L165" i="1" s="1"/>
  <c r="BC164" i="1"/>
  <c r="AY164" i="1" a="1"/>
  <c r="AY164" i="1" s="1"/>
  <c r="L164" i="1" s="1" a="1"/>
  <c r="L164" i="1" s="1"/>
  <c r="BC179" i="1"/>
  <c r="BE179" i="1" s="1" a="1"/>
  <c r="BE179" i="1" s="1"/>
  <c r="N179" i="1" s="1" a="1"/>
  <c r="N179" i="1" s="1"/>
  <c r="AY179" i="1" a="1"/>
  <c r="AY179" i="1" s="1"/>
  <c r="L179" i="1" s="1" a="1"/>
  <c r="L179" i="1" s="1"/>
  <c r="BC177" i="1"/>
  <c r="AY177" i="1" a="1"/>
  <c r="AY177" i="1" s="1"/>
  <c r="L177" i="1" s="1" a="1"/>
  <c r="L177" i="1" s="1"/>
  <c r="BC159" i="1"/>
  <c r="AY159" i="1" a="1"/>
  <c r="AY159" i="1" s="1"/>
  <c r="L159" i="1" s="1" a="1"/>
  <c r="L159" i="1" s="1"/>
  <c r="BC170" i="1"/>
  <c r="AY170" i="1" a="1"/>
  <c r="AY170" i="1" s="1"/>
  <c r="L170" i="1" s="1" a="1"/>
  <c r="L170" i="1" s="1"/>
  <c r="BC166" i="1"/>
  <c r="AY166" i="1" a="1"/>
  <c r="AY166" i="1" s="1"/>
  <c r="L166" i="1" s="1" a="1"/>
  <c r="L166" i="1" s="1"/>
  <c r="BC162" i="1"/>
  <c r="AY162" i="1" a="1"/>
  <c r="AY162" i="1" s="1"/>
  <c r="L162" i="1" s="1" a="1"/>
  <c r="L162" i="1" s="1"/>
  <c r="AL168" i="7"/>
  <c r="H168" i="7" a="1"/>
  <c r="H168" i="7" s="1"/>
  <c r="AL167" i="7"/>
  <c r="H167" i="7" a="1"/>
  <c r="H167" i="7" s="1"/>
  <c r="AL165" i="7"/>
  <c r="H165" i="7" a="1"/>
  <c r="H165" i="7" s="1"/>
  <c r="AL166" i="7"/>
  <c r="H166" i="7" a="1"/>
  <c r="H166" i="7" s="1"/>
  <c r="AL164" i="7"/>
  <c r="H164" i="7" a="1"/>
  <c r="H164" i="7" s="1"/>
  <c r="O168" i="7"/>
  <c r="Q168" i="7" s="1"/>
  <c r="O165" i="7"/>
  <c r="Q165" i="7" s="1"/>
  <c r="BC188" i="1"/>
  <c r="BE188" i="1" s="1" a="1"/>
  <c r="BE188" i="1" s="1"/>
  <c r="N188" i="1" s="1" a="1"/>
  <c r="N188" i="1" s="1"/>
  <c r="BC184" i="1"/>
  <c r="BE184" i="1" s="1" a="1"/>
  <c r="BE184" i="1" s="1"/>
  <c r="N184" i="1" s="1" a="1"/>
  <c r="N184" i="1" s="1"/>
  <c r="BC186" i="1"/>
  <c r="BE186" i="1" s="1" a="1"/>
  <c r="BE186" i="1" s="1"/>
  <c r="N186" i="1" s="1" a="1"/>
  <c r="N186" i="1" s="1"/>
  <c r="BC176" i="1"/>
  <c r="BE176" i="1" s="1" a="1"/>
  <c r="BE176" i="1" s="1"/>
  <c r="N176" i="1" s="1" a="1"/>
  <c r="N176" i="1" s="1"/>
  <c r="BC190" i="1"/>
  <c r="BE190" i="1" s="1" a="1"/>
  <c r="BE190" i="1" s="1"/>
  <c r="N190" i="1" s="1" a="1"/>
  <c r="N190" i="1" s="1"/>
  <c r="BC178" i="1"/>
  <c r="BE178" i="1" s="1" a="1"/>
  <c r="BE178" i="1" s="1"/>
  <c r="N178" i="1" s="1" a="1"/>
  <c r="N178" i="1" s="1"/>
  <c r="BC181" i="1"/>
  <c r="BE181" i="1" s="1" a="1"/>
  <c r="BE181" i="1" s="1"/>
  <c r="N181" i="1" s="1" a="1"/>
  <c r="N181" i="1" s="1"/>
  <c r="BC183" i="1"/>
  <c r="BE183" i="1" s="1" a="1"/>
  <c r="BE183" i="1" s="1"/>
  <c r="N183" i="1" s="1" a="1"/>
  <c r="N183" i="1" s="1"/>
  <c r="P167" i="7"/>
  <c r="P166" i="7"/>
  <c r="P164" i="7"/>
  <c r="AE164" i="7" a="1"/>
  <c r="AE164" i="7" s="1"/>
  <c r="AE166" i="7" a="1"/>
  <c r="AE166" i="7" s="1"/>
  <c r="AE167" i="7" a="1"/>
  <c r="AE167" i="7" s="1"/>
  <c r="BF189" i="1" l="1"/>
  <c r="BH189" i="1" s="1" a="1"/>
  <c r="BH189" i="1" s="1"/>
  <c r="O189" i="1" s="1" a="1"/>
  <c r="O189" i="1" s="1"/>
  <c r="BF172" i="1"/>
  <c r="BH172" i="1" s="1" a="1"/>
  <c r="BH172" i="1" s="1"/>
  <c r="O172" i="1" s="1" a="1"/>
  <c r="O172" i="1" s="1"/>
  <c r="BF185" i="1"/>
  <c r="BH185" i="1" s="1" a="1"/>
  <c r="BH185" i="1" s="1"/>
  <c r="O185" i="1" s="1" a="1"/>
  <c r="O185" i="1" s="1"/>
  <c r="BF180" i="1"/>
  <c r="BH180" i="1" s="1" a="1"/>
  <c r="BH180" i="1" s="1"/>
  <c r="O180" i="1" s="1" a="1"/>
  <c r="O180" i="1" s="1"/>
  <c r="BF175" i="1"/>
  <c r="BH175" i="1" s="1" a="1"/>
  <c r="BH175" i="1" s="1"/>
  <c r="O175" i="1" s="1" a="1"/>
  <c r="O175" i="1" s="1"/>
  <c r="BF174" i="1"/>
  <c r="BH174" i="1" s="1" a="1"/>
  <c r="BH174" i="1" s="1"/>
  <c r="O174" i="1" s="1" a="1"/>
  <c r="O174" i="1" s="1"/>
  <c r="BF173" i="1"/>
  <c r="BH173" i="1" s="1" a="1"/>
  <c r="BH173" i="1" s="1"/>
  <c r="O173" i="1" s="1" a="1"/>
  <c r="O173" i="1" s="1"/>
  <c r="BF187" i="1"/>
  <c r="BH187" i="1" s="1" a="1"/>
  <c r="BH187" i="1" s="1"/>
  <c r="O187" i="1" s="1" a="1"/>
  <c r="O187" i="1" s="1"/>
  <c r="BF182" i="1"/>
  <c r="BH182" i="1" s="1" a="1"/>
  <c r="BH182" i="1" s="1"/>
  <c r="O182" i="1" s="1" a="1"/>
  <c r="O182" i="1" s="1"/>
  <c r="BF179" i="1"/>
  <c r="BI179" i="1" s="1"/>
  <c r="BK179" i="1" s="1" a="1"/>
  <c r="BK179" i="1" s="1"/>
  <c r="P179" i="1" s="1" a="1"/>
  <c r="P179" i="1" s="1"/>
  <c r="BF170" i="1"/>
  <c r="BE170" i="1" a="1"/>
  <c r="BE170" i="1" s="1"/>
  <c r="N170" i="1" s="1" a="1"/>
  <c r="N170" i="1" s="1"/>
  <c r="BF158" i="1"/>
  <c r="BE158" i="1" a="1"/>
  <c r="BE158" i="1" s="1"/>
  <c r="N158" i="1" s="1" a="1"/>
  <c r="N158" i="1" s="1"/>
  <c r="BF159" i="1"/>
  <c r="BE159" i="1" a="1"/>
  <c r="BE159" i="1" s="1"/>
  <c r="N159" i="1" s="1" a="1"/>
  <c r="N159" i="1" s="1"/>
  <c r="BF169" i="1"/>
  <c r="BE169" i="1" a="1"/>
  <c r="BE169" i="1" s="1"/>
  <c r="N169" i="1" s="1" a="1"/>
  <c r="N169" i="1" s="1"/>
  <c r="BF177" i="1"/>
  <c r="BE177" i="1" a="1"/>
  <c r="BE177" i="1" s="1"/>
  <c r="N177" i="1" s="1" a="1"/>
  <c r="N177" i="1" s="1"/>
  <c r="BF168" i="1"/>
  <c r="BE168" i="1" a="1"/>
  <c r="BE168" i="1" s="1"/>
  <c r="N168" i="1" s="1" a="1"/>
  <c r="N168" i="1" s="1"/>
  <c r="BF163" i="1"/>
  <c r="BE163" i="1" a="1"/>
  <c r="BE163" i="1" s="1"/>
  <c r="N163" i="1" s="1" a="1"/>
  <c r="N163" i="1" s="1"/>
  <c r="BF161" i="1"/>
  <c r="BE161" i="1" a="1"/>
  <c r="BE161" i="1" s="1"/>
  <c r="N161" i="1" s="1" a="1"/>
  <c r="N161" i="1" s="1"/>
  <c r="BF162" i="1"/>
  <c r="BE162" i="1" a="1"/>
  <c r="BE162" i="1" s="1"/>
  <c r="N162" i="1" s="1" a="1"/>
  <c r="N162" i="1" s="1"/>
  <c r="BF164" i="1"/>
  <c r="BE164" i="1" a="1"/>
  <c r="BE164" i="1" s="1"/>
  <c r="N164" i="1" s="1" a="1"/>
  <c r="N164" i="1" s="1"/>
  <c r="BF166" i="1"/>
  <c r="BE166" i="1" a="1"/>
  <c r="BE166" i="1" s="1"/>
  <c r="N166" i="1" s="1" a="1"/>
  <c r="N166" i="1" s="1"/>
  <c r="BF165" i="1"/>
  <c r="BE165" i="1" a="1"/>
  <c r="BE165" i="1" s="1"/>
  <c r="N165" i="1" s="1" a="1"/>
  <c r="N165" i="1" s="1"/>
  <c r="BF171" i="1"/>
  <c r="BE171" i="1" a="1"/>
  <c r="BE171" i="1" s="1"/>
  <c r="N171" i="1" s="1" a="1"/>
  <c r="N171" i="1" s="1"/>
  <c r="BF167" i="1"/>
  <c r="BE167" i="1" a="1"/>
  <c r="BE167" i="1" s="1"/>
  <c r="N167" i="1" s="1" a="1"/>
  <c r="N167" i="1" s="1"/>
  <c r="P165" i="7"/>
  <c r="P168" i="7"/>
  <c r="AO165" i="7"/>
  <c r="AN165" i="7" a="1"/>
  <c r="AN165" i="7" s="1"/>
  <c r="I165" i="7" s="1" a="1"/>
  <c r="I165" i="7" s="1"/>
  <c r="AO167" i="7"/>
  <c r="AN167" i="7" a="1"/>
  <c r="AN167" i="7" s="1"/>
  <c r="I167" i="7" s="1" a="1"/>
  <c r="I167" i="7" s="1"/>
  <c r="AO166" i="7"/>
  <c r="AN166" i="7" a="1"/>
  <c r="AN166" i="7" s="1"/>
  <c r="I166" i="7" s="1" a="1"/>
  <c r="I166" i="7" s="1"/>
  <c r="AO164" i="7"/>
  <c r="AN164" i="7" a="1"/>
  <c r="AN164" i="7" s="1"/>
  <c r="I164" i="7" s="1" a="1"/>
  <c r="I164" i="7" s="1"/>
  <c r="AO168" i="7"/>
  <c r="AN168" i="7" a="1"/>
  <c r="AN168" i="7" s="1"/>
  <c r="I168" i="7" s="1" a="1"/>
  <c r="I168" i="7" s="1"/>
  <c r="BF188" i="1"/>
  <c r="BF184" i="1"/>
  <c r="BF176" i="1"/>
  <c r="BH176" i="1" s="1" a="1"/>
  <c r="BH176" i="1" s="1"/>
  <c r="O176" i="1" s="1" a="1"/>
  <c r="O176" i="1" s="1"/>
  <c r="BF186" i="1"/>
  <c r="BH186" i="1" s="1" a="1"/>
  <c r="BH186" i="1" s="1"/>
  <c r="O186" i="1" s="1" a="1"/>
  <c r="O186" i="1" s="1"/>
  <c r="BF190" i="1"/>
  <c r="BH190" i="1" s="1" a="1"/>
  <c r="BH190" i="1" s="1"/>
  <c r="O190" i="1" s="1" a="1"/>
  <c r="O190" i="1" s="1"/>
  <c r="BF178" i="1"/>
  <c r="BH178" i="1" s="1" a="1"/>
  <c r="BH178" i="1" s="1"/>
  <c r="O178" i="1" s="1" a="1"/>
  <c r="O178" i="1" s="1"/>
  <c r="BF181" i="1"/>
  <c r="BH181" i="1" s="1" a="1"/>
  <c r="BH181" i="1" s="1"/>
  <c r="O181" i="1" s="1" a="1"/>
  <c r="O181" i="1" s="1"/>
  <c r="BF183" i="1"/>
  <c r="BH183" i="1" s="1" a="1"/>
  <c r="BH183" i="1" s="1"/>
  <c r="O183" i="1" s="1" a="1"/>
  <c r="O183" i="1" s="1"/>
  <c r="BI189" i="1" l="1"/>
  <c r="BL189" i="1" s="1"/>
  <c r="BN189" i="1" s="1" a="1"/>
  <c r="BN189" i="1" s="1"/>
  <c r="Q189" i="1" s="1" a="1"/>
  <c r="Q189" i="1" s="1"/>
  <c r="BI187" i="1"/>
  <c r="BK187" i="1" s="1" a="1"/>
  <c r="BK187" i="1" s="1"/>
  <c r="P187" i="1" s="1" a="1"/>
  <c r="P187" i="1" s="1"/>
  <c r="BI172" i="1"/>
  <c r="BK172" i="1" s="1" a="1"/>
  <c r="BK172" i="1" s="1"/>
  <c r="P172" i="1" s="1" a="1"/>
  <c r="P172" i="1" s="1"/>
  <c r="BI185" i="1"/>
  <c r="BK185" i="1" s="1" a="1"/>
  <c r="BK185" i="1" s="1"/>
  <c r="P185" i="1" s="1" a="1"/>
  <c r="P185" i="1" s="1"/>
  <c r="BI180" i="1"/>
  <c r="BK180" i="1" s="1" a="1"/>
  <c r="BK180" i="1" s="1"/>
  <c r="P180" i="1" s="1" a="1"/>
  <c r="P180" i="1" s="1"/>
  <c r="BI175" i="1"/>
  <c r="BK175" i="1" s="1" a="1"/>
  <c r="BK175" i="1" s="1"/>
  <c r="P175" i="1" s="1" a="1"/>
  <c r="P175" i="1" s="1"/>
  <c r="BI174" i="1"/>
  <c r="BK174" i="1" s="1" a="1"/>
  <c r="BK174" i="1" s="1"/>
  <c r="P174" i="1" s="1" a="1"/>
  <c r="P174" i="1" s="1"/>
  <c r="BH179" i="1" a="1"/>
  <c r="BH179" i="1" s="1"/>
  <c r="O179" i="1" s="1" a="1"/>
  <c r="O179" i="1" s="1"/>
  <c r="BI173" i="1"/>
  <c r="BK173" i="1" s="1" a="1"/>
  <c r="BK173" i="1" s="1"/>
  <c r="P173" i="1" s="1" a="1"/>
  <c r="P173" i="1" s="1"/>
  <c r="BL179" i="1"/>
  <c r="BN179" i="1" s="1" a="1"/>
  <c r="BN179" i="1" s="1"/>
  <c r="Q179" i="1" s="1" a="1"/>
  <c r="Q179" i="1" s="1"/>
  <c r="BI182" i="1"/>
  <c r="BK182" i="1" s="1" a="1"/>
  <c r="BK182" i="1" s="1"/>
  <c r="P182" i="1" s="1" a="1"/>
  <c r="P182" i="1" s="1"/>
  <c r="BI166" i="1"/>
  <c r="BH166" i="1" a="1"/>
  <c r="BH166" i="1" s="1"/>
  <c r="O166" i="1" s="1" a="1"/>
  <c r="O166" i="1" s="1"/>
  <c r="BH177" i="1" a="1"/>
  <c r="BH177" i="1" s="1"/>
  <c r="O177" i="1" s="1" a="1"/>
  <c r="O177" i="1" s="1"/>
  <c r="BI177" i="1"/>
  <c r="BI184" i="1"/>
  <c r="BK184" i="1" s="1" a="1"/>
  <c r="BK184" i="1" s="1"/>
  <c r="P184" i="1" s="1" a="1"/>
  <c r="P184" i="1" s="1"/>
  <c r="BH184" i="1" a="1"/>
  <c r="BH184" i="1" s="1"/>
  <c r="O184" i="1" s="1" a="1"/>
  <c r="O184" i="1" s="1"/>
  <c r="BI164" i="1"/>
  <c r="BH164" i="1" a="1"/>
  <c r="BH164" i="1" s="1"/>
  <c r="O164" i="1" s="1" a="1"/>
  <c r="O164" i="1" s="1"/>
  <c r="BI169" i="1"/>
  <c r="BH169" i="1" a="1"/>
  <c r="BH169" i="1" s="1"/>
  <c r="O169" i="1" s="1" a="1"/>
  <c r="O169" i="1" s="1"/>
  <c r="BI188" i="1"/>
  <c r="BK188" i="1" s="1" a="1"/>
  <c r="BK188" i="1" s="1"/>
  <c r="P188" i="1" s="1" a="1"/>
  <c r="P188" i="1" s="1"/>
  <c r="BH188" i="1" a="1"/>
  <c r="BH188" i="1" s="1"/>
  <c r="O188" i="1" s="1" a="1"/>
  <c r="O188" i="1" s="1"/>
  <c r="BI162" i="1"/>
  <c r="BH162" i="1" a="1"/>
  <c r="BH162" i="1" s="1"/>
  <c r="O162" i="1" s="1" a="1"/>
  <c r="O162" i="1" s="1"/>
  <c r="BI159" i="1"/>
  <c r="BH159" i="1" a="1"/>
  <c r="BH159" i="1" s="1"/>
  <c r="O159" i="1" s="1" a="1"/>
  <c r="O159" i="1" s="1"/>
  <c r="BI167" i="1"/>
  <c r="BH167" i="1" a="1"/>
  <c r="BH167" i="1" s="1"/>
  <c r="O167" i="1" s="1" a="1"/>
  <c r="O167" i="1" s="1"/>
  <c r="BI161" i="1"/>
  <c r="BH161" i="1" a="1"/>
  <c r="BH161" i="1" s="1"/>
  <c r="O161" i="1" s="1" a="1"/>
  <c r="O161" i="1" s="1"/>
  <c r="BH171" i="1" a="1"/>
  <c r="BH171" i="1" s="1"/>
  <c r="O171" i="1" s="1" a="1"/>
  <c r="O171" i="1" s="1"/>
  <c r="BI171" i="1"/>
  <c r="BI163" i="1"/>
  <c r="BH163" i="1" a="1"/>
  <c r="BH163" i="1" s="1"/>
  <c r="O163" i="1" s="1" a="1"/>
  <c r="O163" i="1" s="1"/>
  <c r="BI158" i="1"/>
  <c r="BH158" i="1" a="1"/>
  <c r="BH158" i="1" s="1"/>
  <c r="O158" i="1" s="1" a="1"/>
  <c r="O158" i="1" s="1"/>
  <c r="BI165" i="1"/>
  <c r="BH165" i="1" a="1"/>
  <c r="BH165" i="1" s="1"/>
  <c r="O165" i="1" s="1" a="1"/>
  <c r="O165" i="1" s="1"/>
  <c r="BI168" i="1"/>
  <c r="BH168" i="1" a="1"/>
  <c r="BH168" i="1" s="1"/>
  <c r="O168" i="1" s="1" a="1"/>
  <c r="O168" i="1" s="1"/>
  <c r="BI170" i="1"/>
  <c r="BH170" i="1" a="1"/>
  <c r="BH170" i="1" s="1"/>
  <c r="O170" i="1" s="1" a="1"/>
  <c r="O170" i="1" s="1"/>
  <c r="AQ168" i="7" a="1"/>
  <c r="AQ168" i="7" s="1"/>
  <c r="J168" i="7" s="1" a="1"/>
  <c r="J168" i="7" s="1"/>
  <c r="AR168" i="7"/>
  <c r="AQ164" i="7" a="1"/>
  <c r="AQ164" i="7" s="1"/>
  <c r="J164" i="7" s="1" a="1"/>
  <c r="J164" i="7" s="1"/>
  <c r="AR164" i="7"/>
  <c r="AR166" i="7"/>
  <c r="AQ166" i="7" a="1"/>
  <c r="AQ166" i="7" s="1"/>
  <c r="J166" i="7" s="1" a="1"/>
  <c r="J166" i="7" s="1"/>
  <c r="AR167" i="7"/>
  <c r="AQ167" i="7" a="1"/>
  <c r="AQ167" i="7" s="1"/>
  <c r="J167" i="7" s="1" a="1"/>
  <c r="J167" i="7" s="1"/>
  <c r="AR165" i="7"/>
  <c r="AQ165" i="7" a="1"/>
  <c r="AQ165" i="7" s="1"/>
  <c r="J165" i="7" s="1" a="1"/>
  <c r="J165" i="7" s="1"/>
  <c r="BI186" i="1"/>
  <c r="BK186" i="1" s="1" a="1"/>
  <c r="BK186" i="1" s="1"/>
  <c r="P186" i="1" s="1" a="1"/>
  <c r="P186" i="1" s="1"/>
  <c r="BI176" i="1"/>
  <c r="BK176" i="1" s="1" a="1"/>
  <c r="BK176" i="1" s="1"/>
  <c r="P176" i="1" s="1" a="1"/>
  <c r="P176" i="1" s="1"/>
  <c r="BI190" i="1"/>
  <c r="BK190" i="1" s="1" a="1"/>
  <c r="BK190" i="1" s="1"/>
  <c r="P190" i="1" s="1" a="1"/>
  <c r="P190" i="1" s="1"/>
  <c r="BI178" i="1"/>
  <c r="BK178" i="1" s="1" a="1"/>
  <c r="BK178" i="1" s="1"/>
  <c r="P178" i="1" s="1" a="1"/>
  <c r="P178" i="1" s="1"/>
  <c r="BI181" i="1"/>
  <c r="BK181" i="1" s="1" a="1"/>
  <c r="BK181" i="1" s="1"/>
  <c r="P181" i="1" s="1" a="1"/>
  <c r="P181" i="1" s="1"/>
  <c r="BI183" i="1"/>
  <c r="BK183" i="1" s="1" a="1"/>
  <c r="BK183" i="1" s="1"/>
  <c r="P183" i="1" s="1" a="1"/>
  <c r="P183" i="1" s="1"/>
  <c r="O163" i="7"/>
  <c r="Q163" i="7" s="1"/>
  <c r="BL172" i="1" l="1"/>
  <c r="BN172" i="1" s="1" a="1"/>
  <c r="BN172" i="1" s="1"/>
  <c r="Q172" i="1" s="1" a="1"/>
  <c r="Q172" i="1" s="1"/>
  <c r="BK189" i="1" a="1"/>
  <c r="BK189" i="1" s="1"/>
  <c r="P189" i="1" s="1" a="1"/>
  <c r="P189" i="1" s="1"/>
  <c r="BL187" i="1"/>
  <c r="BN187" i="1" s="1" a="1"/>
  <c r="BN187" i="1" s="1"/>
  <c r="Q187" i="1" s="1" a="1"/>
  <c r="Q187" i="1" s="1"/>
  <c r="BL185" i="1"/>
  <c r="BN185" i="1" s="1" a="1"/>
  <c r="BN185" i="1" s="1"/>
  <c r="Q185" i="1" s="1" a="1"/>
  <c r="Q185" i="1" s="1"/>
  <c r="BL180" i="1"/>
  <c r="BN180" i="1" s="1" a="1"/>
  <c r="BN180" i="1" s="1"/>
  <c r="Q180" i="1" s="1" a="1"/>
  <c r="Q180" i="1" s="1"/>
  <c r="BL175" i="1"/>
  <c r="BN175" i="1" s="1" a="1"/>
  <c r="BN175" i="1" s="1"/>
  <c r="Q175" i="1" s="1" a="1"/>
  <c r="Q175" i="1" s="1"/>
  <c r="BL173" i="1"/>
  <c r="BN173" i="1" s="1" a="1"/>
  <c r="BN173" i="1" s="1"/>
  <c r="Q173" i="1" s="1" a="1"/>
  <c r="Q173" i="1" s="1"/>
  <c r="BL182" i="1"/>
  <c r="BN182" i="1" s="1" a="1"/>
  <c r="BN182" i="1" s="1"/>
  <c r="Q182" i="1" s="1" a="1"/>
  <c r="Q182" i="1" s="1"/>
  <c r="BL184" i="1"/>
  <c r="BN184" i="1" s="1" a="1"/>
  <c r="BN184" i="1" s="1"/>
  <c r="Q184" i="1" s="1" a="1"/>
  <c r="Q184" i="1" s="1"/>
  <c r="BL174" i="1"/>
  <c r="BN174" i="1" s="1" a="1"/>
  <c r="BN174" i="1" s="1"/>
  <c r="Q174" i="1" s="1" a="1"/>
  <c r="Q174" i="1" s="1"/>
  <c r="BL188" i="1"/>
  <c r="BN188" i="1" s="1" a="1"/>
  <c r="BN188" i="1" s="1"/>
  <c r="Q188" i="1" s="1" a="1"/>
  <c r="Q188" i="1" s="1"/>
  <c r="BL170" i="1"/>
  <c r="BN170" i="1" s="1" a="1"/>
  <c r="BN170" i="1" s="1"/>
  <c r="Q170" i="1" s="1" a="1"/>
  <c r="Q170" i="1" s="1"/>
  <c r="BK170" i="1" a="1"/>
  <c r="BK170" i="1" s="1"/>
  <c r="P170" i="1" s="1" a="1"/>
  <c r="P170" i="1" s="1"/>
  <c r="BL161" i="1"/>
  <c r="BN161" i="1" s="1" a="1"/>
  <c r="BN161" i="1" s="1"/>
  <c r="Q161" i="1" s="1" a="1"/>
  <c r="Q161" i="1" s="1"/>
  <c r="BK161" i="1" a="1"/>
  <c r="BK161" i="1" s="1"/>
  <c r="P161" i="1" s="1" a="1"/>
  <c r="P161" i="1" s="1"/>
  <c r="BL169" i="1"/>
  <c r="BN169" i="1" s="1" a="1"/>
  <c r="BN169" i="1" s="1"/>
  <c r="Q169" i="1" s="1" a="1"/>
  <c r="Q169" i="1" s="1"/>
  <c r="BK169" i="1" a="1"/>
  <c r="BK169" i="1" s="1"/>
  <c r="P169" i="1" s="1" a="1"/>
  <c r="P169" i="1" s="1"/>
  <c r="BL168" i="1"/>
  <c r="BN168" i="1" s="1" a="1"/>
  <c r="BN168" i="1" s="1"/>
  <c r="Q168" i="1" s="1" a="1"/>
  <c r="Q168" i="1" s="1"/>
  <c r="BK168" i="1" a="1"/>
  <c r="BK168" i="1" s="1"/>
  <c r="P168" i="1" s="1" a="1"/>
  <c r="P168" i="1" s="1"/>
  <c r="BL167" i="1"/>
  <c r="BN167" i="1" s="1" a="1"/>
  <c r="BN167" i="1" s="1"/>
  <c r="Q167" i="1" s="1" a="1"/>
  <c r="Q167" i="1" s="1"/>
  <c r="BK167" i="1" a="1"/>
  <c r="BK167" i="1" s="1"/>
  <c r="P167" i="1" s="1" a="1"/>
  <c r="P167" i="1" s="1"/>
  <c r="BL164" i="1"/>
  <c r="BN164" i="1" s="1" a="1"/>
  <c r="BN164" i="1" s="1"/>
  <c r="Q164" i="1" s="1" a="1"/>
  <c r="Q164" i="1" s="1"/>
  <c r="BK164" i="1" a="1"/>
  <c r="BK164" i="1" s="1"/>
  <c r="P164" i="1" s="1" a="1"/>
  <c r="P164" i="1" s="1"/>
  <c r="BK171" i="1" a="1"/>
  <c r="BK171" i="1" s="1"/>
  <c r="P171" i="1" s="1" a="1"/>
  <c r="P171" i="1" s="1"/>
  <c r="BL171" i="1"/>
  <c r="BN171" i="1" s="1" a="1"/>
  <c r="BN171" i="1" s="1"/>
  <c r="Q171" i="1" s="1" a="1"/>
  <c r="Q171" i="1" s="1"/>
  <c r="BL165" i="1"/>
  <c r="BN165" i="1" s="1" a="1"/>
  <c r="BN165" i="1" s="1"/>
  <c r="Q165" i="1" s="1" a="1"/>
  <c r="Q165" i="1" s="1"/>
  <c r="BK165" i="1" a="1"/>
  <c r="BK165" i="1" s="1"/>
  <c r="P165" i="1" s="1" a="1"/>
  <c r="P165" i="1" s="1"/>
  <c r="BL159" i="1"/>
  <c r="BN159" i="1" s="1" a="1"/>
  <c r="BN159" i="1" s="1"/>
  <c r="Q159" i="1" s="1" a="1"/>
  <c r="Q159" i="1" s="1"/>
  <c r="BK159" i="1" a="1"/>
  <c r="BK159" i="1" s="1"/>
  <c r="P159" i="1" s="1" a="1"/>
  <c r="P159" i="1" s="1"/>
  <c r="BK177" i="1" a="1"/>
  <c r="BK177" i="1" s="1"/>
  <c r="P177" i="1" s="1" a="1"/>
  <c r="P177" i="1" s="1"/>
  <c r="BL177" i="1"/>
  <c r="BN177" i="1" s="1" a="1"/>
  <c r="BN177" i="1" s="1"/>
  <c r="Q177" i="1" s="1" a="1"/>
  <c r="Q177" i="1" s="1"/>
  <c r="BL158" i="1"/>
  <c r="BN158" i="1" s="1" a="1"/>
  <c r="BN158" i="1" s="1"/>
  <c r="Q158" i="1" s="1" a="1"/>
  <c r="Q158" i="1" s="1"/>
  <c r="BK158" i="1" a="1"/>
  <c r="BK158" i="1" s="1"/>
  <c r="P158" i="1" s="1" a="1"/>
  <c r="P158" i="1" s="1"/>
  <c r="BL162" i="1"/>
  <c r="BN162" i="1" s="1" a="1"/>
  <c r="BN162" i="1" s="1"/>
  <c r="Q162" i="1" s="1" a="1"/>
  <c r="Q162" i="1" s="1"/>
  <c r="BK162" i="1" a="1"/>
  <c r="BK162" i="1" s="1"/>
  <c r="P162" i="1" s="1" a="1"/>
  <c r="P162" i="1" s="1"/>
  <c r="BL163" i="1"/>
  <c r="BN163" i="1" s="1" a="1"/>
  <c r="BN163" i="1" s="1"/>
  <c r="Q163" i="1" s="1" a="1"/>
  <c r="Q163" i="1" s="1"/>
  <c r="BK163" i="1" a="1"/>
  <c r="BK163" i="1" s="1"/>
  <c r="P163" i="1" s="1" a="1"/>
  <c r="P163" i="1" s="1"/>
  <c r="BL166" i="1"/>
  <c r="BN166" i="1" s="1" a="1"/>
  <c r="BN166" i="1" s="1"/>
  <c r="Q166" i="1" s="1" a="1"/>
  <c r="Q166" i="1" s="1"/>
  <c r="BK166" i="1" a="1"/>
  <c r="BK166" i="1" s="1"/>
  <c r="P166" i="1" s="1" a="1"/>
  <c r="P166" i="1" s="1"/>
  <c r="AU165" i="7"/>
  <c r="AT165" i="7" a="1"/>
  <c r="AT165" i="7" s="1"/>
  <c r="K165" i="7" s="1" a="1"/>
  <c r="K165" i="7" s="1"/>
  <c r="AT167" i="7" a="1"/>
  <c r="AT167" i="7" s="1"/>
  <c r="K167" i="7" s="1" a="1"/>
  <c r="K167" i="7" s="1"/>
  <c r="AU167" i="7"/>
  <c r="AT166" i="7" a="1"/>
  <c r="AT166" i="7" s="1"/>
  <c r="K166" i="7" s="1" a="1"/>
  <c r="K166" i="7" s="1"/>
  <c r="AU166" i="7"/>
  <c r="AT168" i="7" a="1"/>
  <c r="AT168" i="7" s="1"/>
  <c r="K168" i="7" s="1" a="1"/>
  <c r="K168" i="7" s="1"/>
  <c r="AU168" i="7"/>
  <c r="AU164" i="7"/>
  <c r="AT164" i="7" a="1"/>
  <c r="AT164" i="7" s="1"/>
  <c r="K164" i="7" s="1" a="1"/>
  <c r="K164" i="7" s="1"/>
  <c r="BL176" i="1"/>
  <c r="BN176" i="1" s="1" a="1"/>
  <c r="BN176" i="1" s="1"/>
  <c r="Q176" i="1" s="1" a="1"/>
  <c r="Q176" i="1" s="1"/>
  <c r="BL186" i="1"/>
  <c r="BN186" i="1" s="1" a="1"/>
  <c r="BN186" i="1" s="1"/>
  <c r="Q186" i="1" s="1" a="1"/>
  <c r="Q186" i="1" s="1"/>
  <c r="BL190" i="1"/>
  <c r="BN190" i="1" s="1" a="1"/>
  <c r="BN190" i="1" s="1"/>
  <c r="Q190" i="1" s="1" a="1"/>
  <c r="Q190" i="1" s="1"/>
  <c r="BL181" i="1"/>
  <c r="BN181" i="1" s="1" a="1"/>
  <c r="BN181" i="1" s="1"/>
  <c r="Q181" i="1" s="1" a="1"/>
  <c r="Q181" i="1" s="1"/>
  <c r="BL183" i="1"/>
  <c r="BN183" i="1" s="1" a="1"/>
  <c r="BN183" i="1" s="1"/>
  <c r="Q183" i="1" s="1" a="1"/>
  <c r="Q183" i="1" s="1"/>
  <c r="BL178" i="1"/>
  <c r="BN178" i="1" s="1" a="1"/>
  <c r="BN178" i="1" s="1"/>
  <c r="Q178" i="1" s="1" a="1"/>
  <c r="Q178" i="1" s="1"/>
  <c r="AX164" i="7" l="1"/>
  <c r="AZ164" i="7" s="1" a="1"/>
  <c r="AZ164" i="7" s="1"/>
  <c r="M164" i="7" s="1" a="1"/>
  <c r="M164" i="7" s="1"/>
  <c r="AW164" i="7" a="1"/>
  <c r="AW164" i="7" s="1"/>
  <c r="L164" i="7" s="1" a="1"/>
  <c r="L164" i="7" s="1"/>
  <c r="AW168" i="7" a="1"/>
  <c r="AW168" i="7" s="1"/>
  <c r="L168" i="7" s="1" a="1"/>
  <c r="L168" i="7" s="1"/>
  <c r="AX168" i="7"/>
  <c r="AZ168" i="7" s="1" a="1"/>
  <c r="AZ168" i="7" s="1"/>
  <c r="M168" i="7" s="1" a="1"/>
  <c r="M168" i="7" s="1"/>
  <c r="AX166" i="7"/>
  <c r="AZ166" i="7" s="1" a="1"/>
  <c r="AZ166" i="7" s="1"/>
  <c r="M166" i="7" s="1" a="1"/>
  <c r="M166" i="7" s="1"/>
  <c r="AW166" i="7" a="1"/>
  <c r="AW166" i="7" s="1"/>
  <c r="L166" i="7" s="1" a="1"/>
  <c r="L166" i="7" s="1"/>
  <c r="AX167" i="7"/>
  <c r="AZ167" i="7" s="1" a="1"/>
  <c r="AZ167" i="7" s="1"/>
  <c r="M167" i="7" s="1" a="1"/>
  <c r="M167" i="7" s="1"/>
  <c r="AW167" i="7" a="1"/>
  <c r="AW167" i="7" s="1"/>
  <c r="L167" i="7" s="1" a="1"/>
  <c r="L167" i="7" s="1"/>
  <c r="AX165" i="7"/>
  <c r="AZ165" i="7" s="1" a="1"/>
  <c r="AZ165" i="7" s="1"/>
  <c r="M165" i="7" s="1" a="1"/>
  <c r="M165" i="7" s="1"/>
  <c r="AW165" i="7" a="1"/>
  <c r="AW165" i="7" s="1"/>
  <c r="L165" i="7" s="1" a="1"/>
  <c r="L165" i="7" s="1"/>
  <c r="F159" i="7" a="1"/>
  <c r="F159" i="7" s="1"/>
  <c r="F160" i="7" a="1"/>
  <c r="F160" i="7" s="1"/>
  <c r="F161" i="7" a="1"/>
  <c r="F161" i="7" s="1"/>
  <c r="F162" i="7" a="1"/>
  <c r="F162" i="7" s="1"/>
  <c r="F163" i="7" a="1"/>
  <c r="F163" i="7" s="1"/>
  <c r="O159" i="7"/>
  <c r="Q159" i="7" s="1"/>
  <c r="O160" i="7"/>
  <c r="Q160" i="7" s="1"/>
  <c r="O161" i="7"/>
  <c r="Q161" i="7" s="1"/>
  <c r="O162" i="7"/>
  <c r="Q162" i="7" s="1"/>
  <c r="P163" i="7"/>
  <c r="AI159" i="7"/>
  <c r="AI160" i="7"/>
  <c r="AI161" i="7"/>
  <c r="AI162" i="7"/>
  <c r="AI163" i="7"/>
  <c r="F4" i="7" a="1"/>
  <c r="F4" i="7" s="1"/>
  <c r="F5" i="7" a="1"/>
  <c r="F5" i="7" s="1"/>
  <c r="F6" i="7" a="1"/>
  <c r="F6" i="7" s="1"/>
  <c r="F7" i="7" a="1"/>
  <c r="F7" i="7" s="1"/>
  <c r="F8" i="7" a="1"/>
  <c r="F8" i="7" s="1"/>
  <c r="F9" i="7" a="1"/>
  <c r="F9" i="7" s="1"/>
  <c r="F10" i="7" a="1"/>
  <c r="F10" i="7" s="1"/>
  <c r="F11" i="7" a="1"/>
  <c r="F11" i="7" s="1"/>
  <c r="F12" i="7" a="1"/>
  <c r="F12" i="7" s="1"/>
  <c r="F13" i="7" a="1"/>
  <c r="F13" i="7" s="1"/>
  <c r="F14" i="7" a="1"/>
  <c r="F14" i="7" s="1"/>
  <c r="F15" i="7" a="1"/>
  <c r="F15" i="7" s="1"/>
  <c r="F16" i="7" a="1"/>
  <c r="F16" i="7" s="1"/>
  <c r="F17" i="7" a="1"/>
  <c r="F17" i="7" s="1"/>
  <c r="F18" i="7" a="1"/>
  <c r="F18" i="7" s="1"/>
  <c r="F19" i="7" a="1"/>
  <c r="F19" i="7" s="1"/>
  <c r="F20" i="7" a="1"/>
  <c r="F20" i="7" s="1"/>
  <c r="F21" i="7" a="1"/>
  <c r="F21" i="7" s="1"/>
  <c r="F22" i="7" a="1"/>
  <c r="F22" i="7" s="1"/>
  <c r="F23" i="7" a="1"/>
  <c r="F23" i="7" s="1"/>
  <c r="F24" i="7" a="1"/>
  <c r="F24" i="7" s="1"/>
  <c r="F25" i="7" a="1"/>
  <c r="F25" i="7" s="1"/>
  <c r="F26" i="7" a="1"/>
  <c r="F26" i="7" s="1"/>
  <c r="F27" i="7" a="1"/>
  <c r="F27" i="7" s="1"/>
  <c r="F28" i="7" a="1"/>
  <c r="F28" i="7" s="1"/>
  <c r="F29" i="7" a="1"/>
  <c r="F29" i="7" s="1"/>
  <c r="F30" i="7" a="1"/>
  <c r="F30" i="7" s="1"/>
  <c r="F31" i="7" a="1"/>
  <c r="F31" i="7" s="1"/>
  <c r="F32" i="7" a="1"/>
  <c r="F32" i="7" s="1"/>
  <c r="F33" i="7" a="1"/>
  <c r="F33" i="7" s="1"/>
  <c r="F34" i="7" a="1"/>
  <c r="F34" i="7" s="1"/>
  <c r="F35" i="7" a="1"/>
  <c r="F35" i="7" s="1"/>
  <c r="F36" i="7" a="1"/>
  <c r="F36" i="7" s="1"/>
  <c r="F37" i="7" a="1"/>
  <c r="F37" i="7" s="1"/>
  <c r="F38" i="7" a="1"/>
  <c r="F38" i="7" s="1"/>
  <c r="F39" i="7" a="1"/>
  <c r="F39" i="7" s="1"/>
  <c r="F40" i="7" a="1"/>
  <c r="F40" i="7" s="1"/>
  <c r="F41" i="7" a="1"/>
  <c r="F41" i="7" s="1"/>
  <c r="F42" i="7" a="1"/>
  <c r="F42" i="7" s="1"/>
  <c r="F43" i="7" a="1"/>
  <c r="F43" i="7" s="1"/>
  <c r="F44" i="7" a="1"/>
  <c r="F44" i="7" s="1"/>
  <c r="F45" i="7" a="1"/>
  <c r="F45" i="7" s="1"/>
  <c r="F46" i="7" a="1"/>
  <c r="F46" i="7" s="1"/>
  <c r="F47" i="7" a="1"/>
  <c r="F47" i="7" s="1"/>
  <c r="F48" i="7" a="1"/>
  <c r="F48" i="7" s="1"/>
  <c r="F49" i="7" a="1"/>
  <c r="F49" i="7" s="1"/>
  <c r="F50" i="7" a="1"/>
  <c r="F50" i="7" s="1"/>
  <c r="F51" i="7" a="1"/>
  <c r="F51" i="7" s="1"/>
  <c r="F52" i="7" a="1"/>
  <c r="F52" i="7" s="1"/>
  <c r="F53" i="7" a="1"/>
  <c r="F53" i="7" s="1"/>
  <c r="F54" i="7" a="1"/>
  <c r="F54" i="7" s="1"/>
  <c r="F55" i="7" a="1"/>
  <c r="F55" i="7" s="1"/>
  <c r="F56" i="7" a="1"/>
  <c r="F56" i="7" s="1"/>
  <c r="F57" i="7" a="1"/>
  <c r="F57" i="7" s="1"/>
  <c r="F58" i="7" a="1"/>
  <c r="F58" i="7" s="1"/>
  <c r="F59" i="7" a="1"/>
  <c r="F59" i="7" s="1"/>
  <c r="F60" i="7" a="1"/>
  <c r="F60" i="7" s="1"/>
  <c r="F61" i="7" a="1"/>
  <c r="F61" i="7" s="1"/>
  <c r="F62" i="7" a="1"/>
  <c r="F62" i="7" s="1"/>
  <c r="F63" i="7" a="1"/>
  <c r="F63" i="7" s="1"/>
  <c r="F64" i="7" a="1"/>
  <c r="F64" i="7" s="1"/>
  <c r="F65" i="7" a="1"/>
  <c r="F65" i="7" s="1"/>
  <c r="F66" i="7" a="1"/>
  <c r="F66" i="7" s="1"/>
  <c r="F67" i="7" a="1"/>
  <c r="F67" i="7" s="1"/>
  <c r="F68" i="7" a="1"/>
  <c r="F68" i="7" s="1"/>
  <c r="F69" i="7" a="1"/>
  <c r="F69" i="7" s="1"/>
  <c r="F70" i="7" a="1"/>
  <c r="F70" i="7" s="1"/>
  <c r="F71" i="7" a="1"/>
  <c r="F71" i="7" s="1"/>
  <c r="F72" i="7" a="1"/>
  <c r="F72" i="7" s="1"/>
  <c r="F73" i="7" a="1"/>
  <c r="F73" i="7" s="1"/>
  <c r="F74" i="7" a="1"/>
  <c r="F74" i="7" s="1"/>
  <c r="F75" i="7" a="1"/>
  <c r="F75" i="7" s="1"/>
  <c r="F76" i="7" a="1"/>
  <c r="F76" i="7" s="1"/>
  <c r="F77" i="7" a="1"/>
  <c r="F77" i="7" s="1"/>
  <c r="F78" i="7" a="1"/>
  <c r="F78" i="7" s="1"/>
  <c r="F79" i="7" a="1"/>
  <c r="F79" i="7" s="1"/>
  <c r="F80" i="7" a="1"/>
  <c r="F80" i="7" s="1"/>
  <c r="F81" i="7" a="1"/>
  <c r="F81" i="7" s="1"/>
  <c r="F82" i="7" a="1"/>
  <c r="F82" i="7" s="1"/>
  <c r="F83" i="7" a="1"/>
  <c r="F83" i="7" s="1"/>
  <c r="F84" i="7" a="1"/>
  <c r="F84" i="7" s="1"/>
  <c r="F85" i="7" a="1"/>
  <c r="F85" i="7" s="1"/>
  <c r="F86" i="7" a="1"/>
  <c r="F86" i="7" s="1"/>
  <c r="F87" i="7" a="1"/>
  <c r="F87" i="7" s="1"/>
  <c r="F88" i="7" a="1"/>
  <c r="F88" i="7" s="1"/>
  <c r="F89" i="7" a="1"/>
  <c r="F89" i="7" s="1"/>
  <c r="F90" i="7" a="1"/>
  <c r="F90" i="7" s="1"/>
  <c r="F91" i="7" a="1"/>
  <c r="F91" i="7" s="1"/>
  <c r="F92" i="7" a="1"/>
  <c r="F92" i="7" s="1"/>
  <c r="F93" i="7" a="1"/>
  <c r="F93" i="7" s="1"/>
  <c r="F94" i="7" a="1"/>
  <c r="F94" i="7" s="1"/>
  <c r="F95" i="7" a="1"/>
  <c r="F95" i="7" s="1"/>
  <c r="F96" i="7" a="1"/>
  <c r="F96" i="7" s="1"/>
  <c r="F97" i="7" a="1"/>
  <c r="F97" i="7" s="1"/>
  <c r="F98" i="7" a="1"/>
  <c r="F98" i="7" s="1"/>
  <c r="F99" i="7" a="1"/>
  <c r="F99" i="7" s="1"/>
  <c r="F100" i="7" a="1"/>
  <c r="F100" i="7" s="1"/>
  <c r="F101" i="7" a="1"/>
  <c r="F101" i="7" s="1"/>
  <c r="F102" i="7" a="1"/>
  <c r="F102" i="7" s="1"/>
  <c r="F103" i="7" a="1"/>
  <c r="F103" i="7" s="1"/>
  <c r="F104" i="7" a="1"/>
  <c r="F104" i="7" s="1"/>
  <c r="F105" i="7" a="1"/>
  <c r="F105" i="7" s="1"/>
  <c r="F106" i="7" a="1"/>
  <c r="F106" i="7" s="1"/>
  <c r="F107" i="7" a="1"/>
  <c r="F107" i="7" s="1"/>
  <c r="F108" i="7" a="1"/>
  <c r="F108" i="7" s="1"/>
  <c r="F109" i="7" a="1"/>
  <c r="F109" i="7" s="1"/>
  <c r="F110" i="7" a="1"/>
  <c r="F110" i="7" s="1"/>
  <c r="F111" i="7" a="1"/>
  <c r="F111" i="7" s="1"/>
  <c r="F112" i="7" a="1"/>
  <c r="F112" i="7" s="1"/>
  <c r="F113" i="7" a="1"/>
  <c r="F113" i="7" s="1"/>
  <c r="F114" i="7" a="1"/>
  <c r="F114" i="7" s="1"/>
  <c r="F115" i="7" a="1"/>
  <c r="F115" i="7" s="1"/>
  <c r="F116" i="7" a="1"/>
  <c r="F116" i="7" s="1"/>
  <c r="F117" i="7" a="1"/>
  <c r="F117" i="7" s="1"/>
  <c r="F118" i="7" a="1"/>
  <c r="F118" i="7" s="1"/>
  <c r="F119" i="7" a="1"/>
  <c r="F119" i="7" s="1"/>
  <c r="F120" i="7" a="1"/>
  <c r="F120" i="7" s="1"/>
  <c r="F121" i="7" a="1"/>
  <c r="F121" i="7" s="1"/>
  <c r="F122" i="7" a="1"/>
  <c r="F122" i="7" s="1"/>
  <c r="F123" i="7" a="1"/>
  <c r="F123" i="7" s="1"/>
  <c r="F124" i="7" a="1"/>
  <c r="F124" i="7" s="1"/>
  <c r="F125" i="7" a="1"/>
  <c r="F125" i="7" s="1"/>
  <c r="F126" i="7" a="1"/>
  <c r="F126" i="7" s="1"/>
  <c r="F127" i="7" a="1"/>
  <c r="F127" i="7" s="1"/>
  <c r="F128" i="7" a="1"/>
  <c r="F128" i="7" s="1"/>
  <c r="F129" i="7" a="1"/>
  <c r="F129" i="7" s="1"/>
  <c r="F130" i="7" a="1"/>
  <c r="F130" i="7" s="1"/>
  <c r="F131" i="7" a="1"/>
  <c r="F131" i="7" s="1"/>
  <c r="F132" i="7" a="1"/>
  <c r="F132" i="7" s="1"/>
  <c r="F133" i="7" a="1"/>
  <c r="F133" i="7" s="1"/>
  <c r="F134" i="7" a="1"/>
  <c r="F134" i="7" s="1"/>
  <c r="F135" i="7" a="1"/>
  <c r="F135" i="7" s="1"/>
  <c r="F136" i="7" a="1"/>
  <c r="F136" i="7" s="1"/>
  <c r="F137" i="7" a="1"/>
  <c r="F137" i="7" s="1"/>
  <c r="F138" i="7" a="1"/>
  <c r="F138" i="7" s="1"/>
  <c r="F139" i="7" a="1"/>
  <c r="F139" i="7" s="1"/>
  <c r="F140" i="7" a="1"/>
  <c r="F140" i="7" s="1"/>
  <c r="F141" i="7" a="1"/>
  <c r="F141" i="7" s="1"/>
  <c r="F142" i="7" a="1"/>
  <c r="F142" i="7" s="1"/>
  <c r="F143" i="7" a="1"/>
  <c r="F143" i="7" s="1"/>
  <c r="F144" i="7" a="1"/>
  <c r="F144" i="7" s="1"/>
  <c r="F145" i="7" a="1"/>
  <c r="F145" i="7" s="1"/>
  <c r="F146" i="7" a="1"/>
  <c r="F146" i="7" s="1"/>
  <c r="F147" i="7" a="1"/>
  <c r="F147" i="7" s="1"/>
  <c r="F148" i="7" a="1"/>
  <c r="F148" i="7" s="1"/>
  <c r="F149" i="7" a="1"/>
  <c r="F149" i="7" s="1"/>
  <c r="F150" i="7" a="1"/>
  <c r="F150" i="7" s="1"/>
  <c r="F151" i="7" a="1"/>
  <c r="F151" i="7" s="1"/>
  <c r="F152" i="7" a="1"/>
  <c r="F152" i="7" s="1"/>
  <c r="F153" i="7" a="1"/>
  <c r="F153" i="7" s="1"/>
  <c r="F154" i="7" a="1"/>
  <c r="F154" i="7" s="1"/>
  <c r="F155" i="7" a="1"/>
  <c r="F155" i="7" s="1"/>
  <c r="F156" i="7" a="1"/>
  <c r="F156" i="7" s="1"/>
  <c r="F157" i="7" a="1"/>
  <c r="F157" i="7" s="1"/>
  <c r="F158" i="7" a="1"/>
  <c r="F158" i="7" s="1"/>
  <c r="AI158" i="7"/>
  <c r="O158" i="7"/>
  <c r="Q158" i="7" s="1"/>
  <c r="AI157" i="7"/>
  <c r="AI156" i="7"/>
  <c r="O156" i="7"/>
  <c r="Q156" i="7" s="1"/>
  <c r="N156" i="7"/>
  <c r="AI155" i="7"/>
  <c r="N155" i="7"/>
  <c r="AI154" i="7"/>
  <c r="O154" i="7"/>
  <c r="Q154" i="7" s="1"/>
  <c r="N154" i="7"/>
  <c r="AI153" i="7"/>
  <c r="O153" i="7"/>
  <c r="Q153" i="7" s="1"/>
  <c r="N153" i="7"/>
  <c r="AI152" i="7"/>
  <c r="O152" i="7"/>
  <c r="Q152" i="7" s="1"/>
  <c r="N152" i="7"/>
  <c r="AI151" i="7"/>
  <c r="O151" i="7"/>
  <c r="Q151" i="7" s="1"/>
  <c r="N151" i="7"/>
  <c r="AI150" i="7"/>
  <c r="O150" i="7"/>
  <c r="Q150" i="7" s="1"/>
  <c r="N150" i="7"/>
  <c r="AI149" i="7"/>
  <c r="O149" i="7"/>
  <c r="Q149" i="7" s="1"/>
  <c r="N149" i="7"/>
  <c r="AI148" i="7"/>
  <c r="O148" i="7"/>
  <c r="Q148" i="7" s="1"/>
  <c r="N148" i="7"/>
  <c r="AI147" i="7"/>
  <c r="O147" i="7"/>
  <c r="Q147" i="7" s="1"/>
  <c r="N147" i="7"/>
  <c r="AI146" i="7"/>
  <c r="O146" i="7"/>
  <c r="Q146" i="7" s="1"/>
  <c r="N146" i="7"/>
  <c r="AI145" i="7"/>
  <c r="O145" i="7"/>
  <c r="Q145" i="7" s="1"/>
  <c r="N145" i="7"/>
  <c r="AI144" i="7"/>
  <c r="O144" i="7"/>
  <c r="Q144" i="7" s="1"/>
  <c r="N144" i="7"/>
  <c r="AI143" i="7"/>
  <c r="O143" i="7"/>
  <c r="Q143" i="7" s="1"/>
  <c r="N143" i="7"/>
  <c r="AI142" i="7"/>
  <c r="O142" i="7"/>
  <c r="Q142" i="7" s="1"/>
  <c r="N142" i="7"/>
  <c r="AI141" i="7"/>
  <c r="N141" i="7"/>
  <c r="AI140" i="7"/>
  <c r="N140" i="7"/>
  <c r="AI139" i="7"/>
  <c r="N139" i="7"/>
  <c r="AI138" i="7"/>
  <c r="O138" i="7"/>
  <c r="Q138" i="7" s="1"/>
  <c r="N138" i="7"/>
  <c r="AI137" i="7"/>
  <c r="N137" i="7"/>
  <c r="AI136" i="7"/>
  <c r="O136" i="7"/>
  <c r="Q136" i="7" s="1"/>
  <c r="N136" i="7"/>
  <c r="AI135" i="7"/>
  <c r="O135" i="7"/>
  <c r="Q135" i="7" s="1"/>
  <c r="N135" i="7"/>
  <c r="AI134" i="7"/>
  <c r="O134" i="7"/>
  <c r="Q134" i="7" s="1"/>
  <c r="N134" i="7"/>
  <c r="AI133" i="7"/>
  <c r="N133" i="7"/>
  <c r="AI132" i="7"/>
  <c r="O132" i="7"/>
  <c r="Q132" i="7" s="1"/>
  <c r="N132" i="7"/>
  <c r="AI131" i="7"/>
  <c r="O131" i="7"/>
  <c r="Q131" i="7" s="1"/>
  <c r="N131" i="7"/>
  <c r="AI130" i="7"/>
  <c r="N130" i="7"/>
  <c r="AI129" i="7"/>
  <c r="O129" i="7"/>
  <c r="Q129" i="7" s="1"/>
  <c r="N129" i="7"/>
  <c r="AI128" i="7"/>
  <c r="N128" i="7"/>
  <c r="AI127" i="7"/>
  <c r="N127" i="7"/>
  <c r="AI126" i="7"/>
  <c r="O126" i="7"/>
  <c r="Q126" i="7" s="1"/>
  <c r="N126" i="7"/>
  <c r="AI125" i="7"/>
  <c r="O125" i="7"/>
  <c r="Q125" i="7" s="1"/>
  <c r="N125" i="7"/>
  <c r="AI124" i="7"/>
  <c r="N124" i="7"/>
  <c r="AI123" i="7"/>
  <c r="O123" i="7"/>
  <c r="Q123" i="7" s="1"/>
  <c r="N123" i="7"/>
  <c r="L122" i="7" a="1"/>
  <c r="L122" i="7" s="1"/>
  <c r="J122" i="7" a="1"/>
  <c r="J122" i="7" s="1"/>
  <c r="H122" i="7" a="1"/>
  <c r="H122" i="7" s="1"/>
  <c r="O122" i="7"/>
  <c r="Q122" i="7" s="1"/>
  <c r="N122" i="7"/>
  <c r="L121" i="7" a="1"/>
  <c r="L121" i="7" s="1"/>
  <c r="I121" i="7" a="1"/>
  <c r="I121" i="7" s="1"/>
  <c r="N121" i="7"/>
  <c r="L120" i="7" a="1"/>
  <c r="L120" i="7" s="1"/>
  <c r="I120" i="7" a="1"/>
  <c r="I120" i="7" s="1"/>
  <c r="O120" i="7"/>
  <c r="Q120" i="7" s="1"/>
  <c r="N120" i="7"/>
  <c r="L119" i="7" a="1"/>
  <c r="L119" i="7" s="1"/>
  <c r="H119" i="7" a="1"/>
  <c r="H119" i="7" s="1"/>
  <c r="O119" i="7"/>
  <c r="Q119" i="7" s="1"/>
  <c r="N119" i="7"/>
  <c r="L118" i="7" a="1"/>
  <c r="L118" i="7" s="1"/>
  <c r="J118" i="7" a="1"/>
  <c r="J118" i="7" s="1"/>
  <c r="I118" i="7" a="1"/>
  <c r="I118" i="7" s="1"/>
  <c r="O118" i="7"/>
  <c r="Q118" i="7" s="1"/>
  <c r="N118" i="7"/>
  <c r="L117" i="7" a="1"/>
  <c r="L117" i="7" s="1"/>
  <c r="K117" i="7" a="1"/>
  <c r="K117" i="7" s="1"/>
  <c r="I117" i="7" a="1"/>
  <c r="I117" i="7" s="1"/>
  <c r="O117" i="7"/>
  <c r="Q117" i="7" s="1"/>
  <c r="N117" i="7"/>
  <c r="L116" i="7" a="1"/>
  <c r="L116" i="7" s="1"/>
  <c r="H116" i="7" a="1"/>
  <c r="H116" i="7" s="1"/>
  <c r="O116" i="7"/>
  <c r="Q116" i="7" s="1"/>
  <c r="N116" i="7"/>
  <c r="L115" i="7" a="1"/>
  <c r="L115" i="7" s="1"/>
  <c r="H115" i="7" a="1"/>
  <c r="H115" i="7" s="1"/>
  <c r="O115" i="7"/>
  <c r="Q115" i="7" s="1"/>
  <c r="N115" i="7"/>
  <c r="L114" i="7" a="1"/>
  <c r="L114" i="7" s="1"/>
  <c r="H114" i="7" a="1"/>
  <c r="H114" i="7" s="1"/>
  <c r="O114" i="7"/>
  <c r="Q114" i="7" s="1"/>
  <c r="N114" i="7"/>
  <c r="L113" i="7" a="1"/>
  <c r="L113" i="7" s="1"/>
  <c r="J113" i="7" a="1"/>
  <c r="J113" i="7" s="1"/>
  <c r="I113" i="7" a="1"/>
  <c r="I113" i="7" s="1"/>
  <c r="O113" i="7"/>
  <c r="Q113" i="7" s="1"/>
  <c r="N113" i="7"/>
  <c r="L112" i="7" a="1"/>
  <c r="L112" i="7" s="1"/>
  <c r="I112" i="7" a="1"/>
  <c r="I112" i="7" s="1"/>
  <c r="O112" i="7"/>
  <c r="Q112" i="7" s="1"/>
  <c r="N112" i="7"/>
  <c r="L111" i="7" a="1"/>
  <c r="L111" i="7" s="1"/>
  <c r="H111" i="7" a="1"/>
  <c r="H111" i="7" s="1"/>
  <c r="O111" i="7"/>
  <c r="Q111" i="7" s="1"/>
  <c r="N111" i="7"/>
  <c r="L110" i="7" a="1"/>
  <c r="L110" i="7" s="1"/>
  <c r="I110" i="7" a="1"/>
  <c r="I110" i="7" s="1"/>
  <c r="O110" i="7"/>
  <c r="Q110" i="7" s="1"/>
  <c r="N110" i="7"/>
  <c r="L109" i="7" a="1"/>
  <c r="L109" i="7" s="1"/>
  <c r="J109" i="7" a="1"/>
  <c r="J109" i="7" s="1"/>
  <c r="I109" i="7" a="1"/>
  <c r="I109" i="7" s="1"/>
  <c r="O109" i="7"/>
  <c r="Q109" i="7" s="1"/>
  <c r="N109" i="7"/>
  <c r="L108" i="7" a="1"/>
  <c r="L108" i="7" s="1"/>
  <c r="K108" i="7" a="1"/>
  <c r="K108" i="7" s="1"/>
  <c r="I108" i="7" a="1"/>
  <c r="I108" i="7" s="1"/>
  <c r="O108" i="7"/>
  <c r="Q108" i="7" s="1"/>
  <c r="N108" i="7"/>
  <c r="L107" i="7" a="1"/>
  <c r="L107" i="7" s="1"/>
  <c r="H107" i="7" a="1"/>
  <c r="H107" i="7" s="1"/>
  <c r="O107" i="7"/>
  <c r="Q107" i="7" s="1"/>
  <c r="N107" i="7"/>
  <c r="L106" i="7" a="1"/>
  <c r="L106" i="7" s="1"/>
  <c r="H106" i="7" a="1"/>
  <c r="H106" i="7" s="1"/>
  <c r="O106" i="7"/>
  <c r="Q106" i="7" s="1"/>
  <c r="N106" i="7"/>
  <c r="L105" i="7" a="1"/>
  <c r="L105" i="7" s="1"/>
  <c r="J105" i="7" a="1"/>
  <c r="J105" i="7" s="1"/>
  <c r="I105" i="7" a="1"/>
  <c r="I105" i="7" s="1"/>
  <c r="O105" i="7"/>
  <c r="Q105" i="7" s="1"/>
  <c r="N105" i="7"/>
  <c r="L104" i="7" a="1"/>
  <c r="L104" i="7" s="1"/>
  <c r="J104" i="7" a="1"/>
  <c r="J104" i="7" s="1"/>
  <c r="I104" i="7" a="1"/>
  <c r="I104" i="7" s="1"/>
  <c r="O104" i="7"/>
  <c r="Q104" i="7" s="1"/>
  <c r="N104" i="7"/>
  <c r="L103" i="7" a="1"/>
  <c r="L103" i="7" s="1"/>
  <c r="I103" i="7" a="1"/>
  <c r="I103" i="7" s="1"/>
  <c r="O103" i="7"/>
  <c r="Q103" i="7" s="1"/>
  <c r="N103" i="7"/>
  <c r="L102" i="7" a="1"/>
  <c r="L102" i="7" s="1"/>
  <c r="I102" i="7" a="1"/>
  <c r="I102" i="7" s="1"/>
  <c r="N102" i="7"/>
  <c r="L101" i="7" a="1"/>
  <c r="L101" i="7" s="1"/>
  <c r="J101" i="7" a="1"/>
  <c r="J101" i="7" s="1"/>
  <c r="I101" i="7" a="1"/>
  <c r="I101" i="7" s="1"/>
  <c r="O101" i="7"/>
  <c r="Q101" i="7" s="1"/>
  <c r="N101" i="7"/>
  <c r="L100" i="7" a="1"/>
  <c r="L100" i="7" s="1"/>
  <c r="O100" i="7"/>
  <c r="Q100" i="7" s="1"/>
  <c r="N100" i="7"/>
  <c r="L99" i="7" a="1"/>
  <c r="L99" i="7" s="1"/>
  <c r="K99" i="7" a="1"/>
  <c r="K99" i="7" s="1"/>
  <c r="H99" i="7" a="1"/>
  <c r="H99" i="7" s="1"/>
  <c r="O99" i="7"/>
  <c r="Q99" i="7" s="1"/>
  <c r="N99" i="7"/>
  <c r="L98" i="7" a="1"/>
  <c r="L98" i="7" s="1"/>
  <c r="H98" i="7" a="1"/>
  <c r="H98" i="7" s="1"/>
  <c r="O98" i="7"/>
  <c r="Q98" i="7" s="1"/>
  <c r="N98" i="7"/>
  <c r="L97" i="7" a="1"/>
  <c r="L97" i="7" s="1"/>
  <c r="H97" i="7" a="1"/>
  <c r="H97" i="7" s="1"/>
  <c r="O97" i="7"/>
  <c r="Q97" i="7" s="1"/>
  <c r="N97" i="7"/>
  <c r="L96" i="7" a="1"/>
  <c r="L96" i="7" s="1"/>
  <c r="J96" i="7" a="1"/>
  <c r="J96" i="7" s="1"/>
  <c r="N96" i="7"/>
  <c r="L95" i="7" a="1"/>
  <c r="L95" i="7" s="1"/>
  <c r="N95" i="7"/>
  <c r="L94" i="7" a="1"/>
  <c r="L94" i="7" s="1"/>
  <c r="O94" i="7"/>
  <c r="Q94" i="7" s="1"/>
  <c r="N94" i="7"/>
  <c r="L93" i="7" a="1"/>
  <c r="L93" i="7" s="1"/>
  <c r="J93" i="7" a="1"/>
  <c r="J93" i="7" s="1"/>
  <c r="H93" i="7" a="1"/>
  <c r="H93" i="7" s="1"/>
  <c r="O93" i="7"/>
  <c r="Q93" i="7" s="1"/>
  <c r="N93" i="7"/>
  <c r="L92" i="7" a="1"/>
  <c r="L92" i="7" s="1"/>
  <c r="J92" i="7" a="1"/>
  <c r="J92" i="7" s="1"/>
  <c r="O92" i="7"/>
  <c r="Q92" i="7" s="1"/>
  <c r="N92" i="7"/>
  <c r="L91" i="7" a="1"/>
  <c r="L91" i="7" s="1"/>
  <c r="N91" i="7"/>
  <c r="L90" i="7" a="1"/>
  <c r="L90" i="7" s="1"/>
  <c r="H90" i="7" a="1"/>
  <c r="H90" i="7" s="1"/>
  <c r="O90" i="7"/>
  <c r="Q90" i="7" s="1"/>
  <c r="N90" i="7"/>
  <c r="L89" i="7" a="1"/>
  <c r="L89" i="7" s="1"/>
  <c r="I89" i="7" a="1"/>
  <c r="I89" i="7" s="1"/>
  <c r="O89" i="7"/>
  <c r="Q89" i="7" s="1"/>
  <c r="N89" i="7"/>
  <c r="L88" i="7" a="1"/>
  <c r="L88" i="7" s="1"/>
  <c r="K88" i="7" a="1"/>
  <c r="K88" i="7" s="1"/>
  <c r="I88" i="7" a="1"/>
  <c r="I88" i="7" s="1"/>
  <c r="N88" i="7"/>
  <c r="L87" i="7" a="1"/>
  <c r="L87" i="7" s="1"/>
  <c r="O87" i="7"/>
  <c r="Q87" i="7" s="1"/>
  <c r="N87" i="7"/>
  <c r="L86" i="7" a="1"/>
  <c r="L86" i="7" s="1"/>
  <c r="J86" i="7" a="1"/>
  <c r="J86" i="7" s="1"/>
  <c r="O86" i="7"/>
  <c r="Q86" i="7" s="1"/>
  <c r="N86" i="7"/>
  <c r="L85" i="7" a="1"/>
  <c r="L85" i="7" s="1"/>
  <c r="K85" i="7" a="1"/>
  <c r="K85" i="7" s="1"/>
  <c r="H85" i="7" a="1"/>
  <c r="H85" i="7" s="1"/>
  <c r="N85" i="7"/>
  <c r="L84" i="7" a="1"/>
  <c r="L84" i="7" s="1"/>
  <c r="J84" i="7" a="1"/>
  <c r="J84" i="7" s="1"/>
  <c r="I84" i="7" a="1"/>
  <c r="I84" i="7" s="1"/>
  <c r="N84" i="7"/>
  <c r="L83" i="7" a="1"/>
  <c r="L83" i="7" s="1"/>
  <c r="H83" i="7" a="1"/>
  <c r="H83" i="7" s="1"/>
  <c r="O83" i="7"/>
  <c r="Q83" i="7" s="1"/>
  <c r="N83" i="7"/>
  <c r="L82" i="7" a="1"/>
  <c r="L82" i="7" s="1"/>
  <c r="J82" i="7" a="1"/>
  <c r="J82" i="7" s="1"/>
  <c r="I82" i="7" a="1"/>
  <c r="I82" i="7" s="1"/>
  <c r="O82" i="7"/>
  <c r="Q82" i="7" s="1"/>
  <c r="N82" i="7"/>
  <c r="L81" i="7" a="1"/>
  <c r="L81" i="7" s="1"/>
  <c r="J81" i="7" a="1"/>
  <c r="J81" i="7" s="1"/>
  <c r="H81" i="7" a="1"/>
  <c r="H81" i="7" s="1"/>
  <c r="O81" i="7"/>
  <c r="Q81" i="7" s="1"/>
  <c r="N81" i="7"/>
  <c r="L80" i="7" a="1"/>
  <c r="L80" i="7" s="1"/>
  <c r="I80" i="7" a="1"/>
  <c r="I80" i="7" s="1"/>
  <c r="N80" i="7"/>
  <c r="L79" i="7" a="1"/>
  <c r="L79" i="7" s="1"/>
  <c r="K79" i="7" a="1"/>
  <c r="K79" i="7" s="1"/>
  <c r="H79" i="7" a="1"/>
  <c r="H79" i="7" s="1"/>
  <c r="N79" i="7"/>
  <c r="L78" i="7" a="1"/>
  <c r="L78" i="7" s="1"/>
  <c r="O78" i="7"/>
  <c r="Q78" i="7" s="1"/>
  <c r="N78" i="7"/>
  <c r="L77" i="7" a="1"/>
  <c r="L77" i="7" s="1"/>
  <c r="H77" i="7" a="1"/>
  <c r="H77" i="7" s="1"/>
  <c r="O77" i="7"/>
  <c r="Q77" i="7" s="1"/>
  <c r="N77" i="7"/>
  <c r="L76" i="7" a="1"/>
  <c r="L76" i="7" s="1"/>
  <c r="J76" i="7" a="1"/>
  <c r="J76" i="7" s="1"/>
  <c r="O76" i="7"/>
  <c r="Q76" i="7" s="1"/>
  <c r="N76" i="7"/>
  <c r="L75" i="7" a="1"/>
  <c r="L75" i="7" s="1"/>
  <c r="H75" i="7" a="1"/>
  <c r="H75" i="7" s="1"/>
  <c r="O75" i="7"/>
  <c r="Q75" i="7" s="1"/>
  <c r="N75" i="7"/>
  <c r="L74" i="7" a="1"/>
  <c r="L74" i="7" s="1"/>
  <c r="J74" i="7" a="1"/>
  <c r="J74" i="7" s="1"/>
  <c r="I74" i="7" a="1"/>
  <c r="I74" i="7" s="1"/>
  <c r="O74" i="7"/>
  <c r="Q74" i="7" s="1"/>
  <c r="N74" i="7"/>
  <c r="L73" i="7" a="1"/>
  <c r="L73" i="7" s="1"/>
  <c r="H73" i="7" a="1"/>
  <c r="H73" i="7" s="1"/>
  <c r="O73" i="7"/>
  <c r="Q73" i="7" s="1"/>
  <c r="N73" i="7"/>
  <c r="L72" i="7" a="1"/>
  <c r="L72" i="7" s="1"/>
  <c r="J72" i="7" a="1"/>
  <c r="J72" i="7" s="1"/>
  <c r="I72" i="7" a="1"/>
  <c r="I72" i="7" s="1"/>
  <c r="O72" i="7"/>
  <c r="Q72" i="7" s="1"/>
  <c r="N72" i="7"/>
  <c r="L71" i="7" a="1"/>
  <c r="L71" i="7" s="1"/>
  <c r="H71" i="7" a="1"/>
  <c r="H71" i="7" s="1"/>
  <c r="N71" i="7"/>
  <c r="L70" i="7" a="1"/>
  <c r="L70" i="7" s="1"/>
  <c r="H70" i="7" a="1"/>
  <c r="H70" i="7" s="1"/>
  <c r="O70" i="7"/>
  <c r="Q70" i="7" s="1"/>
  <c r="N70" i="7"/>
  <c r="L69" i="7" a="1"/>
  <c r="L69" i="7" s="1"/>
  <c r="H69" i="7" a="1"/>
  <c r="H69" i="7" s="1"/>
  <c r="O69" i="7"/>
  <c r="Q69" i="7" s="1"/>
  <c r="N69" i="7"/>
  <c r="L68" i="7" a="1"/>
  <c r="L68" i="7" s="1"/>
  <c r="J68" i="7" a="1"/>
  <c r="J68" i="7" s="1"/>
  <c r="I68" i="7" a="1"/>
  <c r="I68" i="7" s="1"/>
  <c r="O68" i="7"/>
  <c r="Q68" i="7" s="1"/>
  <c r="N68" i="7"/>
  <c r="L67" i="7" a="1"/>
  <c r="L67" i="7" s="1"/>
  <c r="H67" i="7" a="1"/>
  <c r="H67" i="7" s="1"/>
  <c r="O67" i="7"/>
  <c r="Q67" i="7" s="1"/>
  <c r="N67" i="7"/>
  <c r="L66" i="7" a="1"/>
  <c r="L66" i="7" s="1"/>
  <c r="J66" i="7" a="1"/>
  <c r="J66" i="7" s="1"/>
  <c r="O66" i="7"/>
  <c r="Q66" i="7" s="1"/>
  <c r="N66" i="7"/>
  <c r="L65" i="7" a="1"/>
  <c r="L65" i="7" s="1"/>
  <c r="I65" i="7" a="1"/>
  <c r="I65" i="7" s="1"/>
  <c r="N65" i="7"/>
  <c r="L64" i="7" a="1"/>
  <c r="L64" i="7" s="1"/>
  <c r="I64" i="7" a="1"/>
  <c r="I64" i="7" s="1"/>
  <c r="O64" i="7"/>
  <c r="Q64" i="7" s="1"/>
  <c r="N64" i="7"/>
  <c r="L63" i="7" a="1"/>
  <c r="L63" i="7" s="1"/>
  <c r="O63" i="7"/>
  <c r="Q63" i="7" s="1"/>
  <c r="N63" i="7"/>
  <c r="L62" i="7" a="1"/>
  <c r="L62" i="7" s="1"/>
  <c r="I62" i="7" a="1"/>
  <c r="I62" i="7" s="1"/>
  <c r="O62" i="7"/>
  <c r="Q62" i="7" s="1"/>
  <c r="N62" i="7"/>
  <c r="L61" i="7" a="1"/>
  <c r="L61" i="7" s="1"/>
  <c r="H61" i="7" a="1"/>
  <c r="H61" i="7" s="1"/>
  <c r="O61" i="7"/>
  <c r="Q61" i="7" s="1"/>
  <c r="N61" i="7"/>
  <c r="L60" i="7" a="1"/>
  <c r="L60" i="7" s="1"/>
  <c r="K60" i="7" a="1"/>
  <c r="K60" i="7" s="1"/>
  <c r="O60" i="7"/>
  <c r="Q60" i="7" s="1"/>
  <c r="N60" i="7"/>
  <c r="L59" i="7" a="1"/>
  <c r="L59" i="7" s="1"/>
  <c r="O59" i="7"/>
  <c r="Q59" i="7" s="1"/>
  <c r="N59" i="7"/>
  <c r="L58" i="7" a="1"/>
  <c r="L58" i="7" s="1"/>
  <c r="J58" i="7" a="1"/>
  <c r="J58" i="7" s="1"/>
  <c r="I58" i="7" a="1"/>
  <c r="I58" i="7" s="1"/>
  <c r="O58" i="7"/>
  <c r="Q58" i="7" s="1"/>
  <c r="N58" i="7"/>
  <c r="L57" i="7" a="1"/>
  <c r="L57" i="7" s="1"/>
  <c r="K57" i="7" a="1"/>
  <c r="K57" i="7" s="1"/>
  <c r="I57" i="7" a="1"/>
  <c r="I57" i="7" s="1"/>
  <c r="O57" i="7"/>
  <c r="Q57" i="7" s="1"/>
  <c r="N57" i="7"/>
  <c r="L56" i="7" a="1"/>
  <c r="L56" i="7" s="1"/>
  <c r="I56" i="7" a="1"/>
  <c r="I56" i="7" s="1"/>
  <c r="O56" i="7"/>
  <c r="Q56" i="7" s="1"/>
  <c r="N56" i="7"/>
  <c r="L55" i="7" a="1"/>
  <c r="L55" i="7" s="1"/>
  <c r="O55" i="7"/>
  <c r="Q55" i="7" s="1"/>
  <c r="N55" i="7"/>
  <c r="L54" i="7" a="1"/>
  <c r="L54" i="7" s="1"/>
  <c r="I54" i="7" a="1"/>
  <c r="I54" i="7" s="1"/>
  <c r="O54" i="7"/>
  <c r="Q54" i="7" s="1"/>
  <c r="N54" i="7"/>
  <c r="L53" i="7" a="1"/>
  <c r="L53" i="7" s="1"/>
  <c r="H53" i="7" a="1"/>
  <c r="H53" i="7" s="1"/>
  <c r="O53" i="7"/>
  <c r="Q53" i="7" s="1"/>
  <c r="N53" i="7"/>
  <c r="L52" i="7" a="1"/>
  <c r="L52" i="7" s="1"/>
  <c r="I52" i="7" a="1"/>
  <c r="I52" i="7" s="1"/>
  <c r="O52" i="7"/>
  <c r="Q52" i="7" s="1"/>
  <c r="N52" i="7"/>
  <c r="L51" i="7" a="1"/>
  <c r="L51" i="7" s="1"/>
  <c r="K51" i="7" a="1"/>
  <c r="K51" i="7" s="1"/>
  <c r="O51" i="7"/>
  <c r="Q51" i="7" s="1"/>
  <c r="N51" i="7"/>
  <c r="L50" i="7" a="1"/>
  <c r="L50" i="7" s="1"/>
  <c r="O50" i="7"/>
  <c r="Q50" i="7" s="1"/>
  <c r="N50" i="7"/>
  <c r="L49" i="7" a="1"/>
  <c r="L49" i="7" s="1"/>
  <c r="I49" i="7" a="1"/>
  <c r="I49" i="7" s="1"/>
  <c r="O49" i="7"/>
  <c r="Q49" i="7" s="1"/>
  <c r="N49" i="7"/>
  <c r="L48" i="7" a="1"/>
  <c r="L48" i="7" s="1"/>
  <c r="K48" i="7" a="1"/>
  <c r="K48" i="7" s="1"/>
  <c r="I48" i="7" a="1"/>
  <c r="I48" i="7" s="1"/>
  <c r="N48" i="7"/>
  <c r="L47" i="7" a="1"/>
  <c r="L47" i="7" s="1"/>
  <c r="N47" i="7"/>
  <c r="L46" i="7" a="1"/>
  <c r="L46" i="7" s="1"/>
  <c r="O46" i="7"/>
  <c r="Q46" i="7" s="1"/>
  <c r="N46" i="7"/>
  <c r="L45" i="7" a="1"/>
  <c r="L45" i="7" s="1"/>
  <c r="M45" i="7" a="1"/>
  <c r="M45" i="7" s="1"/>
  <c r="I45" i="7" a="1"/>
  <c r="I45" i="7" s="1"/>
  <c r="O45" i="7"/>
  <c r="Q45" i="7" s="1"/>
  <c r="N45" i="7"/>
  <c r="L44" i="7" a="1"/>
  <c r="L44" i="7" s="1"/>
  <c r="I44" i="7" a="1"/>
  <c r="I44" i="7" s="1"/>
  <c r="O44" i="7"/>
  <c r="Q44" i="7" s="1"/>
  <c r="N44" i="7"/>
  <c r="L43" i="7" a="1"/>
  <c r="L43" i="7" s="1"/>
  <c r="H43" i="7" a="1"/>
  <c r="H43" i="7" s="1"/>
  <c r="N43" i="7"/>
  <c r="L42" i="7" a="1"/>
  <c r="L42" i="7" s="1"/>
  <c r="J42" i="7" a="1"/>
  <c r="J42" i="7" s="1"/>
  <c r="I42" i="7" a="1"/>
  <c r="I42" i="7" s="1"/>
  <c r="O42" i="7"/>
  <c r="Q42" i="7" s="1"/>
  <c r="N42" i="7"/>
  <c r="L41" i="7" a="1"/>
  <c r="L41" i="7" s="1"/>
  <c r="M41" i="7" a="1"/>
  <c r="M41" i="7" s="1"/>
  <c r="I41" i="7" a="1"/>
  <c r="I41" i="7" s="1"/>
  <c r="O41" i="7"/>
  <c r="Q41" i="7" s="1"/>
  <c r="N41" i="7"/>
  <c r="L40" i="7" a="1"/>
  <c r="L40" i="7" s="1"/>
  <c r="O40" i="7"/>
  <c r="Q40" i="7" s="1"/>
  <c r="N40" i="7"/>
  <c r="L39" i="7" a="1"/>
  <c r="L39" i="7" s="1"/>
  <c r="H39" i="7" a="1"/>
  <c r="H39" i="7" s="1"/>
  <c r="O39" i="7"/>
  <c r="Q39" i="7" s="1"/>
  <c r="N39" i="7"/>
  <c r="L38" i="7" a="1"/>
  <c r="L38" i="7" s="1"/>
  <c r="J38" i="7" a="1"/>
  <c r="J38" i="7" s="1"/>
  <c r="H38" i="7" a="1"/>
  <c r="H38" i="7" s="1"/>
  <c r="O38" i="7"/>
  <c r="Q38" i="7" s="1"/>
  <c r="N38" i="7"/>
  <c r="L37" i="7" a="1"/>
  <c r="L37" i="7" s="1"/>
  <c r="M37" i="7" a="1"/>
  <c r="M37" i="7" s="1"/>
  <c r="O37" i="7"/>
  <c r="Q37" i="7" s="1"/>
  <c r="N37" i="7"/>
  <c r="L36" i="7" a="1"/>
  <c r="L36" i="7" s="1"/>
  <c r="O36" i="7"/>
  <c r="Q36" i="7" s="1"/>
  <c r="N36" i="7"/>
  <c r="L35" i="7" a="1"/>
  <c r="L35" i="7" s="1"/>
  <c r="K35" i="7" a="1"/>
  <c r="K35" i="7" s="1"/>
  <c r="H35" i="7" a="1"/>
  <c r="H35" i="7" s="1"/>
  <c r="O35" i="7"/>
  <c r="Q35" i="7" s="1"/>
  <c r="N35" i="7"/>
  <c r="L34" i="7" a="1"/>
  <c r="L34" i="7" s="1"/>
  <c r="J34" i="7" a="1"/>
  <c r="J34" i="7" s="1"/>
  <c r="I34" i="7" a="1"/>
  <c r="I34" i="7" s="1"/>
  <c r="N34" i="7"/>
  <c r="L33" i="7" a="1"/>
  <c r="L33" i="7" s="1"/>
  <c r="J33" i="7" a="1"/>
  <c r="J33" i="7" s="1"/>
  <c r="I33" i="7" a="1"/>
  <c r="I33" i="7" s="1"/>
  <c r="O33" i="7"/>
  <c r="Q33" i="7" s="1"/>
  <c r="N33" i="7"/>
  <c r="L32" i="7" a="1"/>
  <c r="L32" i="7" s="1"/>
  <c r="O32" i="7"/>
  <c r="Q32" i="7" s="1"/>
  <c r="N32" i="7"/>
  <c r="L31" i="7" a="1"/>
  <c r="L31" i="7" s="1"/>
  <c r="K31" i="7" a="1"/>
  <c r="K31" i="7" s="1"/>
  <c r="H31" i="7" a="1"/>
  <c r="H31" i="7" s="1"/>
  <c r="O31" i="7"/>
  <c r="Q31" i="7" s="1"/>
  <c r="N31" i="7"/>
  <c r="L30" i="7" a="1"/>
  <c r="L30" i="7" s="1"/>
  <c r="H30" i="7" a="1"/>
  <c r="H30" i="7" s="1"/>
  <c r="O30" i="7"/>
  <c r="Q30" i="7" s="1"/>
  <c r="N30" i="7"/>
  <c r="L29" i="7" a="1"/>
  <c r="L29" i="7" s="1"/>
  <c r="J29" i="7" a="1"/>
  <c r="J29" i="7" s="1"/>
  <c r="I29" i="7" a="1"/>
  <c r="I29" i="7" s="1"/>
  <c r="N29" i="7"/>
  <c r="L28" i="7" a="1"/>
  <c r="L28" i="7" s="1"/>
  <c r="I28" i="7" a="1"/>
  <c r="I28" i="7" s="1"/>
  <c r="O28" i="7"/>
  <c r="Q28" i="7" s="1"/>
  <c r="N28" i="7"/>
  <c r="L27" i="7" a="1"/>
  <c r="L27" i="7" s="1"/>
  <c r="H27" i="7" a="1"/>
  <c r="H27" i="7" s="1"/>
  <c r="O27" i="7"/>
  <c r="Q27" i="7" s="1"/>
  <c r="N27" i="7"/>
  <c r="L26" i="7" a="1"/>
  <c r="L26" i="7" s="1"/>
  <c r="I26" i="7" a="1"/>
  <c r="I26" i="7" s="1"/>
  <c r="O26" i="7"/>
  <c r="Q26" i="7" s="1"/>
  <c r="N26" i="7"/>
  <c r="L25" i="7" a="1"/>
  <c r="L25" i="7" s="1"/>
  <c r="J25" i="7" a="1"/>
  <c r="J25" i="7" s="1"/>
  <c r="I25" i="7" a="1"/>
  <c r="I25" i="7" s="1"/>
  <c r="O25" i="7"/>
  <c r="Q25" i="7" s="1"/>
  <c r="N25" i="7"/>
  <c r="L24" i="7" a="1"/>
  <c r="L24" i="7" s="1"/>
  <c r="I24" i="7" a="1"/>
  <c r="I24" i="7" s="1"/>
  <c r="O24" i="7"/>
  <c r="Q24" i="7" s="1"/>
  <c r="N24" i="7"/>
  <c r="L23" i="7" a="1"/>
  <c r="L23" i="7" s="1"/>
  <c r="I23" i="7" a="1"/>
  <c r="I23" i="7" s="1"/>
  <c r="O23" i="7"/>
  <c r="Q23" i="7" s="1"/>
  <c r="N23" i="7"/>
  <c r="L22" i="7" a="1"/>
  <c r="L22" i="7" s="1"/>
  <c r="I22" i="7" a="1"/>
  <c r="I22" i="7" s="1"/>
  <c r="O22" i="7"/>
  <c r="Q22" i="7" s="1"/>
  <c r="N22" i="7"/>
  <c r="L21" i="7" a="1"/>
  <c r="L21" i="7" s="1"/>
  <c r="J21" i="7" a="1"/>
  <c r="J21" i="7" s="1"/>
  <c r="H21" i="7" a="1"/>
  <c r="H21" i="7" s="1"/>
  <c r="O21" i="7"/>
  <c r="Q21" i="7" s="1"/>
  <c r="N21" i="7"/>
  <c r="L20" i="7" a="1"/>
  <c r="L20" i="7" s="1"/>
  <c r="J20" i="7" a="1"/>
  <c r="J20" i="7" s="1"/>
  <c r="H20" i="7" a="1"/>
  <c r="H20" i="7" s="1"/>
  <c r="O20" i="7"/>
  <c r="Q20" i="7" s="1"/>
  <c r="N20" i="7"/>
  <c r="L19" i="7" a="1"/>
  <c r="L19" i="7" s="1"/>
  <c r="I19" i="7" a="1"/>
  <c r="I19" i="7" s="1"/>
  <c r="N19" i="7"/>
  <c r="L18" i="7" a="1"/>
  <c r="L18" i="7" s="1"/>
  <c r="H18" i="7" a="1"/>
  <c r="H18" i="7" s="1"/>
  <c r="O18" i="7"/>
  <c r="Q18" i="7" s="1"/>
  <c r="N18" i="7"/>
  <c r="L17" i="7" a="1"/>
  <c r="L17" i="7" s="1"/>
  <c r="H17" i="7" a="1"/>
  <c r="H17" i="7" s="1"/>
  <c r="O17" i="7"/>
  <c r="Q17" i="7" s="1"/>
  <c r="N17" i="7"/>
  <c r="L16" i="7" a="1"/>
  <c r="L16" i="7" s="1"/>
  <c r="K16" i="7" a="1"/>
  <c r="K16" i="7" s="1"/>
  <c r="I16" i="7" a="1"/>
  <c r="I16" i="7" s="1"/>
  <c r="O16" i="7"/>
  <c r="Q16" i="7" s="1"/>
  <c r="N16" i="7"/>
  <c r="L15" i="7" a="1"/>
  <c r="L15" i="7" s="1"/>
  <c r="J15" i="7" a="1"/>
  <c r="J15" i="7" s="1"/>
  <c r="I15" i="7" a="1"/>
  <c r="I15" i="7" s="1"/>
  <c r="N15" i="7"/>
  <c r="L14" i="7" a="1"/>
  <c r="L14" i="7" s="1"/>
  <c r="M14" i="7" a="1"/>
  <c r="M14" i="7" s="1"/>
  <c r="I14" i="7" a="1"/>
  <c r="I14" i="7" s="1"/>
  <c r="O14" i="7"/>
  <c r="Q14" i="7" s="1"/>
  <c r="N14" i="7"/>
  <c r="L13" i="7" a="1"/>
  <c r="L13" i="7" s="1"/>
  <c r="I13" i="7" a="1"/>
  <c r="I13" i="7" s="1"/>
  <c r="O13" i="7"/>
  <c r="Q13" i="7" s="1"/>
  <c r="N13" i="7"/>
  <c r="L12" i="7" a="1"/>
  <c r="L12" i="7" s="1"/>
  <c r="H12" i="7" a="1"/>
  <c r="H12" i="7" s="1"/>
  <c r="O12" i="7"/>
  <c r="Q12" i="7" s="1"/>
  <c r="N12" i="7"/>
  <c r="L11" i="7" a="1"/>
  <c r="L11" i="7" s="1"/>
  <c r="I11" i="7" a="1"/>
  <c r="I11" i="7" s="1"/>
  <c r="N11" i="7"/>
  <c r="L10" i="7" a="1"/>
  <c r="L10" i="7" s="1"/>
  <c r="I10" i="7" a="1"/>
  <c r="I10" i="7" s="1"/>
  <c r="O10" i="7"/>
  <c r="Q10" i="7" s="1"/>
  <c r="N10" i="7"/>
  <c r="L9" i="7" a="1"/>
  <c r="L9" i="7" s="1"/>
  <c r="I9" i="7" a="1"/>
  <c r="I9" i="7" s="1"/>
  <c r="O9" i="7"/>
  <c r="Q9" i="7" s="1"/>
  <c r="N9" i="7"/>
  <c r="L8" i="7" a="1"/>
  <c r="L8" i="7" s="1"/>
  <c r="I8" i="7" a="1"/>
  <c r="I8" i="7" s="1"/>
  <c r="O8" i="7"/>
  <c r="Q8" i="7" s="1"/>
  <c r="N8" i="7"/>
  <c r="L7" i="7" a="1"/>
  <c r="L7" i="7" s="1"/>
  <c r="I7" i="7" a="1"/>
  <c r="I7" i="7" s="1"/>
  <c r="O7" i="7"/>
  <c r="Q7" i="7" s="1"/>
  <c r="N7" i="7"/>
  <c r="L6" i="7" a="1"/>
  <c r="L6" i="7" s="1"/>
  <c r="H6" i="7" a="1"/>
  <c r="H6" i="7" s="1"/>
  <c r="O6" i="7"/>
  <c r="Q6" i="7" s="1"/>
  <c r="N6" i="7"/>
  <c r="L5" i="7" a="1"/>
  <c r="L5" i="7" s="1"/>
  <c r="J5" i="7" a="1"/>
  <c r="J5" i="7" s="1"/>
  <c r="I5" i="7" a="1"/>
  <c r="I5" i="7" s="1"/>
  <c r="O5" i="7"/>
  <c r="Q5" i="7" s="1"/>
  <c r="N5" i="7"/>
  <c r="L4" i="7" a="1"/>
  <c r="L4" i="7" s="1"/>
  <c r="I4" i="7" a="1"/>
  <c r="I4" i="7" s="1"/>
  <c r="O4" i="7"/>
  <c r="Q4" i="7" s="1"/>
  <c r="N4" i="7"/>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AB67" i="6" a="1"/>
  <c r="AB67" i="6" s="1"/>
  <c r="H67" i="6" s="1" a="1"/>
  <c r="H67" i="6" s="1"/>
  <c r="AB66" i="6" a="1"/>
  <c r="AB66" i="6" s="1"/>
  <c r="H66" i="6" s="1" a="1"/>
  <c r="H66" i="6" s="1"/>
  <c r="AB65" i="6" a="1"/>
  <c r="AB65" i="6" s="1"/>
  <c r="H65" i="6" s="1" a="1"/>
  <c r="H65" i="6" s="1"/>
  <c r="AB64" i="6" a="1"/>
  <c r="AB64" i="6" s="1"/>
  <c r="AB63" i="6" a="1"/>
  <c r="AB63" i="6" s="1"/>
  <c r="H63" i="6" s="1" a="1"/>
  <c r="H63" i="6" s="1"/>
  <c r="AB62" i="6" a="1"/>
  <c r="AB62" i="6" s="1"/>
  <c r="H62" i="6" s="1" a="1"/>
  <c r="H62" i="6" s="1"/>
  <c r="AB61" i="6" a="1"/>
  <c r="AB61" i="6" s="1"/>
  <c r="H61" i="6" s="1" a="1"/>
  <c r="H61" i="6" s="1"/>
  <c r="AB60" i="6" a="1"/>
  <c r="AB60" i="6" s="1"/>
  <c r="H60" i="6" s="1" a="1"/>
  <c r="H60" i="6" s="1"/>
  <c r="AB59" i="6" a="1"/>
  <c r="AB59" i="6" s="1"/>
  <c r="H59" i="6" s="1" a="1"/>
  <c r="H59" i="6" s="1"/>
  <c r="AB58" i="6" a="1"/>
  <c r="AB58" i="6" s="1"/>
  <c r="H58" i="6" s="1" a="1"/>
  <c r="H58" i="6" s="1"/>
  <c r="AB57" i="6" a="1"/>
  <c r="AB57" i="6" s="1"/>
  <c r="H57" i="6" s="1" a="1"/>
  <c r="H57" i="6" s="1"/>
  <c r="AB56" i="6" a="1"/>
  <c r="AB56" i="6" s="1"/>
  <c r="H56" i="6" s="1" a="1"/>
  <c r="H56" i="6" s="1"/>
  <c r="AB55" i="6" a="1"/>
  <c r="AB55" i="6" s="1"/>
  <c r="H55" i="6" s="1" a="1"/>
  <c r="H55" i="6" s="1"/>
  <c r="AB54" i="6" a="1"/>
  <c r="AB54" i="6" s="1"/>
  <c r="H54" i="6" s="1" a="1"/>
  <c r="H54" i="6" s="1"/>
  <c r="AB53" i="6" a="1"/>
  <c r="AB53" i="6" s="1"/>
  <c r="H53" i="6" s="1" a="1"/>
  <c r="H53" i="6" s="1"/>
  <c r="AB52" i="6" a="1"/>
  <c r="AB52" i="6" s="1"/>
  <c r="H52" i="6" s="1" a="1"/>
  <c r="H52" i="6" s="1"/>
  <c r="AB51" i="6" a="1"/>
  <c r="AB51" i="6" s="1"/>
  <c r="H51" i="6" s="1" a="1"/>
  <c r="H51" i="6" s="1"/>
  <c r="AB50" i="6" a="1"/>
  <c r="AB50" i="6" s="1"/>
  <c r="H50" i="6" s="1" a="1"/>
  <c r="H50" i="6" s="1"/>
  <c r="AB49" i="6" a="1"/>
  <c r="AB49" i="6" s="1"/>
  <c r="H49" i="6" s="1" a="1"/>
  <c r="H49" i="6" s="1"/>
  <c r="AB48" i="6" a="1"/>
  <c r="AB48" i="6" s="1"/>
  <c r="H48" i="6" s="1" a="1"/>
  <c r="H48" i="6" s="1"/>
  <c r="AB47" i="6" a="1"/>
  <c r="AB47" i="6" s="1"/>
  <c r="H47" i="6" s="1" a="1"/>
  <c r="H47" i="6" s="1"/>
  <c r="AB46" i="6" a="1"/>
  <c r="AB46" i="6" s="1"/>
  <c r="H46" i="6" s="1" a="1"/>
  <c r="H46" i="6" s="1"/>
  <c r="AB45" i="6" a="1"/>
  <c r="AB45" i="6" s="1"/>
  <c r="H45" i="6" s="1" a="1"/>
  <c r="H45" i="6" s="1"/>
  <c r="AB44" i="6" a="1"/>
  <c r="AB44" i="6" s="1"/>
  <c r="H44" i="6" s="1" a="1"/>
  <c r="H44" i="6" s="1"/>
  <c r="AB43" i="6" a="1"/>
  <c r="AB43" i="6" s="1"/>
  <c r="H43" i="6" s="1" a="1"/>
  <c r="H43" i="6" s="1"/>
  <c r="AB42" i="6" a="1"/>
  <c r="AB42" i="6" s="1"/>
  <c r="H42" i="6" s="1" a="1"/>
  <c r="H42" i="6" s="1"/>
  <c r="AB41" i="6" a="1"/>
  <c r="AB41" i="6" s="1"/>
  <c r="H41" i="6" s="1" a="1"/>
  <c r="H41" i="6" s="1"/>
  <c r="AB40" i="6" a="1"/>
  <c r="AB40" i="6" s="1"/>
  <c r="H40" i="6" s="1" a="1"/>
  <c r="H40" i="6" s="1"/>
  <c r="AB39" i="6" a="1"/>
  <c r="AB39" i="6" s="1"/>
  <c r="H39" i="6" s="1" a="1"/>
  <c r="H39" i="6" s="1"/>
  <c r="AB38" i="6" a="1"/>
  <c r="AB38" i="6" s="1"/>
  <c r="H38" i="6" s="1" a="1"/>
  <c r="H38" i="6" s="1"/>
  <c r="AB37" i="6" a="1"/>
  <c r="AB37" i="6" s="1"/>
  <c r="H37" i="6" s="1" a="1"/>
  <c r="H37" i="6" s="1"/>
  <c r="AB36" i="6" a="1"/>
  <c r="AB36" i="6" s="1"/>
  <c r="H36" i="6" s="1" a="1"/>
  <c r="H36" i="6" s="1"/>
  <c r="AB35" i="6" a="1"/>
  <c r="AB35" i="6" s="1"/>
  <c r="H35" i="6" s="1" a="1"/>
  <c r="H35" i="6" s="1"/>
  <c r="AB34" i="6" a="1"/>
  <c r="AB34" i="6" s="1"/>
  <c r="H34" i="6" s="1" a="1"/>
  <c r="H34" i="6" s="1"/>
  <c r="AB33" i="6" a="1"/>
  <c r="AB33" i="6" s="1"/>
  <c r="H33" i="6" s="1" a="1"/>
  <c r="H33" i="6" s="1"/>
  <c r="AB32" i="6" a="1"/>
  <c r="AB32" i="6" s="1"/>
  <c r="H32" i="6" s="1" a="1"/>
  <c r="H32" i="6" s="1"/>
  <c r="AB31" i="6" a="1"/>
  <c r="AB31" i="6" s="1"/>
  <c r="H31" i="6" s="1" a="1"/>
  <c r="H31" i="6" s="1"/>
  <c r="AB30" i="6" a="1"/>
  <c r="AB30" i="6" s="1"/>
  <c r="H30" i="6" s="1" a="1"/>
  <c r="H30" i="6" s="1"/>
  <c r="AB29" i="6" a="1"/>
  <c r="AB29" i="6" s="1"/>
  <c r="H29" i="6" s="1" a="1"/>
  <c r="H29" i="6" s="1"/>
  <c r="AB28" i="6" a="1"/>
  <c r="AB28" i="6" s="1"/>
  <c r="H28" i="6" s="1" a="1"/>
  <c r="H28" i="6" s="1"/>
  <c r="AB27" i="6" a="1"/>
  <c r="AB27" i="6" s="1"/>
  <c r="H27" i="6" s="1" a="1"/>
  <c r="H27" i="6" s="1"/>
  <c r="AB26" i="6" a="1"/>
  <c r="AB26" i="6" s="1"/>
  <c r="H26" i="6" s="1" a="1"/>
  <c r="H26" i="6" s="1"/>
  <c r="AB25" i="6" a="1"/>
  <c r="AB25" i="6" s="1"/>
  <c r="H25" i="6" s="1" a="1"/>
  <c r="H25" i="6" s="1"/>
  <c r="AB24" i="6" a="1"/>
  <c r="AB24" i="6" s="1"/>
  <c r="H24" i="6" s="1" a="1"/>
  <c r="H24" i="6" s="1"/>
  <c r="AB23" i="6" a="1"/>
  <c r="AB23" i="6" s="1"/>
  <c r="H23" i="6" s="1" a="1"/>
  <c r="H23" i="6" s="1"/>
  <c r="AB22" i="6" a="1"/>
  <c r="AB22" i="6" s="1"/>
  <c r="H22" i="6" s="1" a="1"/>
  <c r="H22" i="6" s="1"/>
  <c r="AB21" i="6" a="1"/>
  <c r="AB21" i="6" s="1"/>
  <c r="H21" i="6" s="1" a="1"/>
  <c r="H21" i="6" s="1"/>
  <c r="AB20" i="6" a="1"/>
  <c r="AB20" i="6" s="1"/>
  <c r="H20" i="6" s="1" a="1"/>
  <c r="H20" i="6" s="1"/>
  <c r="AB19" i="6" a="1"/>
  <c r="AB19" i="6" s="1"/>
  <c r="H19" i="6" s="1" a="1"/>
  <c r="H19" i="6" s="1"/>
  <c r="AB18" i="6" a="1"/>
  <c r="AB18" i="6" s="1"/>
  <c r="H18" i="6" s="1" a="1"/>
  <c r="H18" i="6" s="1"/>
  <c r="AB17" i="6" a="1"/>
  <c r="AB17" i="6" s="1"/>
  <c r="H17" i="6" s="1" a="1"/>
  <c r="H17" i="6" s="1"/>
  <c r="AB16" i="6" a="1"/>
  <c r="AB16" i="6" s="1"/>
  <c r="H16" i="6" s="1" a="1"/>
  <c r="H16" i="6" s="1"/>
  <c r="AB15" i="6" a="1"/>
  <c r="AB15" i="6" s="1"/>
  <c r="H15" i="6" s="1" a="1"/>
  <c r="H15" i="6" s="1"/>
  <c r="AB14" i="6" a="1"/>
  <c r="AB14" i="6" s="1"/>
  <c r="H14" i="6" s="1" a="1"/>
  <c r="H14" i="6" s="1"/>
  <c r="AB13" i="6" a="1"/>
  <c r="AB13" i="6" s="1"/>
  <c r="H13" i="6" s="1" a="1"/>
  <c r="H13" i="6" s="1"/>
  <c r="AB12" i="6" a="1"/>
  <c r="AB12" i="6" s="1"/>
  <c r="H12" i="6" s="1" a="1"/>
  <c r="H12" i="6" s="1"/>
  <c r="AB11" i="6" a="1"/>
  <c r="AB11" i="6" s="1"/>
  <c r="H11" i="6" s="1" a="1"/>
  <c r="H11" i="6" s="1"/>
  <c r="AB10" i="6" a="1"/>
  <c r="AB10" i="6" s="1"/>
  <c r="H10" i="6" s="1" a="1"/>
  <c r="H10" i="6" s="1"/>
  <c r="AB9" i="6" a="1"/>
  <c r="AB9" i="6" s="1"/>
  <c r="H9" i="6" s="1" a="1"/>
  <c r="H9" i="6" s="1"/>
  <c r="AB8" i="6" a="1"/>
  <c r="AB8" i="6" s="1"/>
  <c r="H8" i="6" s="1" a="1"/>
  <c r="H8" i="6" s="1"/>
  <c r="AB7" i="6" a="1"/>
  <c r="AB7" i="6" s="1"/>
  <c r="H7" i="6" s="1" a="1"/>
  <c r="H7" i="6" s="1"/>
  <c r="AB6" i="6" a="1"/>
  <c r="AB6" i="6" s="1"/>
  <c r="H6" i="6" s="1" a="1"/>
  <c r="H6" i="6" s="1"/>
  <c r="AB5" i="6" a="1"/>
  <c r="AB5" i="6" s="1"/>
  <c r="H5" i="6" s="1" a="1"/>
  <c r="H5" i="6" s="1"/>
  <c r="AB4" i="6" a="1"/>
  <c r="AB4" i="6" s="1"/>
  <c r="H4" i="6" s="1" a="1"/>
  <c r="H4" i="6" s="1"/>
  <c r="Y5" i="6" a="1"/>
  <c r="Y5" i="6" s="1"/>
  <c r="G5" i="6" s="1" a="1"/>
  <c r="G5" i="6" s="1"/>
  <c r="Y6" i="6" a="1"/>
  <c r="Y6" i="6" s="1"/>
  <c r="G6" i="6" s="1" a="1"/>
  <c r="G6" i="6" s="1"/>
  <c r="Y7" i="6" a="1"/>
  <c r="Y7" i="6" s="1"/>
  <c r="G7" i="6" s="1" a="1"/>
  <c r="G7" i="6" s="1"/>
  <c r="Y8" i="6" a="1"/>
  <c r="Y8" i="6" s="1"/>
  <c r="G8" i="6" s="1" a="1"/>
  <c r="G8" i="6" s="1"/>
  <c r="Y9" i="6" a="1"/>
  <c r="Y9" i="6" s="1"/>
  <c r="G9" i="6" s="1" a="1"/>
  <c r="G9" i="6" s="1"/>
  <c r="Y10" i="6" a="1"/>
  <c r="Y10" i="6" s="1"/>
  <c r="G10" i="6" s="1" a="1"/>
  <c r="G10" i="6" s="1"/>
  <c r="Y11" i="6" a="1"/>
  <c r="Y11" i="6" s="1"/>
  <c r="G11" i="6" s="1" a="1"/>
  <c r="G11" i="6" s="1"/>
  <c r="Y12" i="6" a="1"/>
  <c r="Y12" i="6" s="1"/>
  <c r="G12" i="6" s="1" a="1"/>
  <c r="G12" i="6" s="1"/>
  <c r="Y13" i="6" a="1"/>
  <c r="Y13" i="6" s="1"/>
  <c r="G13" i="6" s="1" a="1"/>
  <c r="G13" i="6" s="1"/>
  <c r="Y14" i="6" a="1"/>
  <c r="Y14" i="6" s="1"/>
  <c r="G14" i="6" s="1" a="1"/>
  <c r="G14" i="6" s="1"/>
  <c r="Y15" i="6" a="1"/>
  <c r="Y15" i="6" s="1"/>
  <c r="G15" i="6" s="1" a="1"/>
  <c r="G15" i="6" s="1"/>
  <c r="Y16" i="6" a="1"/>
  <c r="Y16" i="6" s="1"/>
  <c r="G16" i="6" s="1" a="1"/>
  <c r="G16" i="6" s="1"/>
  <c r="Y17" i="6" a="1"/>
  <c r="Y17" i="6" s="1"/>
  <c r="G17" i="6" s="1" a="1"/>
  <c r="G17" i="6" s="1"/>
  <c r="Y18" i="6" a="1"/>
  <c r="Y18" i="6" s="1"/>
  <c r="G18" i="6" s="1" a="1"/>
  <c r="G18" i="6" s="1"/>
  <c r="Y19" i="6" a="1"/>
  <c r="Y19" i="6" s="1"/>
  <c r="G19" i="6" s="1" a="1"/>
  <c r="G19" i="6" s="1"/>
  <c r="Y20" i="6" a="1"/>
  <c r="Y20" i="6" s="1"/>
  <c r="G20" i="6" s="1" a="1"/>
  <c r="G20" i="6" s="1"/>
  <c r="Y21" i="6" a="1"/>
  <c r="Y21" i="6" s="1"/>
  <c r="G21" i="6" s="1" a="1"/>
  <c r="G21" i="6" s="1"/>
  <c r="Y22" i="6" a="1"/>
  <c r="Y22" i="6" s="1"/>
  <c r="G22" i="6" s="1" a="1"/>
  <c r="G22" i="6" s="1"/>
  <c r="Y23" i="6" a="1"/>
  <c r="Y23" i="6" s="1"/>
  <c r="G23" i="6" s="1" a="1"/>
  <c r="G23" i="6" s="1"/>
  <c r="Y24" i="6" a="1"/>
  <c r="Y24" i="6" s="1"/>
  <c r="G24" i="6" s="1" a="1"/>
  <c r="G24" i="6" s="1"/>
  <c r="Y25" i="6" a="1"/>
  <c r="Y25" i="6" s="1"/>
  <c r="G25" i="6" s="1" a="1"/>
  <c r="G25" i="6" s="1"/>
  <c r="Y26" i="6" a="1"/>
  <c r="Y26" i="6" s="1"/>
  <c r="G26" i="6" s="1" a="1"/>
  <c r="G26" i="6" s="1"/>
  <c r="Y27" i="6" a="1"/>
  <c r="Y27" i="6" s="1"/>
  <c r="G27" i="6" s="1" a="1"/>
  <c r="G27" i="6" s="1"/>
  <c r="Y28" i="6" a="1"/>
  <c r="Y28" i="6" s="1"/>
  <c r="G28" i="6" s="1" a="1"/>
  <c r="G28" i="6" s="1"/>
  <c r="Y29" i="6" a="1"/>
  <c r="Y29" i="6" s="1"/>
  <c r="G29" i="6" s="1" a="1"/>
  <c r="G29" i="6" s="1"/>
  <c r="Y30" i="6" a="1"/>
  <c r="Y30" i="6" s="1"/>
  <c r="G30" i="6" s="1" a="1"/>
  <c r="G30" i="6" s="1"/>
  <c r="Y31" i="6" a="1"/>
  <c r="Y31" i="6" s="1"/>
  <c r="G31" i="6" s="1" a="1"/>
  <c r="G31" i="6" s="1"/>
  <c r="Y32" i="6" a="1"/>
  <c r="Y32" i="6" s="1"/>
  <c r="G32" i="6" s="1" a="1"/>
  <c r="G32" i="6" s="1"/>
  <c r="Y33" i="6" a="1"/>
  <c r="Y33" i="6" s="1"/>
  <c r="G33" i="6" s="1" a="1"/>
  <c r="G33" i="6" s="1"/>
  <c r="Y34" i="6" a="1"/>
  <c r="Y34" i="6" s="1"/>
  <c r="G34" i="6" s="1" a="1"/>
  <c r="G34" i="6" s="1"/>
  <c r="Y35" i="6" a="1"/>
  <c r="Y35" i="6" s="1"/>
  <c r="G35" i="6" s="1" a="1"/>
  <c r="G35" i="6" s="1"/>
  <c r="Y36" i="6" a="1"/>
  <c r="Y36" i="6" s="1"/>
  <c r="G36" i="6" s="1" a="1"/>
  <c r="G36" i="6" s="1"/>
  <c r="Y37" i="6" a="1"/>
  <c r="Y37" i="6" s="1"/>
  <c r="G37" i="6" s="1" a="1"/>
  <c r="G37" i="6" s="1"/>
  <c r="Y38" i="6" a="1"/>
  <c r="Y38" i="6" s="1"/>
  <c r="G38" i="6" s="1" a="1"/>
  <c r="G38" i="6" s="1"/>
  <c r="Y39" i="6" a="1"/>
  <c r="Y39" i="6" s="1"/>
  <c r="G39" i="6" s="1" a="1"/>
  <c r="G39" i="6" s="1"/>
  <c r="Y40" i="6" a="1"/>
  <c r="Y40" i="6" s="1"/>
  <c r="G40" i="6" s="1" a="1"/>
  <c r="G40" i="6" s="1"/>
  <c r="Y41" i="6" a="1"/>
  <c r="Y41" i="6" s="1"/>
  <c r="G41" i="6" s="1" a="1"/>
  <c r="G41" i="6" s="1"/>
  <c r="Y42" i="6" a="1"/>
  <c r="Y42" i="6" s="1"/>
  <c r="G42" i="6" s="1" a="1"/>
  <c r="G42" i="6" s="1"/>
  <c r="Y43" i="6" a="1"/>
  <c r="Y43" i="6" s="1"/>
  <c r="G43" i="6" s="1" a="1"/>
  <c r="G43" i="6" s="1"/>
  <c r="Y44" i="6" a="1"/>
  <c r="Y44" i="6" s="1"/>
  <c r="G44" i="6" s="1" a="1"/>
  <c r="G44" i="6" s="1"/>
  <c r="Y45" i="6" a="1"/>
  <c r="Y45" i="6" s="1"/>
  <c r="G45" i="6" s="1" a="1"/>
  <c r="G45" i="6" s="1"/>
  <c r="Y46" i="6" a="1"/>
  <c r="Y46" i="6" s="1"/>
  <c r="G46" i="6" s="1" a="1"/>
  <c r="G46" i="6" s="1"/>
  <c r="Y47" i="6" a="1"/>
  <c r="Y47" i="6" s="1"/>
  <c r="G47" i="6" s="1" a="1"/>
  <c r="G47" i="6" s="1"/>
  <c r="Y48" i="6" a="1"/>
  <c r="Y48" i="6" s="1"/>
  <c r="G48" i="6" s="1" a="1"/>
  <c r="G48" i="6" s="1"/>
  <c r="Y49" i="6" a="1"/>
  <c r="Y49" i="6" s="1"/>
  <c r="G49" i="6" s="1" a="1"/>
  <c r="G49" i="6" s="1"/>
  <c r="Y50" i="6" a="1"/>
  <c r="Y50" i="6" s="1"/>
  <c r="G50" i="6" s="1" a="1"/>
  <c r="G50" i="6" s="1"/>
  <c r="Y51" i="6" a="1"/>
  <c r="Y51" i="6" s="1"/>
  <c r="G51" i="6" s="1" a="1"/>
  <c r="G51" i="6" s="1"/>
  <c r="Y52" i="6" a="1"/>
  <c r="Y52" i="6" s="1"/>
  <c r="G52" i="6" s="1" a="1"/>
  <c r="G52" i="6" s="1"/>
  <c r="Y53" i="6" a="1"/>
  <c r="Y53" i="6" s="1"/>
  <c r="G53" i="6" s="1" a="1"/>
  <c r="G53" i="6" s="1"/>
  <c r="Y54" i="6" a="1"/>
  <c r="Y54" i="6" s="1"/>
  <c r="G54" i="6" s="1" a="1"/>
  <c r="G54" i="6" s="1"/>
  <c r="Y55" i="6" a="1"/>
  <c r="Y55" i="6" s="1"/>
  <c r="G55" i="6" s="1" a="1"/>
  <c r="G55" i="6" s="1"/>
  <c r="Y56" i="6" a="1"/>
  <c r="Y56" i="6" s="1"/>
  <c r="G56" i="6" s="1" a="1"/>
  <c r="G56" i="6" s="1"/>
  <c r="Y57" i="6" a="1"/>
  <c r="Y57" i="6" s="1"/>
  <c r="G57" i="6" s="1" a="1"/>
  <c r="G57" i="6" s="1"/>
  <c r="Y58" i="6" a="1"/>
  <c r="Y58" i="6" s="1"/>
  <c r="G58" i="6" s="1" a="1"/>
  <c r="G58" i="6" s="1"/>
  <c r="Y59" i="6" a="1"/>
  <c r="Y59" i="6" s="1"/>
  <c r="G59" i="6" s="1" a="1"/>
  <c r="G59" i="6" s="1"/>
  <c r="Y60" i="6" a="1"/>
  <c r="Y60" i="6" s="1"/>
  <c r="G60" i="6" s="1" a="1"/>
  <c r="G60" i="6" s="1"/>
  <c r="Y61" i="6" a="1"/>
  <c r="Y61" i="6" s="1"/>
  <c r="G61" i="6" s="1" a="1"/>
  <c r="G61" i="6" s="1"/>
  <c r="Y62" i="6" a="1"/>
  <c r="Y62" i="6" s="1"/>
  <c r="G62" i="6" s="1" a="1"/>
  <c r="G62" i="6" s="1"/>
  <c r="Y63" i="6" a="1"/>
  <c r="Y63" i="6" s="1"/>
  <c r="G63" i="6" s="1" a="1"/>
  <c r="G63" i="6" s="1"/>
  <c r="Y64" i="6" a="1"/>
  <c r="Y64" i="6" s="1"/>
  <c r="G64" i="6" s="1" a="1"/>
  <c r="G64" i="6" s="1"/>
  <c r="Y65" i="6" a="1"/>
  <c r="Y65" i="6" s="1"/>
  <c r="G65" i="6" s="1" a="1"/>
  <c r="G65" i="6" s="1"/>
  <c r="Y66" i="6" a="1"/>
  <c r="Y66" i="6" s="1"/>
  <c r="G66" i="6" s="1" a="1"/>
  <c r="G66" i="6" s="1"/>
  <c r="Y67" i="6" a="1"/>
  <c r="Y67" i="6" s="1"/>
  <c r="G67" i="6" s="1" a="1"/>
  <c r="G67" i="6" s="1"/>
  <c r="Y68" i="6" a="1"/>
  <c r="Y68" i="6" s="1"/>
  <c r="G68" i="6" s="1" a="1"/>
  <c r="G68" i="6" s="1"/>
  <c r="Y69" i="6" a="1"/>
  <c r="Y69" i="6" s="1"/>
  <c r="G69" i="6" s="1" a="1"/>
  <c r="G69" i="6" s="1"/>
  <c r="Y70" i="6" a="1"/>
  <c r="Y70" i="6" s="1"/>
  <c r="G70" i="6" s="1" a="1"/>
  <c r="G70" i="6" s="1"/>
  <c r="Y71" i="6" a="1"/>
  <c r="Y71" i="6" s="1"/>
  <c r="G71" i="6" s="1" a="1"/>
  <c r="G71" i="6" s="1"/>
  <c r="Y72" i="6" a="1"/>
  <c r="Y72" i="6" s="1"/>
  <c r="G72" i="6" s="1" a="1"/>
  <c r="G72" i="6" s="1"/>
  <c r="Y4" i="6" a="1"/>
  <c r="Y4" i="6" s="1"/>
  <c r="G4" i="6" s="1" a="1"/>
  <c r="G4" i="6" s="1"/>
  <c r="AC5" i="6"/>
  <c r="AF5" i="6" s="1"/>
  <c r="AH5" i="6" s="1" a="1"/>
  <c r="AH5" i="6" s="1"/>
  <c r="K5" i="6" s="1" a="1"/>
  <c r="K5" i="6" s="1"/>
  <c r="AC6" i="6"/>
  <c r="AF6" i="6" s="1"/>
  <c r="AC7" i="6"/>
  <c r="AF7" i="6" s="1"/>
  <c r="AC8" i="6"/>
  <c r="AE8" i="6" s="1" a="1"/>
  <c r="AE8" i="6" s="1"/>
  <c r="I8" i="6" s="1" a="1"/>
  <c r="I8" i="6" s="1"/>
  <c r="AC9" i="6"/>
  <c r="AE9" i="6" s="1" a="1"/>
  <c r="AE9" i="6" s="1"/>
  <c r="I9" i="6" s="1" a="1"/>
  <c r="I9" i="6" s="1"/>
  <c r="AC10" i="6"/>
  <c r="AE10" i="6" s="1" a="1"/>
  <c r="AE10" i="6" s="1"/>
  <c r="I10" i="6" s="1" a="1"/>
  <c r="I10" i="6" s="1"/>
  <c r="AC11" i="6"/>
  <c r="AE11" i="6" s="1" a="1"/>
  <c r="AE11" i="6" s="1"/>
  <c r="I11" i="6" s="1" a="1"/>
  <c r="I11" i="6" s="1"/>
  <c r="AC12" i="6"/>
  <c r="AE12" i="6" s="1" a="1"/>
  <c r="AE12" i="6" s="1"/>
  <c r="I12" i="6" s="1" a="1"/>
  <c r="I12" i="6" s="1"/>
  <c r="AC13" i="6"/>
  <c r="AF13" i="6" s="1"/>
  <c r="AH13" i="6" s="1" a="1"/>
  <c r="AH13" i="6" s="1"/>
  <c r="K13" i="6" s="1" a="1"/>
  <c r="K13" i="6" s="1"/>
  <c r="AC14" i="6"/>
  <c r="AF14" i="6" s="1"/>
  <c r="AC15" i="6"/>
  <c r="AF15" i="6" s="1"/>
  <c r="AC16" i="6"/>
  <c r="AE16" i="6" s="1" a="1"/>
  <c r="AE16" i="6" s="1"/>
  <c r="I16" i="6" s="1" a="1"/>
  <c r="I16" i="6" s="1"/>
  <c r="AC17" i="6"/>
  <c r="AE17" i="6" s="1" a="1"/>
  <c r="AE17" i="6" s="1"/>
  <c r="I17" i="6" s="1" a="1"/>
  <c r="I17" i="6" s="1"/>
  <c r="AC18" i="6"/>
  <c r="AE18" i="6" s="1" a="1"/>
  <c r="AE18" i="6" s="1"/>
  <c r="I18" i="6" s="1" a="1"/>
  <c r="I18" i="6" s="1"/>
  <c r="AC19" i="6"/>
  <c r="AE19" i="6" s="1" a="1"/>
  <c r="AE19" i="6" s="1"/>
  <c r="I19" i="6" s="1" a="1"/>
  <c r="I19" i="6" s="1"/>
  <c r="AC20" i="6"/>
  <c r="AE20" i="6" s="1" a="1"/>
  <c r="AE20" i="6" s="1"/>
  <c r="I20" i="6" s="1" a="1"/>
  <c r="I20" i="6" s="1"/>
  <c r="AC21" i="6"/>
  <c r="AE21" i="6" s="1" a="1"/>
  <c r="AE21" i="6" s="1"/>
  <c r="I21" i="6" s="1" a="1"/>
  <c r="I21" i="6" s="1"/>
  <c r="AC22" i="6"/>
  <c r="AF22" i="6" s="1"/>
  <c r="AC23" i="6"/>
  <c r="AF23" i="6" s="1"/>
  <c r="AC24" i="6"/>
  <c r="AE24" i="6" s="1" a="1"/>
  <c r="AE24" i="6" s="1"/>
  <c r="I24" i="6" s="1" a="1"/>
  <c r="I24" i="6" s="1"/>
  <c r="AC25" i="6"/>
  <c r="AE25" i="6" s="1" a="1"/>
  <c r="AE25" i="6" s="1"/>
  <c r="I25" i="6" s="1" a="1"/>
  <c r="I25" i="6" s="1"/>
  <c r="AC26" i="6"/>
  <c r="AE26" i="6" s="1" a="1"/>
  <c r="AE26" i="6" s="1"/>
  <c r="I26" i="6" s="1" a="1"/>
  <c r="I26" i="6" s="1"/>
  <c r="AC27" i="6"/>
  <c r="AE27" i="6" s="1" a="1"/>
  <c r="AE27" i="6" s="1"/>
  <c r="I27" i="6" s="1" a="1"/>
  <c r="I27" i="6" s="1"/>
  <c r="AC28" i="6"/>
  <c r="AE28" i="6" s="1" a="1"/>
  <c r="AE28" i="6" s="1"/>
  <c r="I28" i="6" s="1" a="1"/>
  <c r="I28" i="6" s="1"/>
  <c r="AC29" i="6"/>
  <c r="AE29" i="6" s="1" a="1"/>
  <c r="AE29" i="6" s="1"/>
  <c r="J29" i="6" s="1" a="1"/>
  <c r="J29" i="6" s="1"/>
  <c r="AC30" i="6"/>
  <c r="AF30" i="6" s="1"/>
  <c r="AC31" i="6"/>
  <c r="AF31" i="6" s="1"/>
  <c r="AC32" i="6"/>
  <c r="AE32" i="6" s="1" a="1"/>
  <c r="AE32" i="6" s="1"/>
  <c r="I32" i="6" s="1" a="1"/>
  <c r="I32" i="6" s="1"/>
  <c r="AC33" i="6"/>
  <c r="AE33" i="6" s="1" a="1"/>
  <c r="AE33" i="6" s="1"/>
  <c r="I33" i="6" s="1" a="1"/>
  <c r="I33" i="6" s="1"/>
  <c r="AC34" i="6"/>
  <c r="AE34" i="6" s="1" a="1"/>
  <c r="AE34" i="6" s="1"/>
  <c r="I34" i="6" s="1" a="1"/>
  <c r="I34" i="6" s="1"/>
  <c r="AC35" i="6"/>
  <c r="AE35" i="6" s="1" a="1"/>
  <c r="AE35" i="6" s="1"/>
  <c r="I35" i="6" s="1" a="1"/>
  <c r="I35" i="6" s="1"/>
  <c r="AC36" i="6"/>
  <c r="AE36" i="6" s="1" a="1"/>
  <c r="AE36" i="6" s="1"/>
  <c r="I36" i="6" s="1" a="1"/>
  <c r="I36" i="6" s="1"/>
  <c r="AC37" i="6"/>
  <c r="AF37" i="6" s="1"/>
  <c r="AH37" i="6" s="1" a="1"/>
  <c r="AH37" i="6" s="1"/>
  <c r="K37" i="6" s="1" a="1"/>
  <c r="K37" i="6" s="1"/>
  <c r="AC38" i="6"/>
  <c r="AF38" i="6" s="1"/>
  <c r="AC39" i="6"/>
  <c r="AF39" i="6" s="1"/>
  <c r="AC40" i="6"/>
  <c r="AE40" i="6" s="1" a="1"/>
  <c r="AE40" i="6" s="1"/>
  <c r="I40" i="6" s="1" a="1"/>
  <c r="I40" i="6" s="1"/>
  <c r="AC41" i="6"/>
  <c r="AE41" i="6" s="1" a="1"/>
  <c r="AE41" i="6" s="1"/>
  <c r="I41" i="6" s="1" a="1"/>
  <c r="I41" i="6" s="1"/>
  <c r="AC42" i="6"/>
  <c r="AE42" i="6" s="1" a="1"/>
  <c r="AE42" i="6" s="1"/>
  <c r="I42" i="6" s="1" a="1"/>
  <c r="I42" i="6" s="1"/>
  <c r="AC43" i="6"/>
  <c r="AE43" i="6" s="1" a="1"/>
  <c r="AE43" i="6" s="1"/>
  <c r="I43" i="6" s="1" a="1"/>
  <c r="I43" i="6" s="1"/>
  <c r="AC44" i="6"/>
  <c r="AE44" i="6" s="1" a="1"/>
  <c r="AE44" i="6" s="1"/>
  <c r="I44" i="6" s="1" a="1"/>
  <c r="I44" i="6" s="1"/>
  <c r="AC45" i="6"/>
  <c r="AF45" i="6" s="1"/>
  <c r="AH45" i="6" s="1" a="1"/>
  <c r="AH45" i="6" s="1"/>
  <c r="K45" i="6" s="1" a="1"/>
  <c r="K45" i="6" s="1"/>
  <c r="AC46" i="6"/>
  <c r="AF46" i="6" s="1"/>
  <c r="AC47" i="6"/>
  <c r="AF47" i="6" s="1"/>
  <c r="AC48" i="6"/>
  <c r="AE48" i="6" s="1" a="1"/>
  <c r="AE48" i="6" s="1"/>
  <c r="I48" i="6" s="1" a="1"/>
  <c r="I48" i="6" s="1"/>
  <c r="AC49" i="6"/>
  <c r="AF49" i="6" s="1"/>
  <c r="AC50" i="6"/>
  <c r="AE50" i="6" s="1" a="1"/>
  <c r="AE50" i="6" s="1"/>
  <c r="I50" i="6" s="1" a="1"/>
  <c r="I50" i="6" s="1"/>
  <c r="AC51" i="6"/>
  <c r="AE51" i="6" s="1" a="1"/>
  <c r="AE51" i="6" s="1"/>
  <c r="I51" i="6" s="1" a="1"/>
  <c r="I51" i="6" s="1"/>
  <c r="AC52" i="6"/>
  <c r="AE52" i="6" s="1" a="1"/>
  <c r="AE52" i="6" s="1"/>
  <c r="I52" i="6" s="1" a="1"/>
  <c r="I52" i="6" s="1"/>
  <c r="AC53" i="6"/>
  <c r="AE53" i="6" s="1" a="1"/>
  <c r="AE53" i="6" s="1"/>
  <c r="I53" i="6" s="1" a="1"/>
  <c r="I53" i="6" s="1"/>
  <c r="AC54" i="6"/>
  <c r="AF54" i="6" s="1"/>
  <c r="AC55" i="6"/>
  <c r="AF55" i="6" s="1"/>
  <c r="AC56" i="6"/>
  <c r="AE56" i="6" s="1" a="1"/>
  <c r="AE56" i="6" s="1"/>
  <c r="I56" i="6" s="1" a="1"/>
  <c r="I56" i="6" s="1"/>
  <c r="AC57" i="6"/>
  <c r="AE57" i="6" s="1" a="1"/>
  <c r="AE57" i="6" s="1"/>
  <c r="I57" i="6" s="1" a="1"/>
  <c r="I57" i="6" s="1"/>
  <c r="AC58" i="6"/>
  <c r="AE58" i="6" s="1" a="1"/>
  <c r="AE58" i="6" s="1"/>
  <c r="I58" i="6" s="1" a="1"/>
  <c r="I58" i="6" s="1"/>
  <c r="AC59" i="6"/>
  <c r="AE59" i="6" s="1" a="1"/>
  <c r="AE59" i="6" s="1"/>
  <c r="I59" i="6" s="1" a="1"/>
  <c r="I59" i="6" s="1"/>
  <c r="AC60" i="6"/>
  <c r="AE60" i="6" s="1" a="1"/>
  <c r="AE60" i="6" s="1"/>
  <c r="I60" i="6" s="1" a="1"/>
  <c r="I60" i="6" s="1"/>
  <c r="AC61" i="6"/>
  <c r="AE61" i="6" s="1" a="1"/>
  <c r="AE61" i="6" s="1"/>
  <c r="I61" i="6" s="1" a="1"/>
  <c r="I61" i="6" s="1"/>
  <c r="AC62" i="6"/>
  <c r="AF62" i="6" s="1"/>
  <c r="AC63" i="6"/>
  <c r="AF63" i="6" s="1"/>
  <c r="AC64" i="6"/>
  <c r="AE64" i="6" s="1" a="1"/>
  <c r="AE64" i="6" s="1"/>
  <c r="I64" i="6" s="1" a="1"/>
  <c r="I64" i="6" s="1"/>
  <c r="AC65" i="6"/>
  <c r="AE65" i="6" s="1" a="1"/>
  <c r="AE65" i="6" s="1"/>
  <c r="I65" i="6" s="1" a="1"/>
  <c r="I65" i="6" s="1"/>
  <c r="AC66" i="6"/>
  <c r="AE66" i="6" s="1" a="1"/>
  <c r="AE66" i="6" s="1"/>
  <c r="I66" i="6" s="1" a="1"/>
  <c r="I66" i="6" s="1"/>
  <c r="AC67" i="6"/>
  <c r="AE67" i="6" s="1" a="1"/>
  <c r="AE67" i="6" s="1"/>
  <c r="I67" i="6" s="1" a="1"/>
  <c r="I67" i="6" s="1"/>
  <c r="AC4" i="6"/>
  <c r="AE4" i="6" s="1" a="1"/>
  <c r="AE4" i="6" s="1"/>
  <c r="I4" i="6" s="1" a="1"/>
  <c r="I4" i="6" s="1"/>
  <c r="Z68" i="6"/>
  <c r="AB68" i="6" s="1" a="1"/>
  <c r="AB68" i="6" s="1"/>
  <c r="H68" i="6" s="1" a="1"/>
  <c r="H68" i="6" s="1"/>
  <c r="Z69" i="6"/>
  <c r="AB69" i="6" s="1" a="1"/>
  <c r="AB69" i="6" s="1"/>
  <c r="H69" i="6" s="1" a="1"/>
  <c r="H69" i="6" s="1"/>
  <c r="Z70" i="6"/>
  <c r="AB70" i="6" s="1" a="1"/>
  <c r="AB70" i="6" s="1"/>
  <c r="H70" i="6" s="1" a="1"/>
  <c r="H70" i="6" s="1"/>
  <c r="Z71" i="6"/>
  <c r="AB71" i="6" s="1" a="1"/>
  <c r="AB71" i="6" s="1"/>
  <c r="H71" i="6" s="1" a="1"/>
  <c r="H71" i="6" s="1"/>
  <c r="Z72" i="6"/>
  <c r="AC72" i="6" s="1"/>
  <c r="AL139" i="7" l="1"/>
  <c r="H139" i="7" a="1"/>
  <c r="H139" i="7" s="1"/>
  <c r="H142" i="7" a="1"/>
  <c r="H142" i="7" s="1"/>
  <c r="AL142" i="7"/>
  <c r="AL150" i="7"/>
  <c r="H150" i="7" a="1"/>
  <c r="H150" i="7" s="1"/>
  <c r="AL152" i="7"/>
  <c r="H152" i="7" a="1"/>
  <c r="H152" i="7" s="1"/>
  <c r="AL162" i="7"/>
  <c r="H162" i="7" a="1"/>
  <c r="H162" i="7" s="1"/>
  <c r="AL138" i="7"/>
  <c r="H138" i="7" a="1"/>
  <c r="H138" i="7" s="1"/>
  <c r="H130" i="7" a="1"/>
  <c r="H130" i="7" s="1"/>
  <c r="AL130" i="7"/>
  <c r="AL160" i="7"/>
  <c r="H160" i="7" a="1"/>
  <c r="H160" i="7" s="1"/>
  <c r="H159" i="7" a="1"/>
  <c r="H159" i="7" s="1"/>
  <c r="AL159" i="7"/>
  <c r="AL153" i="7"/>
  <c r="H153" i="7" a="1"/>
  <c r="H153" i="7" s="1"/>
  <c r="AL156" i="7"/>
  <c r="H156" i="7" a="1"/>
  <c r="H156" i="7" s="1"/>
  <c r="H135" i="7" a="1"/>
  <c r="H135" i="7" s="1"/>
  <c r="AL135" i="7"/>
  <c r="AL149" i="7"/>
  <c r="H149" i="7" a="1"/>
  <c r="H149" i="7" s="1"/>
  <c r="AL133" i="7"/>
  <c r="H133" i="7" a="1"/>
  <c r="H133" i="7" s="1"/>
  <c r="AL136" i="7"/>
  <c r="H136" i="7" a="1"/>
  <c r="H136" i="7" s="1"/>
  <c r="AL128" i="7"/>
  <c r="H128" i="7" a="1"/>
  <c r="H128" i="7" s="1"/>
  <c r="AL145" i="7"/>
  <c r="H145" i="7" a="1"/>
  <c r="H145" i="7" s="1"/>
  <c r="AL147" i="7"/>
  <c r="H147" i="7" a="1"/>
  <c r="H147" i="7" s="1"/>
  <c r="H125" i="7" a="1"/>
  <c r="H125" i="7" s="1"/>
  <c r="AL125" i="7"/>
  <c r="H131" i="7" a="1"/>
  <c r="H131" i="7" s="1"/>
  <c r="AL131" i="7"/>
  <c r="H134" i="7" a="1"/>
  <c r="H134" i="7" s="1"/>
  <c r="AL134" i="7"/>
  <c r="AL148" i="7"/>
  <c r="H148" i="7" a="1"/>
  <c r="H148" i="7" s="1"/>
  <c r="H158" i="7" a="1"/>
  <c r="H158" i="7" s="1"/>
  <c r="AL158" i="7"/>
  <c r="AL144" i="7"/>
  <c r="H144" i="7" a="1"/>
  <c r="H144" i="7" s="1"/>
  <c r="AL161" i="7"/>
  <c r="H161" i="7" a="1"/>
  <c r="H161" i="7" s="1"/>
  <c r="AL137" i="7"/>
  <c r="H137" i="7" a="1"/>
  <c r="H137" i="7" s="1"/>
  <c r="AL140" i="7"/>
  <c r="H140" i="7" a="1"/>
  <c r="H140" i="7" s="1"/>
  <c r="AL151" i="7"/>
  <c r="H151" i="7" a="1"/>
  <c r="H151" i="7" s="1"/>
  <c r="AL157" i="7"/>
  <c r="H157" i="7" a="1"/>
  <c r="H157" i="7" s="1"/>
  <c r="AL124" i="7"/>
  <c r="H124" i="7" a="1"/>
  <c r="H124" i="7" s="1"/>
  <c r="AL143" i="7"/>
  <c r="H143" i="7" a="1"/>
  <c r="H143" i="7" s="1"/>
  <c r="AL154" i="7"/>
  <c r="H154" i="7" a="1"/>
  <c r="H154" i="7" s="1"/>
  <c r="AL127" i="7"/>
  <c r="H127" i="7" a="1"/>
  <c r="H127" i="7" s="1"/>
  <c r="AL129" i="7"/>
  <c r="H129" i="7" a="1"/>
  <c r="H129" i="7" s="1"/>
  <c r="H146" i="7" a="1"/>
  <c r="H146" i="7" s="1"/>
  <c r="AL146" i="7"/>
  <c r="H155" i="7" a="1"/>
  <c r="H155" i="7" s="1"/>
  <c r="AL155" i="7"/>
  <c r="H123" i="7" a="1"/>
  <c r="H123" i="7" s="1"/>
  <c r="AL123" i="7"/>
  <c r="AL126" i="7"/>
  <c r="H126" i="7" a="1"/>
  <c r="H126" i="7" s="1"/>
  <c r="AL132" i="7"/>
  <c r="H132" i="7" a="1"/>
  <c r="H132" i="7" s="1"/>
  <c r="H141" i="7" a="1"/>
  <c r="H141" i="7" s="1"/>
  <c r="AL141" i="7"/>
  <c r="AL163" i="7"/>
  <c r="H163" i="7" a="1"/>
  <c r="H163" i="7" s="1"/>
  <c r="AF21" i="6"/>
  <c r="AH21" i="6" s="1" a="1"/>
  <c r="AH21" i="6" s="1"/>
  <c r="K21" i="6" s="1" a="1"/>
  <c r="K21" i="6" s="1"/>
  <c r="AF26" i="6"/>
  <c r="AH26" i="6" s="1" a="1"/>
  <c r="AH26" i="6" s="1"/>
  <c r="K26" i="6" s="1" a="1"/>
  <c r="K26" i="6" s="1"/>
  <c r="P18" i="7"/>
  <c r="P35" i="7"/>
  <c r="P53" i="7"/>
  <c r="P61" i="7"/>
  <c r="P74" i="7"/>
  <c r="P77" i="7"/>
  <c r="P82" i="7"/>
  <c r="P90" i="7"/>
  <c r="P92" i="7"/>
  <c r="P99" i="7"/>
  <c r="P111" i="7"/>
  <c r="P114" i="7"/>
  <c r="P120" i="7"/>
  <c r="P145" i="7"/>
  <c r="P148" i="7"/>
  <c r="P151" i="7"/>
  <c r="P154" i="7"/>
  <c r="P161" i="7"/>
  <c r="P7" i="7"/>
  <c r="P20" i="7"/>
  <c r="P32" i="7"/>
  <c r="P46" i="7"/>
  <c r="P58" i="7"/>
  <c r="P68" i="7"/>
  <c r="P104" i="7"/>
  <c r="P122" i="7"/>
  <c r="P125" i="7"/>
  <c r="P160" i="7"/>
  <c r="P9" i="7"/>
  <c r="P14" i="7"/>
  <c r="P23" i="7"/>
  <c r="P26" i="7"/>
  <c r="P37" i="7"/>
  <c r="P40" i="7"/>
  <c r="P50" i="7"/>
  <c r="P55" i="7"/>
  <c r="P63" i="7"/>
  <c r="P81" i="7"/>
  <c r="P87" i="7"/>
  <c r="P101" i="7"/>
  <c r="P107" i="7"/>
  <c r="P113" i="7"/>
  <c r="P116" i="7"/>
  <c r="P136" i="7"/>
  <c r="P144" i="7"/>
  <c r="P156" i="7"/>
  <c r="P159" i="7"/>
  <c r="P12" i="7"/>
  <c r="P6" i="7"/>
  <c r="P17" i="7"/>
  <c r="P31" i="7"/>
  <c r="P45" i="7"/>
  <c r="P52" i="7"/>
  <c r="P57" i="7"/>
  <c r="P60" i="7"/>
  <c r="P73" i="7"/>
  <c r="P76" i="7"/>
  <c r="P89" i="7"/>
  <c r="P94" i="7"/>
  <c r="P98" i="7"/>
  <c r="P110" i="7"/>
  <c r="P119" i="7"/>
  <c r="P147" i="7"/>
  <c r="P150" i="7"/>
  <c r="P153" i="7"/>
  <c r="P158" i="7"/>
  <c r="P4" i="7"/>
  <c r="P25" i="7"/>
  <c r="P28" i="7"/>
  <c r="P42" i="7"/>
  <c r="P67" i="7"/>
  <c r="P70" i="7"/>
  <c r="P103" i="7"/>
  <c r="P129" i="7"/>
  <c r="P132" i="7"/>
  <c r="P135" i="7"/>
  <c r="P138" i="7"/>
  <c r="P5" i="7"/>
  <c r="P8" i="7"/>
  <c r="P13" i="7"/>
  <c r="P16" i="7"/>
  <c r="P22" i="7"/>
  <c r="P33" i="7"/>
  <c r="P39" i="7"/>
  <c r="P49" i="7"/>
  <c r="P54" i="7"/>
  <c r="P62" i="7"/>
  <c r="P72" i="7"/>
  <c r="P78" i="7"/>
  <c r="P86" i="7"/>
  <c r="P93" i="7"/>
  <c r="P106" i="7"/>
  <c r="P109" i="7"/>
  <c r="P112" i="7"/>
  <c r="P115" i="7"/>
  <c r="P118" i="7"/>
  <c r="P143" i="7"/>
  <c r="P146" i="7"/>
  <c r="P152" i="7"/>
  <c r="P30" i="7"/>
  <c r="P36" i="7"/>
  <c r="P41" i="7"/>
  <c r="P44" i="7"/>
  <c r="P51" i="7"/>
  <c r="P56" i="7"/>
  <c r="P64" i="7"/>
  <c r="P75" i="7"/>
  <c r="P83" i="7"/>
  <c r="P97" i="7"/>
  <c r="P100" i="7"/>
  <c r="P126" i="7"/>
  <c r="P134" i="7"/>
  <c r="P149" i="7"/>
  <c r="P10" i="7"/>
  <c r="P21" i="7"/>
  <c r="P24" i="7"/>
  <c r="P27" i="7"/>
  <c r="P38" i="7"/>
  <c r="P59" i="7"/>
  <c r="P66" i="7"/>
  <c r="P69" i="7"/>
  <c r="P105" i="7"/>
  <c r="P108" i="7"/>
  <c r="P117" i="7"/>
  <c r="P123" i="7"/>
  <c r="P131" i="7"/>
  <c r="P142" i="7"/>
  <c r="O157" i="7"/>
  <c r="Q157" i="7" s="1"/>
  <c r="I61" i="7" a="1"/>
  <c r="I61" i="7" s="1"/>
  <c r="H62" i="7" a="1"/>
  <c r="H62" i="7" s="1"/>
  <c r="H48" i="7" a="1"/>
  <c r="H48" i="7" s="1"/>
  <c r="H49" i="7" a="1"/>
  <c r="H49" i="7" s="1"/>
  <c r="AE102" i="7" a="1"/>
  <c r="AE102" i="7" s="1"/>
  <c r="O102" i="7"/>
  <c r="Q102" i="7" s="1"/>
  <c r="O128" i="7"/>
  <c r="Q128" i="7" s="1"/>
  <c r="AE162" i="7" a="1"/>
  <c r="AE162" i="7" s="1"/>
  <c r="P162" i="7"/>
  <c r="AE34" i="7" a="1"/>
  <c r="AE34" i="7" s="1"/>
  <c r="O34" i="7"/>
  <c r="Q34" i="7" s="1"/>
  <c r="AE85" i="7" a="1"/>
  <c r="AE85" i="7" s="1"/>
  <c r="O85" i="7"/>
  <c r="Q85" i="7" s="1"/>
  <c r="AE127" i="7" a="1"/>
  <c r="AE127" i="7" s="1"/>
  <c r="O127" i="7"/>
  <c r="Q127" i="7" s="1"/>
  <c r="O48" i="7"/>
  <c r="Q48" i="7" s="1"/>
  <c r="AE84" i="7" a="1"/>
  <c r="AE84" i="7" s="1"/>
  <c r="O84" i="7"/>
  <c r="Q84" i="7" s="1"/>
  <c r="AE15" i="7" a="1"/>
  <c r="AE15" i="7" s="1"/>
  <c r="O15" i="7"/>
  <c r="Q15" i="7" s="1"/>
  <c r="AE47" i="7" a="1"/>
  <c r="AE47" i="7" s="1"/>
  <c r="O47" i="7"/>
  <c r="Q47" i="7" s="1"/>
  <c r="O91" i="7"/>
  <c r="Q91" i="7" s="1"/>
  <c r="AE133" i="7" a="1"/>
  <c r="AE133" i="7" s="1"/>
  <c r="O133" i="7"/>
  <c r="Q133" i="7" s="1"/>
  <c r="AE141" i="7" a="1"/>
  <c r="AE141" i="7" s="1"/>
  <c r="O141" i="7"/>
  <c r="Q141" i="7" s="1"/>
  <c r="AE124" i="7" a="1"/>
  <c r="AE124" i="7" s="1"/>
  <c r="O124" i="7"/>
  <c r="Q124" i="7" s="1"/>
  <c r="O140" i="7"/>
  <c r="Q140" i="7" s="1"/>
  <c r="O139" i="7"/>
  <c r="Q139" i="7" s="1"/>
  <c r="O155" i="7"/>
  <c r="Q155" i="7" s="1"/>
  <c r="AE29" i="7" a="1"/>
  <c r="AE29" i="7" s="1"/>
  <c r="O29" i="7"/>
  <c r="Q29" i="7" s="1"/>
  <c r="AE65" i="7" a="1"/>
  <c r="AE65" i="7" s="1"/>
  <c r="O65" i="7"/>
  <c r="Q65" i="7" s="1"/>
  <c r="AE80" i="7" a="1"/>
  <c r="AE80" i="7" s="1"/>
  <c r="O80" i="7"/>
  <c r="Q80" i="7" s="1"/>
  <c r="AE88" i="7" a="1"/>
  <c r="AE88" i="7" s="1"/>
  <c r="O88" i="7"/>
  <c r="Q88" i="7" s="1"/>
  <c r="O96" i="7"/>
  <c r="Q96" i="7" s="1"/>
  <c r="O130" i="7"/>
  <c r="Q130" i="7" s="1"/>
  <c r="AE11" i="7" a="1"/>
  <c r="AE11" i="7" s="1"/>
  <c r="O11" i="7"/>
  <c r="Q11" i="7" s="1"/>
  <c r="AE19" i="7" a="1"/>
  <c r="AE19" i="7" s="1"/>
  <c r="O19" i="7"/>
  <c r="Q19" i="7" s="1"/>
  <c r="O43" i="7"/>
  <c r="Q43" i="7" s="1"/>
  <c r="O71" i="7"/>
  <c r="Q71" i="7" s="1"/>
  <c r="AE79" i="7" a="1"/>
  <c r="AE79" i="7" s="1"/>
  <c r="O79" i="7"/>
  <c r="Q79" i="7" s="1"/>
  <c r="O95" i="7"/>
  <c r="Q95" i="7" s="1"/>
  <c r="AE121" i="7" a="1"/>
  <c r="AE121" i="7" s="1"/>
  <c r="O121" i="7"/>
  <c r="Q121" i="7" s="1"/>
  <c r="AE137" i="7" a="1"/>
  <c r="AE137" i="7" s="1"/>
  <c r="O137" i="7"/>
  <c r="Q137" i="7" s="1"/>
  <c r="AF61" i="6"/>
  <c r="AH61" i="6" s="1" a="1"/>
  <c r="AH61" i="6" s="1"/>
  <c r="K61" i="6" s="1" a="1"/>
  <c r="K61" i="6" s="1"/>
  <c r="AF53" i="6"/>
  <c r="AH53" i="6" s="1" a="1"/>
  <c r="AH53" i="6" s="1"/>
  <c r="K53" i="6" s="1" a="1"/>
  <c r="K53" i="6" s="1"/>
  <c r="J57" i="7" a="1"/>
  <c r="J57" i="7" s="1"/>
  <c r="H58" i="7" a="1"/>
  <c r="H58" i="7" s="1"/>
  <c r="I70" i="7" a="1"/>
  <c r="I70" i="7" s="1"/>
  <c r="K72" i="7" a="1"/>
  <c r="K72" i="7" s="1"/>
  <c r="I79" i="7" a="1"/>
  <c r="I79" i="7" s="1"/>
  <c r="M57" i="7" a="1"/>
  <c r="M57" i="7" s="1"/>
  <c r="AC68" i="6"/>
  <c r="AE68" i="6" s="1" a="1"/>
  <c r="AE68" i="6" s="1"/>
  <c r="I68" i="6" s="1" a="1"/>
  <c r="I68" i="6" s="1"/>
  <c r="AF42" i="6"/>
  <c r="AF19" i="6"/>
  <c r="AI19" i="6" s="1"/>
  <c r="AK19" i="6" s="1" a="1"/>
  <c r="AK19" i="6" s="1"/>
  <c r="AE37" i="6" a="1"/>
  <c r="AE37" i="6" s="1"/>
  <c r="J37" i="6" s="1" a="1"/>
  <c r="J37" i="6" s="1"/>
  <c r="H23" i="7" a="1"/>
  <c r="H23" i="7" s="1"/>
  <c r="H65" i="7" a="1"/>
  <c r="H65" i="7" s="1"/>
  <c r="AF59" i="6"/>
  <c r="AI59" i="6" s="1"/>
  <c r="AK59" i="6" s="1" a="1"/>
  <c r="AK59" i="6" s="1"/>
  <c r="AF18" i="6"/>
  <c r="AE45" i="6" a="1"/>
  <c r="AE45" i="6" s="1"/>
  <c r="I45" i="6" s="1" a="1"/>
  <c r="I45" i="6" s="1"/>
  <c r="AF66" i="6"/>
  <c r="AC71" i="6"/>
  <c r="AF71" i="6" s="1"/>
  <c r="AI71" i="6" s="1"/>
  <c r="AK71" i="6" s="1" a="1"/>
  <c r="AK71" i="6" s="1"/>
  <c r="AF58" i="6"/>
  <c r="AF35" i="6"/>
  <c r="AI35" i="6" s="1"/>
  <c r="AK35" i="6" s="1" a="1"/>
  <c r="AK35" i="6" s="1"/>
  <c r="I93" i="7" a="1"/>
  <c r="I93" i="7" s="1"/>
  <c r="J95" i="7" a="1"/>
  <c r="J95" i="7" s="1"/>
  <c r="AF43" i="6"/>
  <c r="AI43" i="6" s="1"/>
  <c r="AK43" i="6" s="1" a="1"/>
  <c r="AK43" i="6" s="1"/>
  <c r="AC70" i="6"/>
  <c r="AF70" i="6" s="1"/>
  <c r="AH70" i="6" s="1" a="1"/>
  <c r="AH70" i="6" s="1"/>
  <c r="K70" i="6" s="1" a="1"/>
  <c r="K70" i="6" s="1"/>
  <c r="AF34" i="6"/>
  <c r="AF12" i="6"/>
  <c r="AH12" i="6" s="1" a="1"/>
  <c r="AH12" i="6" s="1"/>
  <c r="K12" i="6" s="1" a="1"/>
  <c r="K12" i="6" s="1"/>
  <c r="AC69" i="6"/>
  <c r="AF51" i="6"/>
  <c r="AI51" i="6" s="1"/>
  <c r="AK51" i="6" s="1" a="1"/>
  <c r="AK51" i="6" s="1"/>
  <c r="AF29" i="6"/>
  <c r="AH29" i="6" s="1" a="1"/>
  <c r="AH29" i="6" s="1"/>
  <c r="K29" i="6" s="1" a="1"/>
  <c r="K29" i="6" s="1"/>
  <c r="AF11" i="6"/>
  <c r="AI11" i="6" s="1"/>
  <c r="AK11" i="6" s="1" a="1"/>
  <c r="AK11" i="6" s="1"/>
  <c r="AE5" i="6" a="1"/>
  <c r="AE5" i="6" s="1"/>
  <c r="I5" i="6" s="1" a="1"/>
  <c r="I5" i="6" s="1"/>
  <c r="H82" i="7" a="1"/>
  <c r="H82" i="7" s="1"/>
  <c r="AF50" i="6"/>
  <c r="AF27" i="6"/>
  <c r="AI27" i="6" s="1"/>
  <c r="AK27" i="6" s="1" a="1"/>
  <c r="AK27" i="6" s="1"/>
  <c r="AF10" i="6"/>
  <c r="AE13" i="6" a="1"/>
  <c r="AE13" i="6" s="1"/>
  <c r="J13" i="6" s="1" a="1"/>
  <c r="J13" i="6" s="1"/>
  <c r="AF67" i="6"/>
  <c r="AI67" i="6" s="1"/>
  <c r="AK67" i="6" s="1" a="1"/>
  <c r="AK67" i="6" s="1"/>
  <c r="AE27" i="7" a="1"/>
  <c r="AE27" i="7" s="1"/>
  <c r="H42" i="7" a="1"/>
  <c r="H42" i="7" s="1"/>
  <c r="J117" i="7" a="1"/>
  <c r="J117" i="7" s="1"/>
  <c r="J41" i="7" a="1"/>
  <c r="J41" i="7" s="1"/>
  <c r="H74" i="7" a="1"/>
  <c r="H74" i="7" s="1"/>
  <c r="K76" i="7" a="1"/>
  <c r="K76" i="7" s="1"/>
  <c r="J12" i="7" a="1"/>
  <c r="J12" i="7" s="1"/>
  <c r="J13" i="7" a="1"/>
  <c r="J13" i="7" s="1"/>
  <c r="J65" i="7" a="1"/>
  <c r="J65" i="7" s="1"/>
  <c r="M66" i="7" a="1"/>
  <c r="M66" i="7" s="1"/>
  <c r="I38" i="7" a="1"/>
  <c r="I38" i="7" s="1"/>
  <c r="H68" i="7" a="1"/>
  <c r="H68" i="7" s="1"/>
  <c r="I75" i="7" a="1"/>
  <c r="I75" i="7" s="1"/>
  <c r="I77" i="7" a="1"/>
  <c r="I77" i="7" s="1"/>
  <c r="J7" i="7" a="1"/>
  <c r="J7" i="7" s="1"/>
  <c r="J8" i="7" a="1"/>
  <c r="J8" i="7" s="1"/>
  <c r="J14" i="7" a="1"/>
  <c r="J14" i="7" s="1"/>
  <c r="J107" i="7" a="1"/>
  <c r="J107" i="7" s="1"/>
  <c r="K47" i="7" a="1"/>
  <c r="K47" i="7" s="1"/>
  <c r="H64" i="7" a="1"/>
  <c r="H64" i="7" s="1"/>
  <c r="M92" i="7" a="1"/>
  <c r="M92" i="7" s="1"/>
  <c r="AE163" i="7" a="1"/>
  <c r="AE163" i="7" s="1"/>
  <c r="AE159" i="7" a="1"/>
  <c r="AE159" i="7" s="1"/>
  <c r="J23" i="7" a="1"/>
  <c r="J23" i="7" s="1"/>
  <c r="H24" i="7" a="1"/>
  <c r="H24" i="7" s="1"/>
  <c r="H26" i="7" a="1"/>
  <c r="H26" i="7" s="1"/>
  <c r="J16" i="7" a="1"/>
  <c r="J16" i="7" s="1"/>
  <c r="I21" i="7" a="1"/>
  <c r="I21" i="7" s="1"/>
  <c r="AE22" i="7" a="1"/>
  <c r="AE22" i="7" s="1"/>
  <c r="J31" i="7" a="1"/>
  <c r="J31" i="7" s="1"/>
  <c r="J32" i="7" a="1"/>
  <c r="J32" i="7" s="1"/>
  <c r="H34" i="7" a="1"/>
  <c r="H34" i="7" s="1"/>
  <c r="J45" i="7" a="1"/>
  <c r="J45" i="7" s="1"/>
  <c r="J79" i="7" a="1"/>
  <c r="J79" i="7" s="1"/>
  <c r="H112" i="7" a="1"/>
  <c r="H112" i="7" s="1"/>
  <c r="J17" i="7" a="1"/>
  <c r="J17" i="7" s="1"/>
  <c r="J18" i="7" a="1"/>
  <c r="J18" i="7" s="1"/>
  <c r="H19" i="7" a="1"/>
  <c r="H19" i="7" s="1"/>
  <c r="H56" i="7" a="1"/>
  <c r="H56" i="7" s="1"/>
  <c r="H57" i="7" a="1"/>
  <c r="H57" i="7" s="1"/>
  <c r="I85" i="7" a="1"/>
  <c r="I85" i="7" s="1"/>
  <c r="J88" i="7" a="1"/>
  <c r="J88" i="7" s="1"/>
  <c r="H102" i="7" a="1"/>
  <c r="H102" i="7" s="1"/>
  <c r="H103" i="7" a="1"/>
  <c r="H103" i="7" s="1"/>
  <c r="H113" i="7" a="1"/>
  <c r="H113" i="7" s="1"/>
  <c r="I114" i="7" a="1"/>
  <c r="I114" i="7" s="1"/>
  <c r="I116" i="7" a="1"/>
  <c r="I116" i="7" s="1"/>
  <c r="AE122" i="7" a="1"/>
  <c r="AE122" i="7" s="1"/>
  <c r="J83" i="7" a="1"/>
  <c r="J83" i="7" s="1"/>
  <c r="M84" i="7" a="1"/>
  <c r="M84" i="7" s="1"/>
  <c r="I106" i="7" a="1"/>
  <c r="I106" i="7" s="1"/>
  <c r="J112" i="7" a="1"/>
  <c r="J112" i="7" s="1"/>
  <c r="J115" i="7" a="1"/>
  <c r="J115" i="7" s="1"/>
  <c r="AE161" i="7" a="1"/>
  <c r="AE161" i="7" s="1"/>
  <c r="AE39" i="7" a="1"/>
  <c r="AE39" i="7" s="1"/>
  <c r="H52" i="7" a="1"/>
  <c r="H52" i="7" s="1"/>
  <c r="J120" i="7" a="1"/>
  <c r="J120" i="7" s="1"/>
  <c r="K121" i="7" a="1"/>
  <c r="K121" i="7" s="1"/>
  <c r="AE160" i="7" a="1"/>
  <c r="AE160" i="7" s="1"/>
  <c r="K64" i="7" a="1"/>
  <c r="K64" i="7" s="1"/>
  <c r="M64" i="7" a="1"/>
  <c r="M64" i="7" s="1"/>
  <c r="M17" i="7" a="1"/>
  <c r="M17" i="7" s="1"/>
  <c r="K5" i="7" a="1"/>
  <c r="K5" i="7" s="1"/>
  <c r="K13" i="7" a="1"/>
  <c r="K13" i="7" s="1"/>
  <c r="I18" i="7" a="1"/>
  <c r="I18" i="7" s="1"/>
  <c r="K20" i="7" a="1"/>
  <c r="K20" i="7" s="1"/>
  <c r="J28" i="7" a="1"/>
  <c r="J28" i="7" s="1"/>
  <c r="I43" i="7" a="1"/>
  <c r="I43" i="7" s="1"/>
  <c r="J64" i="7" a="1"/>
  <c r="J64" i="7" s="1"/>
  <c r="H72" i="7" a="1"/>
  <c r="H72" i="7" s="1"/>
  <c r="H84" i="7" a="1"/>
  <c r="H84" i="7" s="1"/>
  <c r="J102" i="7" a="1"/>
  <c r="J102" i="7" s="1"/>
  <c r="H104" i="7" a="1"/>
  <c r="H104" i="7" s="1"/>
  <c r="K113" i="7" a="1"/>
  <c r="K113" i="7" s="1"/>
  <c r="I115" i="7" a="1"/>
  <c r="I115" i="7" s="1"/>
  <c r="J103" i="7" a="1"/>
  <c r="J103" i="7" s="1"/>
  <c r="J108" i="7" a="1"/>
  <c r="J108" i="7" s="1"/>
  <c r="H110" i="7" a="1"/>
  <c r="H110" i="7" s="1"/>
  <c r="J114" i="7" a="1"/>
  <c r="J114" i="7" s="1"/>
  <c r="I99" i="7" a="1"/>
  <c r="I99" i="7" s="1"/>
  <c r="H105" i="7" a="1"/>
  <c r="H105" i="7" s="1"/>
  <c r="K14" i="7" a="1"/>
  <c r="K14" i="7" s="1"/>
  <c r="H16" i="7" a="1"/>
  <c r="H16" i="7" s="1"/>
  <c r="J37" i="7" a="1"/>
  <c r="J37" i="7" s="1"/>
  <c r="I53" i="7" a="1"/>
  <c r="I53" i="7" s="1"/>
  <c r="I67" i="7" a="1"/>
  <c r="I67" i="7" s="1"/>
  <c r="K77" i="7" a="1"/>
  <c r="K77" i="7" s="1"/>
  <c r="H80" i="7" a="1"/>
  <c r="H80" i="7" s="1"/>
  <c r="J85" i="7" a="1"/>
  <c r="J85" i="7" s="1"/>
  <c r="I90" i="7" a="1"/>
  <c r="I90" i="7" s="1"/>
  <c r="K98" i="7" a="1"/>
  <c r="K98" i="7" s="1"/>
  <c r="J19" i="7" a="1"/>
  <c r="J19" i="7" s="1"/>
  <c r="J100" i="7" a="1"/>
  <c r="J100" i="7" s="1"/>
  <c r="H120" i="7" a="1"/>
  <c r="H120" i="7" s="1"/>
  <c r="AE10" i="7" a="1"/>
  <c r="AE10" i="7" s="1"/>
  <c r="AE60" i="7" a="1"/>
  <c r="AE60" i="7" s="1"/>
  <c r="AE18" i="7" a="1"/>
  <c r="AE18" i="7" s="1"/>
  <c r="AE115" i="7" a="1"/>
  <c r="AE115" i="7" s="1"/>
  <c r="AE23" i="7" a="1"/>
  <c r="AE23" i="7" s="1"/>
  <c r="AE26" i="7" a="1"/>
  <c r="AE26" i="7" s="1"/>
  <c r="AE30" i="7" a="1"/>
  <c r="AE30" i="7" s="1"/>
  <c r="AE35" i="7" a="1"/>
  <c r="AE35" i="7" s="1"/>
  <c r="AE48" i="7" a="1"/>
  <c r="AE48" i="7" s="1"/>
  <c r="AE125" i="7" a="1"/>
  <c r="AE125" i="7" s="1"/>
  <c r="AE140" i="7" a="1"/>
  <c r="AE140" i="7" s="1"/>
  <c r="AE145" i="7" a="1"/>
  <c r="AE145" i="7" s="1"/>
  <c r="M91" i="7" a="1"/>
  <c r="M91" i="7" s="1"/>
  <c r="AE108" i="7" a="1"/>
  <c r="AE108" i="7" s="1"/>
  <c r="AE112" i="7" a="1"/>
  <c r="AE112" i="7" s="1"/>
  <c r="AE107" i="7" a="1"/>
  <c r="AE107" i="7" s="1"/>
  <c r="AE153" i="7" a="1"/>
  <c r="AE153" i="7" s="1"/>
  <c r="AE91" i="7" a="1"/>
  <c r="AE91" i="7" s="1"/>
  <c r="AE119" i="7" a="1"/>
  <c r="AE119" i="7" s="1"/>
  <c r="AE81" i="7" a="1"/>
  <c r="AE81" i="7" s="1"/>
  <c r="K12" i="7" a="1"/>
  <c r="K12" i="7" s="1"/>
  <c r="K18" i="7" a="1"/>
  <c r="K18" i="7" s="1"/>
  <c r="K8" i="7" a="1"/>
  <c r="K8" i="7" s="1"/>
  <c r="M8" i="7" a="1"/>
  <c r="M8" i="7" s="1"/>
  <c r="K22" i="7" a="1"/>
  <c r="K22" i="7" s="1"/>
  <c r="K10" i="7" a="1"/>
  <c r="K10" i="7" s="1"/>
  <c r="K15" i="7" a="1"/>
  <c r="K15" i="7" s="1"/>
  <c r="I20" i="7" a="1"/>
  <c r="I20" i="7" s="1"/>
  <c r="AE44" i="7" a="1"/>
  <c r="AE44" i="7" s="1"/>
  <c r="J50" i="7" a="1"/>
  <c r="J50" i="7" s="1"/>
  <c r="K50" i="7" a="1"/>
  <c r="K50" i="7" s="1"/>
  <c r="H9" i="7" a="1"/>
  <c r="H9" i="7" s="1"/>
  <c r="H10" i="7" a="1"/>
  <c r="H10" i="7" s="1"/>
  <c r="J11" i="7" a="1"/>
  <c r="J11" i="7" s="1"/>
  <c r="I12" i="7" a="1"/>
  <c r="I12" i="7" s="1"/>
  <c r="H14" i="7" a="1"/>
  <c r="H14" i="7" s="1"/>
  <c r="H22" i="7" a="1"/>
  <c r="H22" i="7" s="1"/>
  <c r="I27" i="7" a="1"/>
  <c r="I27" i="7" s="1"/>
  <c r="K43" i="7" a="1"/>
  <c r="K43" i="7" s="1"/>
  <c r="M51" i="7" a="1"/>
  <c r="M51" i="7" s="1"/>
  <c r="J61" i="7" a="1"/>
  <c r="J61" i="7" s="1"/>
  <c r="I69" i="7" a="1"/>
  <c r="I69" i="7" s="1"/>
  <c r="J80" i="7" a="1"/>
  <c r="J80" i="7" s="1"/>
  <c r="K107" i="7" a="1"/>
  <c r="K107" i="7" s="1"/>
  <c r="J59" i="7" a="1"/>
  <c r="J59" i="7" s="1"/>
  <c r="I76" i="7" a="1"/>
  <c r="I76" i="7" s="1"/>
  <c r="H76" i="7" a="1"/>
  <c r="H76" i="7" s="1"/>
  <c r="K115" i="7" a="1"/>
  <c r="K115" i="7" s="1"/>
  <c r="AE43" i="7" a="1"/>
  <c r="AE43" i="7" s="1"/>
  <c r="J75" i="7" a="1"/>
  <c r="J75" i="7" s="1"/>
  <c r="K120" i="7" a="1"/>
  <c r="K120" i="7" s="1"/>
  <c r="AE4" i="7" a="1"/>
  <c r="AE4" i="7" s="1"/>
  <c r="J10" i="7" a="1"/>
  <c r="J10" i="7" s="1"/>
  <c r="H11" i="7" a="1"/>
  <c r="H11" i="7" s="1"/>
  <c r="H13" i="7" a="1"/>
  <c r="H13" i="7" s="1"/>
  <c r="H15" i="7" a="1"/>
  <c r="H15" i="7" s="1"/>
  <c r="I17" i="7" a="1"/>
  <c r="I17" i="7" s="1"/>
  <c r="J22" i="7" a="1"/>
  <c r="J22" i="7" s="1"/>
  <c r="H29" i="7" a="1"/>
  <c r="H29" i="7" s="1"/>
  <c r="I39" i="7" a="1"/>
  <c r="I39" i="7" s="1"/>
  <c r="J67" i="7" a="1"/>
  <c r="J67" i="7" s="1"/>
  <c r="H25" i="7" a="1"/>
  <c r="H25" i="7" s="1"/>
  <c r="I40" i="7" a="1"/>
  <c r="I40" i="7" s="1"/>
  <c r="H40" i="7" a="1"/>
  <c r="H40" i="7" s="1"/>
  <c r="M60" i="7" a="1"/>
  <c r="M60" i="7" s="1"/>
  <c r="J62" i="7" a="1"/>
  <c r="J62" i="7" s="1"/>
  <c r="J77" i="7" a="1"/>
  <c r="J77" i="7" s="1"/>
  <c r="I78" i="7" a="1"/>
  <c r="I78" i="7" s="1"/>
  <c r="H78" i="7" a="1"/>
  <c r="H78" i="7" s="1"/>
  <c r="AE83" i="7" a="1"/>
  <c r="AE83" i="7" s="1"/>
  <c r="K102" i="7" a="1"/>
  <c r="K102" i="7" s="1"/>
  <c r="H47" i="7" a="1"/>
  <c r="H47" i="7" s="1"/>
  <c r="I47" i="7" a="1"/>
  <c r="I47" i="7" s="1"/>
  <c r="J55" i="7" a="1"/>
  <c r="J55" i="7" s="1"/>
  <c r="H4" i="7" a="1"/>
  <c r="H4" i="7" s="1"/>
  <c r="I6" i="7" a="1"/>
  <c r="I6" i="7" s="1"/>
  <c r="AE31" i="7" a="1"/>
  <c r="AE31" i="7" s="1"/>
  <c r="H33" i="7" a="1"/>
  <c r="H33" i="7" s="1"/>
  <c r="J40" i="7" a="1"/>
  <c r="J40" i="7" s="1"/>
  <c r="H41" i="7" a="1"/>
  <c r="H41" i="7" s="1"/>
  <c r="J46" i="7" a="1"/>
  <c r="J46" i="7" s="1"/>
  <c r="M46" i="7" a="1"/>
  <c r="M46" i="7" s="1"/>
  <c r="J63" i="7" a="1"/>
  <c r="J63" i="7" s="1"/>
  <c r="J70" i="7" a="1"/>
  <c r="J70" i="7" s="1"/>
  <c r="I96" i="7" a="1"/>
  <c r="I96" i="7" s="1"/>
  <c r="H96" i="7" a="1"/>
  <c r="H96" i="7" s="1"/>
  <c r="I100" i="7" a="1"/>
  <c r="I100" i="7" s="1"/>
  <c r="H100" i="7" a="1"/>
  <c r="H100" i="7" s="1"/>
  <c r="K111" i="7" a="1"/>
  <c r="K111" i="7" s="1"/>
  <c r="I60" i="7" a="1"/>
  <c r="I60" i="7" s="1"/>
  <c r="H60" i="7" a="1"/>
  <c r="H60" i="7" s="1"/>
  <c r="AE116" i="7" a="1"/>
  <c r="AE116" i="7" s="1"/>
  <c r="J116" i="7" a="1"/>
  <c r="J116" i="7" s="1"/>
  <c r="H118" i="7" a="1"/>
  <c r="H118" i="7" s="1"/>
  <c r="H121" i="7" a="1"/>
  <c r="H121" i="7" s="1"/>
  <c r="AE143" i="7" a="1"/>
  <c r="AE143" i="7" s="1"/>
  <c r="AE94" i="7" a="1"/>
  <c r="AE94" i="7" s="1"/>
  <c r="M108" i="7" a="1"/>
  <c r="M108" i="7" s="1"/>
  <c r="K116" i="7" a="1"/>
  <c r="K116" i="7" s="1"/>
  <c r="I97" i="7" a="1"/>
  <c r="I97" i="7" s="1"/>
  <c r="I98" i="7" a="1"/>
  <c r="I98" i="7" s="1"/>
  <c r="H108" i="7" a="1"/>
  <c r="H108" i="7" s="1"/>
  <c r="J111" i="7" a="1"/>
  <c r="J111" i="7" s="1"/>
  <c r="I122" i="7" a="1"/>
  <c r="I122" i="7" s="1"/>
  <c r="AE138" i="7" a="1"/>
  <c r="AE138" i="7" s="1"/>
  <c r="H89" i="7" a="1"/>
  <c r="H89" i="7" s="1"/>
  <c r="AE90" i="7" a="1"/>
  <c r="AE90" i="7" s="1"/>
  <c r="K91" i="7" a="1"/>
  <c r="K91" i="7" s="1"/>
  <c r="H101" i="7" a="1"/>
  <c r="H101" i="7" s="1"/>
  <c r="I107" i="7" a="1"/>
  <c r="I107" i="7" s="1"/>
  <c r="H109" i="7" a="1"/>
  <c r="H109" i="7" s="1"/>
  <c r="H117" i="7" a="1"/>
  <c r="H117" i="7" s="1"/>
  <c r="I119" i="7" a="1"/>
  <c r="I119" i="7" s="1"/>
  <c r="J121" i="7" a="1"/>
  <c r="J121" i="7" s="1"/>
  <c r="K122" i="7" a="1"/>
  <c r="K122" i="7" s="1"/>
  <c r="AE8" i="7" a="1"/>
  <c r="AE8" i="7" s="1"/>
  <c r="K11" i="7" a="1"/>
  <c r="K11" i="7" s="1"/>
  <c r="AE33" i="7" a="1"/>
  <c r="AE33" i="7" s="1"/>
  <c r="AE5" i="7" a="1"/>
  <c r="AE5" i="7" s="1"/>
  <c r="K7" i="7" a="1"/>
  <c r="K7" i="7" s="1"/>
  <c r="K26" i="7" a="1"/>
  <c r="K26" i="7" s="1"/>
  <c r="AE21" i="7" a="1"/>
  <c r="AE21" i="7" s="1"/>
  <c r="AE16" i="7" a="1"/>
  <c r="AE16" i="7" s="1"/>
  <c r="AE6" i="7" a="1"/>
  <c r="AE6" i="7" s="1"/>
  <c r="AE13" i="7" a="1"/>
  <c r="AE13" i="7" s="1"/>
  <c r="K6" i="7" a="1"/>
  <c r="K6" i="7" s="1"/>
  <c r="K4" i="7" a="1"/>
  <c r="K4" i="7" s="1"/>
  <c r="AE7" i="7" a="1"/>
  <c r="AE7" i="7" s="1"/>
  <c r="K9" i="7" a="1"/>
  <c r="K9" i="7" s="1"/>
  <c r="AE17" i="7" a="1"/>
  <c r="AE17" i="7" s="1"/>
  <c r="K24" i="7" a="1"/>
  <c r="K24" i="7" s="1"/>
  <c r="AE25" i="7" a="1"/>
  <c r="AE25" i="7" s="1"/>
  <c r="AE9" i="7" a="1"/>
  <c r="AE9" i="7" s="1"/>
  <c r="I37" i="7" a="1"/>
  <c r="I37" i="7" s="1"/>
  <c r="H37" i="7" a="1"/>
  <c r="H37" i="7" s="1"/>
  <c r="J6" i="7" a="1"/>
  <c r="J6" i="7" s="1"/>
  <c r="H7" i="7" a="1"/>
  <c r="H7" i="7" s="1"/>
  <c r="J9" i="7" a="1"/>
  <c r="J9" i="7" s="1"/>
  <c r="K19" i="7" a="1"/>
  <c r="K19" i="7" s="1"/>
  <c r="AE20" i="7" a="1"/>
  <c r="AE20" i="7" s="1"/>
  <c r="H28" i="7" a="1"/>
  <c r="H28" i="7" s="1"/>
  <c r="I32" i="7" a="1"/>
  <c r="I32" i="7" s="1"/>
  <c r="H32" i="7" a="1"/>
  <c r="H32" i="7" s="1"/>
  <c r="J69" i="7" a="1"/>
  <c r="J69" i="7" s="1"/>
  <c r="K17" i="7" a="1"/>
  <c r="K17" i="7" s="1"/>
  <c r="K23" i="7" a="1"/>
  <c r="K23" i="7" s="1"/>
  <c r="AE12" i="7" a="1"/>
  <c r="AE12" i="7" s="1"/>
  <c r="AE45" i="7" a="1"/>
  <c r="AE45" i="7" s="1"/>
  <c r="M47" i="7" a="1"/>
  <c r="M47" i="7" s="1"/>
  <c r="M13" i="7" a="1"/>
  <c r="M13" i="7" s="1"/>
  <c r="J30" i="7" a="1"/>
  <c r="J30" i="7" s="1"/>
  <c r="J36" i="7" a="1"/>
  <c r="J36" i="7" s="1"/>
  <c r="AE42" i="7" a="1"/>
  <c r="AE42" i="7" s="1"/>
  <c r="I46" i="7" a="1"/>
  <c r="I46" i="7" s="1"/>
  <c r="H46" i="7" a="1"/>
  <c r="H46" i="7" s="1"/>
  <c r="AE58" i="7" a="1"/>
  <c r="AE58" i="7" s="1"/>
  <c r="J4" i="7" a="1"/>
  <c r="J4" i="7" s="1"/>
  <c r="H5" i="7" a="1"/>
  <c r="H5" i="7" s="1"/>
  <c r="H8" i="7" a="1"/>
  <c r="H8" i="7" s="1"/>
  <c r="AE14" i="7" a="1"/>
  <c r="AE14" i="7" s="1"/>
  <c r="J27" i="7" a="1"/>
  <c r="J27" i="7" s="1"/>
  <c r="AE28" i="7" a="1"/>
  <c r="AE28" i="7" s="1"/>
  <c r="M28" i="7" a="1"/>
  <c r="M28" i="7" s="1"/>
  <c r="M32" i="7" a="1"/>
  <c r="M32" i="7" s="1"/>
  <c r="AE37" i="7" a="1"/>
  <c r="AE37" i="7" s="1"/>
  <c r="J53" i="7" a="1"/>
  <c r="J53" i="7" s="1"/>
  <c r="AE24" i="7" a="1"/>
  <c r="AE24" i="7" s="1"/>
  <c r="J24" i="7" a="1"/>
  <c r="J24" i="7" s="1"/>
  <c r="J26" i="7" a="1"/>
  <c r="J26" i="7" s="1"/>
  <c r="K28" i="7" a="1"/>
  <c r="K28" i="7" s="1"/>
  <c r="K32" i="7" a="1"/>
  <c r="K32" i="7" s="1"/>
  <c r="K37" i="7" a="1"/>
  <c r="K37" i="7" s="1"/>
  <c r="AE54" i="7" a="1"/>
  <c r="AE54" i="7" s="1"/>
  <c r="K29" i="7" a="1"/>
  <c r="K29" i="7" s="1"/>
  <c r="AE32" i="7" a="1"/>
  <c r="AE32" i="7" s="1"/>
  <c r="AE40" i="7" a="1"/>
  <c r="AE40" i="7" s="1"/>
  <c r="J44" i="7" a="1"/>
  <c r="J44" i="7" s="1"/>
  <c r="H51" i="7" a="1"/>
  <c r="H51" i="7" s="1"/>
  <c r="I51" i="7" a="1"/>
  <c r="I51" i="7" s="1"/>
  <c r="H55" i="7" a="1"/>
  <c r="H55" i="7" s="1"/>
  <c r="I55" i="7" a="1"/>
  <c r="I55" i="7" s="1"/>
  <c r="AE57" i="7" a="1"/>
  <c r="AE57" i="7" s="1"/>
  <c r="I36" i="7" a="1"/>
  <c r="I36" i="7" s="1"/>
  <c r="H36" i="7" a="1"/>
  <c r="H36" i="7" s="1"/>
  <c r="J39" i="7" a="1"/>
  <c r="J39" i="7" s="1"/>
  <c r="AE50" i="7" a="1"/>
  <c r="AE50" i="7" s="1"/>
  <c r="AE53" i="7" a="1"/>
  <c r="AE53" i="7" s="1"/>
  <c r="K56" i="7" a="1"/>
  <c r="K56" i="7" s="1"/>
  <c r="AE61" i="7" a="1"/>
  <c r="AE61" i="7" s="1"/>
  <c r="AE41" i="7" a="1"/>
  <c r="AE41" i="7" s="1"/>
  <c r="K49" i="7" a="1"/>
  <c r="K49" i="7" s="1"/>
  <c r="AE56" i="7" a="1"/>
  <c r="AE56" i="7" s="1"/>
  <c r="AE59" i="7" a="1"/>
  <c r="AE59" i="7" s="1"/>
  <c r="AE64" i="7" a="1"/>
  <c r="AE64" i="7" s="1"/>
  <c r="K41" i="7" a="1"/>
  <c r="K41" i="7" s="1"/>
  <c r="J49" i="7" a="1"/>
  <c r="J49" i="7" s="1"/>
  <c r="I50" i="7" a="1"/>
  <c r="I50" i="7" s="1"/>
  <c r="H50" i="7" a="1"/>
  <c r="H50" i="7" s="1"/>
  <c r="K52" i="7" a="1"/>
  <c r="K52" i="7" s="1"/>
  <c r="AE46" i="7" a="1"/>
  <c r="AE46" i="7" s="1"/>
  <c r="AE51" i="7" a="1"/>
  <c r="AE51" i="7" s="1"/>
  <c r="J54" i="7" a="1"/>
  <c r="J54" i="7" s="1"/>
  <c r="H63" i="7" a="1"/>
  <c r="H63" i="7" s="1"/>
  <c r="I63" i="7" a="1"/>
  <c r="I63" i="7" s="1"/>
  <c r="I30" i="7" a="1"/>
  <c r="I30" i="7" s="1"/>
  <c r="J35" i="7" a="1"/>
  <c r="J35" i="7" s="1"/>
  <c r="AE38" i="7" a="1"/>
  <c r="AE38" i="7" s="1"/>
  <c r="K40" i="7" a="1"/>
  <c r="K40" i="7" s="1"/>
  <c r="AE49" i="7" a="1"/>
  <c r="AE49" i="7" s="1"/>
  <c r="AE52" i="7" a="1"/>
  <c r="AE52" i="7" s="1"/>
  <c r="H59" i="7" a="1"/>
  <c r="H59" i="7" s="1"/>
  <c r="I59" i="7" a="1"/>
  <c r="I59" i="7" s="1"/>
  <c r="AE69" i="7" a="1"/>
  <c r="AE69" i="7" s="1"/>
  <c r="K61" i="7" a="1"/>
  <c r="K61" i="7" s="1"/>
  <c r="AE66" i="7" a="1"/>
  <c r="AE66" i="7" s="1"/>
  <c r="AE67" i="7" a="1"/>
  <c r="AE67" i="7" s="1"/>
  <c r="H45" i="7" a="1"/>
  <c r="H45" i="7" s="1"/>
  <c r="K45" i="7" a="1"/>
  <c r="K45" i="7" s="1"/>
  <c r="J48" i="7" a="1"/>
  <c r="J48" i="7" s="1"/>
  <c r="H54" i="7" a="1"/>
  <c r="H54" i="7" s="1"/>
  <c r="AE55" i="7" a="1"/>
  <c r="AE55" i="7" s="1"/>
  <c r="AE77" i="7" a="1"/>
  <c r="AE77" i="7" s="1"/>
  <c r="J43" i="7" a="1"/>
  <c r="J43" i="7" s="1"/>
  <c r="J52" i="7" a="1"/>
  <c r="J52" i="7" s="1"/>
  <c r="AE63" i="7" a="1"/>
  <c r="AE63" i="7" s="1"/>
  <c r="K63" i="7" a="1"/>
  <c r="K63" i="7" s="1"/>
  <c r="AE68" i="7" a="1"/>
  <c r="AE68" i="7" s="1"/>
  <c r="J73" i="7" a="1"/>
  <c r="J73" i="7" s="1"/>
  <c r="I31" i="7" a="1"/>
  <c r="I31" i="7" s="1"/>
  <c r="AE36" i="7" a="1"/>
  <c r="AE36" i="7" s="1"/>
  <c r="H44" i="7" a="1"/>
  <c r="H44" i="7" s="1"/>
  <c r="J47" i="7" a="1"/>
  <c r="J47" i="7" s="1"/>
  <c r="J56" i="7" a="1"/>
  <c r="J56" i="7" s="1"/>
  <c r="J60" i="7" a="1"/>
  <c r="J60" i="7" s="1"/>
  <c r="M65" i="7" a="1"/>
  <c r="M65" i="7" s="1"/>
  <c r="I66" i="7" a="1"/>
  <c r="I66" i="7" s="1"/>
  <c r="H66" i="7" a="1"/>
  <c r="H66" i="7" s="1"/>
  <c r="I35" i="7" a="1"/>
  <c r="I35" i="7" s="1"/>
  <c r="J51" i="7" a="1"/>
  <c r="J51" i="7" s="1"/>
  <c r="AE82" i="7" a="1"/>
  <c r="AE82" i="7" s="1"/>
  <c r="AE62" i="7" a="1"/>
  <c r="AE62" i="7" s="1"/>
  <c r="K65" i="7" a="1"/>
  <c r="K65" i="7" s="1"/>
  <c r="AE70" i="7" a="1"/>
  <c r="AE70" i="7" s="1"/>
  <c r="AE72" i="7" a="1"/>
  <c r="AE72" i="7" s="1"/>
  <c r="J97" i="7" a="1"/>
  <c r="J97" i="7" s="1"/>
  <c r="AE73" i="7" a="1"/>
  <c r="AE73" i="7" s="1"/>
  <c r="AE75" i="7" a="1"/>
  <c r="AE75" i="7" s="1"/>
  <c r="AE74" i="7" a="1"/>
  <c r="AE74" i="7" s="1"/>
  <c r="AE76" i="7" a="1"/>
  <c r="AE76" i="7" s="1"/>
  <c r="AE71" i="7" a="1"/>
  <c r="AE71" i="7" s="1"/>
  <c r="J71" i="7" a="1"/>
  <c r="J71" i="7" s="1"/>
  <c r="AE93" i="7" a="1"/>
  <c r="AE93" i="7" s="1"/>
  <c r="AE97" i="7" a="1"/>
  <c r="AE97" i="7" s="1"/>
  <c r="J78" i="7" a="1"/>
  <c r="J78" i="7" s="1"/>
  <c r="AE89" i="7" a="1"/>
  <c r="AE89" i="7" s="1"/>
  <c r="I73" i="7" a="1"/>
  <c r="I73" i="7" s="1"/>
  <c r="I92" i="7" a="1"/>
  <c r="I92" i="7" s="1"/>
  <c r="H92" i="7" a="1"/>
  <c r="H92" i="7" s="1"/>
  <c r="J106" i="7" a="1"/>
  <c r="J106" i="7" s="1"/>
  <c r="I71" i="7" a="1"/>
  <c r="I71" i="7" s="1"/>
  <c r="M77" i="7" a="1"/>
  <c r="M77" i="7" s="1"/>
  <c r="J87" i="7" a="1"/>
  <c r="J87" i="7" s="1"/>
  <c r="H94" i="7" a="1"/>
  <c r="H94" i="7" s="1"/>
  <c r="I94" i="7" a="1"/>
  <c r="I94" i="7" s="1"/>
  <c r="AE105" i="7" a="1"/>
  <c r="AE105" i="7" s="1"/>
  <c r="AE106" i="7" a="1"/>
  <c r="AE106" i="7" s="1"/>
  <c r="AE86" i="7" a="1"/>
  <c r="AE86" i="7" s="1"/>
  <c r="J90" i="7" a="1"/>
  <c r="J90" i="7" s="1"/>
  <c r="K105" i="7" a="1"/>
  <c r="K105" i="7" s="1"/>
  <c r="AE78" i="7" a="1"/>
  <c r="AE78" i="7" s="1"/>
  <c r="AE87" i="7" a="1"/>
  <c r="AE87" i="7" s="1"/>
  <c r="K95" i="7" a="1"/>
  <c r="K95" i="7" s="1"/>
  <c r="AE98" i="7" a="1"/>
  <c r="AE98" i="7" s="1"/>
  <c r="I81" i="7" a="1"/>
  <c r="I81" i="7" s="1"/>
  <c r="I83" i="7" a="1"/>
  <c r="I83" i="7" s="1"/>
  <c r="AE92" i="7" a="1"/>
  <c r="AE92" i="7" s="1"/>
  <c r="J110" i="7" a="1"/>
  <c r="J110" i="7" s="1"/>
  <c r="I86" i="7" a="1"/>
  <c r="I86" i="7" s="1"/>
  <c r="H86" i="7" a="1"/>
  <c r="H86" i="7" s="1"/>
  <c r="M102" i="7" a="1"/>
  <c r="M102" i="7" s="1"/>
  <c r="K83" i="7" a="1"/>
  <c r="K83" i="7" s="1"/>
  <c r="H87" i="7" a="1"/>
  <c r="H87" i="7" s="1"/>
  <c r="I87" i="7" a="1"/>
  <c r="I87" i="7" s="1"/>
  <c r="J89" i="7" a="1"/>
  <c r="J89" i="7" s="1"/>
  <c r="K109" i="7" a="1"/>
  <c r="K109" i="7" s="1"/>
  <c r="I91" i="7" a="1"/>
  <c r="I91" i="7" s="1"/>
  <c r="H91" i="7" a="1"/>
  <c r="H91" i="7" s="1"/>
  <c r="J94" i="7" a="1"/>
  <c r="J94" i="7" s="1"/>
  <c r="M98" i="7" a="1"/>
  <c r="M98" i="7" s="1"/>
  <c r="K103" i="7" a="1"/>
  <c r="K103" i="7" s="1"/>
  <c r="I95" i="7" a="1"/>
  <c r="I95" i="7" s="1"/>
  <c r="H95" i="7" a="1"/>
  <c r="H95" i="7" s="1"/>
  <c r="K100" i="7" a="1"/>
  <c r="K100" i="7" s="1"/>
  <c r="AE99" i="7" a="1"/>
  <c r="AE99" i="7" s="1"/>
  <c r="AE100" i="7" a="1"/>
  <c r="AE100" i="7" s="1"/>
  <c r="AE114" i="7" a="1"/>
  <c r="AE114" i="7" s="1"/>
  <c r="AE96" i="7" a="1"/>
  <c r="AE96" i="7" s="1"/>
  <c r="AE101" i="7" a="1"/>
  <c r="AE101" i="7" s="1"/>
  <c r="K104" i="7" a="1"/>
  <c r="K104" i="7" s="1"/>
  <c r="K114" i="7" a="1"/>
  <c r="K114" i="7" s="1"/>
  <c r="H88" i="7" a="1"/>
  <c r="H88" i="7" s="1"/>
  <c r="J91" i="7" a="1"/>
  <c r="J91" i="7" s="1"/>
  <c r="AE95" i="7" a="1"/>
  <c r="AE95" i="7" s="1"/>
  <c r="J99" i="7" a="1"/>
  <c r="J99" i="7" s="1"/>
  <c r="AE104" i="7" a="1"/>
  <c r="AE104" i="7" s="1"/>
  <c r="AE109" i="7" a="1"/>
  <c r="AE109" i="7" s="1"/>
  <c r="AE113" i="7" a="1"/>
  <c r="AE113" i="7" s="1"/>
  <c r="K112" i="7" a="1"/>
  <c r="K112" i="7" s="1"/>
  <c r="M116" i="7" a="1"/>
  <c r="M116" i="7" s="1"/>
  <c r="J98" i="7" a="1"/>
  <c r="J98" i="7" s="1"/>
  <c r="AE110" i="7" a="1"/>
  <c r="AE110" i="7" s="1"/>
  <c r="AE103" i="7" a="1"/>
  <c r="AE103" i="7" s="1"/>
  <c r="I111" i="7" a="1"/>
  <c r="I111" i="7" s="1"/>
  <c r="AE111" i="7" a="1"/>
  <c r="AE111" i="7" s="1"/>
  <c r="AE117" i="7" a="1"/>
  <c r="AE117" i="7" s="1"/>
  <c r="M121" i="7" a="1"/>
  <c r="M121" i="7" s="1"/>
  <c r="AE118" i="7" a="1"/>
  <c r="AE118" i="7" s="1"/>
  <c r="AE129" i="7" a="1"/>
  <c r="AE129" i="7" s="1"/>
  <c r="AE120" i="7" a="1"/>
  <c r="AE120" i="7" s="1"/>
  <c r="AE123" i="7" a="1"/>
  <c r="AE123" i="7" s="1"/>
  <c r="J119" i="7" a="1"/>
  <c r="J119" i="7" s="1"/>
  <c r="AE131" i="7" a="1"/>
  <c r="AE131" i="7" s="1"/>
  <c r="AE132" i="7" a="1"/>
  <c r="AE132" i="7" s="1"/>
  <c r="AE135" i="7" a="1"/>
  <c r="AE135" i="7" s="1"/>
  <c r="AE136" i="7" a="1"/>
  <c r="AE136" i="7" s="1"/>
  <c r="AE128" i="7" a="1"/>
  <c r="AE128" i="7" s="1"/>
  <c r="AE126" i="7" a="1"/>
  <c r="AE126" i="7" s="1"/>
  <c r="AE130" i="7" a="1"/>
  <c r="AE130" i="7" s="1"/>
  <c r="AE142" i="7" a="1"/>
  <c r="AE142" i="7" s="1"/>
  <c r="AE147" i="7" a="1"/>
  <c r="AE147" i="7" s="1"/>
  <c r="AE134" i="7" a="1"/>
  <c r="AE134" i="7" s="1"/>
  <c r="AE139" i="7" a="1"/>
  <c r="AE139" i="7" s="1"/>
  <c r="AE146" i="7" a="1"/>
  <c r="AE146" i="7" s="1"/>
  <c r="AE144" i="7" a="1"/>
  <c r="AE144" i="7" s="1"/>
  <c r="AE156" i="7" a="1"/>
  <c r="AE156" i="7" s="1"/>
  <c r="AE148" i="7" a="1"/>
  <c r="AE148" i="7" s="1"/>
  <c r="AE152" i="7" a="1"/>
  <c r="AE152" i="7" s="1"/>
  <c r="AE155" i="7" a="1"/>
  <c r="AE155" i="7" s="1"/>
  <c r="AE154" i="7" a="1"/>
  <c r="AE154" i="7" s="1"/>
  <c r="AE158" i="7" a="1"/>
  <c r="AE158" i="7" s="1"/>
  <c r="AE150" i="7" a="1"/>
  <c r="AE150" i="7" s="1"/>
  <c r="AE151" i="7" a="1"/>
  <c r="AE151" i="7" s="1"/>
  <c r="AE149" i="7" a="1"/>
  <c r="AE149" i="7" s="1"/>
  <c r="AE157" i="7" a="1"/>
  <c r="AE157" i="7" s="1"/>
  <c r="J67" i="6" a="1"/>
  <c r="J67" i="6" s="1"/>
  <c r="J59" i="6" a="1"/>
  <c r="J59" i="6" s="1"/>
  <c r="J51" i="6" a="1"/>
  <c r="J51" i="6" s="1"/>
  <c r="J43" i="6" a="1"/>
  <c r="J43" i="6" s="1"/>
  <c r="J35" i="6" a="1"/>
  <c r="J35" i="6" s="1"/>
  <c r="J27" i="6" a="1"/>
  <c r="J27" i="6" s="1"/>
  <c r="J19" i="6" a="1"/>
  <c r="J19" i="6" s="1"/>
  <c r="J11" i="6" a="1"/>
  <c r="J11" i="6" s="1"/>
  <c r="J66" i="6" a="1"/>
  <c r="J66" i="6" s="1"/>
  <c r="J58" i="6" a="1"/>
  <c r="J58" i="6" s="1"/>
  <c r="J50" i="6" a="1"/>
  <c r="J50" i="6" s="1"/>
  <c r="J42" i="6" a="1"/>
  <c r="J42" i="6" s="1"/>
  <c r="J34" i="6" a="1"/>
  <c r="J34" i="6" s="1"/>
  <c r="J26" i="6" a="1"/>
  <c r="J26" i="6" s="1"/>
  <c r="J18" i="6" a="1"/>
  <c r="J18" i="6" s="1"/>
  <c r="J10" i="6" a="1"/>
  <c r="J10" i="6" s="1"/>
  <c r="I29" i="6" a="1"/>
  <c r="I29" i="6" s="1"/>
  <c r="J65" i="6" a="1"/>
  <c r="J65" i="6" s="1"/>
  <c r="J61" i="6" a="1"/>
  <c r="J61" i="6" s="1"/>
  <c r="J57" i="6" a="1"/>
  <c r="J57" i="6" s="1"/>
  <c r="J53" i="6" a="1"/>
  <c r="J53" i="6" s="1"/>
  <c r="J41" i="6" a="1"/>
  <c r="J41" i="6" s="1"/>
  <c r="J33" i="6" a="1"/>
  <c r="J33" i="6" s="1"/>
  <c r="J25" i="6" a="1"/>
  <c r="J25" i="6" s="1"/>
  <c r="J21" i="6" a="1"/>
  <c r="J21" i="6" s="1"/>
  <c r="J17" i="6" a="1"/>
  <c r="J17" i="6" s="1"/>
  <c r="J9" i="6" a="1"/>
  <c r="J9" i="6" s="1"/>
  <c r="J64" i="6" a="1"/>
  <c r="J64" i="6" s="1"/>
  <c r="J60" i="6" a="1"/>
  <c r="J60" i="6" s="1"/>
  <c r="J56" i="6" a="1"/>
  <c r="J56" i="6" s="1"/>
  <c r="J52" i="6" a="1"/>
  <c r="J52" i="6" s="1"/>
  <c r="J48" i="6" a="1"/>
  <c r="J48" i="6" s="1"/>
  <c r="J44" i="6" a="1"/>
  <c r="J44" i="6" s="1"/>
  <c r="J40" i="6" a="1"/>
  <c r="J40" i="6" s="1"/>
  <c r="J36" i="6" a="1"/>
  <c r="J36" i="6" s="1"/>
  <c r="J32" i="6" a="1"/>
  <c r="J32" i="6" s="1"/>
  <c r="J28" i="6" a="1"/>
  <c r="J28" i="6" s="1"/>
  <c r="J24" i="6" a="1"/>
  <c r="J24" i="6" s="1"/>
  <c r="J20" i="6" a="1"/>
  <c r="J20" i="6" s="1"/>
  <c r="J16" i="6" a="1"/>
  <c r="J16" i="6" s="1"/>
  <c r="J12" i="6" a="1"/>
  <c r="J12" i="6" s="1"/>
  <c r="J8" i="6" a="1"/>
  <c r="J8" i="6" s="1"/>
  <c r="J4" i="6" a="1"/>
  <c r="J4" i="6" s="1"/>
  <c r="H64" i="6" a="1"/>
  <c r="H64" i="6" s="1"/>
  <c r="AE72" i="6" a="1"/>
  <c r="AE72" i="6" s="1"/>
  <c r="AF72" i="6"/>
  <c r="AI55" i="6"/>
  <c r="AK55" i="6" s="1" a="1"/>
  <c r="AK55" i="6" s="1"/>
  <c r="AH55" i="6" a="1"/>
  <c r="AH55" i="6" s="1"/>
  <c r="K55" i="6" s="1" a="1"/>
  <c r="K55" i="6" s="1"/>
  <c r="AI39" i="6"/>
  <c r="AK39" i="6" s="1" a="1"/>
  <c r="AK39" i="6" s="1"/>
  <c r="AH39" i="6" a="1"/>
  <c r="AH39" i="6" s="1"/>
  <c r="K39" i="6" s="1" a="1"/>
  <c r="K39" i="6" s="1"/>
  <c r="AI63" i="6"/>
  <c r="AK63" i="6" s="1" a="1"/>
  <c r="AK63" i="6" s="1"/>
  <c r="AH63" i="6" a="1"/>
  <c r="AH63" i="6" s="1"/>
  <c r="K63" i="6" s="1" a="1"/>
  <c r="K63" i="6" s="1"/>
  <c r="AI47" i="6"/>
  <c r="AK47" i="6" s="1" a="1"/>
  <c r="AK47" i="6" s="1"/>
  <c r="AH47" i="6" a="1"/>
  <c r="AH47" i="6" s="1"/>
  <c r="K47" i="6" s="1" a="1"/>
  <c r="K47" i="6" s="1"/>
  <c r="AI31" i="6"/>
  <c r="AK31" i="6" s="1" a="1"/>
  <c r="AK31" i="6" s="1"/>
  <c r="AH31" i="6" a="1"/>
  <c r="AH31" i="6" s="1"/>
  <c r="K31" i="6" s="1" a="1"/>
  <c r="K31" i="6" s="1"/>
  <c r="AI23" i="6"/>
  <c r="AK23" i="6" s="1" a="1"/>
  <c r="AK23" i="6" s="1"/>
  <c r="AH23" i="6" a="1"/>
  <c r="AH23" i="6" s="1"/>
  <c r="K23" i="6" s="1" a="1"/>
  <c r="K23" i="6" s="1"/>
  <c r="AI15" i="6"/>
  <c r="AK15" i="6" s="1" a="1"/>
  <c r="AK15" i="6" s="1"/>
  <c r="AH15" i="6" a="1"/>
  <c r="AH15" i="6" s="1"/>
  <c r="K15" i="6" s="1" a="1"/>
  <c r="K15" i="6" s="1"/>
  <c r="AI7" i="6"/>
  <c r="AK7" i="6" s="1" a="1"/>
  <c r="AK7" i="6" s="1"/>
  <c r="AH7" i="6" a="1"/>
  <c r="AH7" i="6" s="1"/>
  <c r="K7" i="6" s="1" a="1"/>
  <c r="K7" i="6" s="1"/>
  <c r="AI62" i="6"/>
  <c r="AK62" i="6" s="1" a="1"/>
  <c r="AK62" i="6" s="1"/>
  <c r="AH62" i="6" a="1"/>
  <c r="AH62" i="6" s="1"/>
  <c r="K62" i="6" s="1" a="1"/>
  <c r="K62" i="6" s="1"/>
  <c r="AI54" i="6"/>
  <c r="AK54" i="6" s="1" a="1"/>
  <c r="AK54" i="6" s="1"/>
  <c r="AH54" i="6" a="1"/>
  <c r="AH54" i="6" s="1"/>
  <c r="K54" i="6" s="1" a="1"/>
  <c r="K54" i="6" s="1"/>
  <c r="AI46" i="6"/>
  <c r="AK46" i="6" s="1" a="1"/>
  <c r="AK46" i="6" s="1"/>
  <c r="AH46" i="6" a="1"/>
  <c r="AH46" i="6" s="1"/>
  <c r="K46" i="6" s="1" a="1"/>
  <c r="K46" i="6" s="1"/>
  <c r="AI38" i="6"/>
  <c r="AK38" i="6" s="1" a="1"/>
  <c r="AK38" i="6" s="1"/>
  <c r="AH38" i="6" a="1"/>
  <c r="AH38" i="6" s="1"/>
  <c r="K38" i="6" s="1" a="1"/>
  <c r="K38" i="6" s="1"/>
  <c r="AI30" i="6"/>
  <c r="AK30" i="6" s="1" a="1"/>
  <c r="AK30" i="6" s="1"/>
  <c r="AH30" i="6" a="1"/>
  <c r="AH30" i="6" s="1"/>
  <c r="K30" i="6" s="1" a="1"/>
  <c r="K30" i="6" s="1"/>
  <c r="AI22" i="6"/>
  <c r="AK22" i="6" s="1" a="1"/>
  <c r="AK22" i="6" s="1"/>
  <c r="AH22" i="6" a="1"/>
  <c r="AH22" i="6" s="1"/>
  <c r="K22" i="6" s="1" a="1"/>
  <c r="K22" i="6" s="1"/>
  <c r="AI14" i="6"/>
  <c r="AK14" i="6" s="1" a="1"/>
  <c r="AK14" i="6" s="1"/>
  <c r="AH14" i="6" a="1"/>
  <c r="AH14" i="6" s="1"/>
  <c r="K14" i="6" s="1" a="1"/>
  <c r="K14" i="6" s="1"/>
  <c r="AI6" i="6"/>
  <c r="AK6" i="6" s="1" a="1"/>
  <c r="AK6" i="6" s="1"/>
  <c r="AH6" i="6" a="1"/>
  <c r="AH6" i="6" s="1"/>
  <c r="K6" i="6" s="1" a="1"/>
  <c r="K6" i="6" s="1"/>
  <c r="AH49" i="6" a="1"/>
  <c r="AH49" i="6" s="1"/>
  <c r="K49" i="6" s="1" a="1"/>
  <c r="K49" i="6" s="1"/>
  <c r="AI49" i="6"/>
  <c r="AK49" i="6" s="1" a="1"/>
  <c r="AK49" i="6" s="1"/>
  <c r="AB72" i="6" a="1"/>
  <c r="AB72" i="6" s="1"/>
  <c r="AF60" i="6"/>
  <c r="AF52" i="6"/>
  <c r="AF44" i="6"/>
  <c r="AF36" i="6"/>
  <c r="AF28" i="6"/>
  <c r="AF20" i="6"/>
  <c r="AF4" i="6"/>
  <c r="AE6" i="6" a="1"/>
  <c r="AE6" i="6" s="1"/>
  <c r="AE14" i="6" a="1"/>
  <c r="AE14" i="6" s="1"/>
  <c r="AE22" i="6" a="1"/>
  <c r="AE22" i="6" s="1"/>
  <c r="AE30" i="6" a="1"/>
  <c r="AE30" i="6" s="1"/>
  <c r="AE38" i="6" a="1"/>
  <c r="AE38" i="6" s="1"/>
  <c r="AE46" i="6" a="1"/>
  <c r="AE46" i="6" s="1"/>
  <c r="AE54" i="6" a="1"/>
  <c r="AE54" i="6" s="1"/>
  <c r="AE62" i="6" a="1"/>
  <c r="AE62" i="6" s="1"/>
  <c r="AE7" i="6" a="1"/>
  <c r="AE7" i="6" s="1"/>
  <c r="AE15" i="6" a="1"/>
  <c r="AE15" i="6" s="1"/>
  <c r="AE23" i="6" a="1"/>
  <c r="AE23" i="6" s="1"/>
  <c r="AE31" i="6" a="1"/>
  <c r="AE31" i="6" s="1"/>
  <c r="AE39" i="6" a="1"/>
  <c r="AE39" i="6" s="1"/>
  <c r="AE47" i="6" a="1"/>
  <c r="AE47" i="6" s="1"/>
  <c r="AE55" i="6" a="1"/>
  <c r="AE55" i="6" s="1"/>
  <c r="AE63" i="6" a="1"/>
  <c r="AE63" i="6" s="1"/>
  <c r="AF65" i="6"/>
  <c r="AF41" i="6"/>
  <c r="AF25" i="6"/>
  <c r="AF9" i="6"/>
  <c r="AF64" i="6"/>
  <c r="AF56" i="6"/>
  <c r="AF48" i="6"/>
  <c r="AF40" i="6"/>
  <c r="AF32" i="6"/>
  <c r="AF24" i="6"/>
  <c r="AF16" i="6"/>
  <c r="AF8" i="6"/>
  <c r="AI45" i="6"/>
  <c r="AK45" i="6" s="1" a="1"/>
  <c r="AK45" i="6" s="1"/>
  <c r="AI37" i="6"/>
  <c r="AK37" i="6" s="1" a="1"/>
  <c r="AK37" i="6" s="1"/>
  <c r="AI13" i="6"/>
  <c r="AK13" i="6" s="1" a="1"/>
  <c r="AK13" i="6" s="1"/>
  <c r="AI5" i="6"/>
  <c r="AK5" i="6" s="1" a="1"/>
  <c r="AK5" i="6" s="1"/>
  <c r="AF57" i="6"/>
  <c r="AF33" i="6"/>
  <c r="AF17" i="6"/>
  <c r="AE49" i="6" a="1"/>
  <c r="AE49" i="6" s="1"/>
  <c r="AH19" i="6" l="1" a="1"/>
  <c r="AH19" i="6" s="1"/>
  <c r="K19" i="6" s="1" a="1"/>
  <c r="K19" i="6" s="1"/>
  <c r="AH67" i="6" a="1"/>
  <c r="AH67" i="6" s="1"/>
  <c r="K67" i="6" s="1" a="1"/>
  <c r="K67" i="6" s="1"/>
  <c r="AI21" i="6"/>
  <c r="AK21" i="6" s="1" a="1"/>
  <c r="AK21" i="6" s="1"/>
  <c r="AI70" i="6"/>
  <c r="AK70" i="6" s="1" a="1"/>
  <c r="AK70" i="6" s="1"/>
  <c r="AI53" i="6"/>
  <c r="AK53" i="6" s="1" a="1"/>
  <c r="AK53" i="6" s="1"/>
  <c r="AE70" i="6" a="1"/>
  <c r="AE70" i="6" s="1"/>
  <c r="I70" i="6" s="1" a="1"/>
  <c r="I70" i="6" s="1"/>
  <c r="AI26" i="6"/>
  <c r="AK26" i="6" s="1" a="1"/>
  <c r="AK26" i="6" s="1"/>
  <c r="AI61" i="6"/>
  <c r="AK61" i="6" s="1" a="1"/>
  <c r="AK61" i="6" s="1"/>
  <c r="AN124" i="7" a="1"/>
  <c r="AN124" i="7" s="1"/>
  <c r="I124" i="7" s="1" a="1"/>
  <c r="I124" i="7" s="1"/>
  <c r="AO124" i="7"/>
  <c r="AO132" i="7"/>
  <c r="AN132" i="7" a="1"/>
  <c r="AN132" i="7" s="1"/>
  <c r="I132" i="7" s="1" a="1"/>
  <c r="I132" i="7" s="1"/>
  <c r="AN135" i="7" a="1"/>
  <c r="AN135" i="7" s="1"/>
  <c r="I135" i="7" s="1" a="1"/>
  <c r="I135" i="7" s="1"/>
  <c r="AO135" i="7"/>
  <c r="AN160" i="7" a="1"/>
  <c r="AN160" i="7" s="1"/>
  <c r="I160" i="7" s="1" a="1"/>
  <c r="I160" i="7" s="1"/>
  <c r="AO160" i="7"/>
  <c r="AN152" i="7" a="1"/>
  <c r="AN152" i="7" s="1"/>
  <c r="I152" i="7" s="1" a="1"/>
  <c r="I152" i="7" s="1"/>
  <c r="AO152" i="7"/>
  <c r="AN157" i="7" a="1"/>
  <c r="AN157" i="7" s="1"/>
  <c r="I157" i="7" s="1" a="1"/>
  <c r="I157" i="7" s="1"/>
  <c r="AO157" i="7"/>
  <c r="AO131" i="7"/>
  <c r="AN131" i="7" a="1"/>
  <c r="AN131" i="7" s="1"/>
  <c r="I131" i="7" s="1" a="1"/>
  <c r="I131" i="7" s="1"/>
  <c r="AO128" i="7"/>
  <c r="AN128" i="7" a="1"/>
  <c r="AN128" i="7" s="1"/>
  <c r="I128" i="7" s="1" a="1"/>
  <c r="I128" i="7" s="1"/>
  <c r="AO129" i="7"/>
  <c r="AN129" i="7" a="1"/>
  <c r="AN129" i="7" s="1"/>
  <c r="I129" i="7" s="1" a="1"/>
  <c r="I129" i="7" s="1"/>
  <c r="AO144" i="7"/>
  <c r="AN144" i="7" a="1"/>
  <c r="AN144" i="7" s="1"/>
  <c r="I144" i="7" s="1" a="1"/>
  <c r="I144" i="7" s="1"/>
  <c r="AO130" i="7"/>
  <c r="AN130" i="7" a="1"/>
  <c r="AN130" i="7" s="1"/>
  <c r="I130" i="7" s="1" a="1"/>
  <c r="I130" i="7" s="1"/>
  <c r="AO126" i="7"/>
  <c r="AN126" i="7" a="1"/>
  <c r="AN126" i="7" s="1"/>
  <c r="I126" i="7" s="1" a="1"/>
  <c r="I126" i="7" s="1"/>
  <c r="AO150" i="7"/>
  <c r="AN150" i="7" a="1"/>
  <c r="AN150" i="7" s="1"/>
  <c r="I150" i="7" s="1" a="1"/>
  <c r="I150" i="7" s="1"/>
  <c r="AO127" i="7"/>
  <c r="AN127" i="7" a="1"/>
  <c r="AN127" i="7" s="1"/>
  <c r="I127" i="7" s="1" a="1"/>
  <c r="I127" i="7" s="1"/>
  <c r="AN151" i="7" a="1"/>
  <c r="AN151" i="7" s="1"/>
  <c r="I151" i="7" s="1" a="1"/>
  <c r="I151" i="7" s="1"/>
  <c r="AO151" i="7"/>
  <c r="AN158" i="7" a="1"/>
  <c r="AN158" i="7" s="1"/>
  <c r="I158" i="7" s="1" a="1"/>
  <c r="I158" i="7" s="1"/>
  <c r="AO158" i="7"/>
  <c r="AO125" i="7"/>
  <c r="AN125" i="7" a="1"/>
  <c r="AN125" i="7" s="1"/>
  <c r="I125" i="7" s="1" a="1"/>
  <c r="I125" i="7" s="1"/>
  <c r="AN136" i="7" a="1"/>
  <c r="AN136" i="7" s="1"/>
  <c r="I136" i="7" s="1" a="1"/>
  <c r="I136" i="7" s="1"/>
  <c r="AO136" i="7"/>
  <c r="AO156" i="7"/>
  <c r="AN156" i="7" a="1"/>
  <c r="AN156" i="7" s="1"/>
  <c r="I156" i="7" s="1" a="1"/>
  <c r="I156" i="7" s="1"/>
  <c r="AO142" i="7"/>
  <c r="AN142" i="7" a="1"/>
  <c r="AN142" i="7" s="1"/>
  <c r="I142" i="7" s="1" a="1"/>
  <c r="I142" i="7" s="1"/>
  <c r="AO149" i="7"/>
  <c r="AN149" i="7" a="1"/>
  <c r="AN149" i="7" s="1"/>
  <c r="I149" i="7" s="1" a="1"/>
  <c r="I149" i="7" s="1"/>
  <c r="AN123" i="7" a="1"/>
  <c r="AN123" i="7" s="1"/>
  <c r="I123" i="7" s="1" a="1"/>
  <c r="I123" i="7" s="1"/>
  <c r="AO123" i="7"/>
  <c r="AN161" i="7" a="1"/>
  <c r="AN161" i="7" s="1"/>
  <c r="I161" i="7" s="1" a="1"/>
  <c r="I161" i="7" s="1"/>
  <c r="AO161" i="7"/>
  <c r="AN145" i="7" a="1"/>
  <c r="AN145" i="7" s="1"/>
  <c r="I145" i="7" s="1" a="1"/>
  <c r="I145" i="7" s="1"/>
  <c r="AO145" i="7"/>
  <c r="AO163" i="7"/>
  <c r="AN163" i="7" a="1"/>
  <c r="AN163" i="7" s="1"/>
  <c r="I163" i="7" s="1" a="1"/>
  <c r="I163" i="7" s="1"/>
  <c r="AO154" i="7"/>
  <c r="AN154" i="7" a="1"/>
  <c r="AN154" i="7" s="1"/>
  <c r="I154" i="7" s="1" a="1"/>
  <c r="I154" i="7" s="1"/>
  <c r="AO140" i="7"/>
  <c r="AN140" i="7" a="1"/>
  <c r="AN140" i="7" s="1"/>
  <c r="I140" i="7" s="1" a="1"/>
  <c r="I140" i="7" s="1"/>
  <c r="AN138" i="7" a="1"/>
  <c r="AN138" i="7" s="1"/>
  <c r="I138" i="7" s="1" a="1"/>
  <c r="I138" i="7" s="1"/>
  <c r="AO138" i="7"/>
  <c r="AN133" i="7" a="1"/>
  <c r="AN133" i="7" s="1"/>
  <c r="I133" i="7" s="1" a="1"/>
  <c r="I133" i="7" s="1"/>
  <c r="AO133" i="7"/>
  <c r="AO153" i="7"/>
  <c r="AN153" i="7" a="1"/>
  <c r="AN153" i="7" s="1"/>
  <c r="I153" i="7" s="1" a="1"/>
  <c r="I153" i="7" s="1"/>
  <c r="AO162" i="7"/>
  <c r="AN162" i="7" a="1"/>
  <c r="AN162" i="7" s="1"/>
  <c r="I162" i="7" s="1" a="1"/>
  <c r="I162" i="7" s="1"/>
  <c r="AN146" i="7" a="1"/>
  <c r="AN146" i="7" s="1"/>
  <c r="I146" i="7" s="1" a="1"/>
  <c r="I146" i="7" s="1"/>
  <c r="AO146" i="7"/>
  <c r="AN134" i="7" a="1"/>
  <c r="AN134" i="7" s="1"/>
  <c r="I134" i="7" s="1" a="1"/>
  <c r="I134" i="7" s="1"/>
  <c r="AO134" i="7"/>
  <c r="AO141" i="7"/>
  <c r="AN141" i="7" a="1"/>
  <c r="AN141" i="7" s="1"/>
  <c r="I141" i="7" s="1" a="1"/>
  <c r="I141" i="7" s="1"/>
  <c r="AN155" i="7" a="1"/>
  <c r="AN155" i="7" s="1"/>
  <c r="I155" i="7" s="1" a="1"/>
  <c r="I155" i="7" s="1"/>
  <c r="AO155" i="7"/>
  <c r="AO143" i="7"/>
  <c r="AN143" i="7" a="1"/>
  <c r="AN143" i="7" s="1"/>
  <c r="I143" i="7" s="1" a="1"/>
  <c r="I143" i="7" s="1"/>
  <c r="AN137" i="7" a="1"/>
  <c r="AN137" i="7" s="1"/>
  <c r="I137" i="7" s="1" a="1"/>
  <c r="I137" i="7" s="1"/>
  <c r="AO137" i="7"/>
  <c r="AN148" i="7" a="1"/>
  <c r="AN148" i="7" s="1"/>
  <c r="I148" i="7" s="1" a="1"/>
  <c r="I148" i="7" s="1"/>
  <c r="AO148" i="7"/>
  <c r="AN147" i="7" a="1"/>
  <c r="AN147" i="7" s="1"/>
  <c r="I147" i="7" s="1" a="1"/>
  <c r="I147" i="7" s="1"/>
  <c r="AO147" i="7"/>
  <c r="AN159" i="7" a="1"/>
  <c r="AN159" i="7" s="1"/>
  <c r="I159" i="7" s="1" a="1"/>
  <c r="I159" i="7" s="1"/>
  <c r="AO159" i="7"/>
  <c r="AN139" i="7" a="1"/>
  <c r="AN139" i="7" s="1"/>
  <c r="I139" i="7" s="1" a="1"/>
  <c r="I139" i="7" s="1"/>
  <c r="AO139" i="7"/>
  <c r="AH59" i="6" a="1"/>
  <c r="AH59" i="6" s="1"/>
  <c r="K59" i="6" s="1" a="1"/>
  <c r="K59" i="6" s="1"/>
  <c r="AH11" i="6" a="1"/>
  <c r="AH11" i="6" s="1"/>
  <c r="K11" i="6" s="1" a="1"/>
  <c r="K11" i="6" s="1"/>
  <c r="AI29" i="6"/>
  <c r="AK29" i="6" s="1" a="1"/>
  <c r="AK29" i="6" s="1"/>
  <c r="L19" i="6"/>
  <c r="AH71" i="6" a="1"/>
  <c r="AH71" i="6" s="1"/>
  <c r="K71" i="6" s="1" a="1"/>
  <c r="K71" i="6" s="1"/>
  <c r="AF68" i="6"/>
  <c r="AI68" i="6" s="1"/>
  <c r="AK68" i="6" s="1" a="1"/>
  <c r="AK68" i="6" s="1"/>
  <c r="L43" i="6"/>
  <c r="AH43" i="6" a="1"/>
  <c r="AH43" i="6" s="1"/>
  <c r="K43" i="6" s="1" a="1"/>
  <c r="K43" i="6" s="1"/>
  <c r="L11" i="6"/>
  <c r="L35" i="6"/>
  <c r="AH35" i="6" a="1"/>
  <c r="AH35" i="6" s="1"/>
  <c r="K35" i="6" s="1" a="1"/>
  <c r="K35" i="6" s="1"/>
  <c r="AH27" i="6" a="1"/>
  <c r="AH27" i="6" s="1"/>
  <c r="K27" i="6" s="1" a="1"/>
  <c r="K27" i="6" s="1"/>
  <c r="P71" i="7"/>
  <c r="P88" i="7"/>
  <c r="P155" i="7"/>
  <c r="P133" i="7"/>
  <c r="P137" i="7"/>
  <c r="P43" i="7"/>
  <c r="P139" i="7"/>
  <c r="P48" i="7"/>
  <c r="P157" i="7"/>
  <c r="P19" i="7"/>
  <c r="P80" i="7"/>
  <c r="P91" i="7"/>
  <c r="P127" i="7"/>
  <c r="P128" i="7"/>
  <c r="P121" i="7"/>
  <c r="P140" i="7"/>
  <c r="P47" i="7"/>
  <c r="P102" i="7"/>
  <c r="P11" i="7"/>
  <c r="P65" i="7"/>
  <c r="P124" i="7"/>
  <c r="P85" i="7"/>
  <c r="P95" i="7"/>
  <c r="P15" i="7"/>
  <c r="P79" i="7"/>
  <c r="P130" i="7"/>
  <c r="P29" i="7"/>
  <c r="P141" i="7"/>
  <c r="P34" i="7"/>
  <c r="P96" i="7"/>
  <c r="P84" i="7"/>
  <c r="J5" i="6" a="1"/>
  <c r="J5" i="6" s="1"/>
  <c r="J45" i="6" a="1"/>
  <c r="J45" i="6" s="1"/>
  <c r="K101" i="7" a="1"/>
  <c r="K101" i="7" s="1"/>
  <c r="K66" i="7" a="1"/>
  <c r="K66" i="7" s="1"/>
  <c r="J68" i="6" a="1"/>
  <c r="J68" i="6" s="1"/>
  <c r="I37" i="6" a="1"/>
  <c r="I37" i="6" s="1"/>
  <c r="K25" i="7" a="1"/>
  <c r="K25" i="7" s="1"/>
  <c r="L51" i="6"/>
  <c r="AH51" i="6" a="1"/>
  <c r="AH51" i="6" s="1"/>
  <c r="K51" i="6" s="1" a="1"/>
  <c r="K51" i="6" s="1"/>
  <c r="K84" i="7" a="1"/>
  <c r="K84" i="7" s="1"/>
  <c r="L67" i="6"/>
  <c r="M72" i="7" a="1"/>
  <c r="M72" i="7" s="1"/>
  <c r="AI12" i="6"/>
  <c r="AK12" i="6" s="1" a="1"/>
  <c r="AK12" i="6" s="1"/>
  <c r="AE71" i="6" a="1"/>
  <c r="AE71" i="6" s="1"/>
  <c r="I71" i="6" s="1" a="1"/>
  <c r="I71" i="6" s="1"/>
  <c r="M5" i="7" a="1"/>
  <c r="M5" i="7" s="1"/>
  <c r="I13" i="6" a="1"/>
  <c r="I13" i="6" s="1"/>
  <c r="L30" i="6"/>
  <c r="L15" i="6"/>
  <c r="AH66" i="6" a="1"/>
  <c r="AH66" i="6" s="1"/>
  <c r="K66" i="6" s="1" a="1"/>
  <c r="K66" i="6" s="1"/>
  <c r="AI66" i="6"/>
  <c r="AK66" i="6" s="1" a="1"/>
  <c r="AK66" i="6" s="1"/>
  <c r="L59" i="6"/>
  <c r="AH10" i="6" a="1"/>
  <c r="AH10" i="6" s="1"/>
  <c r="K10" i="6" s="1" a="1"/>
  <c r="K10" i="6" s="1"/>
  <c r="AI10" i="6"/>
  <c r="L38" i="6"/>
  <c r="L23" i="6"/>
  <c r="AH42" i="6" a="1"/>
  <c r="AH42" i="6" s="1"/>
  <c r="K42" i="6" s="1" a="1"/>
  <c r="K42" i="6" s="1"/>
  <c r="AI42" i="6"/>
  <c r="L46" i="6"/>
  <c r="L31" i="6"/>
  <c r="AH18" i="6" a="1"/>
  <c r="AH18" i="6" s="1"/>
  <c r="K18" i="6" s="1" a="1"/>
  <c r="K18" i="6" s="1"/>
  <c r="AI18" i="6"/>
  <c r="L13" i="6"/>
  <c r="AH50" i="6" a="1"/>
  <c r="AH50" i="6" s="1"/>
  <c r="K50" i="6" s="1" a="1"/>
  <c r="K50" i="6" s="1"/>
  <c r="AI50" i="6"/>
  <c r="AK50" i="6" s="1" a="1"/>
  <c r="AK50" i="6" s="1"/>
  <c r="L54" i="6"/>
  <c r="AE69" i="6" a="1"/>
  <c r="AE69" i="6" s="1"/>
  <c r="AF69" i="6"/>
  <c r="L39" i="6"/>
  <c r="L62" i="6"/>
  <c r="L47" i="6"/>
  <c r="L37" i="6"/>
  <c r="K92" i="7" a="1"/>
  <c r="K92" i="7" s="1"/>
  <c r="L27" i="6"/>
  <c r="L6" i="6"/>
  <c r="AH34" i="6" a="1"/>
  <c r="AH34" i="6" s="1"/>
  <c r="K34" i="6" s="1" a="1"/>
  <c r="K34" i="6" s="1"/>
  <c r="AI34" i="6"/>
  <c r="L55" i="6"/>
  <c r="L5" i="6"/>
  <c r="L14" i="6"/>
  <c r="L63" i="6"/>
  <c r="AH58" i="6" a="1"/>
  <c r="AH58" i="6" s="1"/>
  <c r="K58" i="6" s="1" a="1"/>
  <c r="K58" i="6" s="1"/>
  <c r="AI58" i="6"/>
  <c r="AK58" i="6" s="1" a="1"/>
  <c r="AK58" i="6" s="1"/>
  <c r="L49" i="6"/>
  <c r="L22" i="6"/>
  <c r="L7" i="6"/>
  <c r="L71" i="6"/>
  <c r="L45" i="6"/>
  <c r="K21" i="7" a="1"/>
  <c r="K21" i="7" s="1"/>
  <c r="K33" i="7" a="1"/>
  <c r="K33" i="7" s="1"/>
  <c r="K70" i="7" a="1"/>
  <c r="K70" i="7" s="1"/>
  <c r="K86" i="7" a="1"/>
  <c r="K86" i="7" s="1"/>
  <c r="M115" i="7" a="1"/>
  <c r="M115" i="7" s="1"/>
  <c r="M31" i="7" a="1"/>
  <c r="M31" i="7" s="1"/>
  <c r="M15" i="7" a="1"/>
  <c r="M15" i="7" s="1"/>
  <c r="M50" i="7" a="1"/>
  <c r="M50" i="7" s="1"/>
  <c r="M35" i="7" a="1"/>
  <c r="M35" i="7" s="1"/>
  <c r="K46" i="7" a="1"/>
  <c r="K46" i="7" s="1"/>
  <c r="M111" i="7" a="1"/>
  <c r="M111" i="7" s="1"/>
  <c r="K42" i="7" a="1"/>
  <c r="K42" i="7" s="1"/>
  <c r="M12" i="7" a="1"/>
  <c r="M12" i="7" s="1"/>
  <c r="M107" i="7" a="1"/>
  <c r="M107" i="7" s="1"/>
  <c r="K96" i="7" a="1"/>
  <c r="K96" i="7" s="1"/>
  <c r="M43" i="7" a="1"/>
  <c r="M43" i="7" s="1"/>
  <c r="M16" i="7" a="1"/>
  <c r="M16" i="7" s="1"/>
  <c r="K55" i="7" a="1"/>
  <c r="K55" i="7" s="1"/>
  <c r="K62" i="7" a="1"/>
  <c r="K62" i="7" s="1"/>
  <c r="M120" i="7" a="1"/>
  <c r="M120" i="7" s="1"/>
  <c r="K67" i="7" a="1"/>
  <c r="K67" i="7" s="1"/>
  <c r="K80" i="7" a="1"/>
  <c r="K80" i="7" s="1"/>
  <c r="K81" i="7" a="1"/>
  <c r="K81" i="7" s="1"/>
  <c r="K75" i="7" a="1"/>
  <c r="K75" i="7" s="1"/>
  <c r="K59" i="7" a="1"/>
  <c r="K59" i="7" s="1"/>
  <c r="M10" i="7" a="1"/>
  <c r="M10" i="7" s="1"/>
  <c r="M18" i="7" a="1"/>
  <c r="M18" i="7" s="1"/>
  <c r="K93" i="7" a="1"/>
  <c r="K93" i="7" s="1"/>
  <c r="K118" i="7" a="1"/>
  <c r="K118" i="7" s="1"/>
  <c r="M22" i="7" a="1"/>
  <c r="M22" i="7" s="1"/>
  <c r="M95" i="7" a="1"/>
  <c r="M95" i="7" s="1"/>
  <c r="M86" i="7" a="1"/>
  <c r="M86" i="7" s="1"/>
  <c r="M19" i="7" a="1"/>
  <c r="M19" i="7" s="1"/>
  <c r="M117" i="7" a="1"/>
  <c r="M117" i="7" s="1"/>
  <c r="K110" i="7" a="1"/>
  <c r="K110" i="7" s="1"/>
  <c r="K53" i="7" a="1"/>
  <c r="K53" i="7" s="1"/>
  <c r="M112" i="7" a="1"/>
  <c r="M112" i="7" s="1"/>
  <c r="K82" i="7" a="1"/>
  <c r="K82" i="7" s="1"/>
  <c r="K90" i="7" a="1"/>
  <c r="K90" i="7" s="1"/>
  <c r="M70" i="7" a="1"/>
  <c r="M70" i="7" s="1"/>
  <c r="M56" i="7" a="1"/>
  <c r="M56" i="7" s="1"/>
  <c r="M24" i="7" a="1"/>
  <c r="M24" i="7" s="1"/>
  <c r="M9" i="7" a="1"/>
  <c r="M9" i="7" s="1"/>
  <c r="M6" i="7" a="1"/>
  <c r="M6" i="7" s="1"/>
  <c r="M11" i="7" a="1"/>
  <c r="M11" i="7" s="1"/>
  <c r="M63" i="7" a="1"/>
  <c r="M63" i="7" s="1"/>
  <c r="M83" i="7" a="1"/>
  <c r="M83" i="7" s="1"/>
  <c r="K87" i="7" a="1"/>
  <c r="K87" i="7" s="1"/>
  <c r="K106" i="7" a="1"/>
  <c r="K106" i="7" s="1"/>
  <c r="K78" i="7" a="1"/>
  <c r="K78" i="7" s="1"/>
  <c r="K38" i="7" a="1"/>
  <c r="K38" i="7" s="1"/>
  <c r="K58" i="7" a="1"/>
  <c r="K58" i="7" s="1"/>
  <c r="M29" i="7" a="1"/>
  <c r="M29" i="7" s="1"/>
  <c r="M33" i="7" a="1"/>
  <c r="M33" i="7" s="1"/>
  <c r="K30" i="7" a="1"/>
  <c r="K30" i="7" s="1"/>
  <c r="M23" i="7" a="1"/>
  <c r="M23" i="7" s="1"/>
  <c r="M100" i="7" a="1"/>
  <c r="M100" i="7" s="1"/>
  <c r="M96" i="7" a="1"/>
  <c r="M96" i="7" s="1"/>
  <c r="K34" i="7" a="1"/>
  <c r="K34" i="7" s="1"/>
  <c r="M105" i="7" a="1"/>
  <c r="M105" i="7" s="1"/>
  <c r="K39" i="7" a="1"/>
  <c r="K39" i="7" s="1"/>
  <c r="K44" i="7" a="1"/>
  <c r="K44" i="7" s="1"/>
  <c r="M114" i="7" a="1"/>
  <c r="M114" i="7" s="1"/>
  <c r="K94" i="7" a="1"/>
  <c r="K94" i="7" s="1"/>
  <c r="M61" i="7" a="1"/>
  <c r="M61" i="7" s="1"/>
  <c r="M48" i="7" a="1"/>
  <c r="M48" i="7" s="1"/>
  <c r="K97" i="7" a="1"/>
  <c r="K97" i="7" s="1"/>
  <c r="K73" i="7" a="1"/>
  <c r="K73" i="7" s="1"/>
  <c r="M40" i="7" a="1"/>
  <c r="M40" i="7" s="1"/>
  <c r="K54" i="7" a="1"/>
  <c r="K54" i="7" s="1"/>
  <c r="M52" i="7" a="1"/>
  <c r="M52" i="7" s="1"/>
  <c r="M49" i="7" a="1"/>
  <c r="M49" i="7" s="1"/>
  <c r="M25" i="7" a="1"/>
  <c r="M25" i="7" s="1"/>
  <c r="M7" i="7" a="1"/>
  <c r="M7" i="7" s="1"/>
  <c r="M122" i="7" a="1"/>
  <c r="M122" i="7" s="1"/>
  <c r="M26" i="7" a="1"/>
  <c r="M26" i="7" s="1"/>
  <c r="K119" i="7" a="1"/>
  <c r="K119" i="7" s="1"/>
  <c r="M104" i="7" a="1"/>
  <c r="M104" i="7" s="1"/>
  <c r="M85" i="7" a="1"/>
  <c r="M85" i="7" s="1"/>
  <c r="M88" i="7" a="1"/>
  <c r="M88" i="7" s="1"/>
  <c r="K89" i="7" a="1"/>
  <c r="K89" i="7" s="1"/>
  <c r="M79" i="7" a="1"/>
  <c r="M79" i="7" s="1"/>
  <c r="K74" i="7" a="1"/>
  <c r="K74" i="7" s="1"/>
  <c r="K71" i="7" a="1"/>
  <c r="K71" i="7" s="1"/>
  <c r="K68" i="7" a="1"/>
  <c r="K68" i="7" s="1"/>
  <c r="K36" i="7" a="1"/>
  <c r="K36" i="7" s="1"/>
  <c r="K69" i="7" a="1"/>
  <c r="K69" i="7" s="1"/>
  <c r="M21" i="7" a="1"/>
  <c r="M21" i="7" s="1"/>
  <c r="K27" i="7" a="1"/>
  <c r="K27" i="7" s="1"/>
  <c r="M101" i="7" a="1"/>
  <c r="M101" i="7" s="1"/>
  <c r="M103" i="7" a="1"/>
  <c r="M103" i="7" s="1"/>
  <c r="M99" i="7" a="1"/>
  <c r="M99" i="7" s="1"/>
  <c r="M109" i="7" a="1"/>
  <c r="M109" i="7" s="1"/>
  <c r="M76" i="7" a="1"/>
  <c r="M76" i="7" s="1"/>
  <c r="M4" i="7" a="1"/>
  <c r="M4" i="7" s="1"/>
  <c r="I39" i="6" a="1"/>
  <c r="I39" i="6" s="1"/>
  <c r="J39" i="6" a="1"/>
  <c r="J39" i="6" s="1"/>
  <c r="I31" i="6" a="1"/>
  <c r="I31" i="6" s="1"/>
  <c r="J31" i="6" a="1"/>
  <c r="J31" i="6" s="1"/>
  <c r="I38" i="6" a="1"/>
  <c r="I38" i="6" s="1"/>
  <c r="J38" i="6" a="1"/>
  <c r="J38" i="6" s="1"/>
  <c r="I47" i="6" a="1"/>
  <c r="I47" i="6" s="1"/>
  <c r="J47" i="6" a="1"/>
  <c r="J47" i="6" s="1"/>
  <c r="I23" i="6" a="1"/>
  <c r="I23" i="6" s="1"/>
  <c r="J23" i="6" a="1"/>
  <c r="J23" i="6" s="1"/>
  <c r="I46" i="6" a="1"/>
  <c r="I46" i="6" s="1"/>
  <c r="J46" i="6" a="1"/>
  <c r="J46" i="6" s="1"/>
  <c r="I49" i="6" a="1"/>
  <c r="I49" i="6" s="1"/>
  <c r="J49" i="6" a="1"/>
  <c r="J49" i="6" s="1"/>
  <c r="I15" i="6" a="1"/>
  <c r="I15" i="6" s="1"/>
  <c r="J15" i="6" a="1"/>
  <c r="J15" i="6" s="1"/>
  <c r="I22" i="6" a="1"/>
  <c r="I22" i="6" s="1"/>
  <c r="J22" i="6" a="1"/>
  <c r="J22" i="6" s="1"/>
  <c r="I7" i="6" a="1"/>
  <c r="I7" i="6" s="1"/>
  <c r="J7" i="6" a="1"/>
  <c r="J7" i="6" s="1"/>
  <c r="I14" i="6" a="1"/>
  <c r="I14" i="6" s="1"/>
  <c r="J14" i="6" a="1"/>
  <c r="J14" i="6" s="1"/>
  <c r="I63" i="6" a="1"/>
  <c r="I63" i="6" s="1"/>
  <c r="J63" i="6" a="1"/>
  <c r="J63" i="6" s="1"/>
  <c r="I6" i="6" a="1"/>
  <c r="I6" i="6" s="1"/>
  <c r="J6" i="6" a="1"/>
  <c r="J6" i="6" s="1"/>
  <c r="I54" i="6" a="1"/>
  <c r="I54" i="6" s="1"/>
  <c r="J54" i="6" a="1"/>
  <c r="J54" i="6" s="1"/>
  <c r="I30" i="6" a="1"/>
  <c r="I30" i="6" s="1"/>
  <c r="J30" i="6" a="1"/>
  <c r="J30" i="6" s="1"/>
  <c r="I55" i="6" a="1"/>
  <c r="I55" i="6" s="1"/>
  <c r="J55" i="6" a="1"/>
  <c r="J55" i="6" s="1"/>
  <c r="I62" i="6" a="1"/>
  <c r="I62" i="6" s="1"/>
  <c r="J62" i="6" a="1"/>
  <c r="J62" i="6" s="1"/>
  <c r="I72" i="6" a="1"/>
  <c r="I72" i="6" s="1"/>
  <c r="J72" i="6" a="1"/>
  <c r="J72" i="6" s="1"/>
  <c r="H72" i="6" a="1"/>
  <c r="H72" i="6" s="1"/>
  <c r="AH64" i="6" a="1"/>
  <c r="AH64" i="6" s="1"/>
  <c r="K64" i="6" s="1" a="1"/>
  <c r="K64" i="6" s="1"/>
  <c r="AI64" i="6"/>
  <c r="AK64" i="6" s="1" a="1"/>
  <c r="AK64" i="6" s="1"/>
  <c r="AH8" i="6" a="1"/>
  <c r="AH8" i="6" s="1"/>
  <c r="K8" i="6" s="1" a="1"/>
  <c r="K8" i="6" s="1"/>
  <c r="AI8" i="6"/>
  <c r="AK8" i="6" s="1" a="1"/>
  <c r="AK8" i="6" s="1"/>
  <c r="AH9" i="6" a="1"/>
  <c r="AH9" i="6" s="1"/>
  <c r="K9" i="6" s="1" a="1"/>
  <c r="K9" i="6" s="1"/>
  <c r="AI9" i="6"/>
  <c r="AK9" i="6" s="1" a="1"/>
  <c r="AK9" i="6" s="1"/>
  <c r="AH28" i="6" a="1"/>
  <c r="AH28" i="6" s="1"/>
  <c r="K28" i="6" s="1" a="1"/>
  <c r="K28" i="6" s="1"/>
  <c r="AI28" i="6"/>
  <c r="AK28" i="6" s="1" a="1"/>
  <c r="AK28" i="6" s="1"/>
  <c r="AH57" i="6" a="1"/>
  <c r="AH57" i="6" s="1"/>
  <c r="K57" i="6" s="1" a="1"/>
  <c r="K57" i="6" s="1"/>
  <c r="AI57" i="6"/>
  <c r="AK57" i="6" s="1" a="1"/>
  <c r="AK57" i="6" s="1"/>
  <c r="AH16" i="6" a="1"/>
  <c r="AH16" i="6" s="1"/>
  <c r="K16" i="6" s="1" a="1"/>
  <c r="K16" i="6" s="1"/>
  <c r="AI16" i="6"/>
  <c r="AK16" i="6" s="1" a="1"/>
  <c r="AK16" i="6" s="1"/>
  <c r="AH25" i="6" a="1"/>
  <c r="AH25" i="6" s="1"/>
  <c r="K25" i="6" s="1" a="1"/>
  <c r="K25" i="6" s="1"/>
  <c r="AI25" i="6"/>
  <c r="AK25" i="6" s="1" a="1"/>
  <c r="AK25" i="6" s="1"/>
  <c r="AH36" i="6" a="1"/>
  <c r="AH36" i="6" s="1"/>
  <c r="K36" i="6" s="1" a="1"/>
  <c r="K36" i="6" s="1"/>
  <c r="AI36" i="6"/>
  <c r="AK36" i="6" s="1" a="1"/>
  <c r="AK36" i="6" s="1"/>
  <c r="AH24" i="6" a="1"/>
  <c r="AH24" i="6" s="1"/>
  <c r="K24" i="6" s="1" a="1"/>
  <c r="K24" i="6" s="1"/>
  <c r="AI24" i="6"/>
  <c r="AK24" i="6" s="1" a="1"/>
  <c r="AK24" i="6" s="1"/>
  <c r="AH41" i="6" a="1"/>
  <c r="AH41" i="6" s="1"/>
  <c r="K41" i="6" s="1" a="1"/>
  <c r="K41" i="6" s="1"/>
  <c r="AI41" i="6"/>
  <c r="AK41" i="6" s="1" a="1"/>
  <c r="AK41" i="6" s="1"/>
  <c r="AH44" i="6" a="1"/>
  <c r="AH44" i="6" s="1"/>
  <c r="K44" i="6" s="1" a="1"/>
  <c r="K44" i="6" s="1"/>
  <c r="AI44" i="6"/>
  <c r="AK44" i="6" s="1" a="1"/>
  <c r="AK44" i="6" s="1"/>
  <c r="AH20" i="6" a="1"/>
  <c r="AH20" i="6" s="1"/>
  <c r="K20" i="6" s="1" a="1"/>
  <c r="K20" i="6" s="1"/>
  <c r="AI20" i="6"/>
  <c r="AK20" i="6" s="1" a="1"/>
  <c r="AK20" i="6" s="1"/>
  <c r="AH32" i="6" a="1"/>
  <c r="AH32" i="6" s="1"/>
  <c r="K32" i="6" s="1" a="1"/>
  <c r="K32" i="6" s="1"/>
  <c r="AI32" i="6"/>
  <c r="AK32" i="6" s="1" a="1"/>
  <c r="AK32" i="6" s="1"/>
  <c r="AH65" i="6" a="1"/>
  <c r="AH65" i="6" s="1"/>
  <c r="K65" i="6" s="1" a="1"/>
  <c r="K65" i="6" s="1"/>
  <c r="AI65" i="6"/>
  <c r="AK65" i="6" s="1" a="1"/>
  <c r="AK65" i="6" s="1"/>
  <c r="AH52" i="6" a="1"/>
  <c r="AH52" i="6" s="1"/>
  <c r="K52" i="6" s="1" a="1"/>
  <c r="K52" i="6" s="1"/>
  <c r="AI52" i="6"/>
  <c r="AK52" i="6" s="1" a="1"/>
  <c r="AK52" i="6" s="1"/>
  <c r="AH40" i="6" a="1"/>
  <c r="AH40" i="6" s="1"/>
  <c r="K40" i="6" s="1" a="1"/>
  <c r="K40" i="6" s="1"/>
  <c r="AI40" i="6"/>
  <c r="AK40" i="6" s="1" a="1"/>
  <c r="AK40" i="6" s="1"/>
  <c r="AH60" i="6" a="1"/>
  <c r="AH60" i="6" s="1"/>
  <c r="K60" i="6" s="1" a="1"/>
  <c r="K60" i="6" s="1"/>
  <c r="AI60" i="6"/>
  <c r="AK60" i="6" s="1" a="1"/>
  <c r="AK60" i="6" s="1"/>
  <c r="AH56" i="6" a="1"/>
  <c r="AH56" i="6" s="1"/>
  <c r="K56" i="6" s="1" a="1"/>
  <c r="K56" i="6" s="1"/>
  <c r="AI56" i="6"/>
  <c r="AK56" i="6" s="1" a="1"/>
  <c r="AK56" i="6" s="1"/>
  <c r="AH4" i="6" a="1"/>
  <c r="AH4" i="6" s="1"/>
  <c r="K4" i="6" s="1" a="1"/>
  <c r="K4" i="6" s="1"/>
  <c r="AI4" i="6"/>
  <c r="AK4" i="6" s="1" a="1"/>
  <c r="AK4" i="6" s="1"/>
  <c r="AH17" i="6" a="1"/>
  <c r="AH17" i="6" s="1"/>
  <c r="K17" i="6" s="1" a="1"/>
  <c r="K17" i="6" s="1"/>
  <c r="AI17" i="6"/>
  <c r="AK17" i="6" s="1" a="1"/>
  <c r="AK17" i="6" s="1"/>
  <c r="AH33" i="6" a="1"/>
  <c r="AH33" i="6" s="1"/>
  <c r="K33" i="6" s="1" a="1"/>
  <c r="K33" i="6" s="1"/>
  <c r="AI33" i="6"/>
  <c r="AK33" i="6" s="1" a="1"/>
  <c r="AK33" i="6" s="1"/>
  <c r="AH48" i="6" a="1"/>
  <c r="AH48" i="6" s="1"/>
  <c r="K48" i="6" s="1" a="1"/>
  <c r="K48" i="6" s="1"/>
  <c r="AI48" i="6"/>
  <c r="AK48" i="6" s="1" a="1"/>
  <c r="AK48" i="6" s="1"/>
  <c r="AH72" i="6" a="1"/>
  <c r="AH72" i="6" s="1"/>
  <c r="K72" i="6" s="1" a="1"/>
  <c r="K72" i="6" s="1"/>
  <c r="AI72" i="6"/>
  <c r="AK72" i="6" s="1" a="1"/>
  <c r="AK72" i="6" s="1"/>
  <c r="L26" i="6" l="1"/>
  <c r="L53" i="6"/>
  <c r="L61" i="6"/>
  <c r="L21" i="6"/>
  <c r="J70" i="6" a="1"/>
  <c r="J70" i="6" s="1"/>
  <c r="L70" i="6"/>
  <c r="AR125" i="7"/>
  <c r="AQ125" i="7" a="1"/>
  <c r="AQ125" i="7" s="1"/>
  <c r="J125" i="7" s="1" a="1"/>
  <c r="J125" i="7" s="1"/>
  <c r="AQ130" i="7" a="1"/>
  <c r="AQ130" i="7" s="1"/>
  <c r="J130" i="7" s="1" a="1"/>
  <c r="J130" i="7" s="1"/>
  <c r="AR130" i="7"/>
  <c r="AR161" i="7"/>
  <c r="AQ161" i="7" a="1"/>
  <c r="AQ161" i="7" s="1"/>
  <c r="J161" i="7" s="1" a="1"/>
  <c r="J161" i="7" s="1"/>
  <c r="AR138" i="7"/>
  <c r="AQ138" i="7" a="1"/>
  <c r="AQ138" i="7" s="1"/>
  <c r="J138" i="7" s="1" a="1"/>
  <c r="J138" i="7" s="1"/>
  <c r="AQ123" i="7" a="1"/>
  <c r="AQ123" i="7" s="1"/>
  <c r="J123" i="7" s="1" a="1"/>
  <c r="J123" i="7" s="1"/>
  <c r="AR123" i="7"/>
  <c r="AQ158" i="7" a="1"/>
  <c r="AQ158" i="7" s="1"/>
  <c r="J158" i="7" s="1" a="1"/>
  <c r="J158" i="7" s="1"/>
  <c r="AR158" i="7"/>
  <c r="AQ160" i="7" a="1"/>
  <c r="AQ160" i="7" s="1"/>
  <c r="J160" i="7" s="1" a="1"/>
  <c r="J160" i="7" s="1"/>
  <c r="AR160" i="7"/>
  <c r="AQ141" i="7" a="1"/>
  <c r="AQ141" i="7" s="1"/>
  <c r="J141" i="7" s="1" a="1"/>
  <c r="J141" i="7" s="1"/>
  <c r="AR141" i="7"/>
  <c r="AQ144" i="7" a="1"/>
  <c r="AQ144" i="7" s="1"/>
  <c r="J144" i="7" s="1" a="1"/>
  <c r="J144" i="7" s="1"/>
  <c r="AR144" i="7"/>
  <c r="AQ136" i="7" a="1"/>
  <c r="AQ136" i="7" s="1"/>
  <c r="J136" i="7" s="1" a="1"/>
  <c r="J136" i="7" s="1"/>
  <c r="AR136" i="7"/>
  <c r="AQ139" i="7" a="1"/>
  <c r="AQ139" i="7" s="1"/>
  <c r="J139" i="7" s="1" a="1"/>
  <c r="J139" i="7" s="1"/>
  <c r="AR139" i="7"/>
  <c r="AQ155" i="7" a="1"/>
  <c r="AQ155" i="7" s="1"/>
  <c r="J155" i="7" s="1" a="1"/>
  <c r="J155" i="7" s="1"/>
  <c r="AR155" i="7"/>
  <c r="AQ133" i="7" a="1"/>
  <c r="AQ133" i="7" s="1"/>
  <c r="J133" i="7" s="1" a="1"/>
  <c r="J133" i="7" s="1"/>
  <c r="AR133" i="7"/>
  <c r="AQ152" i="7" a="1"/>
  <c r="AQ152" i="7" s="1"/>
  <c r="J152" i="7" s="1" a="1"/>
  <c r="J152" i="7" s="1"/>
  <c r="AR152" i="7"/>
  <c r="AQ159" i="7" a="1"/>
  <c r="AQ159" i="7" s="1"/>
  <c r="J159" i="7" s="1" a="1"/>
  <c r="J159" i="7" s="1"/>
  <c r="AR159" i="7"/>
  <c r="AQ147" i="7" a="1"/>
  <c r="AQ147" i="7" s="1"/>
  <c r="J147" i="7" s="1" a="1"/>
  <c r="J147" i="7" s="1"/>
  <c r="AR147" i="7"/>
  <c r="AQ134" i="7" a="1"/>
  <c r="AQ134" i="7" s="1"/>
  <c r="J134" i="7" s="1" a="1"/>
  <c r="J134" i="7" s="1"/>
  <c r="AR134" i="7"/>
  <c r="AQ151" i="7" a="1"/>
  <c r="AQ151" i="7" s="1"/>
  <c r="J151" i="7" s="1" a="1"/>
  <c r="J151" i="7" s="1"/>
  <c r="AR151" i="7"/>
  <c r="AQ135" i="7" a="1"/>
  <c r="AQ135" i="7" s="1"/>
  <c r="J135" i="7" s="1" a="1"/>
  <c r="J135" i="7" s="1"/>
  <c r="AR135" i="7"/>
  <c r="AQ145" i="7" a="1"/>
  <c r="AQ145" i="7" s="1"/>
  <c r="J145" i="7" s="1" a="1"/>
  <c r="J145" i="7" s="1"/>
  <c r="AR145" i="7"/>
  <c r="AR143" i="7"/>
  <c r="AQ143" i="7" a="1"/>
  <c r="AQ143" i="7" s="1"/>
  <c r="J143" i="7" s="1" a="1"/>
  <c r="J143" i="7" s="1"/>
  <c r="AQ153" i="7" a="1"/>
  <c r="AQ153" i="7" s="1"/>
  <c r="J153" i="7" s="1" a="1"/>
  <c r="J153" i="7" s="1"/>
  <c r="AR153" i="7"/>
  <c r="AR126" i="7"/>
  <c r="AQ126" i="7" a="1"/>
  <c r="AQ126" i="7" s="1"/>
  <c r="J126" i="7" s="1" a="1"/>
  <c r="J126" i="7" s="1"/>
  <c r="AQ148" i="7" a="1"/>
  <c r="AQ148" i="7" s="1"/>
  <c r="J148" i="7" s="1" a="1"/>
  <c r="J148" i="7" s="1"/>
  <c r="AR148" i="7"/>
  <c r="AQ146" i="7" a="1"/>
  <c r="AQ146" i="7" s="1"/>
  <c r="J146" i="7" s="1" a="1"/>
  <c r="J146" i="7" s="1"/>
  <c r="AR146" i="7"/>
  <c r="AQ157" i="7" a="1"/>
  <c r="AQ157" i="7" s="1"/>
  <c r="J157" i="7" s="1" a="1"/>
  <c r="J157" i="7" s="1"/>
  <c r="AR157" i="7"/>
  <c r="AQ140" i="7" a="1"/>
  <c r="AQ140" i="7" s="1"/>
  <c r="J140" i="7" s="1" a="1"/>
  <c r="J140" i="7" s="1"/>
  <c r="AR140" i="7"/>
  <c r="AR149" i="7"/>
  <c r="AQ149" i="7" a="1"/>
  <c r="AQ149" i="7" s="1"/>
  <c r="J149" i="7" s="1" a="1"/>
  <c r="J149" i="7" s="1"/>
  <c r="AR129" i="7"/>
  <c r="AQ129" i="7" a="1"/>
  <c r="AQ129" i="7" s="1"/>
  <c r="J129" i="7" s="1" a="1"/>
  <c r="J129" i="7" s="1"/>
  <c r="AQ154" i="7" a="1"/>
  <c r="AQ154" i="7" s="1"/>
  <c r="J154" i="7" s="1" a="1"/>
  <c r="J154" i="7" s="1"/>
  <c r="AR154" i="7"/>
  <c r="AQ142" i="7" a="1"/>
  <c r="AQ142" i="7" s="1"/>
  <c r="J142" i="7" s="1" a="1"/>
  <c r="J142" i="7" s="1"/>
  <c r="AR142" i="7"/>
  <c r="AR127" i="7"/>
  <c r="AQ127" i="7" a="1"/>
  <c r="AQ127" i="7" s="1"/>
  <c r="J127" i="7" s="1" a="1"/>
  <c r="J127" i="7" s="1"/>
  <c r="AQ128" i="7" a="1"/>
  <c r="AQ128" i="7" s="1"/>
  <c r="J128" i="7" s="1" a="1"/>
  <c r="J128" i="7" s="1"/>
  <c r="AR128" i="7"/>
  <c r="AQ132" i="7" a="1"/>
  <c r="AQ132" i="7" s="1"/>
  <c r="J132" i="7" s="1" a="1"/>
  <c r="J132" i="7" s="1"/>
  <c r="AR132" i="7"/>
  <c r="AR137" i="7"/>
  <c r="AQ137" i="7" a="1"/>
  <c r="AQ137" i="7" s="1"/>
  <c r="J137" i="7" s="1" a="1"/>
  <c r="J137" i="7" s="1"/>
  <c r="AQ124" i="7" a="1"/>
  <c r="AQ124" i="7" s="1"/>
  <c r="J124" i="7" s="1" a="1"/>
  <c r="J124" i="7" s="1"/>
  <c r="AR124" i="7"/>
  <c r="AR162" i="7"/>
  <c r="AQ162" i="7" a="1"/>
  <c r="AQ162" i="7" s="1"/>
  <c r="J162" i="7" s="1" a="1"/>
  <c r="J162" i="7" s="1"/>
  <c r="AR163" i="7"/>
  <c r="AQ163" i="7" a="1"/>
  <c r="AQ163" i="7" s="1"/>
  <c r="J163" i="7" s="1" a="1"/>
  <c r="J163" i="7" s="1"/>
  <c r="AQ156" i="7" a="1"/>
  <c r="AQ156" i="7" s="1"/>
  <c r="J156" i="7" s="1" a="1"/>
  <c r="J156" i="7" s="1"/>
  <c r="AR156" i="7"/>
  <c r="AR150" i="7"/>
  <c r="AQ150" i="7" a="1"/>
  <c r="AQ150" i="7" s="1"/>
  <c r="J150" i="7" s="1" a="1"/>
  <c r="J150" i="7" s="1"/>
  <c r="AQ131" i="7" a="1"/>
  <c r="AQ131" i="7" s="1"/>
  <c r="J131" i="7" s="1" a="1"/>
  <c r="J131" i="7" s="1"/>
  <c r="AR131" i="7"/>
  <c r="L29" i="6"/>
  <c r="AH68" i="6" a="1"/>
  <c r="AH68" i="6" s="1"/>
  <c r="K68" i="6" s="1" a="1"/>
  <c r="K68" i="6" s="1"/>
  <c r="L50" i="6"/>
  <c r="L58" i="6"/>
  <c r="L12" i="6"/>
  <c r="L66" i="6"/>
  <c r="J71" i="6" a="1"/>
  <c r="J71" i="6" s="1"/>
  <c r="L20" i="6"/>
  <c r="L41" i="6"/>
  <c r="AH69" i="6" a="1"/>
  <c r="AH69" i="6" s="1"/>
  <c r="K69" i="6" s="1" a="1"/>
  <c r="K69" i="6" s="1"/>
  <c r="AI69" i="6"/>
  <c r="AK69" i="6" s="1" a="1"/>
  <c r="AK69" i="6" s="1"/>
  <c r="L24" i="6"/>
  <c r="L28" i="6"/>
  <c r="L33" i="6"/>
  <c r="I69" i="6" a="1"/>
  <c r="I69" i="6" s="1"/>
  <c r="J69" i="6" a="1"/>
  <c r="J69" i="6" s="1"/>
  <c r="L36" i="6"/>
  <c r="L9" i="6"/>
  <c r="L72" i="6"/>
  <c r="AK34" i="6" a="1"/>
  <c r="AK34" i="6" s="1"/>
  <c r="L34" i="6"/>
  <c r="AK42" i="6" a="1"/>
  <c r="AK42" i="6" s="1"/>
  <c r="L42" i="6"/>
  <c r="L16" i="6"/>
  <c r="L8" i="6"/>
  <c r="L68" i="6"/>
  <c r="L56" i="6"/>
  <c r="L64" i="6"/>
  <c r="L48" i="6"/>
  <c r="AK10" i="6" a="1"/>
  <c r="AK10" i="6" s="1"/>
  <c r="L10" i="6"/>
  <c r="L40" i="6"/>
  <c r="L57" i="6"/>
  <c r="L17" i="6"/>
  <c r="L25" i="6"/>
  <c r="L4" i="6"/>
  <c r="L60" i="6"/>
  <c r="AK18" i="6" a="1"/>
  <c r="AK18" i="6" s="1"/>
  <c r="L18" i="6"/>
  <c r="L44" i="6"/>
  <c r="L65" i="6"/>
  <c r="L32" i="6"/>
  <c r="L52" i="6"/>
  <c r="M20" i="7" a="1"/>
  <c r="M20" i="7" s="1"/>
  <c r="M113" i="7" a="1"/>
  <c r="M113" i="7" s="1"/>
  <c r="M42" i="7" a="1"/>
  <c r="M42" i="7" s="1"/>
  <c r="M80" i="7" a="1"/>
  <c r="M80" i="7" s="1"/>
  <c r="M118" i="7" a="1"/>
  <c r="M118" i="7" s="1"/>
  <c r="M55" i="7" a="1"/>
  <c r="M55" i="7" s="1"/>
  <c r="M81" i="7" a="1"/>
  <c r="M81" i="7" s="1"/>
  <c r="M67" i="7" a="1"/>
  <c r="M67" i="7" s="1"/>
  <c r="M59" i="7" a="1"/>
  <c r="M59" i="7" s="1"/>
  <c r="M93" i="7" a="1"/>
  <c r="M93" i="7" s="1"/>
  <c r="M62" i="7" a="1"/>
  <c r="M62" i="7" s="1"/>
  <c r="M75" i="7" a="1"/>
  <c r="M75" i="7" s="1"/>
  <c r="M71" i="7" a="1"/>
  <c r="M71" i="7" s="1"/>
  <c r="M44" i="7" a="1"/>
  <c r="M44" i="7" s="1"/>
  <c r="M36" i="7" a="1"/>
  <c r="M36" i="7" s="1"/>
  <c r="M73" i="7" a="1"/>
  <c r="M73" i="7" s="1"/>
  <c r="M78" i="7" a="1"/>
  <c r="M78" i="7" s="1"/>
  <c r="M27" i="7" a="1"/>
  <c r="M27" i="7" s="1"/>
  <c r="M39" i="7" a="1"/>
  <c r="M39" i="7" s="1"/>
  <c r="M30" i="7" a="1"/>
  <c r="M30" i="7" s="1"/>
  <c r="M58" i="7" a="1"/>
  <c r="M58" i="7" s="1"/>
  <c r="M106" i="7" a="1"/>
  <c r="M106" i="7" s="1"/>
  <c r="M53" i="7" a="1"/>
  <c r="M53" i="7" s="1"/>
  <c r="M54" i="7" a="1"/>
  <c r="M54" i="7" s="1"/>
  <c r="M94" i="7" a="1"/>
  <c r="M94" i="7" s="1"/>
  <c r="M82" i="7" a="1"/>
  <c r="M82" i="7" s="1"/>
  <c r="M89" i="7" a="1"/>
  <c r="M89" i="7" s="1"/>
  <c r="M119" i="7" a="1"/>
  <c r="M119" i="7" s="1"/>
  <c r="M34" i="7" a="1"/>
  <c r="M34" i="7" s="1"/>
  <c r="M110" i="7" a="1"/>
  <c r="M110" i="7" s="1"/>
  <c r="M69" i="7" a="1"/>
  <c r="M69" i="7" s="1"/>
  <c r="M97" i="7" a="1"/>
  <c r="M97" i="7" s="1"/>
  <c r="M68" i="7" a="1"/>
  <c r="M68" i="7" s="1"/>
  <c r="M74" i="7" a="1"/>
  <c r="M74" i="7" s="1"/>
  <c r="M38" i="7" a="1"/>
  <c r="M38" i="7" s="1"/>
  <c r="M87" i="7" a="1"/>
  <c r="M87" i="7" s="1"/>
  <c r="M90" i="7" a="1"/>
  <c r="M90" i="7" s="1"/>
  <c r="AT137" i="7" l="1" a="1"/>
  <c r="AT137" i="7" s="1"/>
  <c r="K137" i="7" s="1" a="1"/>
  <c r="K137" i="7" s="1"/>
  <c r="AU137" i="7"/>
  <c r="AU129" i="7"/>
  <c r="AT129" i="7" a="1"/>
  <c r="AT129" i="7" s="1"/>
  <c r="K129" i="7" s="1" a="1"/>
  <c r="K129" i="7" s="1"/>
  <c r="AU126" i="7"/>
  <c r="AT126" i="7" a="1"/>
  <c r="AT126" i="7" s="1"/>
  <c r="K126" i="7" s="1" a="1"/>
  <c r="K126" i="7" s="1"/>
  <c r="AT151" i="7" a="1"/>
  <c r="AT151" i="7" s="1"/>
  <c r="K151" i="7" s="1" a="1"/>
  <c r="K151" i="7" s="1"/>
  <c r="AU151" i="7"/>
  <c r="AT132" i="7" a="1"/>
  <c r="AT132" i="7" s="1"/>
  <c r="K132" i="7" s="1" a="1"/>
  <c r="K132" i="7" s="1"/>
  <c r="AU132" i="7"/>
  <c r="AT153" i="7" a="1"/>
  <c r="AT153" i="7" s="1"/>
  <c r="K153" i="7" s="1" a="1"/>
  <c r="K153" i="7" s="1"/>
  <c r="AU153" i="7"/>
  <c r="AT147" i="7" a="1"/>
  <c r="AT147" i="7" s="1"/>
  <c r="K147" i="7" s="1" a="1"/>
  <c r="K147" i="7" s="1"/>
  <c r="AU147" i="7"/>
  <c r="AU136" i="7"/>
  <c r="AT136" i="7" a="1"/>
  <c r="AT136" i="7" s="1"/>
  <c r="K136" i="7" s="1" a="1"/>
  <c r="K136" i="7" s="1"/>
  <c r="AT150" i="7" a="1"/>
  <c r="AT150" i="7" s="1"/>
  <c r="K150" i="7" s="1" a="1"/>
  <c r="K150" i="7" s="1"/>
  <c r="AU150" i="7"/>
  <c r="AU149" i="7"/>
  <c r="AT149" i="7" a="1"/>
  <c r="AT149" i="7" s="1"/>
  <c r="K149" i="7" s="1" a="1"/>
  <c r="K149" i="7" s="1"/>
  <c r="AT138" i="7" a="1"/>
  <c r="AT138" i="7" s="1"/>
  <c r="K138" i="7" s="1" a="1"/>
  <c r="K138" i="7" s="1"/>
  <c r="AU138" i="7"/>
  <c r="AT156" i="7" a="1"/>
  <c r="AT156" i="7" s="1"/>
  <c r="K156" i="7" s="1" a="1"/>
  <c r="K156" i="7" s="1"/>
  <c r="AU156" i="7"/>
  <c r="AU128" i="7"/>
  <c r="AT128" i="7" a="1"/>
  <c r="AT128" i="7" s="1"/>
  <c r="K128" i="7" s="1" a="1"/>
  <c r="K128" i="7" s="1"/>
  <c r="AU140" i="7"/>
  <c r="AT140" i="7" a="1"/>
  <c r="AT140" i="7" s="1"/>
  <c r="K140" i="7" s="1" a="1"/>
  <c r="K140" i="7" s="1"/>
  <c r="AT159" i="7" a="1"/>
  <c r="AT159" i="7" s="1"/>
  <c r="K159" i="7" s="1" a="1"/>
  <c r="K159" i="7" s="1"/>
  <c r="AU159" i="7"/>
  <c r="AT144" i="7" a="1"/>
  <c r="AT144" i="7" s="1"/>
  <c r="K144" i="7" s="1" a="1"/>
  <c r="K144" i="7" s="1"/>
  <c r="AU144" i="7"/>
  <c r="AT131" i="7" a="1"/>
  <c r="AT131" i="7" s="1"/>
  <c r="K131" i="7" s="1" a="1"/>
  <c r="K131" i="7" s="1"/>
  <c r="AU131" i="7"/>
  <c r="AT134" i="7" a="1"/>
  <c r="AT134" i="7" s="1"/>
  <c r="K134" i="7" s="1" a="1"/>
  <c r="K134" i="7" s="1"/>
  <c r="AU134" i="7"/>
  <c r="AT123" i="7" a="1"/>
  <c r="AT123" i="7" s="1"/>
  <c r="K123" i="7" s="1" a="1"/>
  <c r="K123" i="7" s="1"/>
  <c r="AU123" i="7"/>
  <c r="AT157" i="7" a="1"/>
  <c r="AT157" i="7" s="1"/>
  <c r="K157" i="7" s="1" a="1"/>
  <c r="K157" i="7" s="1"/>
  <c r="AU157" i="7"/>
  <c r="AT145" i="7" a="1"/>
  <c r="AT145" i="7" s="1"/>
  <c r="K145" i="7" s="1" a="1"/>
  <c r="K145" i="7" s="1"/>
  <c r="AU145" i="7"/>
  <c r="AT152" i="7" a="1"/>
  <c r="AT152" i="7" s="1"/>
  <c r="K152" i="7" s="1" a="1"/>
  <c r="K152" i="7" s="1"/>
  <c r="AU152" i="7"/>
  <c r="AU141" i="7"/>
  <c r="AT141" i="7" a="1"/>
  <c r="AT141" i="7" s="1"/>
  <c r="K141" i="7" s="1" a="1"/>
  <c r="K141" i="7" s="1"/>
  <c r="AT130" i="7" a="1"/>
  <c r="AT130" i="7" s="1"/>
  <c r="K130" i="7" s="1" a="1"/>
  <c r="K130" i="7" s="1"/>
  <c r="AU130" i="7"/>
  <c r="AT158" i="7" a="1"/>
  <c r="AT158" i="7" s="1"/>
  <c r="K158" i="7" s="1" a="1"/>
  <c r="K158" i="7" s="1"/>
  <c r="AU158" i="7"/>
  <c r="AU163" i="7"/>
  <c r="AT163" i="7" a="1"/>
  <c r="AT163" i="7" s="1"/>
  <c r="K163" i="7" s="1" a="1"/>
  <c r="K163" i="7" s="1"/>
  <c r="AT154" i="7" a="1"/>
  <c r="AT154" i="7" s="1"/>
  <c r="K154" i="7" s="1" a="1"/>
  <c r="K154" i="7" s="1"/>
  <c r="AU154" i="7"/>
  <c r="AU148" i="7"/>
  <c r="AT148" i="7" a="1"/>
  <c r="AT148" i="7" s="1"/>
  <c r="K148" i="7" s="1" a="1"/>
  <c r="K148" i="7" s="1"/>
  <c r="AU139" i="7"/>
  <c r="AT139" i="7" a="1"/>
  <c r="AT139" i="7" s="1"/>
  <c r="K139" i="7" s="1" a="1"/>
  <c r="K139" i="7" s="1"/>
  <c r="AU127" i="7"/>
  <c r="AT127" i="7" a="1"/>
  <c r="AT127" i="7" s="1"/>
  <c r="K127" i="7" s="1" a="1"/>
  <c r="K127" i="7" s="1"/>
  <c r="AU142" i="7"/>
  <c r="AT142" i="7" a="1"/>
  <c r="AT142" i="7" s="1"/>
  <c r="K142" i="7" s="1" a="1"/>
  <c r="K142" i="7" s="1"/>
  <c r="AT146" i="7" a="1"/>
  <c r="AT146" i="7" s="1"/>
  <c r="K146" i="7" s="1" a="1"/>
  <c r="K146" i="7" s="1"/>
  <c r="AU146" i="7"/>
  <c r="AT135" i="7" a="1"/>
  <c r="AT135" i="7" s="1"/>
  <c r="K135" i="7" s="1" a="1"/>
  <c r="K135" i="7" s="1"/>
  <c r="AU135" i="7"/>
  <c r="AT133" i="7" a="1"/>
  <c r="AT133" i="7" s="1"/>
  <c r="K133" i="7" s="1" a="1"/>
  <c r="K133" i="7" s="1"/>
  <c r="AU133" i="7"/>
  <c r="AU160" i="7"/>
  <c r="AT160" i="7" a="1"/>
  <c r="AT160" i="7" s="1"/>
  <c r="K160" i="7" s="1" a="1"/>
  <c r="K160" i="7" s="1"/>
  <c r="AU124" i="7"/>
  <c r="AT124" i="7" a="1"/>
  <c r="AT124" i="7" s="1"/>
  <c r="K124" i="7" s="1" a="1"/>
  <c r="K124" i="7" s="1"/>
  <c r="AT155" i="7" a="1"/>
  <c r="AT155" i="7" s="1"/>
  <c r="K155" i="7" s="1" a="1"/>
  <c r="K155" i="7" s="1"/>
  <c r="AU155" i="7"/>
  <c r="AU143" i="7"/>
  <c r="AT143" i="7" a="1"/>
  <c r="AT143" i="7" s="1"/>
  <c r="K143" i="7" s="1" a="1"/>
  <c r="K143" i="7" s="1"/>
  <c r="AU161" i="7"/>
  <c r="AT161" i="7" a="1"/>
  <c r="AT161" i="7" s="1"/>
  <c r="K161" i="7" s="1" a="1"/>
  <c r="K161" i="7" s="1"/>
  <c r="AU162" i="7"/>
  <c r="AT162" i="7" a="1"/>
  <c r="AT162" i="7" s="1"/>
  <c r="K162" i="7" s="1" a="1"/>
  <c r="K162" i="7" s="1"/>
  <c r="AU125" i="7"/>
  <c r="AT125" i="7" a="1"/>
  <c r="AT125" i="7" s="1"/>
  <c r="K125" i="7" s="1" a="1"/>
  <c r="K125" i="7" s="1"/>
  <c r="L69"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AX130" i="7" l="1"/>
  <c r="AZ130" i="7" s="1" a="1"/>
  <c r="AZ130" i="7" s="1"/>
  <c r="M130" i="7" s="1" a="1"/>
  <c r="M130" i="7" s="1"/>
  <c r="AW130" i="7" a="1"/>
  <c r="AW130" i="7" s="1"/>
  <c r="L130" i="7" s="1" a="1"/>
  <c r="L130" i="7" s="1"/>
  <c r="AW156" i="7" a="1"/>
  <c r="AW156" i="7" s="1"/>
  <c r="L156" i="7" s="1" a="1"/>
  <c r="L156" i="7" s="1"/>
  <c r="AX156" i="7"/>
  <c r="AZ156" i="7" s="1" a="1"/>
  <c r="AZ156" i="7" s="1"/>
  <c r="M156" i="7" s="1" a="1"/>
  <c r="M156" i="7" s="1"/>
  <c r="AW133" i="7" a="1"/>
  <c r="AW133" i="7" s="1"/>
  <c r="L133" i="7" s="1" a="1"/>
  <c r="L133" i="7" s="1"/>
  <c r="AX133" i="7"/>
  <c r="AZ133" i="7" s="1" a="1"/>
  <c r="AZ133" i="7" s="1"/>
  <c r="M133" i="7" s="1" a="1"/>
  <c r="M133" i="7" s="1"/>
  <c r="AX152" i="7"/>
  <c r="AZ152" i="7" s="1" a="1"/>
  <c r="AZ152" i="7" s="1"/>
  <c r="M152" i="7" s="1" a="1"/>
  <c r="M152" i="7" s="1"/>
  <c r="AW152" i="7" a="1"/>
  <c r="AW152" i="7" s="1"/>
  <c r="L152" i="7" s="1" a="1"/>
  <c r="L152" i="7" s="1"/>
  <c r="AW144" i="7" a="1"/>
  <c r="AW144" i="7" s="1"/>
  <c r="L144" i="7" s="1" a="1"/>
  <c r="L144" i="7" s="1"/>
  <c r="AX144" i="7"/>
  <c r="AZ144" i="7" s="1" a="1"/>
  <c r="AZ144" i="7" s="1"/>
  <c r="M144" i="7" s="1" a="1"/>
  <c r="M144" i="7" s="1"/>
  <c r="AX151" i="7"/>
  <c r="AZ151" i="7" s="1" a="1"/>
  <c r="AZ151" i="7" s="1"/>
  <c r="M151" i="7" s="1" a="1"/>
  <c r="M151" i="7" s="1"/>
  <c r="AW151" i="7" a="1"/>
  <c r="AW151" i="7" s="1"/>
  <c r="L151" i="7" s="1" a="1"/>
  <c r="L151" i="7" s="1"/>
  <c r="AW138" i="7" a="1"/>
  <c r="AW138" i="7" s="1"/>
  <c r="L138" i="7" s="1" a="1"/>
  <c r="L138" i="7" s="1"/>
  <c r="AX138" i="7"/>
  <c r="AZ138" i="7" s="1" a="1"/>
  <c r="AZ138" i="7" s="1"/>
  <c r="M138" i="7" s="1" a="1"/>
  <c r="M138" i="7" s="1"/>
  <c r="AX125" i="7"/>
  <c r="AZ125" i="7" s="1" a="1"/>
  <c r="AZ125" i="7" s="1"/>
  <c r="M125" i="7" s="1" a="1"/>
  <c r="M125" i="7" s="1"/>
  <c r="AW125" i="7" a="1"/>
  <c r="AW125" i="7" s="1"/>
  <c r="L125" i="7" s="1" a="1"/>
  <c r="L125" i="7" s="1"/>
  <c r="AW160" i="7" a="1"/>
  <c r="AW160" i="7" s="1"/>
  <c r="L160" i="7" s="1" a="1"/>
  <c r="L160" i="7" s="1"/>
  <c r="AX160" i="7"/>
  <c r="AZ160" i="7" s="1" a="1"/>
  <c r="AZ160" i="7" s="1"/>
  <c r="M160" i="7" s="1" a="1"/>
  <c r="M160" i="7" s="1"/>
  <c r="AX141" i="7"/>
  <c r="AZ141" i="7" s="1" a="1"/>
  <c r="AZ141" i="7" s="1"/>
  <c r="M141" i="7" s="1" a="1"/>
  <c r="M141" i="7" s="1"/>
  <c r="AW141" i="7" a="1"/>
  <c r="AW141" i="7" s="1"/>
  <c r="L141" i="7" s="1" a="1"/>
  <c r="L141" i="7" s="1"/>
  <c r="AX149" i="7"/>
  <c r="AZ149" i="7" s="1" a="1"/>
  <c r="AZ149" i="7" s="1"/>
  <c r="M149" i="7" s="1" a="1"/>
  <c r="M149" i="7" s="1"/>
  <c r="AW149" i="7" a="1"/>
  <c r="AW149" i="7" s="1"/>
  <c r="L149" i="7" s="1" a="1"/>
  <c r="L149" i="7" s="1"/>
  <c r="AX131" i="7"/>
  <c r="AZ131" i="7" s="1" a="1"/>
  <c r="AZ131" i="7" s="1"/>
  <c r="M131" i="7" s="1" a="1"/>
  <c r="M131" i="7" s="1"/>
  <c r="AW131" i="7" a="1"/>
  <c r="AW131" i="7" s="1"/>
  <c r="L131" i="7" s="1" a="1"/>
  <c r="L131" i="7" s="1"/>
  <c r="AW132" i="7" a="1"/>
  <c r="AW132" i="7" s="1"/>
  <c r="L132" i="7" s="1" a="1"/>
  <c r="L132" i="7" s="1"/>
  <c r="AX132" i="7"/>
  <c r="AZ132" i="7" s="1" a="1"/>
  <c r="AZ132" i="7" s="1"/>
  <c r="M132" i="7" s="1" a="1"/>
  <c r="M132" i="7" s="1"/>
  <c r="AX139" i="7"/>
  <c r="AZ139" i="7" s="1" a="1"/>
  <c r="AZ139" i="7" s="1"/>
  <c r="M139" i="7" s="1" a="1"/>
  <c r="M139" i="7" s="1"/>
  <c r="AW139" i="7" a="1"/>
  <c r="AW139" i="7" s="1"/>
  <c r="L139" i="7" s="1" a="1"/>
  <c r="L139" i="7" s="1"/>
  <c r="AX162" i="7"/>
  <c r="AZ162" i="7" s="1" a="1"/>
  <c r="AZ162" i="7" s="1"/>
  <c r="M162" i="7" s="1" a="1"/>
  <c r="M162" i="7" s="1"/>
  <c r="AW162" i="7" a="1"/>
  <c r="AW162" i="7" s="1"/>
  <c r="L162" i="7" s="1" a="1"/>
  <c r="L162" i="7" s="1"/>
  <c r="AW148" i="7" a="1"/>
  <c r="AW148" i="7" s="1"/>
  <c r="L148" i="7" s="1" a="1"/>
  <c r="L148" i="7" s="1"/>
  <c r="AX148" i="7"/>
  <c r="AZ148" i="7" s="1" a="1"/>
  <c r="AZ148" i="7" s="1"/>
  <c r="M148" i="7" s="1" a="1"/>
  <c r="M148" i="7" s="1"/>
  <c r="AW135" i="7" a="1"/>
  <c r="AW135" i="7" s="1"/>
  <c r="L135" i="7" s="1" a="1"/>
  <c r="L135" i="7" s="1"/>
  <c r="AX135" i="7"/>
  <c r="AZ135" i="7" s="1" a="1"/>
  <c r="AZ135" i="7" s="1"/>
  <c r="M135" i="7" s="1" a="1"/>
  <c r="M135" i="7" s="1"/>
  <c r="AW154" i="7" a="1"/>
  <c r="AW154" i="7" s="1"/>
  <c r="L154" i="7" s="1" a="1"/>
  <c r="L154" i="7" s="1"/>
  <c r="AX154" i="7"/>
  <c r="AZ154" i="7" s="1" a="1"/>
  <c r="AZ154" i="7" s="1"/>
  <c r="M154" i="7" s="1" a="1"/>
  <c r="M154" i="7" s="1"/>
  <c r="AW145" i="7" a="1"/>
  <c r="AW145" i="7" s="1"/>
  <c r="L145" i="7" s="1" a="1"/>
  <c r="L145" i="7" s="1"/>
  <c r="AX145" i="7"/>
  <c r="AZ145" i="7" s="1" a="1"/>
  <c r="AZ145" i="7" s="1"/>
  <c r="M145" i="7" s="1" a="1"/>
  <c r="M145" i="7" s="1"/>
  <c r="AW159" i="7" a="1"/>
  <c r="AW159" i="7" s="1"/>
  <c r="L159" i="7" s="1" a="1"/>
  <c r="L159" i="7" s="1"/>
  <c r="AX159" i="7"/>
  <c r="AZ159" i="7" s="1" a="1"/>
  <c r="AZ159" i="7" s="1"/>
  <c r="M159" i="7" s="1" a="1"/>
  <c r="M159" i="7" s="1"/>
  <c r="AX150" i="7"/>
  <c r="AZ150" i="7" s="1" a="1"/>
  <c r="AZ150" i="7" s="1"/>
  <c r="M150" i="7" s="1" a="1"/>
  <c r="M150" i="7" s="1"/>
  <c r="AW150" i="7" a="1"/>
  <c r="AW150" i="7" s="1"/>
  <c r="L150" i="7" s="1" a="1"/>
  <c r="L150" i="7" s="1"/>
  <c r="AW157" i="7" a="1"/>
  <c r="AW157" i="7" s="1"/>
  <c r="L157" i="7" s="1" a="1"/>
  <c r="L157" i="7" s="1"/>
  <c r="AX157" i="7"/>
  <c r="AZ157" i="7" s="1" a="1"/>
  <c r="AZ157" i="7" s="1"/>
  <c r="M157" i="7" s="1" a="1"/>
  <c r="M157" i="7" s="1"/>
  <c r="AX161" i="7"/>
  <c r="AZ161" i="7" s="1" a="1"/>
  <c r="AZ161" i="7" s="1"/>
  <c r="M161" i="7" s="1" a="1"/>
  <c r="M161" i="7" s="1"/>
  <c r="AW161" i="7" a="1"/>
  <c r="AW161" i="7" s="1"/>
  <c r="L161" i="7" s="1" a="1"/>
  <c r="L161" i="7" s="1"/>
  <c r="AX163" i="7"/>
  <c r="AZ163" i="7" s="1" a="1"/>
  <c r="AZ163" i="7" s="1"/>
  <c r="M163" i="7" s="1" a="1"/>
  <c r="M163" i="7" s="1"/>
  <c r="AW163" i="7" a="1"/>
  <c r="AW163" i="7" s="1"/>
  <c r="L163" i="7" s="1" a="1"/>
  <c r="L163" i="7" s="1"/>
  <c r="AX140" i="7"/>
  <c r="AZ140" i="7" s="1" a="1"/>
  <c r="AZ140" i="7" s="1"/>
  <c r="M140" i="7" s="1" a="1"/>
  <c r="M140" i="7" s="1"/>
  <c r="AW140" i="7" a="1"/>
  <c r="AW140" i="7" s="1"/>
  <c r="L140" i="7" s="1" a="1"/>
  <c r="L140" i="7" s="1"/>
  <c r="AW136" i="7" a="1"/>
  <c r="AW136" i="7" s="1"/>
  <c r="L136" i="7" s="1" a="1"/>
  <c r="L136" i="7" s="1"/>
  <c r="AX136" i="7"/>
  <c r="AZ136" i="7" s="1" a="1"/>
  <c r="AZ136" i="7" s="1"/>
  <c r="M136" i="7" s="1" a="1"/>
  <c r="M136" i="7" s="1"/>
  <c r="AX129" i="7"/>
  <c r="AZ129" i="7" s="1" a="1"/>
  <c r="AZ129" i="7" s="1"/>
  <c r="M129" i="7" s="1" a="1"/>
  <c r="M129" i="7" s="1"/>
  <c r="AW129" i="7" a="1"/>
  <c r="AW129" i="7" s="1"/>
  <c r="L129" i="7" s="1" a="1"/>
  <c r="L129" i="7" s="1"/>
  <c r="AX153" i="7"/>
  <c r="AZ153" i="7" s="1" a="1"/>
  <c r="AZ153" i="7" s="1"/>
  <c r="M153" i="7" s="1" a="1"/>
  <c r="M153" i="7" s="1"/>
  <c r="AW153" i="7" a="1"/>
  <c r="AW153" i="7" s="1"/>
  <c r="L153" i="7" s="1" a="1"/>
  <c r="L153" i="7" s="1"/>
  <c r="AX127" i="7"/>
  <c r="AZ127" i="7" s="1" a="1"/>
  <c r="AZ127" i="7" s="1"/>
  <c r="M127" i="7" s="1" a="1"/>
  <c r="M127" i="7" s="1"/>
  <c r="AW127" i="7" a="1"/>
  <c r="AW127" i="7" s="1"/>
  <c r="L127" i="7" s="1" a="1"/>
  <c r="L127" i="7" s="1"/>
  <c r="AX126" i="7"/>
  <c r="AZ126" i="7" s="1" a="1"/>
  <c r="AZ126" i="7" s="1"/>
  <c r="M126" i="7" s="1" a="1"/>
  <c r="M126" i="7" s="1"/>
  <c r="AW126" i="7" a="1"/>
  <c r="AW126" i="7" s="1"/>
  <c r="L126" i="7" s="1" a="1"/>
  <c r="L126" i="7" s="1"/>
  <c r="AX155" i="7"/>
  <c r="AZ155" i="7" s="1" a="1"/>
  <c r="AZ155" i="7" s="1"/>
  <c r="M155" i="7" s="1" a="1"/>
  <c r="M155" i="7" s="1"/>
  <c r="AW155" i="7" a="1"/>
  <c r="AW155" i="7" s="1"/>
  <c r="L155" i="7" s="1" a="1"/>
  <c r="L155" i="7" s="1"/>
  <c r="AW158" i="7" a="1"/>
  <c r="AW158" i="7" s="1"/>
  <c r="L158" i="7" s="1" a="1"/>
  <c r="L158" i="7" s="1"/>
  <c r="AX158" i="7"/>
  <c r="AZ158" i="7" s="1" a="1"/>
  <c r="AZ158" i="7" s="1"/>
  <c r="M158" i="7" s="1" a="1"/>
  <c r="M158" i="7" s="1"/>
  <c r="AW123" i="7" a="1"/>
  <c r="AW123" i="7" s="1"/>
  <c r="L123" i="7" s="1" a="1"/>
  <c r="L123" i="7" s="1"/>
  <c r="AX123" i="7"/>
  <c r="AZ123" i="7" s="1" a="1"/>
  <c r="AZ123" i="7" s="1"/>
  <c r="M123" i="7" s="1" a="1"/>
  <c r="M123" i="7" s="1"/>
  <c r="AW147" i="7" a="1"/>
  <c r="AW147" i="7" s="1"/>
  <c r="L147" i="7" s="1" a="1"/>
  <c r="L147" i="7" s="1"/>
  <c r="AX147" i="7"/>
  <c r="AZ147" i="7" s="1" a="1"/>
  <c r="AZ147" i="7" s="1"/>
  <c r="M147" i="7" s="1" a="1"/>
  <c r="M147" i="7" s="1"/>
  <c r="AW137" i="7" a="1"/>
  <c r="AW137" i="7" s="1"/>
  <c r="L137" i="7" s="1" a="1"/>
  <c r="L137" i="7" s="1"/>
  <c r="AX137" i="7"/>
  <c r="AZ137" i="7" s="1" a="1"/>
  <c r="AZ137" i="7" s="1"/>
  <c r="M137" i="7" s="1" a="1"/>
  <c r="M137" i="7" s="1"/>
  <c r="AW134" i="7" a="1"/>
  <c r="AW134" i="7" s="1"/>
  <c r="L134" i="7" s="1" a="1"/>
  <c r="L134" i="7" s="1"/>
  <c r="AX134" i="7"/>
  <c r="AZ134" i="7" s="1" a="1"/>
  <c r="AZ134" i="7" s="1"/>
  <c r="M134" i="7" s="1" a="1"/>
  <c r="M134" i="7" s="1"/>
  <c r="AW124" i="7" a="1"/>
  <c r="AW124" i="7" s="1"/>
  <c r="L124" i="7" s="1" a="1"/>
  <c r="L124" i="7" s="1"/>
  <c r="AX124" i="7"/>
  <c r="AZ124" i="7" s="1" a="1"/>
  <c r="AZ124" i="7" s="1"/>
  <c r="M124" i="7" s="1" a="1"/>
  <c r="M124" i="7" s="1"/>
  <c r="AX146" i="7"/>
  <c r="AZ146" i="7" s="1" a="1"/>
  <c r="AZ146" i="7" s="1"/>
  <c r="M146" i="7" s="1" a="1"/>
  <c r="M146" i="7" s="1"/>
  <c r="AW146" i="7" a="1"/>
  <c r="AW146" i="7" s="1"/>
  <c r="L146" i="7" s="1" a="1"/>
  <c r="L146" i="7" s="1"/>
  <c r="AX143" i="7"/>
  <c r="AZ143" i="7" s="1" a="1"/>
  <c r="AZ143" i="7" s="1"/>
  <c r="M143" i="7" s="1" a="1"/>
  <c r="M143" i="7" s="1"/>
  <c r="AW143" i="7" a="1"/>
  <c r="AW143" i="7" s="1"/>
  <c r="L143" i="7" s="1" a="1"/>
  <c r="L143" i="7" s="1"/>
  <c r="AX142" i="7"/>
  <c r="AZ142" i="7" s="1" a="1"/>
  <c r="AZ142" i="7" s="1"/>
  <c r="M142" i="7" s="1" a="1"/>
  <c r="M142" i="7" s="1"/>
  <c r="AW142" i="7" a="1"/>
  <c r="AW142" i="7" s="1"/>
  <c r="L142" i="7" s="1" a="1"/>
  <c r="L142" i="7" s="1"/>
  <c r="AX128" i="7"/>
  <c r="AZ128" i="7" s="1" a="1"/>
  <c r="AZ128" i="7" s="1"/>
  <c r="M128" i="7" s="1" a="1"/>
  <c r="M128" i="7" s="1"/>
  <c r="AW128" i="7" a="1"/>
  <c r="AW128" i="7" s="1"/>
  <c r="L128" i="7" s="1" a="1"/>
  <c r="L128" i="7" s="1"/>
  <c r="AT160" i="1"/>
  <c r="AT157" i="1"/>
  <c r="AT156" i="1"/>
  <c r="AT155" i="1"/>
  <c r="AT153" i="1"/>
  <c r="AT154" i="1"/>
  <c r="AT152" i="1"/>
  <c r="AT151" i="1"/>
  <c r="AT150" i="1"/>
  <c r="AT149" i="1"/>
  <c r="AT148" i="1"/>
  <c r="AT146" i="1"/>
  <c r="AT147" i="1"/>
  <c r="AT145" i="1"/>
  <c r="AT144" i="1"/>
  <c r="AT142" i="1"/>
  <c r="AT143" i="1"/>
  <c r="AT141" i="1"/>
  <c r="AT140" i="1"/>
  <c r="AT139" i="1"/>
  <c r="AT138" i="1"/>
  <c r="AT137" i="1"/>
  <c r="AT136" i="1"/>
  <c r="AT135" i="1"/>
  <c r="AT134" i="1"/>
  <c r="AT133" i="1"/>
  <c r="AT132" i="1"/>
  <c r="AT131" i="1"/>
  <c r="AT130" i="1"/>
  <c r="AT128" i="1"/>
  <c r="AT129" i="1"/>
  <c r="AT127" i="1"/>
  <c r="AT126" i="1"/>
  <c r="AT125" i="1"/>
  <c r="AT124" i="1"/>
  <c r="AT123" i="1"/>
  <c r="AT122" i="1"/>
  <c r="AT121" i="1"/>
  <c r="AT120" i="1"/>
  <c r="AT118" i="1"/>
  <c r="AT119" i="1"/>
  <c r="AT117" i="1"/>
  <c r="AT116" i="1"/>
  <c r="AT115" i="1"/>
  <c r="AT113" i="1"/>
  <c r="AT81" i="1"/>
  <c r="AT22" i="1"/>
  <c r="AT114" i="1"/>
  <c r="AT92" i="1"/>
  <c r="AT91" i="1"/>
  <c r="AT21" i="1"/>
  <c r="AT20" i="1"/>
  <c r="AT64" i="1"/>
  <c r="AT106" i="1"/>
  <c r="AT105" i="1"/>
  <c r="AT103" i="1"/>
  <c r="AT80" i="1"/>
  <c r="AT70" i="1"/>
  <c r="AT65" i="1"/>
  <c r="AT61" i="1"/>
  <c r="AT51" i="1"/>
  <c r="AT19" i="1"/>
  <c r="AT12" i="1"/>
  <c r="AT7" i="1"/>
  <c r="AT5" i="1"/>
  <c r="AT55" i="1"/>
  <c r="AT50" i="1"/>
  <c r="AT46" i="1"/>
  <c r="AT18" i="1"/>
  <c r="AT97" i="1"/>
  <c r="AT62" i="1"/>
  <c r="AT37" i="1"/>
  <c r="AT35" i="1"/>
  <c r="AT25" i="1"/>
  <c r="AT16" i="1"/>
  <c r="AT99" i="1"/>
  <c r="AT98" i="1"/>
  <c r="AT96" i="1"/>
  <c r="AT95" i="1"/>
  <c r="AT53" i="1"/>
  <c r="AT69" i="1"/>
  <c r="AT36" i="1"/>
  <c r="AT79" i="1"/>
  <c r="AT26" i="1"/>
  <c r="AT14" i="1"/>
  <c r="AT6" i="1"/>
  <c r="AT4" i="1"/>
  <c r="AT102" i="1"/>
  <c r="AT54" i="1"/>
  <c r="AT49" i="1"/>
  <c r="AT48" i="1"/>
  <c r="AT40" i="1"/>
  <c r="AT101" i="1"/>
  <c r="AT94" i="1"/>
  <c r="AT87" i="1"/>
  <c r="AT86" i="1"/>
  <c r="AT85" i="1"/>
  <c r="AT84" i="1"/>
  <c r="AT82" i="1"/>
  <c r="AT68" i="1"/>
  <c r="AT67" i="1"/>
  <c r="AT66" i="1"/>
  <c r="AT44" i="1"/>
  <c r="AT43" i="1"/>
  <c r="AT42" i="1"/>
  <c r="AT10" i="1"/>
  <c r="AT8" i="1"/>
  <c r="AT90" i="1"/>
  <c r="AT112" i="1"/>
  <c r="AT109" i="1"/>
  <c r="AT75" i="1"/>
  <c r="AT38" i="1"/>
  <c r="AT23" i="1"/>
  <c r="AT89" i="1"/>
  <c r="AT60" i="1"/>
  <c r="AT59" i="1"/>
  <c r="AT58" i="1"/>
  <c r="AT57" i="1"/>
  <c r="AT100" i="1"/>
  <c r="AT93" i="1"/>
  <c r="AT78" i="1"/>
  <c r="AT77" i="1"/>
  <c r="AT74" i="1"/>
  <c r="AT33" i="1"/>
  <c r="AT31" i="1"/>
  <c r="AT27" i="1"/>
  <c r="AT56" i="1"/>
  <c r="AT34" i="1"/>
  <c r="AT32" i="1"/>
  <c r="AT108" i="1"/>
  <c r="AT9" i="1"/>
  <c r="AT63" i="1"/>
  <c r="AT47" i="1"/>
  <c r="AT83" i="1"/>
  <c r="AT45" i="1"/>
  <c r="AT39" i="1"/>
  <c r="AT52" i="1"/>
  <c r="AT30" i="1"/>
  <c r="AT28" i="1"/>
  <c r="AT24" i="1"/>
  <c r="AT107" i="1"/>
  <c r="AT76" i="1"/>
  <c r="AT73" i="1"/>
  <c r="AT72" i="1"/>
  <c r="AT71" i="1"/>
  <c r="AT111" i="1"/>
  <c r="AT110" i="1"/>
  <c r="AT11" i="1"/>
  <c r="AT88" i="1"/>
  <c r="AT29" i="1"/>
  <c r="AT41" i="1"/>
  <c r="AT17" i="1"/>
  <c r="AT104" i="1"/>
  <c r="AT15" i="1"/>
  <c r="AT13" i="1"/>
  <c r="AN160" i="1"/>
  <c r="AN157" i="1"/>
  <c r="AN156" i="1"/>
  <c r="AN155" i="1"/>
  <c r="AN153" i="1"/>
  <c r="AN154" i="1"/>
  <c r="AN152" i="1"/>
  <c r="AN151" i="1"/>
  <c r="AN150" i="1"/>
  <c r="AN149" i="1"/>
  <c r="AN148" i="1"/>
  <c r="AN146" i="1"/>
  <c r="AN147" i="1"/>
  <c r="AN145" i="1"/>
  <c r="AN144" i="1"/>
  <c r="AN142" i="1"/>
  <c r="AN143" i="1"/>
  <c r="AN141" i="1"/>
  <c r="AN140" i="1"/>
  <c r="AN139" i="1"/>
  <c r="AN138" i="1"/>
  <c r="AN137" i="1"/>
  <c r="AN136" i="1"/>
  <c r="AN135" i="1"/>
  <c r="AN134" i="1"/>
  <c r="AN133" i="1"/>
  <c r="AN132" i="1"/>
  <c r="AN131" i="1"/>
  <c r="AN130" i="1"/>
  <c r="AN128" i="1"/>
  <c r="AN129" i="1"/>
  <c r="AN127" i="1"/>
  <c r="AN126" i="1"/>
  <c r="AN125" i="1"/>
  <c r="AN124" i="1"/>
  <c r="AN123" i="1"/>
  <c r="AN122" i="1"/>
  <c r="AN121" i="1"/>
  <c r="AN120" i="1"/>
  <c r="AN118" i="1"/>
  <c r="AN119" i="1"/>
  <c r="AN117" i="1"/>
  <c r="AN116" i="1"/>
  <c r="AN115" i="1"/>
  <c r="AN113" i="1"/>
  <c r="AN81" i="1"/>
  <c r="AN22" i="1"/>
  <c r="AN114" i="1"/>
  <c r="AN92" i="1"/>
  <c r="AN91" i="1"/>
  <c r="AN21" i="1"/>
  <c r="AN20" i="1"/>
  <c r="AN64" i="1"/>
  <c r="AN106" i="1"/>
  <c r="AN105" i="1"/>
  <c r="AN103" i="1"/>
  <c r="AN80" i="1"/>
  <c r="AN70" i="1"/>
  <c r="AN65" i="1"/>
  <c r="AN61" i="1"/>
  <c r="AN51" i="1"/>
  <c r="AN19" i="1"/>
  <c r="AN12" i="1"/>
  <c r="AN7" i="1"/>
  <c r="AN5" i="1"/>
  <c r="AN55" i="1"/>
  <c r="AN50" i="1"/>
  <c r="AN46" i="1"/>
  <c r="AN18" i="1"/>
  <c r="AN97" i="1"/>
  <c r="AN62" i="1"/>
  <c r="AN37" i="1"/>
  <c r="AN35" i="1"/>
  <c r="AN25" i="1"/>
  <c r="AN16" i="1"/>
  <c r="AN99" i="1"/>
  <c r="AN98" i="1"/>
  <c r="AN96" i="1"/>
  <c r="AN95" i="1"/>
  <c r="AN53" i="1"/>
  <c r="AN69" i="1"/>
  <c r="AN36" i="1"/>
  <c r="AN79" i="1"/>
  <c r="AN26" i="1"/>
  <c r="AN14" i="1"/>
  <c r="AN6" i="1"/>
  <c r="AN4" i="1"/>
  <c r="AN102" i="1"/>
  <c r="AN54" i="1"/>
  <c r="AN49" i="1"/>
  <c r="AN48" i="1"/>
  <c r="AN40" i="1"/>
  <c r="AN101" i="1"/>
  <c r="AN94" i="1"/>
  <c r="AN87" i="1"/>
  <c r="AN86" i="1"/>
  <c r="AN85" i="1"/>
  <c r="AN84" i="1"/>
  <c r="AN82" i="1"/>
  <c r="AN68" i="1"/>
  <c r="AN67" i="1"/>
  <c r="AN66" i="1"/>
  <c r="AN44" i="1"/>
  <c r="AN43" i="1"/>
  <c r="AN42" i="1"/>
  <c r="AN10" i="1"/>
  <c r="AN8" i="1"/>
  <c r="AN90" i="1"/>
  <c r="AN112" i="1"/>
  <c r="AN109" i="1"/>
  <c r="AN75" i="1"/>
  <c r="AN38" i="1"/>
  <c r="AN23" i="1"/>
  <c r="AN89" i="1"/>
  <c r="AN60" i="1"/>
  <c r="AN59" i="1"/>
  <c r="AN58" i="1"/>
  <c r="AN57" i="1"/>
  <c r="AN100" i="1"/>
  <c r="AN93" i="1"/>
  <c r="AN78" i="1"/>
  <c r="AN77" i="1"/>
  <c r="AN74" i="1"/>
  <c r="AN33" i="1"/>
  <c r="AN31" i="1"/>
  <c r="AN27" i="1"/>
  <c r="AN56" i="1"/>
  <c r="AN34" i="1"/>
  <c r="AN32" i="1"/>
  <c r="AN108" i="1"/>
  <c r="AN9" i="1"/>
  <c r="AN63" i="1"/>
  <c r="AN47" i="1"/>
  <c r="AN83" i="1"/>
  <c r="AN45" i="1"/>
  <c r="AN39" i="1"/>
  <c r="AN52" i="1"/>
  <c r="AN30" i="1"/>
  <c r="AN28" i="1"/>
  <c r="AN24" i="1"/>
  <c r="AN107" i="1"/>
  <c r="AN76" i="1"/>
  <c r="AN73" i="1"/>
  <c r="AN72" i="1"/>
  <c r="AN71" i="1"/>
  <c r="AN111" i="1"/>
  <c r="AN110" i="1"/>
  <c r="AN11" i="1"/>
  <c r="AN88" i="1"/>
  <c r="AN29" i="1"/>
  <c r="AN41" i="1"/>
  <c r="AN17" i="1"/>
  <c r="AN104" i="1"/>
  <c r="AN15" i="1"/>
  <c r="AN13" i="1"/>
  <c r="AQ68" i="1" l="1"/>
  <c r="AS68" i="1" s="1" a="1"/>
  <c r="AS68" i="1" s="1"/>
  <c r="J68" i="1" s="1" a="1"/>
  <c r="J68" i="1" s="1"/>
  <c r="AP68" i="1" a="1"/>
  <c r="AP68" i="1" s="1"/>
  <c r="I68" i="1" s="1" a="1"/>
  <c r="I68" i="1" s="1"/>
  <c r="AQ20" i="1"/>
  <c r="AS20" i="1" s="1" a="1"/>
  <c r="AS20" i="1" s="1"/>
  <c r="J20" i="1" s="1" a="1"/>
  <c r="J20" i="1" s="1"/>
  <c r="AP20" i="1" a="1"/>
  <c r="AP20" i="1" s="1"/>
  <c r="I20" i="1" s="1" a="1"/>
  <c r="I20" i="1" s="1"/>
  <c r="AQ12" i="1"/>
  <c r="AS12" i="1" s="1" a="1"/>
  <c r="AS12" i="1" s="1"/>
  <c r="J12" i="1" s="1" a="1"/>
  <c r="J12" i="1" s="1"/>
  <c r="AP12" i="1" a="1"/>
  <c r="AP12" i="1" s="1"/>
  <c r="I12" i="1" s="1" a="1"/>
  <c r="I12" i="1" s="1"/>
  <c r="AW25" i="1"/>
  <c r="AV25" i="1" a="1"/>
  <c r="AV25" i="1" s="1"/>
  <c r="K25" i="1" s="1" a="1"/>
  <c r="K25" i="1" s="1"/>
  <c r="AQ111" i="1"/>
  <c r="AS111" i="1" s="1" a="1"/>
  <c r="AS111" i="1" s="1"/>
  <c r="J111" i="1" s="1" a="1"/>
  <c r="J111" i="1" s="1"/>
  <c r="AP111" i="1" a="1"/>
  <c r="AP111" i="1" s="1"/>
  <c r="I111" i="1" s="1" a="1"/>
  <c r="I111" i="1" s="1"/>
  <c r="AQ83" i="1"/>
  <c r="AS83" i="1" s="1" a="1"/>
  <c r="AS83" i="1" s="1"/>
  <c r="J83" i="1" s="1" a="1"/>
  <c r="J83" i="1" s="1"/>
  <c r="AP83" i="1" a="1"/>
  <c r="AP83" i="1" s="1"/>
  <c r="I83" i="1" s="1" a="1"/>
  <c r="I83" i="1" s="1"/>
  <c r="AQ77" i="1"/>
  <c r="AS77" i="1" s="1" a="1"/>
  <c r="AS77" i="1" s="1"/>
  <c r="J77" i="1" s="1" a="1"/>
  <c r="J77" i="1" s="1"/>
  <c r="AP77" i="1" a="1"/>
  <c r="AP77" i="1" s="1"/>
  <c r="I77" i="1" s="1" a="1"/>
  <c r="I77" i="1" s="1"/>
  <c r="AQ109" i="1"/>
  <c r="AS109" i="1" s="1" a="1"/>
  <c r="AS109" i="1" s="1"/>
  <c r="J109" i="1" s="1" a="1"/>
  <c r="J109" i="1" s="1"/>
  <c r="AP109" i="1" a="1"/>
  <c r="AP109" i="1" s="1"/>
  <c r="I109" i="1" s="1" a="1"/>
  <c r="I109" i="1" s="1"/>
  <c r="AQ84" i="1"/>
  <c r="AS84" i="1" s="1" a="1"/>
  <c r="AS84" i="1" s="1"/>
  <c r="J84" i="1" s="1" a="1"/>
  <c r="J84" i="1" s="1"/>
  <c r="AP84" i="1" a="1"/>
  <c r="AP84" i="1" s="1"/>
  <c r="I84" i="1" s="1" a="1"/>
  <c r="I84" i="1" s="1"/>
  <c r="AQ6" i="1"/>
  <c r="AS6" i="1" s="1" a="1"/>
  <c r="AS6" i="1" s="1"/>
  <c r="J6" i="1" s="1" a="1"/>
  <c r="J6" i="1" s="1"/>
  <c r="AP6" i="1" a="1"/>
  <c r="AP6" i="1" s="1"/>
  <c r="I6" i="1" s="1" a="1"/>
  <c r="I6" i="1" s="1"/>
  <c r="AQ25" i="1"/>
  <c r="AS25" i="1" s="1" a="1"/>
  <c r="AS25" i="1" s="1"/>
  <c r="J25" i="1" s="1" a="1"/>
  <c r="J25" i="1" s="1"/>
  <c r="AP25" i="1" a="1"/>
  <c r="AP25" i="1" s="1"/>
  <c r="I25" i="1" s="1" a="1"/>
  <c r="I25" i="1" s="1"/>
  <c r="AQ19" i="1"/>
  <c r="AS19" i="1" s="1" a="1"/>
  <c r="AS19" i="1" s="1"/>
  <c r="J19" i="1" s="1" a="1"/>
  <c r="J19" i="1" s="1"/>
  <c r="AP19" i="1" a="1"/>
  <c r="AP19" i="1" s="1"/>
  <c r="I19" i="1" s="1" a="1"/>
  <c r="I19" i="1" s="1"/>
  <c r="AQ91" i="1"/>
  <c r="AS91" i="1" s="1" a="1"/>
  <c r="AS91" i="1" s="1"/>
  <c r="J91" i="1" s="1" a="1"/>
  <c r="J91" i="1" s="1"/>
  <c r="AP91" i="1" a="1"/>
  <c r="AP91" i="1" s="1"/>
  <c r="I91" i="1" s="1" a="1"/>
  <c r="I91" i="1" s="1"/>
  <c r="AQ121" i="1"/>
  <c r="AS121" i="1" s="1" a="1"/>
  <c r="AS121" i="1" s="1"/>
  <c r="J121" i="1" s="1" a="1"/>
  <c r="J121" i="1" s="1"/>
  <c r="AP121" i="1" a="1"/>
  <c r="AP121" i="1" s="1"/>
  <c r="I121" i="1" s="1" a="1"/>
  <c r="I121" i="1" s="1"/>
  <c r="AQ133" i="1"/>
  <c r="AS133" i="1" s="1" a="1"/>
  <c r="AS133" i="1" s="1"/>
  <c r="J133" i="1" s="1" a="1"/>
  <c r="J133" i="1" s="1"/>
  <c r="AP133" i="1" a="1"/>
  <c r="AP133" i="1" s="1"/>
  <c r="I133" i="1" s="1" a="1"/>
  <c r="I133" i="1" s="1"/>
  <c r="AQ145" i="1"/>
  <c r="AS145" i="1" s="1" a="1"/>
  <c r="AS145" i="1" s="1"/>
  <c r="J145" i="1" s="1" a="1"/>
  <c r="J145" i="1" s="1"/>
  <c r="AP145" i="1" a="1"/>
  <c r="AP145" i="1" s="1"/>
  <c r="I145" i="1" s="1" a="1"/>
  <c r="I145" i="1" s="1"/>
  <c r="AQ157" i="1"/>
  <c r="AS157" i="1" s="1" a="1"/>
  <c r="AS157" i="1" s="1"/>
  <c r="J157" i="1" s="1" a="1"/>
  <c r="J157" i="1" s="1"/>
  <c r="AP157" i="1" a="1"/>
  <c r="AP157" i="1" s="1"/>
  <c r="I157" i="1" s="1" a="1"/>
  <c r="I157" i="1" s="1"/>
  <c r="AW71" i="1"/>
  <c r="AV71" i="1" a="1"/>
  <c r="AV71" i="1" s="1"/>
  <c r="K71" i="1" s="1" a="1"/>
  <c r="K71" i="1" s="1"/>
  <c r="AW47" i="1"/>
  <c r="AV47" i="1" a="1"/>
  <c r="AV47" i="1" s="1"/>
  <c r="K47" i="1" s="1" a="1"/>
  <c r="K47" i="1" s="1"/>
  <c r="AW78" i="1"/>
  <c r="AV78" i="1" a="1"/>
  <c r="AV78" i="1" s="1"/>
  <c r="K78" i="1" s="1" a="1"/>
  <c r="K78" i="1" s="1"/>
  <c r="AW112" i="1"/>
  <c r="AV112" i="1" a="1"/>
  <c r="AV112" i="1" s="1"/>
  <c r="K112" i="1" s="1" a="1"/>
  <c r="K112" i="1" s="1"/>
  <c r="AW85" i="1"/>
  <c r="AV85" i="1" a="1"/>
  <c r="AV85" i="1" s="1"/>
  <c r="K85" i="1" s="1" a="1"/>
  <c r="K85" i="1" s="1"/>
  <c r="AW14" i="1"/>
  <c r="AV14" i="1" a="1"/>
  <c r="AV14" i="1" s="1"/>
  <c r="K14" i="1" s="1" a="1"/>
  <c r="K14" i="1" s="1"/>
  <c r="AW35" i="1"/>
  <c r="AV35" i="1" a="1"/>
  <c r="AV35" i="1" s="1"/>
  <c r="K35" i="1" s="1" a="1"/>
  <c r="K35" i="1" s="1"/>
  <c r="AW51" i="1"/>
  <c r="AV51" i="1" a="1"/>
  <c r="AV51" i="1" s="1"/>
  <c r="K51" i="1" s="1" a="1"/>
  <c r="K51" i="1" s="1"/>
  <c r="AW92" i="1"/>
  <c r="AV92" i="1" a="1"/>
  <c r="AV92" i="1" s="1"/>
  <c r="K92" i="1" s="1" a="1"/>
  <c r="K92" i="1" s="1"/>
  <c r="AW122" i="1"/>
  <c r="AV122" i="1" a="1"/>
  <c r="AV122" i="1" s="1"/>
  <c r="K122" i="1" s="1" a="1"/>
  <c r="K122" i="1" s="1"/>
  <c r="AW134" i="1"/>
  <c r="AV134" i="1" a="1"/>
  <c r="AV134" i="1" s="1"/>
  <c r="K134" i="1" s="1" a="1"/>
  <c r="K134" i="1" s="1"/>
  <c r="AW147" i="1"/>
  <c r="AV147" i="1" a="1"/>
  <c r="AV147" i="1" s="1"/>
  <c r="K147" i="1" s="1" a="1"/>
  <c r="K147" i="1" s="1"/>
  <c r="AW160" i="1"/>
  <c r="AV160" i="1" a="1"/>
  <c r="AV160" i="1" s="1"/>
  <c r="K160" i="1" s="1" a="1"/>
  <c r="K160" i="1" s="1"/>
  <c r="AQ47" i="1"/>
  <c r="AS47" i="1" s="1" a="1"/>
  <c r="AS47" i="1" s="1"/>
  <c r="J47" i="1" s="1" a="1"/>
  <c r="J47" i="1" s="1"/>
  <c r="AP47" i="1" a="1"/>
  <c r="AP47" i="1" s="1"/>
  <c r="I47" i="1" s="1" a="1"/>
  <c r="I47" i="1" s="1"/>
  <c r="AQ147" i="1"/>
  <c r="AS147" i="1" s="1" a="1"/>
  <c r="AS147" i="1" s="1"/>
  <c r="J147" i="1" s="1" a="1"/>
  <c r="J147" i="1" s="1"/>
  <c r="AP147" i="1" a="1"/>
  <c r="AP147" i="1" s="1"/>
  <c r="I147" i="1" s="1" a="1"/>
  <c r="I147" i="1" s="1"/>
  <c r="AW135" i="1"/>
  <c r="AV135" i="1" a="1"/>
  <c r="AV135" i="1" s="1"/>
  <c r="K135" i="1" s="1" a="1"/>
  <c r="K135" i="1" s="1"/>
  <c r="AQ71" i="1"/>
  <c r="AS71" i="1" s="1" a="1"/>
  <c r="AS71" i="1" s="1"/>
  <c r="J71" i="1" s="1" a="1"/>
  <c r="J71" i="1" s="1"/>
  <c r="AP71" i="1" a="1"/>
  <c r="AP71" i="1" s="1"/>
  <c r="I71" i="1" s="1" a="1"/>
  <c r="I71" i="1" s="1"/>
  <c r="AQ112" i="1"/>
  <c r="AS112" i="1" s="1" a="1"/>
  <c r="AS112" i="1" s="1"/>
  <c r="J112" i="1" s="1" a="1"/>
  <c r="J112" i="1" s="1"/>
  <c r="AP112" i="1" a="1"/>
  <c r="AP112" i="1" s="1"/>
  <c r="I112" i="1" s="1" a="1"/>
  <c r="I112" i="1" s="1"/>
  <c r="AQ14" i="1"/>
  <c r="AS14" i="1" s="1" a="1"/>
  <c r="AS14" i="1" s="1"/>
  <c r="J14" i="1" s="1" a="1"/>
  <c r="J14" i="1" s="1"/>
  <c r="AP14" i="1" a="1"/>
  <c r="AP14" i="1" s="1"/>
  <c r="I14" i="1" s="1" a="1"/>
  <c r="I14" i="1" s="1"/>
  <c r="AQ51" i="1"/>
  <c r="AS51" i="1" s="1" a="1"/>
  <c r="AS51" i="1" s="1"/>
  <c r="J51" i="1" s="1" a="1"/>
  <c r="J51" i="1" s="1"/>
  <c r="AP51" i="1" a="1"/>
  <c r="AP51" i="1" s="1"/>
  <c r="I51" i="1" s="1" a="1"/>
  <c r="I51" i="1" s="1"/>
  <c r="AQ122" i="1"/>
  <c r="AS122" i="1" s="1" a="1"/>
  <c r="AS122" i="1" s="1"/>
  <c r="J122" i="1" s="1" a="1"/>
  <c r="J122" i="1" s="1"/>
  <c r="AP122" i="1" a="1"/>
  <c r="AP122" i="1" s="1"/>
  <c r="I122" i="1" s="1" a="1"/>
  <c r="I122" i="1" s="1"/>
  <c r="AW63" i="1"/>
  <c r="AV63" i="1" a="1"/>
  <c r="AV63" i="1" s="1"/>
  <c r="K63" i="1" s="1" a="1"/>
  <c r="K63" i="1" s="1"/>
  <c r="AW61" i="1"/>
  <c r="AV61" i="1" a="1"/>
  <c r="AV61" i="1" s="1"/>
  <c r="K61" i="1" s="1" a="1"/>
  <c r="K61" i="1" s="1"/>
  <c r="AQ146" i="1"/>
  <c r="AS146" i="1" s="1" a="1"/>
  <c r="AS146" i="1" s="1"/>
  <c r="J146" i="1" s="1" a="1"/>
  <c r="J146" i="1" s="1"/>
  <c r="AP146" i="1" a="1"/>
  <c r="AP146" i="1" s="1"/>
  <c r="I146" i="1" s="1" a="1"/>
  <c r="I146" i="1" s="1"/>
  <c r="AQ78" i="1"/>
  <c r="AS78" i="1" s="1" a="1"/>
  <c r="AS78" i="1" s="1"/>
  <c r="J78" i="1" s="1" a="1"/>
  <c r="J78" i="1" s="1"/>
  <c r="AP78" i="1" a="1"/>
  <c r="AP78" i="1" s="1"/>
  <c r="I78" i="1" s="1" a="1"/>
  <c r="I78" i="1" s="1"/>
  <c r="AQ85" i="1"/>
  <c r="AS85" i="1" s="1" a="1"/>
  <c r="AS85" i="1" s="1"/>
  <c r="J85" i="1" s="1" a="1"/>
  <c r="J85" i="1" s="1"/>
  <c r="AP85" i="1" a="1"/>
  <c r="AP85" i="1" s="1"/>
  <c r="I85" i="1" s="1" a="1"/>
  <c r="I85" i="1" s="1"/>
  <c r="AQ35" i="1"/>
  <c r="AS35" i="1" s="1" a="1"/>
  <c r="AS35" i="1" s="1"/>
  <c r="J35" i="1" s="1" a="1"/>
  <c r="J35" i="1" s="1"/>
  <c r="AP35" i="1" a="1"/>
  <c r="AP35" i="1" s="1"/>
  <c r="I35" i="1" s="1" a="1"/>
  <c r="I35" i="1" s="1"/>
  <c r="AQ92" i="1"/>
  <c r="AS92" i="1" s="1" a="1"/>
  <c r="AS92" i="1" s="1"/>
  <c r="J92" i="1" s="1" a="1"/>
  <c r="J92" i="1" s="1"/>
  <c r="AP92" i="1" a="1"/>
  <c r="AP92" i="1" s="1"/>
  <c r="I92" i="1" s="1" a="1"/>
  <c r="I92" i="1" s="1"/>
  <c r="AQ134" i="1"/>
  <c r="AS134" i="1" s="1" a="1"/>
  <c r="AS134" i="1" s="1"/>
  <c r="J134" i="1" s="1" a="1"/>
  <c r="J134" i="1" s="1"/>
  <c r="AP134" i="1" a="1"/>
  <c r="AP134" i="1" s="1"/>
  <c r="I134" i="1" s="1" a="1"/>
  <c r="I134" i="1" s="1"/>
  <c r="AQ160" i="1"/>
  <c r="AS160" i="1" s="1" a="1"/>
  <c r="AS160" i="1" s="1"/>
  <c r="J160" i="1" s="1" a="1"/>
  <c r="J160" i="1" s="1"/>
  <c r="AP160" i="1" a="1"/>
  <c r="AP160" i="1" s="1"/>
  <c r="I160" i="1" s="1" a="1"/>
  <c r="I160" i="1" s="1"/>
  <c r="AW72" i="1"/>
  <c r="AV72" i="1" a="1"/>
  <c r="AV72" i="1" s="1"/>
  <c r="K72" i="1" s="1" a="1"/>
  <c r="K72" i="1" s="1"/>
  <c r="AW93" i="1"/>
  <c r="AV93" i="1" a="1"/>
  <c r="AV93" i="1" s="1"/>
  <c r="K93" i="1" s="1" a="1"/>
  <c r="K93" i="1" s="1"/>
  <c r="AW90" i="1"/>
  <c r="AV90" i="1" a="1"/>
  <c r="AV90" i="1" s="1"/>
  <c r="K90" i="1" s="1" a="1"/>
  <c r="K90" i="1" s="1"/>
  <c r="AW86" i="1"/>
  <c r="AV86" i="1" a="1"/>
  <c r="AV86" i="1" s="1"/>
  <c r="K86" i="1" s="1" a="1"/>
  <c r="K86" i="1" s="1"/>
  <c r="AW26" i="1"/>
  <c r="AV26" i="1" a="1"/>
  <c r="AV26" i="1" s="1"/>
  <c r="K26" i="1" s="1" a="1"/>
  <c r="K26" i="1" s="1"/>
  <c r="AW37" i="1"/>
  <c r="AV37" i="1" a="1"/>
  <c r="AV37" i="1" s="1"/>
  <c r="K37" i="1" s="1" a="1"/>
  <c r="K37" i="1" s="1"/>
  <c r="AW114" i="1"/>
  <c r="AV114" i="1" a="1"/>
  <c r="AV114" i="1" s="1"/>
  <c r="K114" i="1" s="1" a="1"/>
  <c r="K114" i="1" s="1"/>
  <c r="AW123" i="1"/>
  <c r="AV123" i="1" a="1"/>
  <c r="AV123" i="1" s="1"/>
  <c r="K123" i="1" s="1" a="1"/>
  <c r="K123" i="1" s="1"/>
  <c r="AW146" i="1"/>
  <c r="AV146" i="1" a="1"/>
  <c r="AV146" i="1" s="1"/>
  <c r="K146" i="1" s="1" a="1"/>
  <c r="K146" i="1" s="1"/>
  <c r="AQ72" i="1"/>
  <c r="AS72" i="1" s="1" a="1"/>
  <c r="AS72" i="1" s="1"/>
  <c r="J72" i="1" s="1" a="1"/>
  <c r="J72" i="1" s="1"/>
  <c r="AP72" i="1" a="1"/>
  <c r="AP72" i="1" s="1"/>
  <c r="I72" i="1" s="1" a="1"/>
  <c r="I72" i="1" s="1"/>
  <c r="AQ63" i="1"/>
  <c r="AS63" i="1" s="1" a="1"/>
  <c r="AS63" i="1" s="1"/>
  <c r="J63" i="1" s="1" a="1"/>
  <c r="J63" i="1" s="1"/>
  <c r="AP63" i="1" a="1"/>
  <c r="AP63" i="1" s="1"/>
  <c r="I63" i="1" s="1" a="1"/>
  <c r="I63" i="1" s="1"/>
  <c r="AQ93" i="1"/>
  <c r="AS93" i="1" s="1" a="1"/>
  <c r="AS93" i="1" s="1"/>
  <c r="J93" i="1" s="1" a="1"/>
  <c r="J93" i="1" s="1"/>
  <c r="AP93" i="1" a="1"/>
  <c r="AP93" i="1" s="1"/>
  <c r="I93" i="1" s="1" a="1"/>
  <c r="I93" i="1" s="1"/>
  <c r="AQ90" i="1"/>
  <c r="AS90" i="1" s="1" a="1"/>
  <c r="AS90" i="1" s="1"/>
  <c r="J90" i="1" s="1" a="1"/>
  <c r="J90" i="1" s="1"/>
  <c r="AP90" i="1" a="1"/>
  <c r="AP90" i="1" s="1"/>
  <c r="I90" i="1" s="1" a="1"/>
  <c r="I90" i="1" s="1"/>
  <c r="AQ86" i="1"/>
  <c r="AS86" i="1" s="1" a="1"/>
  <c r="AS86" i="1" s="1"/>
  <c r="J86" i="1" s="1" a="1"/>
  <c r="J86" i="1" s="1"/>
  <c r="AP86" i="1" a="1"/>
  <c r="AP86" i="1" s="1"/>
  <c r="I86" i="1" s="1" a="1"/>
  <c r="I86" i="1" s="1"/>
  <c r="AQ26" i="1"/>
  <c r="AS26" i="1" s="1" a="1"/>
  <c r="AS26" i="1" s="1"/>
  <c r="J26" i="1" s="1" a="1"/>
  <c r="J26" i="1" s="1"/>
  <c r="AP26" i="1" a="1"/>
  <c r="AP26" i="1" s="1"/>
  <c r="I26" i="1" s="1" a="1"/>
  <c r="I26" i="1" s="1"/>
  <c r="AQ37" i="1"/>
  <c r="AS37" i="1" s="1" a="1"/>
  <c r="AS37" i="1" s="1"/>
  <c r="J37" i="1" s="1" a="1"/>
  <c r="J37" i="1" s="1"/>
  <c r="AP37" i="1" a="1"/>
  <c r="AP37" i="1" s="1"/>
  <c r="I37" i="1" s="1" a="1"/>
  <c r="I37" i="1" s="1"/>
  <c r="AQ61" i="1"/>
  <c r="AS61" i="1" s="1" a="1"/>
  <c r="AS61" i="1" s="1"/>
  <c r="J61" i="1" s="1" a="1"/>
  <c r="J61" i="1" s="1"/>
  <c r="AP61" i="1" a="1"/>
  <c r="AP61" i="1" s="1"/>
  <c r="I61" i="1" s="1" a="1"/>
  <c r="I61" i="1" s="1"/>
  <c r="AQ114" i="1"/>
  <c r="AS114" i="1" s="1" a="1"/>
  <c r="AS114" i="1" s="1"/>
  <c r="J114" i="1" s="1" a="1"/>
  <c r="J114" i="1" s="1"/>
  <c r="AP114" i="1" a="1"/>
  <c r="AP114" i="1" s="1"/>
  <c r="I114" i="1" s="1" a="1"/>
  <c r="I114" i="1" s="1"/>
  <c r="AQ123" i="1"/>
  <c r="AS123" i="1" s="1" a="1"/>
  <c r="AS123" i="1" s="1"/>
  <c r="J123" i="1" s="1" a="1"/>
  <c r="J123" i="1" s="1"/>
  <c r="AP123" i="1" a="1"/>
  <c r="AP123" i="1" s="1"/>
  <c r="I123" i="1" s="1" a="1"/>
  <c r="I123" i="1" s="1"/>
  <c r="AQ135" i="1"/>
  <c r="AS135" i="1" s="1" a="1"/>
  <c r="AS135" i="1" s="1"/>
  <c r="J135" i="1" s="1" a="1"/>
  <c r="J135" i="1" s="1"/>
  <c r="AP135" i="1" a="1"/>
  <c r="AP135" i="1" s="1"/>
  <c r="I135" i="1" s="1" a="1"/>
  <c r="I135" i="1" s="1"/>
  <c r="AW13" i="1"/>
  <c r="AV13" i="1" a="1"/>
  <c r="AV13" i="1" s="1"/>
  <c r="K13" i="1" s="1" a="1"/>
  <c r="K13" i="1" s="1"/>
  <c r="AW73" i="1"/>
  <c r="AV73" i="1" a="1"/>
  <c r="AV73" i="1" s="1"/>
  <c r="K73" i="1" s="1" a="1"/>
  <c r="K73" i="1" s="1"/>
  <c r="AW9" i="1"/>
  <c r="AV9" i="1" a="1"/>
  <c r="AV9" i="1" s="1"/>
  <c r="K9" i="1" s="1" a="1"/>
  <c r="K9" i="1" s="1"/>
  <c r="AW100" i="1"/>
  <c r="AV100" i="1" a="1"/>
  <c r="AV100" i="1" s="1"/>
  <c r="K100" i="1" s="1" a="1"/>
  <c r="K100" i="1" s="1"/>
  <c r="AW8" i="1"/>
  <c r="AV8" i="1" a="1"/>
  <c r="AV8" i="1" s="1"/>
  <c r="K8" i="1" s="1" a="1"/>
  <c r="K8" i="1" s="1"/>
  <c r="AW87" i="1"/>
  <c r="AV87" i="1" a="1"/>
  <c r="AV87" i="1" s="1"/>
  <c r="K87" i="1" s="1" a="1"/>
  <c r="K87" i="1" s="1"/>
  <c r="AW79" i="1"/>
  <c r="AV79" i="1" a="1"/>
  <c r="AV79" i="1" s="1"/>
  <c r="K79" i="1" s="1" a="1"/>
  <c r="K79" i="1" s="1"/>
  <c r="AW62" i="1"/>
  <c r="AV62" i="1" a="1"/>
  <c r="AV62" i="1" s="1"/>
  <c r="K62" i="1" s="1" a="1"/>
  <c r="K62" i="1" s="1"/>
  <c r="AW65" i="1"/>
  <c r="AV65" i="1" a="1"/>
  <c r="AV65" i="1" s="1"/>
  <c r="K65" i="1" s="1" a="1"/>
  <c r="K65" i="1" s="1"/>
  <c r="AW22" i="1"/>
  <c r="AV22" i="1" a="1"/>
  <c r="AV22" i="1" s="1"/>
  <c r="K22" i="1" s="1" a="1"/>
  <c r="K22" i="1" s="1"/>
  <c r="AW124" i="1"/>
  <c r="AV124" i="1" a="1"/>
  <c r="AV124" i="1" s="1"/>
  <c r="K124" i="1" s="1" a="1"/>
  <c r="K124" i="1" s="1"/>
  <c r="AW136" i="1"/>
  <c r="AV136" i="1" a="1"/>
  <c r="AV136" i="1" s="1"/>
  <c r="K136" i="1" s="1" a="1"/>
  <c r="K136" i="1" s="1"/>
  <c r="AW148" i="1"/>
  <c r="AV148" i="1" a="1"/>
  <c r="AV148" i="1" s="1"/>
  <c r="K148" i="1" s="1" a="1"/>
  <c r="K148" i="1" s="1"/>
  <c r="AQ13" i="1"/>
  <c r="AS13" i="1" s="1" a="1"/>
  <c r="AS13" i="1" s="1"/>
  <c r="J13" i="1" s="1" a="1"/>
  <c r="J13" i="1" s="1"/>
  <c r="AP13" i="1" a="1"/>
  <c r="AP13" i="1" s="1"/>
  <c r="I13" i="1" s="1" a="1"/>
  <c r="I13" i="1" s="1"/>
  <c r="AQ73" i="1"/>
  <c r="AS73" i="1" s="1" a="1"/>
  <c r="AS73" i="1" s="1"/>
  <c r="J73" i="1" s="1" a="1"/>
  <c r="J73" i="1" s="1"/>
  <c r="AP73" i="1" a="1"/>
  <c r="AP73" i="1" s="1"/>
  <c r="I73" i="1" s="1" a="1"/>
  <c r="I73" i="1" s="1"/>
  <c r="AQ9" i="1"/>
  <c r="AS9" i="1" s="1" a="1"/>
  <c r="AS9" i="1" s="1"/>
  <c r="J9" i="1" s="1" a="1"/>
  <c r="J9" i="1" s="1"/>
  <c r="AP9" i="1" a="1"/>
  <c r="AP9" i="1" s="1"/>
  <c r="I9" i="1" s="1" a="1"/>
  <c r="I9" i="1" s="1"/>
  <c r="AQ100" i="1"/>
  <c r="AS100" i="1" s="1" a="1"/>
  <c r="AS100" i="1" s="1"/>
  <c r="J100" i="1" s="1" a="1"/>
  <c r="J100" i="1" s="1"/>
  <c r="AP100" i="1" a="1"/>
  <c r="AP100" i="1" s="1"/>
  <c r="I100" i="1" s="1" a="1"/>
  <c r="I100" i="1" s="1"/>
  <c r="AQ8" i="1"/>
  <c r="AS8" i="1" s="1" a="1"/>
  <c r="AS8" i="1" s="1"/>
  <c r="J8" i="1" s="1" a="1"/>
  <c r="J8" i="1" s="1"/>
  <c r="AP8" i="1" a="1"/>
  <c r="AP8" i="1" s="1"/>
  <c r="I8" i="1" s="1" a="1"/>
  <c r="I8" i="1" s="1"/>
  <c r="AQ87" i="1"/>
  <c r="AS87" i="1" s="1" a="1"/>
  <c r="AS87" i="1" s="1"/>
  <c r="J87" i="1" s="1" a="1"/>
  <c r="J87" i="1" s="1"/>
  <c r="AP87" i="1" a="1"/>
  <c r="AP87" i="1" s="1"/>
  <c r="I87" i="1" s="1" a="1"/>
  <c r="I87" i="1" s="1"/>
  <c r="AQ79" i="1"/>
  <c r="AS79" i="1" s="1" a="1"/>
  <c r="AS79" i="1" s="1"/>
  <c r="J79" i="1" s="1" a="1"/>
  <c r="J79" i="1" s="1"/>
  <c r="AP79" i="1" a="1"/>
  <c r="AP79" i="1" s="1"/>
  <c r="I79" i="1" s="1" a="1"/>
  <c r="I79" i="1" s="1"/>
  <c r="AQ62" i="1"/>
  <c r="AS62" i="1" s="1" a="1"/>
  <c r="AS62" i="1" s="1"/>
  <c r="J62" i="1" s="1" a="1"/>
  <c r="J62" i="1" s="1"/>
  <c r="AP62" i="1" a="1"/>
  <c r="AP62" i="1" s="1"/>
  <c r="I62" i="1" s="1" a="1"/>
  <c r="I62" i="1" s="1"/>
  <c r="AQ65" i="1"/>
  <c r="AS65" i="1" s="1" a="1"/>
  <c r="AS65" i="1" s="1"/>
  <c r="J65" i="1" s="1" a="1"/>
  <c r="J65" i="1" s="1"/>
  <c r="AP65" i="1" a="1"/>
  <c r="AP65" i="1" s="1"/>
  <c r="I65" i="1" s="1" a="1"/>
  <c r="I65" i="1" s="1"/>
  <c r="AQ22" i="1"/>
  <c r="AS22" i="1" s="1" a="1"/>
  <c r="AS22" i="1" s="1"/>
  <c r="J22" i="1" s="1" a="1"/>
  <c r="J22" i="1" s="1"/>
  <c r="AP22" i="1" a="1"/>
  <c r="AP22" i="1" s="1"/>
  <c r="I22" i="1" s="1" a="1"/>
  <c r="I22" i="1" s="1"/>
  <c r="AQ124" i="1"/>
  <c r="AS124" i="1" s="1" a="1"/>
  <c r="AS124" i="1" s="1"/>
  <c r="J124" i="1" s="1" a="1"/>
  <c r="J124" i="1" s="1"/>
  <c r="AP124" i="1" a="1"/>
  <c r="AP124" i="1" s="1"/>
  <c r="I124" i="1" s="1" a="1"/>
  <c r="I124" i="1" s="1"/>
  <c r="AQ136" i="1"/>
  <c r="AS136" i="1" s="1" a="1"/>
  <c r="AS136" i="1" s="1"/>
  <c r="J136" i="1" s="1" a="1"/>
  <c r="J136" i="1" s="1"/>
  <c r="AP136" i="1" a="1"/>
  <c r="AP136" i="1" s="1"/>
  <c r="I136" i="1" s="1" a="1"/>
  <c r="I136" i="1" s="1"/>
  <c r="AQ148" i="1"/>
  <c r="AS148" i="1" s="1" a="1"/>
  <c r="AS148" i="1" s="1"/>
  <c r="J148" i="1" s="1" a="1"/>
  <c r="J148" i="1" s="1"/>
  <c r="AP148" i="1" a="1"/>
  <c r="AP148" i="1" s="1"/>
  <c r="I148" i="1" s="1" a="1"/>
  <c r="I148" i="1" s="1"/>
  <c r="AW15" i="1"/>
  <c r="AV15" i="1" a="1"/>
  <c r="AV15" i="1" s="1"/>
  <c r="K15" i="1" s="1" a="1"/>
  <c r="K15" i="1" s="1"/>
  <c r="AW76" i="1"/>
  <c r="AV76" i="1" a="1"/>
  <c r="AV76" i="1" s="1"/>
  <c r="K76" i="1" s="1" a="1"/>
  <c r="K76" i="1" s="1"/>
  <c r="AW108" i="1"/>
  <c r="AV108" i="1" a="1"/>
  <c r="AV108" i="1" s="1"/>
  <c r="K108" i="1" s="1" a="1"/>
  <c r="K108" i="1" s="1"/>
  <c r="AW57" i="1"/>
  <c r="AV57" i="1" a="1"/>
  <c r="AV57" i="1" s="1"/>
  <c r="K57" i="1" s="1" a="1"/>
  <c r="K57" i="1" s="1"/>
  <c r="AW10" i="1"/>
  <c r="AV10" i="1" a="1"/>
  <c r="AV10" i="1" s="1"/>
  <c r="K10" i="1" s="1" a="1"/>
  <c r="K10" i="1" s="1"/>
  <c r="AW94" i="1"/>
  <c r="AV94" i="1" a="1"/>
  <c r="AV94" i="1" s="1"/>
  <c r="K94" i="1" s="1" a="1"/>
  <c r="K94" i="1" s="1"/>
  <c r="AW36" i="1"/>
  <c r="AV36" i="1" a="1"/>
  <c r="AV36" i="1" s="1"/>
  <c r="K36" i="1" s="1" a="1"/>
  <c r="K36" i="1" s="1"/>
  <c r="AW97" i="1"/>
  <c r="AV97" i="1" a="1"/>
  <c r="AV97" i="1" s="1"/>
  <c r="K97" i="1" s="1" a="1"/>
  <c r="K97" i="1" s="1"/>
  <c r="AW70" i="1"/>
  <c r="AV70" i="1" a="1"/>
  <c r="AV70" i="1" s="1"/>
  <c r="K70" i="1" s="1" a="1"/>
  <c r="K70" i="1" s="1"/>
  <c r="AW81" i="1"/>
  <c r="AV81" i="1" a="1"/>
  <c r="AV81" i="1" s="1"/>
  <c r="K81" i="1" s="1" a="1"/>
  <c r="K81" i="1" s="1"/>
  <c r="AW125" i="1"/>
  <c r="AV125" i="1" a="1"/>
  <c r="AV125" i="1" s="1"/>
  <c r="K125" i="1" s="1" a="1"/>
  <c r="K125" i="1" s="1"/>
  <c r="AW137" i="1"/>
  <c r="AV137" i="1" a="1"/>
  <c r="AV137" i="1" s="1"/>
  <c r="K137" i="1" s="1" a="1"/>
  <c r="K137" i="1" s="1"/>
  <c r="AW149" i="1"/>
  <c r="AV149" i="1" a="1"/>
  <c r="AV149" i="1" s="1"/>
  <c r="K149" i="1" s="1" a="1"/>
  <c r="K149" i="1" s="1"/>
  <c r="AQ33" i="1"/>
  <c r="AS33" i="1" s="1" a="1"/>
  <c r="AS33" i="1" s="1"/>
  <c r="J33" i="1" s="1" a="1"/>
  <c r="J33" i="1" s="1"/>
  <c r="AP33" i="1" a="1"/>
  <c r="AP33" i="1" s="1"/>
  <c r="I33" i="1" s="1" a="1"/>
  <c r="I33" i="1" s="1"/>
  <c r="AQ155" i="1"/>
  <c r="AS155" i="1" s="1" a="1"/>
  <c r="AS155" i="1" s="1"/>
  <c r="J155" i="1" s="1" a="1"/>
  <c r="J155" i="1" s="1"/>
  <c r="AP155" i="1" a="1"/>
  <c r="AP155" i="1" s="1"/>
  <c r="I155" i="1" s="1" a="1"/>
  <c r="I155" i="1" s="1"/>
  <c r="AQ45" i="1"/>
  <c r="AS45" i="1" s="1" a="1"/>
  <c r="AS45" i="1" s="1"/>
  <c r="J45" i="1" s="1" a="1"/>
  <c r="J45" i="1" s="1"/>
  <c r="AP45" i="1" a="1"/>
  <c r="AP45" i="1" s="1"/>
  <c r="I45" i="1" s="1" a="1"/>
  <c r="I45" i="1" s="1"/>
  <c r="AQ82" i="1"/>
  <c r="AS82" i="1" s="1" a="1"/>
  <c r="AS82" i="1" s="1"/>
  <c r="J82" i="1" s="1" a="1"/>
  <c r="J82" i="1" s="1"/>
  <c r="AP82" i="1" a="1"/>
  <c r="AP82" i="1" s="1"/>
  <c r="I82" i="1" s="1" a="1"/>
  <c r="I82" i="1" s="1"/>
  <c r="AQ21" i="1"/>
  <c r="AS21" i="1" s="1" a="1"/>
  <c r="AS21" i="1" s="1"/>
  <c r="J21" i="1" s="1" a="1"/>
  <c r="J21" i="1" s="1"/>
  <c r="AP21" i="1" a="1"/>
  <c r="AP21" i="1" s="1"/>
  <c r="I21" i="1" s="1" a="1"/>
  <c r="I21" i="1" s="1"/>
  <c r="AW111" i="1"/>
  <c r="AV111" i="1" a="1"/>
  <c r="AV111" i="1" s="1"/>
  <c r="K111" i="1" s="1" a="1"/>
  <c r="K111" i="1" s="1"/>
  <c r="AW69" i="1"/>
  <c r="AV69" i="1" a="1"/>
  <c r="AV69" i="1" s="1"/>
  <c r="K69" i="1" s="1" a="1"/>
  <c r="K69" i="1" s="1"/>
  <c r="AQ38" i="1"/>
  <c r="AS38" i="1" s="1" a="1"/>
  <c r="AS38" i="1" s="1"/>
  <c r="J38" i="1" s="1" a="1"/>
  <c r="J38" i="1" s="1"/>
  <c r="AP38" i="1" a="1"/>
  <c r="AP38" i="1" s="1"/>
  <c r="I38" i="1" s="1" a="1"/>
  <c r="I38" i="1" s="1"/>
  <c r="AQ142" i="1"/>
  <c r="AS142" i="1" s="1" a="1"/>
  <c r="AS142" i="1" s="1"/>
  <c r="J142" i="1" s="1" a="1"/>
  <c r="J142" i="1" s="1"/>
  <c r="AP142" i="1" a="1"/>
  <c r="AP142" i="1" s="1"/>
  <c r="I142" i="1" s="1" a="1"/>
  <c r="I142" i="1" s="1"/>
  <c r="AQ74" i="1"/>
  <c r="AS74" i="1" s="1" a="1"/>
  <c r="AS74" i="1" s="1"/>
  <c r="J74" i="1" s="1" a="1"/>
  <c r="J74" i="1" s="1"/>
  <c r="AP74" i="1" a="1"/>
  <c r="AP74" i="1" s="1"/>
  <c r="I74" i="1" s="1" a="1"/>
  <c r="I74" i="1" s="1"/>
  <c r="AQ4" i="1"/>
  <c r="AS4" i="1" s="1" a="1"/>
  <c r="AS4" i="1" s="1"/>
  <c r="J4" i="1" s="1" a="1"/>
  <c r="J4" i="1" s="1"/>
  <c r="AP4" i="1" a="1"/>
  <c r="AP4" i="1" s="1"/>
  <c r="I4" i="1" s="1" a="1"/>
  <c r="I4" i="1" s="1"/>
  <c r="AQ120" i="1"/>
  <c r="AS120" i="1" s="1" a="1"/>
  <c r="AS120" i="1" s="1"/>
  <c r="J120" i="1" s="1" a="1"/>
  <c r="J120" i="1" s="1"/>
  <c r="AP120" i="1" a="1"/>
  <c r="AP120" i="1" s="1"/>
  <c r="I120" i="1" s="1" a="1"/>
  <c r="I120" i="1" s="1"/>
  <c r="AQ144" i="1"/>
  <c r="AS144" i="1" s="1" a="1"/>
  <c r="AS144" i="1" s="1"/>
  <c r="J144" i="1" s="1" a="1"/>
  <c r="J144" i="1" s="1"/>
  <c r="AP144" i="1" a="1"/>
  <c r="AP144" i="1" s="1"/>
  <c r="I144" i="1" s="1" a="1"/>
  <c r="I144" i="1" s="1"/>
  <c r="AW83" i="1"/>
  <c r="AV83" i="1" a="1"/>
  <c r="AV83" i="1" s="1"/>
  <c r="K83" i="1" s="1" a="1"/>
  <c r="K83" i="1" s="1"/>
  <c r="AW109" i="1"/>
  <c r="AV109" i="1" a="1"/>
  <c r="AV109" i="1" s="1"/>
  <c r="K109" i="1" s="1" a="1"/>
  <c r="K109" i="1" s="1"/>
  <c r="AW6" i="1"/>
  <c r="AV6" i="1" a="1"/>
  <c r="AV6" i="1" s="1"/>
  <c r="K6" i="1" s="1" a="1"/>
  <c r="K6" i="1" s="1"/>
  <c r="AW91" i="1"/>
  <c r="AV91" i="1" a="1"/>
  <c r="AV91" i="1" s="1"/>
  <c r="K91" i="1" s="1" a="1"/>
  <c r="K91" i="1" s="1"/>
  <c r="AW133" i="1"/>
  <c r="AV133" i="1" a="1"/>
  <c r="AV133" i="1" s="1"/>
  <c r="K133" i="1" s="1" a="1"/>
  <c r="K133" i="1" s="1"/>
  <c r="AW157" i="1"/>
  <c r="AV157" i="1" a="1"/>
  <c r="AV157" i="1" s="1"/>
  <c r="K157" i="1" s="1" a="1"/>
  <c r="K157" i="1" s="1"/>
  <c r="AQ108" i="1"/>
  <c r="AS108" i="1" s="1" a="1"/>
  <c r="AS108" i="1" s="1"/>
  <c r="J108" i="1" s="1" a="1"/>
  <c r="J108" i="1" s="1"/>
  <c r="AP108" i="1" a="1"/>
  <c r="AP108" i="1" s="1"/>
  <c r="I108" i="1" s="1" a="1"/>
  <c r="I108" i="1" s="1"/>
  <c r="AQ81" i="1"/>
  <c r="AS81" i="1" s="1" a="1"/>
  <c r="AS81" i="1" s="1"/>
  <c r="J81" i="1" s="1" a="1"/>
  <c r="J81" i="1" s="1"/>
  <c r="AP81" i="1" a="1"/>
  <c r="AP81" i="1" s="1"/>
  <c r="I81" i="1" s="1" a="1"/>
  <c r="I81" i="1" s="1"/>
  <c r="AW58" i="1"/>
  <c r="AV58" i="1" a="1"/>
  <c r="AV58" i="1" s="1"/>
  <c r="K58" i="1" s="1" a="1"/>
  <c r="K58" i="1" s="1"/>
  <c r="AQ104" i="1"/>
  <c r="AS104" i="1" s="1" a="1"/>
  <c r="AS104" i="1" s="1"/>
  <c r="J104" i="1" s="1" a="1"/>
  <c r="J104" i="1" s="1"/>
  <c r="AP104" i="1" a="1"/>
  <c r="AP104" i="1" s="1"/>
  <c r="I104" i="1" s="1" a="1"/>
  <c r="I104" i="1" s="1"/>
  <c r="AQ107" i="1"/>
  <c r="AS107" i="1" s="1" a="1"/>
  <c r="AS107" i="1" s="1"/>
  <c r="J107" i="1" s="1" a="1"/>
  <c r="J107" i="1" s="1"/>
  <c r="AP107" i="1" a="1"/>
  <c r="AP107" i="1" s="1"/>
  <c r="I107" i="1" s="1" a="1"/>
  <c r="I107" i="1" s="1"/>
  <c r="AQ32" i="1"/>
  <c r="AS32" i="1" s="1" a="1"/>
  <c r="AS32" i="1" s="1"/>
  <c r="J32" i="1" s="1" a="1"/>
  <c r="J32" i="1" s="1"/>
  <c r="AP32" i="1" a="1"/>
  <c r="AP32" i="1" s="1"/>
  <c r="I32" i="1" s="1" a="1"/>
  <c r="I32" i="1" s="1"/>
  <c r="AQ58" i="1"/>
  <c r="AS58" i="1" s="1" a="1"/>
  <c r="AS58" i="1" s="1"/>
  <c r="J58" i="1" s="1" a="1"/>
  <c r="J58" i="1" s="1"/>
  <c r="AP58" i="1" a="1"/>
  <c r="AP58" i="1" s="1"/>
  <c r="I58" i="1" s="1" a="1"/>
  <c r="I58" i="1" s="1"/>
  <c r="AQ42" i="1"/>
  <c r="AS42" i="1" s="1" a="1"/>
  <c r="AS42" i="1" s="1"/>
  <c r="J42" i="1" s="1" a="1"/>
  <c r="J42" i="1" s="1"/>
  <c r="AP42" i="1" a="1"/>
  <c r="AP42" i="1" s="1"/>
  <c r="I42" i="1" s="1" a="1"/>
  <c r="I42" i="1" s="1"/>
  <c r="AQ101" i="1"/>
  <c r="AS101" i="1" s="1" a="1"/>
  <c r="AS101" i="1" s="1"/>
  <c r="J101" i="1" s="1" a="1"/>
  <c r="J101" i="1" s="1"/>
  <c r="AP101" i="1" a="1"/>
  <c r="AP101" i="1" s="1"/>
  <c r="I101" i="1" s="1" a="1"/>
  <c r="I101" i="1" s="1"/>
  <c r="AQ69" i="1"/>
  <c r="AS69" i="1" s="1" a="1"/>
  <c r="AS69" i="1" s="1"/>
  <c r="J69" i="1" s="1" a="1"/>
  <c r="J69" i="1" s="1"/>
  <c r="AP69" i="1" a="1"/>
  <c r="AP69" i="1" s="1"/>
  <c r="I69" i="1" s="1" a="1"/>
  <c r="I69" i="1" s="1"/>
  <c r="AQ18" i="1"/>
  <c r="AS18" i="1" s="1" a="1"/>
  <c r="AS18" i="1" s="1"/>
  <c r="J18" i="1" s="1" a="1"/>
  <c r="J18" i="1" s="1"/>
  <c r="AP18" i="1" a="1"/>
  <c r="AP18" i="1" s="1"/>
  <c r="I18" i="1" s="1" a="1"/>
  <c r="I18" i="1" s="1"/>
  <c r="AQ80" i="1"/>
  <c r="AS80" i="1" s="1" a="1"/>
  <c r="AS80" i="1" s="1"/>
  <c r="J80" i="1" s="1" a="1"/>
  <c r="J80" i="1" s="1"/>
  <c r="AP80" i="1" a="1"/>
  <c r="AP80" i="1" s="1"/>
  <c r="I80" i="1" s="1" a="1"/>
  <c r="I80" i="1" s="1"/>
  <c r="AQ113" i="1"/>
  <c r="AS113" i="1" s="1" a="1"/>
  <c r="AS113" i="1" s="1"/>
  <c r="J113" i="1" s="1" a="1"/>
  <c r="J113" i="1" s="1"/>
  <c r="AP113" i="1" a="1"/>
  <c r="AP113" i="1" s="1"/>
  <c r="I113" i="1" s="1" a="1"/>
  <c r="I113" i="1" s="1"/>
  <c r="AQ126" i="1"/>
  <c r="AS126" i="1" s="1" a="1"/>
  <c r="AS126" i="1" s="1"/>
  <c r="J126" i="1" s="1" a="1"/>
  <c r="J126" i="1" s="1"/>
  <c r="AP126" i="1" a="1"/>
  <c r="AP126" i="1" s="1"/>
  <c r="I126" i="1" s="1" a="1"/>
  <c r="I126" i="1" s="1"/>
  <c r="AQ138" i="1"/>
  <c r="AS138" i="1" s="1" a="1"/>
  <c r="AS138" i="1" s="1"/>
  <c r="J138" i="1" s="1" a="1"/>
  <c r="J138" i="1" s="1"/>
  <c r="AP138" i="1" a="1"/>
  <c r="AP138" i="1" s="1"/>
  <c r="I138" i="1" s="1" a="1"/>
  <c r="I138" i="1" s="1"/>
  <c r="AQ150" i="1"/>
  <c r="AS150" i="1" s="1" a="1"/>
  <c r="AS150" i="1" s="1"/>
  <c r="J150" i="1" s="1" a="1"/>
  <c r="J150" i="1" s="1"/>
  <c r="AP150" i="1" a="1"/>
  <c r="AP150" i="1" s="1"/>
  <c r="I150" i="1" s="1" a="1"/>
  <c r="I150" i="1" s="1"/>
  <c r="AW17" i="1"/>
  <c r="AV17" i="1" a="1"/>
  <c r="AV17" i="1" s="1"/>
  <c r="K17" i="1" s="1" a="1"/>
  <c r="K17" i="1" s="1"/>
  <c r="AW24" i="1"/>
  <c r="AV24" i="1" a="1"/>
  <c r="AV24" i="1" s="1"/>
  <c r="K24" i="1" s="1" a="1"/>
  <c r="K24" i="1" s="1"/>
  <c r="AW34" i="1"/>
  <c r="AV34" i="1" a="1"/>
  <c r="AV34" i="1" s="1"/>
  <c r="K34" i="1" s="1" a="1"/>
  <c r="K34" i="1" s="1"/>
  <c r="AW59" i="1"/>
  <c r="AV59" i="1" a="1"/>
  <c r="AV59" i="1" s="1"/>
  <c r="K59" i="1" s="1" a="1"/>
  <c r="K59" i="1" s="1"/>
  <c r="AW43" i="1"/>
  <c r="AV43" i="1" a="1"/>
  <c r="AV43" i="1" s="1"/>
  <c r="K43" i="1" s="1" a="1"/>
  <c r="K43" i="1" s="1"/>
  <c r="AW40" i="1"/>
  <c r="AV40" i="1" a="1"/>
  <c r="AV40" i="1" s="1"/>
  <c r="K40" i="1" s="1" a="1"/>
  <c r="K40" i="1" s="1"/>
  <c r="AW53" i="1"/>
  <c r="AV53" i="1" a="1"/>
  <c r="AV53" i="1" s="1"/>
  <c r="K53" i="1" s="1" a="1"/>
  <c r="K53" i="1" s="1"/>
  <c r="AW46" i="1"/>
  <c r="AV46" i="1" a="1"/>
  <c r="AV46" i="1" s="1"/>
  <c r="K46" i="1" s="1" a="1"/>
  <c r="K46" i="1" s="1"/>
  <c r="AW103" i="1"/>
  <c r="AV103" i="1" a="1"/>
  <c r="AV103" i="1" s="1"/>
  <c r="K103" i="1" s="1" a="1"/>
  <c r="K103" i="1" s="1"/>
  <c r="AW115" i="1"/>
  <c r="AV115" i="1" a="1"/>
  <c r="AV115" i="1" s="1"/>
  <c r="K115" i="1" s="1" a="1"/>
  <c r="K115" i="1" s="1"/>
  <c r="AW127" i="1"/>
  <c r="AV127" i="1" a="1"/>
  <c r="AV127" i="1" s="1"/>
  <c r="K127" i="1" s="1" a="1"/>
  <c r="K127" i="1" s="1"/>
  <c r="AW139" i="1"/>
  <c r="AV139" i="1" a="1"/>
  <c r="AV139" i="1" s="1"/>
  <c r="K139" i="1" s="1" a="1"/>
  <c r="K139" i="1" s="1"/>
  <c r="AW151" i="1"/>
  <c r="AV151" i="1" a="1"/>
  <c r="AV151" i="1" s="1"/>
  <c r="K151" i="1" s="1" a="1"/>
  <c r="K151" i="1" s="1"/>
  <c r="AQ11" i="1"/>
  <c r="AS11" i="1" s="1" a="1"/>
  <c r="AS11" i="1" s="1"/>
  <c r="J11" i="1" s="1" a="1"/>
  <c r="J11" i="1" s="1"/>
  <c r="AP11" i="1" a="1"/>
  <c r="AP11" i="1" s="1"/>
  <c r="I11" i="1" s="1" a="1"/>
  <c r="I11" i="1" s="1"/>
  <c r="AQ7" i="1"/>
  <c r="AS7" i="1" s="1" a="1"/>
  <c r="AS7" i="1" s="1"/>
  <c r="J7" i="1" s="1" a="1"/>
  <c r="J7" i="1" s="1"/>
  <c r="AP7" i="1" a="1"/>
  <c r="AP7" i="1" s="1"/>
  <c r="I7" i="1" s="1" a="1"/>
  <c r="I7" i="1" s="1"/>
  <c r="AQ76" i="1"/>
  <c r="AS76" i="1" s="1" a="1"/>
  <c r="AS76" i="1" s="1"/>
  <c r="J76" i="1" s="1" a="1"/>
  <c r="J76" i="1" s="1"/>
  <c r="AP76" i="1" a="1"/>
  <c r="AP76" i="1" s="1"/>
  <c r="I76" i="1" s="1" a="1"/>
  <c r="I76" i="1" s="1"/>
  <c r="AQ34" i="1"/>
  <c r="AS34" i="1" s="1" a="1"/>
  <c r="AS34" i="1" s="1"/>
  <c r="J34" i="1" s="1" a="1"/>
  <c r="J34" i="1" s="1"/>
  <c r="AP34" i="1" a="1"/>
  <c r="AP34" i="1" s="1"/>
  <c r="I34" i="1" s="1" a="1"/>
  <c r="I34" i="1" s="1"/>
  <c r="AW41" i="1"/>
  <c r="AV41" i="1" a="1"/>
  <c r="AV41" i="1" s="1"/>
  <c r="K41" i="1" s="1" a="1"/>
  <c r="K41" i="1" s="1"/>
  <c r="AW140" i="1"/>
  <c r="AV140" i="1" a="1"/>
  <c r="AV140" i="1" s="1"/>
  <c r="K140" i="1" s="1" a="1"/>
  <c r="K140" i="1" s="1"/>
  <c r="AQ39" i="1"/>
  <c r="AS39" i="1" s="1" a="1"/>
  <c r="AS39" i="1" s="1"/>
  <c r="J39" i="1" s="1" a="1"/>
  <c r="J39" i="1" s="1"/>
  <c r="AP39" i="1" a="1"/>
  <c r="AP39" i="1" s="1"/>
  <c r="I39" i="1" s="1" a="1"/>
  <c r="I39" i="1" s="1"/>
  <c r="AQ102" i="1"/>
  <c r="AS102" i="1" s="1" a="1"/>
  <c r="AS102" i="1" s="1"/>
  <c r="J102" i="1" s="1" a="1"/>
  <c r="J102" i="1" s="1"/>
  <c r="AP102" i="1" a="1"/>
  <c r="AP102" i="1" s="1"/>
  <c r="I102" i="1" s="1" a="1"/>
  <c r="I102" i="1" s="1"/>
  <c r="AQ118" i="1"/>
  <c r="AS118" i="1" s="1" a="1"/>
  <c r="AS118" i="1" s="1"/>
  <c r="J118" i="1" s="1" a="1"/>
  <c r="J118" i="1" s="1"/>
  <c r="AP118" i="1" a="1"/>
  <c r="AP118" i="1" s="1"/>
  <c r="I118" i="1" s="1" a="1"/>
  <c r="I118" i="1" s="1"/>
  <c r="AQ110" i="1"/>
  <c r="AS110" i="1" s="1" a="1"/>
  <c r="AS110" i="1" s="1"/>
  <c r="J110" i="1" s="1" a="1"/>
  <c r="J110" i="1" s="1"/>
  <c r="AP110" i="1" a="1"/>
  <c r="AP110" i="1" s="1"/>
  <c r="I110" i="1" s="1" a="1"/>
  <c r="I110" i="1" s="1"/>
  <c r="AQ75" i="1"/>
  <c r="AS75" i="1" s="1" a="1"/>
  <c r="AS75" i="1" s="1"/>
  <c r="J75" i="1" s="1" a="1"/>
  <c r="J75" i="1" s="1"/>
  <c r="AP75" i="1" a="1"/>
  <c r="AP75" i="1" s="1"/>
  <c r="I75" i="1" s="1" a="1"/>
  <c r="I75" i="1" s="1"/>
  <c r="AQ16" i="1"/>
  <c r="AS16" i="1" s="1" a="1"/>
  <c r="AS16" i="1" s="1"/>
  <c r="J16" i="1" s="1" a="1"/>
  <c r="J16" i="1" s="1"/>
  <c r="AP16" i="1" a="1"/>
  <c r="AP16" i="1" s="1"/>
  <c r="I16" i="1" s="1" a="1"/>
  <c r="I16" i="1" s="1"/>
  <c r="AQ132" i="1"/>
  <c r="AS132" i="1" s="1" a="1"/>
  <c r="AS132" i="1" s="1"/>
  <c r="J132" i="1" s="1" a="1"/>
  <c r="J132" i="1" s="1"/>
  <c r="AP132" i="1" a="1"/>
  <c r="AP132" i="1" s="1"/>
  <c r="I132" i="1" s="1" a="1"/>
  <c r="I132" i="1" s="1"/>
  <c r="AQ156" i="1"/>
  <c r="AS156" i="1" s="1" a="1"/>
  <c r="AS156" i="1" s="1"/>
  <c r="J156" i="1" s="1" a="1"/>
  <c r="J156" i="1" s="1"/>
  <c r="AP156" i="1" a="1"/>
  <c r="AP156" i="1" s="1"/>
  <c r="I156" i="1" s="1" a="1"/>
  <c r="I156" i="1" s="1"/>
  <c r="AW77" i="1"/>
  <c r="AV77" i="1" a="1"/>
  <c r="AV77" i="1" s="1"/>
  <c r="K77" i="1" s="1" a="1"/>
  <c r="K77" i="1" s="1"/>
  <c r="AW84" i="1"/>
  <c r="AV84" i="1" a="1"/>
  <c r="AV84" i="1" s="1"/>
  <c r="K84" i="1" s="1" a="1"/>
  <c r="K84" i="1" s="1"/>
  <c r="AW19" i="1"/>
  <c r="AV19" i="1" a="1"/>
  <c r="AV19" i="1" s="1"/>
  <c r="K19" i="1" s="1" a="1"/>
  <c r="K19" i="1" s="1"/>
  <c r="AW121" i="1"/>
  <c r="AV121" i="1" a="1"/>
  <c r="AV121" i="1" s="1"/>
  <c r="K121" i="1" s="1" a="1"/>
  <c r="K121" i="1" s="1"/>
  <c r="AW145" i="1"/>
  <c r="AV145" i="1" a="1"/>
  <c r="AV145" i="1" s="1"/>
  <c r="K145" i="1" s="1" a="1"/>
  <c r="K145" i="1" s="1"/>
  <c r="AQ70" i="1"/>
  <c r="AS70" i="1" s="1" a="1"/>
  <c r="AS70" i="1" s="1"/>
  <c r="J70" i="1" s="1" a="1"/>
  <c r="J70" i="1" s="1"/>
  <c r="AP70" i="1" a="1"/>
  <c r="AP70" i="1" s="1"/>
  <c r="I70" i="1" s="1" a="1"/>
  <c r="I70" i="1" s="1"/>
  <c r="AQ17" i="1"/>
  <c r="AS17" i="1" s="1" a="1"/>
  <c r="AS17" i="1" s="1"/>
  <c r="J17" i="1" s="1" a="1"/>
  <c r="J17" i="1" s="1"/>
  <c r="AP17" i="1" a="1"/>
  <c r="AP17" i="1" s="1"/>
  <c r="I17" i="1" s="1" a="1"/>
  <c r="I17" i="1" s="1"/>
  <c r="AQ24" i="1"/>
  <c r="AS24" i="1" s="1" a="1"/>
  <c r="AS24" i="1" s="1"/>
  <c r="J24" i="1" s="1" a="1"/>
  <c r="J24" i="1" s="1"/>
  <c r="AP24" i="1" a="1"/>
  <c r="AP24" i="1" s="1"/>
  <c r="I24" i="1" s="1" a="1"/>
  <c r="I24" i="1" s="1"/>
  <c r="AQ59" i="1"/>
  <c r="AS59" i="1" s="1" a="1"/>
  <c r="AS59" i="1" s="1"/>
  <c r="J59" i="1" s="1" a="1"/>
  <c r="J59" i="1" s="1"/>
  <c r="AP59" i="1" a="1"/>
  <c r="AP59" i="1" s="1"/>
  <c r="I59" i="1" s="1" a="1"/>
  <c r="I59" i="1" s="1"/>
  <c r="AQ43" i="1"/>
  <c r="AS43" i="1" s="1" a="1"/>
  <c r="AS43" i="1" s="1"/>
  <c r="J43" i="1" s="1" a="1"/>
  <c r="J43" i="1" s="1"/>
  <c r="AP43" i="1" a="1"/>
  <c r="AP43" i="1" s="1"/>
  <c r="I43" i="1" s="1" a="1"/>
  <c r="I43" i="1" s="1"/>
  <c r="AQ40" i="1"/>
  <c r="AS40" i="1" s="1" a="1"/>
  <c r="AS40" i="1" s="1"/>
  <c r="J40" i="1" s="1" a="1"/>
  <c r="J40" i="1" s="1"/>
  <c r="AP40" i="1" a="1"/>
  <c r="AP40" i="1" s="1"/>
  <c r="I40" i="1" s="1" a="1"/>
  <c r="I40" i="1" s="1"/>
  <c r="AQ53" i="1"/>
  <c r="AS53" i="1" s="1" a="1"/>
  <c r="AS53" i="1" s="1"/>
  <c r="J53" i="1" s="1" a="1"/>
  <c r="J53" i="1" s="1"/>
  <c r="AP53" i="1" a="1"/>
  <c r="AP53" i="1" s="1"/>
  <c r="I53" i="1" s="1" a="1"/>
  <c r="I53" i="1" s="1"/>
  <c r="AQ46" i="1"/>
  <c r="AS46" i="1" s="1" a="1"/>
  <c r="AS46" i="1" s="1"/>
  <c r="J46" i="1" s="1" a="1"/>
  <c r="J46" i="1" s="1"/>
  <c r="AP46" i="1" a="1"/>
  <c r="AP46" i="1" s="1"/>
  <c r="I46" i="1" s="1" a="1"/>
  <c r="I46" i="1" s="1"/>
  <c r="AQ103" i="1"/>
  <c r="AS103" i="1" s="1" a="1"/>
  <c r="AS103" i="1" s="1"/>
  <c r="J103" i="1" s="1" a="1"/>
  <c r="J103" i="1" s="1"/>
  <c r="AP103" i="1" a="1"/>
  <c r="AP103" i="1" s="1"/>
  <c r="I103" i="1" s="1" a="1"/>
  <c r="I103" i="1" s="1"/>
  <c r="AQ115" i="1"/>
  <c r="AS115" i="1" s="1" a="1"/>
  <c r="AS115" i="1" s="1"/>
  <c r="J115" i="1" s="1" a="1"/>
  <c r="J115" i="1" s="1"/>
  <c r="AP115" i="1" a="1"/>
  <c r="AP115" i="1" s="1"/>
  <c r="I115" i="1" s="1" a="1"/>
  <c r="I115" i="1" s="1"/>
  <c r="AQ127" i="1"/>
  <c r="AS127" i="1" s="1" a="1"/>
  <c r="AS127" i="1" s="1"/>
  <c r="J127" i="1" s="1" a="1"/>
  <c r="J127" i="1" s="1"/>
  <c r="AP127" i="1" a="1"/>
  <c r="AP127" i="1" s="1"/>
  <c r="I127" i="1" s="1" a="1"/>
  <c r="I127" i="1" s="1"/>
  <c r="AQ139" i="1"/>
  <c r="AS139" i="1" s="1" a="1"/>
  <c r="AS139" i="1" s="1"/>
  <c r="J139" i="1" s="1" a="1"/>
  <c r="J139" i="1" s="1"/>
  <c r="AP139" i="1" a="1"/>
  <c r="AP139" i="1" s="1"/>
  <c r="I139" i="1" s="1" a="1"/>
  <c r="I139" i="1" s="1"/>
  <c r="AQ151" i="1"/>
  <c r="AS151" i="1" s="1" a="1"/>
  <c r="AS151" i="1" s="1"/>
  <c r="J151" i="1" s="1" a="1"/>
  <c r="J151" i="1" s="1"/>
  <c r="AP151" i="1" a="1"/>
  <c r="AP151" i="1" s="1"/>
  <c r="I151" i="1" s="1" a="1"/>
  <c r="I151" i="1" s="1"/>
  <c r="AW28" i="1"/>
  <c r="AV28" i="1" a="1"/>
  <c r="AV28" i="1" s="1"/>
  <c r="K28" i="1" s="1" a="1"/>
  <c r="K28" i="1" s="1"/>
  <c r="AW56" i="1"/>
  <c r="AV56" i="1" a="1"/>
  <c r="AV56" i="1" s="1"/>
  <c r="K56" i="1" s="1" a="1"/>
  <c r="K56" i="1" s="1"/>
  <c r="AW60" i="1"/>
  <c r="AV60" i="1" a="1"/>
  <c r="AV60" i="1" s="1"/>
  <c r="K60" i="1" s="1" a="1"/>
  <c r="K60" i="1" s="1"/>
  <c r="AW44" i="1"/>
  <c r="AV44" i="1" a="1"/>
  <c r="AV44" i="1" s="1"/>
  <c r="K44" i="1" s="1" a="1"/>
  <c r="K44" i="1" s="1"/>
  <c r="AW48" i="1"/>
  <c r="AV48" i="1" a="1"/>
  <c r="AV48" i="1" s="1"/>
  <c r="K48" i="1" s="1" a="1"/>
  <c r="K48" i="1" s="1"/>
  <c r="AW95" i="1"/>
  <c r="AV95" i="1" a="1"/>
  <c r="AV95" i="1" s="1"/>
  <c r="K95" i="1" s="1" a="1"/>
  <c r="K95" i="1" s="1"/>
  <c r="AW50" i="1"/>
  <c r="AV50" i="1" a="1"/>
  <c r="AV50" i="1" s="1"/>
  <c r="K50" i="1" s="1" a="1"/>
  <c r="K50" i="1" s="1"/>
  <c r="AW105" i="1"/>
  <c r="AV105" i="1" a="1"/>
  <c r="AV105" i="1" s="1"/>
  <c r="K105" i="1" s="1" a="1"/>
  <c r="K105" i="1" s="1"/>
  <c r="AW116" i="1"/>
  <c r="AV116" i="1" a="1"/>
  <c r="AV116" i="1" s="1"/>
  <c r="K116" i="1" s="1" a="1"/>
  <c r="K116" i="1" s="1"/>
  <c r="AW129" i="1"/>
  <c r="AV129" i="1" a="1"/>
  <c r="AV129" i="1" s="1"/>
  <c r="K129" i="1" s="1" a="1"/>
  <c r="K129" i="1" s="1"/>
  <c r="AW152" i="1"/>
  <c r="AV152" i="1" a="1"/>
  <c r="AV152" i="1" s="1"/>
  <c r="K152" i="1" s="1" a="1"/>
  <c r="K152" i="1" s="1"/>
  <c r="AQ41" i="1"/>
  <c r="AS41" i="1" s="1" a="1"/>
  <c r="AS41" i="1" s="1"/>
  <c r="J41" i="1" s="1" a="1"/>
  <c r="J41" i="1" s="1"/>
  <c r="AP41" i="1" a="1"/>
  <c r="AP41" i="1" s="1"/>
  <c r="I41" i="1" s="1" a="1"/>
  <c r="I41" i="1" s="1"/>
  <c r="AQ28" i="1"/>
  <c r="AS28" i="1" s="1" a="1"/>
  <c r="AS28" i="1" s="1"/>
  <c r="J28" i="1" s="1" a="1"/>
  <c r="J28" i="1" s="1"/>
  <c r="AP28" i="1" a="1"/>
  <c r="AP28" i="1" s="1"/>
  <c r="I28" i="1" s="1" a="1"/>
  <c r="I28" i="1" s="1"/>
  <c r="AQ56" i="1"/>
  <c r="AS56" i="1" s="1" a="1"/>
  <c r="AS56" i="1" s="1"/>
  <c r="J56" i="1" s="1" a="1"/>
  <c r="J56" i="1" s="1"/>
  <c r="AP56" i="1" a="1"/>
  <c r="AP56" i="1" s="1"/>
  <c r="I56" i="1" s="1" a="1"/>
  <c r="I56" i="1" s="1"/>
  <c r="AQ60" i="1"/>
  <c r="AS60" i="1" s="1" a="1"/>
  <c r="AS60" i="1" s="1"/>
  <c r="J60" i="1" s="1" a="1"/>
  <c r="J60" i="1" s="1"/>
  <c r="AP60" i="1" a="1"/>
  <c r="AP60" i="1" s="1"/>
  <c r="I60" i="1" s="1" a="1"/>
  <c r="I60" i="1" s="1"/>
  <c r="AQ44" i="1"/>
  <c r="AS44" i="1" s="1" a="1"/>
  <c r="AS44" i="1" s="1"/>
  <c r="J44" i="1" s="1" a="1"/>
  <c r="J44" i="1" s="1"/>
  <c r="AP44" i="1" a="1"/>
  <c r="AP44" i="1" s="1"/>
  <c r="I44" i="1" s="1" a="1"/>
  <c r="I44" i="1" s="1"/>
  <c r="AQ48" i="1"/>
  <c r="AS48" i="1" s="1" a="1"/>
  <c r="AS48" i="1" s="1"/>
  <c r="J48" i="1" s="1" a="1"/>
  <c r="J48" i="1" s="1"/>
  <c r="AP48" i="1" a="1"/>
  <c r="AP48" i="1" s="1"/>
  <c r="I48" i="1" s="1" a="1"/>
  <c r="I48" i="1" s="1"/>
  <c r="AQ95" i="1"/>
  <c r="AS95" i="1" s="1" a="1"/>
  <c r="AS95" i="1" s="1"/>
  <c r="J95" i="1" s="1" a="1"/>
  <c r="J95" i="1" s="1"/>
  <c r="AP95" i="1" a="1"/>
  <c r="AP95" i="1" s="1"/>
  <c r="I95" i="1" s="1" a="1"/>
  <c r="I95" i="1" s="1"/>
  <c r="AQ50" i="1"/>
  <c r="AS50" i="1" s="1" a="1"/>
  <c r="AS50" i="1" s="1"/>
  <c r="J50" i="1" s="1" a="1"/>
  <c r="J50" i="1" s="1"/>
  <c r="AP50" i="1" a="1"/>
  <c r="AP50" i="1" s="1"/>
  <c r="I50" i="1" s="1" a="1"/>
  <c r="I50" i="1" s="1"/>
  <c r="AQ105" i="1"/>
  <c r="AS105" i="1" s="1" a="1"/>
  <c r="AS105" i="1" s="1"/>
  <c r="J105" i="1" s="1" a="1"/>
  <c r="J105" i="1" s="1"/>
  <c r="AP105" i="1" a="1"/>
  <c r="AP105" i="1" s="1"/>
  <c r="I105" i="1" s="1" a="1"/>
  <c r="I105" i="1" s="1"/>
  <c r="AQ116" i="1"/>
  <c r="AS116" i="1" s="1" a="1"/>
  <c r="AS116" i="1" s="1"/>
  <c r="J116" i="1" s="1" a="1"/>
  <c r="J116" i="1" s="1"/>
  <c r="AP116" i="1" a="1"/>
  <c r="AP116" i="1" s="1"/>
  <c r="I116" i="1" s="1" a="1"/>
  <c r="I116" i="1" s="1"/>
  <c r="AQ129" i="1"/>
  <c r="AS129" i="1" s="1" a="1"/>
  <c r="AS129" i="1" s="1"/>
  <c r="J129" i="1" s="1" a="1"/>
  <c r="J129" i="1" s="1"/>
  <c r="AP129" i="1" a="1"/>
  <c r="AP129" i="1" s="1"/>
  <c r="I129" i="1" s="1" a="1"/>
  <c r="I129" i="1" s="1"/>
  <c r="AQ140" i="1"/>
  <c r="AS140" i="1" s="1" a="1"/>
  <c r="AS140" i="1" s="1"/>
  <c r="J140" i="1" s="1" a="1"/>
  <c r="J140" i="1" s="1"/>
  <c r="AP140" i="1" a="1"/>
  <c r="AP140" i="1" s="1"/>
  <c r="I140" i="1" s="1" a="1"/>
  <c r="I140" i="1" s="1"/>
  <c r="AQ152" i="1"/>
  <c r="AS152" i="1" s="1" a="1"/>
  <c r="AS152" i="1" s="1"/>
  <c r="J152" i="1" s="1" a="1"/>
  <c r="J152" i="1" s="1"/>
  <c r="AP152" i="1" a="1"/>
  <c r="AP152" i="1" s="1"/>
  <c r="I152" i="1" s="1" a="1"/>
  <c r="I152" i="1" s="1"/>
  <c r="AW29" i="1"/>
  <c r="AV29" i="1" a="1"/>
  <c r="AV29" i="1" s="1"/>
  <c r="K29" i="1" s="1" a="1"/>
  <c r="K29" i="1" s="1"/>
  <c r="AW30" i="1"/>
  <c r="AV30" i="1" a="1"/>
  <c r="AV30" i="1" s="1"/>
  <c r="K30" i="1" s="1" a="1"/>
  <c r="K30" i="1" s="1"/>
  <c r="AW27" i="1"/>
  <c r="AV27" i="1" a="1"/>
  <c r="AV27" i="1" s="1"/>
  <c r="K27" i="1" s="1" a="1"/>
  <c r="K27" i="1" s="1"/>
  <c r="AW89" i="1"/>
  <c r="AV89" i="1" a="1"/>
  <c r="AV89" i="1" s="1"/>
  <c r="K89" i="1" s="1" a="1"/>
  <c r="K89" i="1" s="1"/>
  <c r="AW66" i="1"/>
  <c r="AV66" i="1" a="1"/>
  <c r="AV66" i="1" s="1"/>
  <c r="K66" i="1" s="1" a="1"/>
  <c r="K66" i="1" s="1"/>
  <c r="AW49" i="1"/>
  <c r="AV49" i="1" a="1"/>
  <c r="AV49" i="1" s="1"/>
  <c r="K49" i="1" s="1" a="1"/>
  <c r="K49" i="1" s="1"/>
  <c r="AW96" i="1"/>
  <c r="AV96" i="1" a="1"/>
  <c r="AV96" i="1" s="1"/>
  <c r="K96" i="1" s="1" a="1"/>
  <c r="K96" i="1" s="1"/>
  <c r="AW55" i="1"/>
  <c r="AV55" i="1" a="1"/>
  <c r="AV55" i="1" s="1"/>
  <c r="K55" i="1" s="1" a="1"/>
  <c r="K55" i="1" s="1"/>
  <c r="AW106" i="1"/>
  <c r="AV106" i="1" a="1"/>
  <c r="AV106" i="1" s="1"/>
  <c r="K106" i="1" s="1" a="1"/>
  <c r="K106" i="1" s="1"/>
  <c r="AW117" i="1"/>
  <c r="AV117" i="1" a="1"/>
  <c r="AV117" i="1" s="1"/>
  <c r="K117" i="1" s="1" a="1"/>
  <c r="K117" i="1" s="1"/>
  <c r="AW128" i="1"/>
  <c r="AV128" i="1" a="1"/>
  <c r="AV128" i="1" s="1"/>
  <c r="K128" i="1" s="1" a="1"/>
  <c r="K128" i="1" s="1"/>
  <c r="AW141" i="1"/>
  <c r="AV141" i="1" a="1"/>
  <c r="AV141" i="1" s="1"/>
  <c r="K141" i="1" s="1" a="1"/>
  <c r="K141" i="1" s="1"/>
  <c r="AW154" i="1"/>
  <c r="AV154" i="1" a="1"/>
  <c r="AV154" i="1" s="1"/>
  <c r="K154" i="1" s="1" a="1"/>
  <c r="K154" i="1" s="1"/>
  <c r="AQ57" i="1"/>
  <c r="AS57" i="1" s="1" a="1"/>
  <c r="AS57" i="1" s="1"/>
  <c r="J57" i="1" s="1" a="1"/>
  <c r="J57" i="1" s="1"/>
  <c r="AP57" i="1" a="1"/>
  <c r="AP57" i="1" s="1"/>
  <c r="I57" i="1" s="1" a="1"/>
  <c r="I57" i="1" s="1"/>
  <c r="AQ36" i="1"/>
  <c r="AS36" i="1" s="1" a="1"/>
  <c r="AS36" i="1" s="1"/>
  <c r="J36" i="1" s="1" a="1"/>
  <c r="J36" i="1" s="1"/>
  <c r="AP36" i="1" a="1"/>
  <c r="AP36" i="1" s="1"/>
  <c r="I36" i="1" s="1" a="1"/>
  <c r="I36" i="1" s="1"/>
  <c r="AQ125" i="1"/>
  <c r="AS125" i="1" s="1" a="1"/>
  <c r="AS125" i="1" s="1"/>
  <c r="J125" i="1" s="1" a="1"/>
  <c r="J125" i="1" s="1"/>
  <c r="AP125" i="1" a="1"/>
  <c r="AP125" i="1" s="1"/>
  <c r="I125" i="1" s="1" a="1"/>
  <c r="I125" i="1" s="1"/>
  <c r="AQ137" i="1"/>
  <c r="AS137" i="1" s="1" a="1"/>
  <c r="AS137" i="1" s="1"/>
  <c r="J137" i="1" s="1" a="1"/>
  <c r="J137" i="1" s="1"/>
  <c r="AP137" i="1" a="1"/>
  <c r="AP137" i="1" s="1"/>
  <c r="I137" i="1" s="1" a="1"/>
  <c r="I137" i="1" s="1"/>
  <c r="AQ149" i="1"/>
  <c r="AS149" i="1" s="1" a="1"/>
  <c r="AS149" i="1" s="1"/>
  <c r="J149" i="1" s="1" a="1"/>
  <c r="J149" i="1" s="1"/>
  <c r="AP149" i="1" a="1"/>
  <c r="AP149" i="1" s="1"/>
  <c r="I149" i="1" s="1" a="1"/>
  <c r="I149" i="1" s="1"/>
  <c r="AW107" i="1"/>
  <c r="AV107" i="1" a="1"/>
  <c r="AV107" i="1" s="1"/>
  <c r="K107" i="1" s="1" a="1"/>
  <c r="K107" i="1" s="1"/>
  <c r="AW32" i="1"/>
  <c r="AV32" i="1" a="1"/>
  <c r="AV32" i="1" s="1"/>
  <c r="K32" i="1" s="1" a="1"/>
  <c r="K32" i="1" s="1"/>
  <c r="AW42" i="1"/>
  <c r="AV42" i="1" a="1"/>
  <c r="AV42" i="1" s="1"/>
  <c r="K42" i="1" s="1" a="1"/>
  <c r="K42" i="1" s="1"/>
  <c r="AW101" i="1"/>
  <c r="AV101" i="1" a="1"/>
  <c r="AV101" i="1" s="1"/>
  <c r="K101" i="1" s="1" a="1"/>
  <c r="K101" i="1" s="1"/>
  <c r="AW18" i="1"/>
  <c r="AV18" i="1" a="1"/>
  <c r="AV18" i="1" s="1"/>
  <c r="K18" i="1" s="1" a="1"/>
  <c r="K18" i="1" s="1"/>
  <c r="AW80" i="1"/>
  <c r="AV80" i="1" a="1"/>
  <c r="AV80" i="1" s="1"/>
  <c r="K80" i="1" s="1" a="1"/>
  <c r="K80" i="1" s="1"/>
  <c r="AW113" i="1"/>
  <c r="AV113" i="1" a="1"/>
  <c r="AV113" i="1" s="1"/>
  <c r="K113" i="1" s="1" a="1"/>
  <c r="K113" i="1" s="1"/>
  <c r="AW126" i="1"/>
  <c r="AV126" i="1" a="1"/>
  <c r="AV126" i="1" s="1"/>
  <c r="K126" i="1" s="1" a="1"/>
  <c r="K126" i="1" s="1"/>
  <c r="AW138" i="1"/>
  <c r="AV138" i="1" a="1"/>
  <c r="AV138" i="1" s="1"/>
  <c r="K138" i="1" s="1" a="1"/>
  <c r="K138" i="1" s="1"/>
  <c r="AW150" i="1"/>
  <c r="AV150" i="1" a="1"/>
  <c r="AV150" i="1" s="1"/>
  <c r="K150" i="1" s="1" a="1"/>
  <c r="K150" i="1" s="1"/>
  <c r="AQ29" i="1"/>
  <c r="AS29" i="1" s="1" a="1"/>
  <c r="AS29" i="1" s="1"/>
  <c r="J29" i="1" s="1" a="1"/>
  <c r="J29" i="1" s="1"/>
  <c r="AP29" i="1" a="1"/>
  <c r="AP29" i="1" s="1"/>
  <c r="I29" i="1" s="1" a="1"/>
  <c r="I29" i="1" s="1"/>
  <c r="AQ30" i="1"/>
  <c r="AS30" i="1" s="1" a="1"/>
  <c r="AS30" i="1" s="1"/>
  <c r="J30" i="1" s="1" a="1"/>
  <c r="J30" i="1" s="1"/>
  <c r="AP30" i="1" a="1"/>
  <c r="AP30" i="1" s="1"/>
  <c r="I30" i="1" s="1" a="1"/>
  <c r="I30" i="1" s="1"/>
  <c r="AQ27" i="1"/>
  <c r="AS27" i="1" s="1" a="1"/>
  <c r="AS27" i="1" s="1"/>
  <c r="J27" i="1" s="1" a="1"/>
  <c r="J27" i="1" s="1"/>
  <c r="AP27" i="1" a="1"/>
  <c r="AP27" i="1" s="1"/>
  <c r="I27" i="1" s="1" a="1"/>
  <c r="I27" i="1" s="1"/>
  <c r="AQ89" i="1"/>
  <c r="AS89" i="1" s="1" a="1"/>
  <c r="AS89" i="1" s="1"/>
  <c r="J89" i="1" s="1" a="1"/>
  <c r="J89" i="1" s="1"/>
  <c r="AP89" i="1" a="1"/>
  <c r="AP89" i="1" s="1"/>
  <c r="I89" i="1" s="1" a="1"/>
  <c r="I89" i="1" s="1"/>
  <c r="AQ66" i="1"/>
  <c r="AS66" i="1" s="1" a="1"/>
  <c r="AS66" i="1" s="1"/>
  <c r="J66" i="1" s="1" a="1"/>
  <c r="J66" i="1" s="1"/>
  <c r="AP66" i="1" a="1"/>
  <c r="AP66" i="1" s="1"/>
  <c r="I66" i="1" s="1" a="1"/>
  <c r="I66" i="1" s="1"/>
  <c r="AQ49" i="1"/>
  <c r="AS49" i="1" s="1" a="1"/>
  <c r="AS49" i="1" s="1"/>
  <c r="J49" i="1" s="1" a="1"/>
  <c r="J49" i="1" s="1"/>
  <c r="AP49" i="1" a="1"/>
  <c r="AP49" i="1" s="1"/>
  <c r="I49" i="1" s="1" a="1"/>
  <c r="I49" i="1" s="1"/>
  <c r="AQ96" i="1"/>
  <c r="AS96" i="1" s="1" a="1"/>
  <c r="AS96" i="1" s="1"/>
  <c r="J96" i="1" s="1" a="1"/>
  <c r="J96" i="1" s="1"/>
  <c r="AP96" i="1" a="1"/>
  <c r="AP96" i="1" s="1"/>
  <c r="I96" i="1" s="1" a="1"/>
  <c r="I96" i="1" s="1"/>
  <c r="AQ55" i="1"/>
  <c r="AS55" i="1" s="1" a="1"/>
  <c r="AS55" i="1" s="1"/>
  <c r="J55" i="1" s="1" a="1"/>
  <c r="J55" i="1" s="1"/>
  <c r="AP55" i="1" a="1"/>
  <c r="AP55" i="1" s="1"/>
  <c r="I55" i="1" s="1" a="1"/>
  <c r="I55" i="1" s="1"/>
  <c r="AQ106" i="1"/>
  <c r="AS106" i="1" s="1" a="1"/>
  <c r="AS106" i="1" s="1"/>
  <c r="J106" i="1" s="1" a="1"/>
  <c r="J106" i="1" s="1"/>
  <c r="AP106" i="1" a="1"/>
  <c r="AP106" i="1" s="1"/>
  <c r="I106" i="1" s="1" a="1"/>
  <c r="I106" i="1" s="1"/>
  <c r="AQ117" i="1"/>
  <c r="AS117" i="1" s="1" a="1"/>
  <c r="AS117" i="1" s="1"/>
  <c r="J117" i="1" s="1" a="1"/>
  <c r="J117" i="1" s="1"/>
  <c r="AP117" i="1" a="1"/>
  <c r="AP117" i="1" s="1"/>
  <c r="I117" i="1" s="1" a="1"/>
  <c r="I117" i="1" s="1"/>
  <c r="AQ128" i="1"/>
  <c r="AS128" i="1" s="1" a="1"/>
  <c r="AS128" i="1" s="1"/>
  <c r="J128" i="1" s="1" a="1"/>
  <c r="J128" i="1" s="1"/>
  <c r="AP128" i="1" a="1"/>
  <c r="AP128" i="1" s="1"/>
  <c r="I128" i="1" s="1" a="1"/>
  <c r="I128" i="1" s="1"/>
  <c r="AQ141" i="1"/>
  <c r="AS141" i="1" s="1" a="1"/>
  <c r="AS141" i="1" s="1"/>
  <c r="J141" i="1" s="1" a="1"/>
  <c r="J141" i="1" s="1"/>
  <c r="AP141" i="1" a="1"/>
  <c r="AP141" i="1" s="1"/>
  <c r="I141" i="1" s="1" a="1"/>
  <c r="I141" i="1" s="1"/>
  <c r="AQ154" i="1"/>
  <c r="AS154" i="1" s="1" a="1"/>
  <c r="AS154" i="1" s="1"/>
  <c r="J154" i="1" s="1" a="1"/>
  <c r="J154" i="1" s="1"/>
  <c r="AP154" i="1" a="1"/>
  <c r="AP154" i="1" s="1"/>
  <c r="I154" i="1" s="1" a="1"/>
  <c r="I154" i="1" s="1"/>
  <c r="AW88" i="1"/>
  <c r="AV88" i="1" a="1"/>
  <c r="AV88" i="1" s="1"/>
  <c r="K88" i="1" s="1" a="1"/>
  <c r="K88" i="1" s="1"/>
  <c r="AW52" i="1"/>
  <c r="AV52" i="1" a="1"/>
  <c r="AV52" i="1" s="1"/>
  <c r="K52" i="1" s="1" a="1"/>
  <c r="K52" i="1" s="1"/>
  <c r="AW31" i="1"/>
  <c r="AV31" i="1" a="1"/>
  <c r="AV31" i="1" s="1"/>
  <c r="K31" i="1" s="1" a="1"/>
  <c r="K31" i="1" s="1"/>
  <c r="AW23" i="1"/>
  <c r="AV23" i="1" a="1"/>
  <c r="AV23" i="1" s="1"/>
  <c r="K23" i="1" s="1" a="1"/>
  <c r="K23" i="1" s="1"/>
  <c r="AW67" i="1"/>
  <c r="AV67" i="1" a="1"/>
  <c r="AV67" i="1" s="1"/>
  <c r="K67" i="1" s="1" a="1"/>
  <c r="K67" i="1" s="1"/>
  <c r="AW54" i="1"/>
  <c r="AV54" i="1" a="1"/>
  <c r="AV54" i="1" s="1"/>
  <c r="K54" i="1" s="1" a="1"/>
  <c r="K54" i="1" s="1"/>
  <c r="AW98" i="1"/>
  <c r="AV98" i="1" a="1"/>
  <c r="AV98" i="1" s="1"/>
  <c r="K98" i="1" s="1" a="1"/>
  <c r="K98" i="1" s="1"/>
  <c r="AW5" i="1"/>
  <c r="AV5" i="1" a="1"/>
  <c r="AV5" i="1" s="1"/>
  <c r="K5" i="1" s="1" a="1"/>
  <c r="K5" i="1" s="1"/>
  <c r="AW64" i="1"/>
  <c r="AV64" i="1" a="1"/>
  <c r="AV64" i="1" s="1"/>
  <c r="K64" i="1" s="1" a="1"/>
  <c r="K64" i="1" s="1"/>
  <c r="AW119" i="1"/>
  <c r="AV119" i="1" a="1"/>
  <c r="AV119" i="1" s="1"/>
  <c r="K119" i="1" s="1" a="1"/>
  <c r="K119" i="1" s="1"/>
  <c r="AW130" i="1"/>
  <c r="AV130" i="1" a="1"/>
  <c r="AV130" i="1" s="1"/>
  <c r="K130" i="1" s="1" a="1"/>
  <c r="K130" i="1" s="1"/>
  <c r="AW143" i="1"/>
  <c r="AV143" i="1" a="1"/>
  <c r="AV143" i="1" s="1"/>
  <c r="K143" i="1" s="1" a="1"/>
  <c r="K143" i="1" s="1"/>
  <c r="AW153" i="1"/>
  <c r="AV153" i="1" a="1"/>
  <c r="AV153" i="1" s="1"/>
  <c r="K153" i="1" s="1" a="1"/>
  <c r="K153" i="1" s="1"/>
  <c r="AQ15" i="1"/>
  <c r="AS15" i="1" s="1" a="1"/>
  <c r="AS15" i="1" s="1"/>
  <c r="J15" i="1" s="1" a="1"/>
  <c r="J15" i="1" s="1"/>
  <c r="AP15" i="1" a="1"/>
  <c r="AP15" i="1" s="1"/>
  <c r="I15" i="1" s="1" a="1"/>
  <c r="I15" i="1" s="1"/>
  <c r="AQ10" i="1"/>
  <c r="AS10" i="1" s="1" a="1"/>
  <c r="AS10" i="1" s="1"/>
  <c r="J10" i="1" s="1" a="1"/>
  <c r="J10" i="1" s="1"/>
  <c r="AP10" i="1" a="1"/>
  <c r="AP10" i="1" s="1"/>
  <c r="I10" i="1" s="1" a="1"/>
  <c r="I10" i="1" s="1"/>
  <c r="AQ94" i="1"/>
  <c r="AS94" i="1" s="1" a="1"/>
  <c r="AS94" i="1" s="1"/>
  <c r="J94" i="1" s="1" a="1"/>
  <c r="J94" i="1" s="1"/>
  <c r="AP94" i="1" a="1"/>
  <c r="AP94" i="1" s="1"/>
  <c r="I94" i="1" s="1" a="1"/>
  <c r="I94" i="1" s="1"/>
  <c r="AQ97" i="1"/>
  <c r="AS97" i="1" s="1" a="1"/>
  <c r="AS97" i="1" s="1"/>
  <c r="J97" i="1" s="1" a="1"/>
  <c r="J97" i="1" s="1"/>
  <c r="AP97" i="1" a="1"/>
  <c r="AP97" i="1" s="1"/>
  <c r="I97" i="1" s="1" a="1"/>
  <c r="I97" i="1" s="1"/>
  <c r="AW104" i="1"/>
  <c r="AV104" i="1" a="1"/>
  <c r="AV104" i="1" s="1"/>
  <c r="K104" i="1" s="1" a="1"/>
  <c r="K104" i="1" s="1"/>
  <c r="AQ88" i="1"/>
  <c r="AS88" i="1" s="1" a="1"/>
  <c r="AS88" i="1" s="1"/>
  <c r="J88" i="1" s="1" a="1"/>
  <c r="J88" i="1" s="1"/>
  <c r="AP88" i="1" a="1"/>
  <c r="AP88" i="1" s="1"/>
  <c r="I88" i="1" s="1" a="1"/>
  <c r="I88" i="1" s="1"/>
  <c r="AQ52" i="1"/>
  <c r="AS52" i="1" s="1" a="1"/>
  <c r="AS52" i="1" s="1"/>
  <c r="J52" i="1" s="1" a="1"/>
  <c r="J52" i="1" s="1"/>
  <c r="AP52" i="1" a="1"/>
  <c r="AP52" i="1" s="1"/>
  <c r="I52" i="1" s="1" a="1"/>
  <c r="I52" i="1" s="1"/>
  <c r="AQ31" i="1"/>
  <c r="AS31" i="1" s="1" a="1"/>
  <c r="AS31" i="1" s="1"/>
  <c r="J31" i="1" s="1" a="1"/>
  <c r="J31" i="1" s="1"/>
  <c r="AP31" i="1" a="1"/>
  <c r="AP31" i="1" s="1"/>
  <c r="I31" i="1" s="1" a="1"/>
  <c r="I31" i="1" s="1"/>
  <c r="AQ23" i="1"/>
  <c r="AS23" i="1" s="1" a="1"/>
  <c r="AS23" i="1" s="1"/>
  <c r="J23" i="1" s="1" a="1"/>
  <c r="J23" i="1" s="1"/>
  <c r="AP23" i="1" a="1"/>
  <c r="AP23" i="1" s="1"/>
  <c r="I23" i="1" s="1" a="1"/>
  <c r="I23" i="1" s="1"/>
  <c r="AQ67" i="1"/>
  <c r="AS67" i="1" s="1" a="1"/>
  <c r="AS67" i="1" s="1"/>
  <c r="J67" i="1" s="1" a="1"/>
  <c r="J67" i="1" s="1"/>
  <c r="AP67" i="1" a="1"/>
  <c r="AP67" i="1" s="1"/>
  <c r="I67" i="1" s="1" a="1"/>
  <c r="I67" i="1" s="1"/>
  <c r="AQ54" i="1"/>
  <c r="AS54" i="1" s="1" a="1"/>
  <c r="AS54" i="1" s="1"/>
  <c r="J54" i="1" s="1" a="1"/>
  <c r="J54" i="1" s="1"/>
  <c r="AP54" i="1" a="1"/>
  <c r="AP54" i="1" s="1"/>
  <c r="I54" i="1" s="1" a="1"/>
  <c r="I54" i="1" s="1"/>
  <c r="AQ98" i="1"/>
  <c r="AS98" i="1" s="1" a="1"/>
  <c r="AS98" i="1" s="1"/>
  <c r="J98" i="1" s="1" a="1"/>
  <c r="J98" i="1" s="1"/>
  <c r="AP98" i="1" a="1"/>
  <c r="AP98" i="1" s="1"/>
  <c r="I98" i="1" s="1" a="1"/>
  <c r="I98" i="1" s="1"/>
  <c r="AQ5" i="1"/>
  <c r="AS5" i="1" s="1" a="1"/>
  <c r="AS5" i="1" s="1"/>
  <c r="J5" i="1" s="1" a="1"/>
  <c r="J5" i="1" s="1"/>
  <c r="AP5" i="1" a="1"/>
  <c r="AP5" i="1" s="1"/>
  <c r="I5" i="1" s="1" a="1"/>
  <c r="I5" i="1" s="1"/>
  <c r="AQ64" i="1"/>
  <c r="AS64" i="1" s="1" a="1"/>
  <c r="AS64" i="1" s="1"/>
  <c r="J64" i="1" s="1" a="1"/>
  <c r="J64" i="1" s="1"/>
  <c r="AP64" i="1" a="1"/>
  <c r="AP64" i="1" s="1"/>
  <c r="I64" i="1" s="1" a="1"/>
  <c r="I64" i="1" s="1"/>
  <c r="AQ119" i="1"/>
  <c r="AS119" i="1" s="1" a="1"/>
  <c r="AS119" i="1" s="1"/>
  <c r="J119" i="1" s="1" a="1"/>
  <c r="J119" i="1" s="1"/>
  <c r="AP119" i="1" a="1"/>
  <c r="AP119" i="1" s="1"/>
  <c r="I119" i="1" s="1" a="1"/>
  <c r="I119" i="1" s="1"/>
  <c r="AQ130" i="1"/>
  <c r="AS130" i="1" s="1" a="1"/>
  <c r="AS130" i="1" s="1"/>
  <c r="J130" i="1" s="1" a="1"/>
  <c r="J130" i="1" s="1"/>
  <c r="AP130" i="1" a="1"/>
  <c r="AP130" i="1" s="1"/>
  <c r="I130" i="1" s="1" a="1"/>
  <c r="I130" i="1" s="1"/>
  <c r="AQ143" i="1"/>
  <c r="AS143" i="1" s="1" a="1"/>
  <c r="AS143" i="1" s="1"/>
  <c r="J143" i="1" s="1" a="1"/>
  <c r="J143" i="1" s="1"/>
  <c r="AP143" i="1" a="1"/>
  <c r="AP143" i="1" s="1"/>
  <c r="I143" i="1" s="1" a="1"/>
  <c r="I143" i="1" s="1"/>
  <c r="AQ153" i="1"/>
  <c r="AS153" i="1" s="1" a="1"/>
  <c r="AS153" i="1" s="1"/>
  <c r="J153" i="1" s="1" a="1"/>
  <c r="J153" i="1" s="1"/>
  <c r="AP153" i="1" a="1"/>
  <c r="AP153" i="1" s="1"/>
  <c r="I153" i="1" s="1" a="1"/>
  <c r="I153" i="1" s="1"/>
  <c r="AW11" i="1"/>
  <c r="AV11" i="1" a="1"/>
  <c r="AV11" i="1" s="1"/>
  <c r="K11" i="1" s="1" a="1"/>
  <c r="K11" i="1" s="1"/>
  <c r="AW39" i="1"/>
  <c r="AV39" i="1" a="1"/>
  <c r="AV39" i="1" s="1"/>
  <c r="K39" i="1" s="1" a="1"/>
  <c r="K39" i="1" s="1"/>
  <c r="AW33" i="1"/>
  <c r="AV33" i="1" a="1"/>
  <c r="AV33" i="1" s="1"/>
  <c r="K33" i="1" s="1" a="1"/>
  <c r="K33" i="1" s="1"/>
  <c r="AW38" i="1"/>
  <c r="AV38" i="1" a="1"/>
  <c r="AV38" i="1" s="1"/>
  <c r="K38" i="1" s="1" a="1"/>
  <c r="K38" i="1" s="1"/>
  <c r="AW68" i="1"/>
  <c r="AV68" i="1" a="1"/>
  <c r="AV68" i="1" s="1"/>
  <c r="K68" i="1" s="1" a="1"/>
  <c r="K68" i="1" s="1"/>
  <c r="AW102" i="1"/>
  <c r="AV102" i="1" a="1"/>
  <c r="AV102" i="1" s="1"/>
  <c r="K102" i="1" s="1" a="1"/>
  <c r="K102" i="1" s="1"/>
  <c r="AW99" i="1"/>
  <c r="AV99" i="1" a="1"/>
  <c r="AV99" i="1" s="1"/>
  <c r="K99" i="1" s="1" a="1"/>
  <c r="K99" i="1" s="1"/>
  <c r="AW7" i="1"/>
  <c r="AV7" i="1" a="1"/>
  <c r="AV7" i="1" s="1"/>
  <c r="K7" i="1" s="1" a="1"/>
  <c r="K7" i="1" s="1"/>
  <c r="AW20" i="1"/>
  <c r="AV20" i="1" a="1"/>
  <c r="AV20" i="1" s="1"/>
  <c r="K20" i="1" s="1" a="1"/>
  <c r="K20" i="1" s="1"/>
  <c r="AW118" i="1"/>
  <c r="AV118" i="1" a="1"/>
  <c r="AV118" i="1" s="1"/>
  <c r="K118" i="1" s="1" a="1"/>
  <c r="K118" i="1" s="1"/>
  <c r="AW131" i="1"/>
  <c r="AV131" i="1" a="1"/>
  <c r="AV131" i="1" s="1"/>
  <c r="K131" i="1" s="1" a="1"/>
  <c r="K131" i="1" s="1"/>
  <c r="AW142" i="1"/>
  <c r="AV142" i="1" a="1"/>
  <c r="AV142" i="1" s="1"/>
  <c r="K142" i="1" s="1" a="1"/>
  <c r="K142" i="1" s="1"/>
  <c r="AW155" i="1"/>
  <c r="AV155" i="1" a="1"/>
  <c r="AV155" i="1" s="1"/>
  <c r="K155" i="1" s="1" a="1"/>
  <c r="K155" i="1" s="1"/>
  <c r="AQ99" i="1"/>
  <c r="AS99" i="1" s="1" a="1"/>
  <c r="AS99" i="1" s="1"/>
  <c r="J99" i="1" s="1" a="1"/>
  <c r="J99" i="1" s="1"/>
  <c r="AP99" i="1" a="1"/>
  <c r="AP99" i="1" s="1"/>
  <c r="I99" i="1" s="1" a="1"/>
  <c r="I99" i="1" s="1"/>
  <c r="AQ131" i="1"/>
  <c r="AS131" i="1" s="1" a="1"/>
  <c r="AS131" i="1" s="1"/>
  <c r="J131" i="1" s="1" a="1"/>
  <c r="J131" i="1" s="1"/>
  <c r="AP131" i="1" a="1"/>
  <c r="AP131" i="1" s="1"/>
  <c r="I131" i="1" s="1" a="1"/>
  <c r="I131" i="1" s="1"/>
  <c r="AW110" i="1"/>
  <c r="AV110" i="1" a="1"/>
  <c r="AV110" i="1" s="1"/>
  <c r="K110" i="1" s="1" a="1"/>
  <c r="K110" i="1" s="1"/>
  <c r="AW45" i="1"/>
  <c r="AV45" i="1" a="1"/>
  <c r="AV45" i="1" s="1"/>
  <c r="K45" i="1" s="1" a="1"/>
  <c r="K45" i="1" s="1"/>
  <c r="AW74" i="1"/>
  <c r="AV74" i="1" a="1"/>
  <c r="AV74" i="1" s="1"/>
  <c r="K74" i="1" s="1" a="1"/>
  <c r="K74" i="1" s="1"/>
  <c r="AW75" i="1"/>
  <c r="AV75" i="1" a="1"/>
  <c r="AV75" i="1" s="1"/>
  <c r="K75" i="1" s="1" a="1"/>
  <c r="K75" i="1" s="1"/>
  <c r="AW82" i="1"/>
  <c r="AV82" i="1" a="1"/>
  <c r="AV82" i="1" s="1"/>
  <c r="K82" i="1" s="1" a="1"/>
  <c r="K82" i="1" s="1"/>
  <c r="AW4" i="1"/>
  <c r="AV4" i="1" a="1"/>
  <c r="AV4" i="1" s="1"/>
  <c r="K4" i="1" s="1" a="1"/>
  <c r="K4" i="1" s="1"/>
  <c r="AW16" i="1"/>
  <c r="AV16" i="1" a="1"/>
  <c r="AV16" i="1" s="1"/>
  <c r="K16" i="1" s="1" a="1"/>
  <c r="K16" i="1" s="1"/>
  <c r="AW12" i="1"/>
  <c r="AV12" i="1" a="1"/>
  <c r="AV12" i="1" s="1"/>
  <c r="K12" i="1" s="1" a="1"/>
  <c r="K12" i="1" s="1"/>
  <c r="AW21" i="1"/>
  <c r="AV21" i="1" a="1"/>
  <c r="AV21" i="1" s="1"/>
  <c r="K21" i="1" s="1" a="1"/>
  <c r="K21" i="1" s="1"/>
  <c r="AW120" i="1"/>
  <c r="AV120" i="1" a="1"/>
  <c r="AV120" i="1" s="1"/>
  <c r="K120" i="1" s="1" a="1"/>
  <c r="K120" i="1" s="1"/>
  <c r="AW132" i="1"/>
  <c r="AV132" i="1" a="1"/>
  <c r="AV132" i="1" s="1"/>
  <c r="K132" i="1" s="1" a="1"/>
  <c r="K132" i="1" s="1"/>
  <c r="AW144" i="1"/>
  <c r="AV144" i="1" a="1"/>
  <c r="AV144" i="1" s="1"/>
  <c r="K144" i="1" s="1" a="1"/>
  <c r="K144" i="1" s="1"/>
  <c r="AW156" i="1"/>
  <c r="AV156" i="1" a="1"/>
  <c r="AV156" i="1" s="1"/>
  <c r="K156" i="1" s="1" a="1"/>
  <c r="K156" i="1" s="1"/>
  <c r="AQ207" i="1"/>
  <c r="AS207" i="1" s="1" a="1"/>
  <c r="AS207" i="1" s="1"/>
  <c r="J207" i="1" s="1" a="1"/>
  <c r="J207" i="1" s="1"/>
  <c r="BC21" i="1" l="1"/>
  <c r="AY21" i="1" a="1"/>
  <c r="AY21" i="1" s="1"/>
  <c r="L21" i="1" s="1" a="1"/>
  <c r="L21" i="1" s="1"/>
  <c r="BC74" i="1"/>
  <c r="AY74" i="1" a="1"/>
  <c r="AY74" i="1" s="1"/>
  <c r="L74" i="1" s="1" a="1"/>
  <c r="L74" i="1" s="1"/>
  <c r="BC142" i="1"/>
  <c r="AY142" i="1" a="1"/>
  <c r="AY142" i="1" s="1"/>
  <c r="L142" i="1" s="1" a="1"/>
  <c r="L142" i="1" s="1"/>
  <c r="BC102" i="1"/>
  <c r="AY102" i="1" a="1"/>
  <c r="AY102" i="1" s="1"/>
  <c r="L102" i="1" s="1" a="1"/>
  <c r="L102" i="1" s="1"/>
  <c r="BC153" i="1"/>
  <c r="AY153" i="1" a="1"/>
  <c r="AY153" i="1" s="1"/>
  <c r="L153" i="1" s="1" a="1"/>
  <c r="L153" i="1" s="1"/>
  <c r="BC98" i="1"/>
  <c r="AY98" i="1" a="1"/>
  <c r="AY98" i="1" s="1"/>
  <c r="L98" i="1" s="1" a="1"/>
  <c r="L98" i="1" s="1"/>
  <c r="BC88" i="1"/>
  <c r="AY88" i="1" a="1"/>
  <c r="AY88" i="1" s="1"/>
  <c r="L88" i="1" s="1" a="1"/>
  <c r="L88" i="1" s="1"/>
  <c r="BC80" i="1"/>
  <c r="AY80" i="1" a="1"/>
  <c r="AY80" i="1" s="1"/>
  <c r="L80" i="1" s="1" a="1"/>
  <c r="L80" i="1" s="1"/>
  <c r="BC141" i="1"/>
  <c r="AY141" i="1" a="1"/>
  <c r="AY141" i="1" s="1"/>
  <c r="L141" i="1" s="1" a="1"/>
  <c r="L141" i="1" s="1"/>
  <c r="BC49" i="1"/>
  <c r="AY49" i="1" a="1"/>
  <c r="AY49" i="1" s="1"/>
  <c r="L49" i="1" s="1" a="1"/>
  <c r="L49" i="1" s="1"/>
  <c r="BC95" i="1"/>
  <c r="AY95" i="1" a="1"/>
  <c r="AY95" i="1" s="1"/>
  <c r="L95" i="1" s="1" a="1"/>
  <c r="L95" i="1" s="1"/>
  <c r="BC103" i="1"/>
  <c r="AY103" i="1" a="1"/>
  <c r="AY103" i="1" s="1"/>
  <c r="L103" i="1" s="1" a="1"/>
  <c r="L103" i="1" s="1"/>
  <c r="BC34" i="1"/>
  <c r="AY34" i="1" a="1"/>
  <c r="AY34" i="1" s="1"/>
  <c r="L34" i="1" s="1" a="1"/>
  <c r="L34" i="1" s="1"/>
  <c r="BC83" i="1"/>
  <c r="AY83" i="1" a="1"/>
  <c r="AY83" i="1" s="1"/>
  <c r="L83" i="1" s="1" a="1"/>
  <c r="L83" i="1" s="1"/>
  <c r="BC70" i="1"/>
  <c r="AY70" i="1" a="1"/>
  <c r="AY70" i="1" s="1"/>
  <c r="L70" i="1" s="1" a="1"/>
  <c r="L70" i="1" s="1"/>
  <c r="BC108" i="1"/>
  <c r="AY108" i="1" a="1"/>
  <c r="AY108" i="1" s="1"/>
  <c r="L108" i="1" s="1" a="1"/>
  <c r="L108" i="1" s="1"/>
  <c r="BC124" i="1"/>
  <c r="AY124" i="1" a="1"/>
  <c r="AY124" i="1" s="1"/>
  <c r="L124" i="1" s="1" a="1"/>
  <c r="L124" i="1" s="1"/>
  <c r="BC8" i="1"/>
  <c r="AY8" i="1" a="1"/>
  <c r="AY8" i="1" s="1"/>
  <c r="L8" i="1" s="1" a="1"/>
  <c r="L8" i="1" s="1"/>
  <c r="BC114" i="1"/>
  <c r="AY114" i="1" a="1"/>
  <c r="AY114" i="1" s="1"/>
  <c r="L114" i="1" s="1" a="1"/>
  <c r="L114" i="1" s="1"/>
  <c r="BC72" i="1"/>
  <c r="AY72" i="1" a="1"/>
  <c r="AY72" i="1" s="1"/>
  <c r="L72" i="1" s="1" a="1"/>
  <c r="L72" i="1" s="1"/>
  <c r="BC160" i="1"/>
  <c r="AY160" i="1" a="1"/>
  <c r="AY160" i="1" s="1"/>
  <c r="L160" i="1" s="1" a="1"/>
  <c r="L160" i="1" s="1"/>
  <c r="BC35" i="1"/>
  <c r="AY35" i="1" a="1"/>
  <c r="AY35" i="1" s="1"/>
  <c r="L35" i="1" s="1" a="1"/>
  <c r="L35" i="1" s="1"/>
  <c r="BC71" i="1"/>
  <c r="AY71" i="1" a="1"/>
  <c r="AY71" i="1" s="1"/>
  <c r="L71" i="1" s="1" a="1"/>
  <c r="L71" i="1" s="1"/>
  <c r="BC12" i="1"/>
  <c r="AY12" i="1" a="1"/>
  <c r="AY12" i="1" s="1"/>
  <c r="L12" i="1" s="1" a="1"/>
  <c r="L12" i="1" s="1"/>
  <c r="BC45" i="1"/>
  <c r="AY45" i="1" a="1"/>
  <c r="AY45" i="1" s="1"/>
  <c r="L45" i="1" s="1" a="1"/>
  <c r="L45" i="1" s="1"/>
  <c r="BC131" i="1"/>
  <c r="AY131" i="1" a="1"/>
  <c r="AY131" i="1" s="1"/>
  <c r="L131" i="1" s="1" a="1"/>
  <c r="L131" i="1" s="1"/>
  <c r="BC68" i="1"/>
  <c r="AY68" i="1" a="1"/>
  <c r="AY68" i="1" s="1"/>
  <c r="L68" i="1" s="1" a="1"/>
  <c r="L68" i="1" s="1"/>
  <c r="BC104" i="1"/>
  <c r="AY104" i="1" a="1"/>
  <c r="AY104" i="1" s="1"/>
  <c r="L104" i="1" s="1" a="1"/>
  <c r="L104" i="1" s="1"/>
  <c r="BC143" i="1"/>
  <c r="AY143" i="1" a="1"/>
  <c r="AY143" i="1" s="1"/>
  <c r="L143" i="1" s="1" a="1"/>
  <c r="L143" i="1" s="1"/>
  <c r="BC54" i="1"/>
  <c r="AY54" i="1" a="1"/>
  <c r="AY54" i="1" s="1"/>
  <c r="L54" i="1" s="1" a="1"/>
  <c r="L54" i="1" s="1"/>
  <c r="BC18" i="1"/>
  <c r="AY18" i="1" a="1"/>
  <c r="AY18" i="1" s="1"/>
  <c r="L18" i="1" s="1" a="1"/>
  <c r="L18" i="1" s="1"/>
  <c r="BC128" i="1"/>
  <c r="AY128" i="1" a="1"/>
  <c r="AY128" i="1" s="1"/>
  <c r="L128" i="1" s="1" a="1"/>
  <c r="L128" i="1" s="1"/>
  <c r="BC66" i="1"/>
  <c r="AY66" i="1" a="1"/>
  <c r="AY66" i="1" s="1"/>
  <c r="L66" i="1" s="1" a="1"/>
  <c r="L66" i="1" s="1"/>
  <c r="BC152" i="1"/>
  <c r="AY152" i="1" a="1"/>
  <c r="AY152" i="1" s="1"/>
  <c r="L152" i="1" s="1" a="1"/>
  <c r="L152" i="1" s="1"/>
  <c r="BC48" i="1"/>
  <c r="AY48" i="1" a="1"/>
  <c r="AY48" i="1" s="1"/>
  <c r="L48" i="1" s="1" a="1"/>
  <c r="L48" i="1" s="1"/>
  <c r="BC145" i="1"/>
  <c r="AY145" i="1" a="1"/>
  <c r="AY145" i="1" s="1"/>
  <c r="L145" i="1" s="1" a="1"/>
  <c r="L145" i="1" s="1"/>
  <c r="BC46" i="1"/>
  <c r="AY46" i="1" a="1"/>
  <c r="AY46" i="1" s="1"/>
  <c r="L46" i="1" s="1" a="1"/>
  <c r="L46" i="1" s="1"/>
  <c r="BC24" i="1"/>
  <c r="AY24" i="1" a="1"/>
  <c r="AY24" i="1" s="1"/>
  <c r="L24" i="1" s="1" a="1"/>
  <c r="L24" i="1" s="1"/>
  <c r="BC157" i="1"/>
  <c r="AY157" i="1" a="1"/>
  <c r="AY157" i="1" s="1"/>
  <c r="L157" i="1" s="1" a="1"/>
  <c r="L157" i="1" s="1"/>
  <c r="BC69" i="1"/>
  <c r="AY69" i="1" a="1"/>
  <c r="AY69" i="1" s="1"/>
  <c r="L69" i="1" s="1" a="1"/>
  <c r="L69" i="1" s="1"/>
  <c r="BC97" i="1"/>
  <c r="AY97" i="1" a="1"/>
  <c r="AY97" i="1" s="1"/>
  <c r="L97" i="1" s="1" a="1"/>
  <c r="L97" i="1" s="1"/>
  <c r="BC76" i="1"/>
  <c r="AY76" i="1" a="1"/>
  <c r="AY76" i="1" s="1"/>
  <c r="L76" i="1" s="1" a="1"/>
  <c r="L76" i="1" s="1"/>
  <c r="BC22" i="1"/>
  <c r="AY22" i="1" a="1"/>
  <c r="AY22" i="1" s="1"/>
  <c r="L22" i="1" s="1" a="1"/>
  <c r="L22" i="1" s="1"/>
  <c r="BC100" i="1"/>
  <c r="AY100" i="1" a="1"/>
  <c r="AY100" i="1" s="1"/>
  <c r="L100" i="1" s="1" a="1"/>
  <c r="L100" i="1" s="1"/>
  <c r="BC37" i="1"/>
  <c r="AY37" i="1" a="1"/>
  <c r="AY37" i="1" s="1"/>
  <c r="L37" i="1" s="1" a="1"/>
  <c r="L37" i="1" s="1"/>
  <c r="BC147" i="1"/>
  <c r="AY147" i="1" a="1"/>
  <c r="AY147" i="1" s="1"/>
  <c r="L147" i="1" s="1" a="1"/>
  <c r="L147" i="1" s="1"/>
  <c r="BC14" i="1"/>
  <c r="AY14" i="1" a="1"/>
  <c r="AY14" i="1" s="1"/>
  <c r="L14" i="1" s="1" a="1"/>
  <c r="L14" i="1" s="1"/>
  <c r="BC156" i="1"/>
  <c r="AY156" i="1" a="1"/>
  <c r="AY156" i="1" s="1"/>
  <c r="L156" i="1" s="1" a="1"/>
  <c r="L156" i="1" s="1"/>
  <c r="BC16" i="1"/>
  <c r="AY16" i="1" a="1"/>
  <c r="AY16" i="1" s="1"/>
  <c r="L16" i="1" s="1" a="1"/>
  <c r="L16" i="1" s="1"/>
  <c r="BC110" i="1"/>
  <c r="AY110" i="1" a="1"/>
  <c r="AY110" i="1" s="1"/>
  <c r="L110" i="1" s="1" a="1"/>
  <c r="L110" i="1" s="1"/>
  <c r="BC118" i="1"/>
  <c r="AY118" i="1" a="1"/>
  <c r="AY118" i="1" s="1"/>
  <c r="L118" i="1" s="1" a="1"/>
  <c r="L118" i="1" s="1"/>
  <c r="BC38" i="1"/>
  <c r="AY38" i="1" a="1"/>
  <c r="AY38" i="1" s="1"/>
  <c r="L38" i="1" s="1" a="1"/>
  <c r="L38" i="1" s="1"/>
  <c r="BC130" i="1"/>
  <c r="AY130" i="1" a="1"/>
  <c r="AY130" i="1" s="1"/>
  <c r="L130" i="1" s="1" a="1"/>
  <c r="L130" i="1" s="1"/>
  <c r="BC67" i="1"/>
  <c r="AY67" i="1" a="1"/>
  <c r="AY67" i="1" s="1"/>
  <c r="L67" i="1" s="1" a="1"/>
  <c r="L67" i="1" s="1"/>
  <c r="BC150" i="1"/>
  <c r="AY150" i="1" a="1"/>
  <c r="AY150" i="1" s="1"/>
  <c r="L150" i="1" s="1" a="1"/>
  <c r="L150" i="1" s="1"/>
  <c r="BC101" i="1"/>
  <c r="AY101" i="1" a="1"/>
  <c r="AY101" i="1" s="1"/>
  <c r="L101" i="1" s="1" a="1"/>
  <c r="L101" i="1" s="1"/>
  <c r="BC117" i="1"/>
  <c r="AY117" i="1" a="1"/>
  <c r="AY117" i="1" s="1"/>
  <c r="L117" i="1" s="1" a="1"/>
  <c r="L117" i="1" s="1"/>
  <c r="BC89" i="1"/>
  <c r="AY89" i="1" a="1"/>
  <c r="AY89" i="1" s="1"/>
  <c r="L89" i="1" s="1" a="1"/>
  <c r="L89" i="1" s="1"/>
  <c r="BC129" i="1"/>
  <c r="AY129" i="1" a="1"/>
  <c r="AY129" i="1" s="1"/>
  <c r="L129" i="1" s="1" a="1"/>
  <c r="L129" i="1" s="1"/>
  <c r="BC44" i="1"/>
  <c r="AY44" i="1" a="1"/>
  <c r="AY44" i="1" s="1"/>
  <c r="L44" i="1" s="1" a="1"/>
  <c r="L44" i="1" s="1"/>
  <c r="BC121" i="1"/>
  <c r="AY121" i="1" a="1"/>
  <c r="AY121" i="1" s="1"/>
  <c r="L121" i="1" s="1" a="1"/>
  <c r="L121" i="1" s="1"/>
  <c r="BC140" i="1"/>
  <c r="AY140" i="1" a="1"/>
  <c r="AY140" i="1" s="1"/>
  <c r="L140" i="1" s="1" a="1"/>
  <c r="L140" i="1" s="1"/>
  <c r="BC151" i="1"/>
  <c r="AY151" i="1" a="1"/>
  <c r="AY151" i="1" s="1"/>
  <c r="L151" i="1" s="1" a="1"/>
  <c r="L151" i="1" s="1"/>
  <c r="BC53" i="1"/>
  <c r="AY53" i="1" a="1"/>
  <c r="AY53" i="1" s="1"/>
  <c r="L53" i="1" s="1" a="1"/>
  <c r="L53" i="1" s="1"/>
  <c r="BC17" i="1"/>
  <c r="AY17" i="1" a="1"/>
  <c r="AY17" i="1" s="1"/>
  <c r="L17" i="1" s="1" a="1"/>
  <c r="L17" i="1" s="1"/>
  <c r="BC133" i="1"/>
  <c r="AY133" i="1" a="1"/>
  <c r="AY133" i="1" s="1"/>
  <c r="L133" i="1" s="1" a="1"/>
  <c r="L133" i="1" s="1"/>
  <c r="BC111" i="1"/>
  <c r="AY111" i="1" a="1"/>
  <c r="AY111" i="1" s="1"/>
  <c r="L111" i="1" s="1" a="1"/>
  <c r="L111" i="1" s="1"/>
  <c r="BC149" i="1"/>
  <c r="AY149" i="1" a="1"/>
  <c r="AY149" i="1" s="1"/>
  <c r="L149" i="1" s="1" a="1"/>
  <c r="L149" i="1" s="1"/>
  <c r="BC36" i="1"/>
  <c r="AY36" i="1" a="1"/>
  <c r="AY36" i="1" s="1"/>
  <c r="L36" i="1" s="1" a="1"/>
  <c r="L36" i="1" s="1"/>
  <c r="BC15" i="1"/>
  <c r="AY15" i="1" a="1"/>
  <c r="AY15" i="1" s="1"/>
  <c r="L15" i="1" s="1" a="1"/>
  <c r="L15" i="1" s="1"/>
  <c r="BC65" i="1"/>
  <c r="AY65" i="1" a="1"/>
  <c r="AY65" i="1" s="1"/>
  <c r="L65" i="1" s="1" a="1"/>
  <c r="L65" i="1" s="1"/>
  <c r="BC9" i="1"/>
  <c r="AY9" i="1" a="1"/>
  <c r="AY9" i="1" s="1"/>
  <c r="L9" i="1" s="1" a="1"/>
  <c r="L9" i="1" s="1"/>
  <c r="BC26" i="1"/>
  <c r="AY26" i="1" a="1"/>
  <c r="AY26" i="1" s="1"/>
  <c r="L26" i="1" s="1" a="1"/>
  <c r="L26" i="1" s="1"/>
  <c r="BC61" i="1"/>
  <c r="AY61" i="1" a="1"/>
  <c r="AY61" i="1" s="1"/>
  <c r="L61" i="1" s="1" a="1"/>
  <c r="L61" i="1" s="1"/>
  <c r="BC134" i="1"/>
  <c r="AY134" i="1" a="1"/>
  <c r="AY134" i="1" s="1"/>
  <c r="L134" i="1" s="1" a="1"/>
  <c r="L134" i="1" s="1"/>
  <c r="BC85" i="1"/>
  <c r="AY85" i="1" a="1"/>
  <c r="AY85" i="1" s="1"/>
  <c r="L85" i="1" s="1" a="1"/>
  <c r="L85" i="1" s="1"/>
  <c r="BC25" i="1"/>
  <c r="AY25" i="1" a="1"/>
  <c r="AY25" i="1" s="1"/>
  <c r="L25" i="1" s="1" a="1"/>
  <c r="L25" i="1" s="1"/>
  <c r="BC144" i="1"/>
  <c r="AY144" i="1" a="1"/>
  <c r="AY144" i="1" s="1"/>
  <c r="L144" i="1" s="1" a="1"/>
  <c r="L144" i="1" s="1"/>
  <c r="BC4" i="1"/>
  <c r="AY4" i="1" a="1"/>
  <c r="AY4" i="1" s="1"/>
  <c r="L4" i="1" s="1" a="1"/>
  <c r="L4" i="1" s="1"/>
  <c r="BC20" i="1"/>
  <c r="AY20" i="1" a="1"/>
  <c r="AY20" i="1" s="1"/>
  <c r="L20" i="1" s="1" a="1"/>
  <c r="L20" i="1" s="1"/>
  <c r="BC33" i="1"/>
  <c r="AY33" i="1" a="1"/>
  <c r="AY33" i="1" s="1"/>
  <c r="L33" i="1" s="1" a="1"/>
  <c r="L33" i="1" s="1"/>
  <c r="BC119" i="1"/>
  <c r="AY119" i="1" a="1"/>
  <c r="AY119" i="1" s="1"/>
  <c r="L119" i="1" s="1" a="1"/>
  <c r="L119" i="1" s="1"/>
  <c r="BC23" i="1"/>
  <c r="AY23" i="1" a="1"/>
  <c r="AY23" i="1" s="1"/>
  <c r="L23" i="1" s="1" a="1"/>
  <c r="L23" i="1" s="1"/>
  <c r="BC138" i="1"/>
  <c r="AY138" i="1" a="1"/>
  <c r="AY138" i="1" s="1"/>
  <c r="L138" i="1" s="1" a="1"/>
  <c r="L138" i="1" s="1"/>
  <c r="BC42" i="1"/>
  <c r="AY42" i="1" a="1"/>
  <c r="AY42" i="1" s="1"/>
  <c r="L42" i="1" s="1" a="1"/>
  <c r="L42" i="1" s="1"/>
  <c r="BC106" i="1"/>
  <c r="AY106" i="1" a="1"/>
  <c r="AY106" i="1" s="1"/>
  <c r="L106" i="1" s="1" a="1"/>
  <c r="L106" i="1" s="1"/>
  <c r="BC27" i="1"/>
  <c r="AY27" i="1" a="1"/>
  <c r="AY27" i="1" s="1"/>
  <c r="L27" i="1" s="1" a="1"/>
  <c r="L27" i="1" s="1"/>
  <c r="BC116" i="1"/>
  <c r="AY116" i="1" a="1"/>
  <c r="AY116" i="1" s="1"/>
  <c r="L116" i="1" s="1" a="1"/>
  <c r="L116" i="1" s="1"/>
  <c r="BC60" i="1"/>
  <c r="AY60" i="1" a="1"/>
  <c r="AY60" i="1" s="1"/>
  <c r="L60" i="1" s="1" a="1"/>
  <c r="L60" i="1" s="1"/>
  <c r="BC19" i="1"/>
  <c r="AY19" i="1" a="1"/>
  <c r="AY19" i="1" s="1"/>
  <c r="L19" i="1" s="1" a="1"/>
  <c r="L19" i="1" s="1"/>
  <c r="BC41" i="1"/>
  <c r="AY41" i="1" a="1"/>
  <c r="AY41" i="1" s="1"/>
  <c r="L41" i="1" s="1" a="1"/>
  <c r="L41" i="1" s="1"/>
  <c r="BC139" i="1"/>
  <c r="AY139" i="1" a="1"/>
  <c r="AY139" i="1" s="1"/>
  <c r="L139" i="1" s="1" a="1"/>
  <c r="L139" i="1" s="1"/>
  <c r="BC40" i="1"/>
  <c r="AY40" i="1" a="1"/>
  <c r="AY40" i="1" s="1"/>
  <c r="L40" i="1" s="1" a="1"/>
  <c r="L40" i="1" s="1"/>
  <c r="BC91" i="1"/>
  <c r="AY91" i="1" a="1"/>
  <c r="AY91" i="1" s="1"/>
  <c r="L91" i="1" s="1" a="1"/>
  <c r="L91" i="1" s="1"/>
  <c r="BC137" i="1"/>
  <c r="AY137" i="1" a="1"/>
  <c r="AY137" i="1" s="1"/>
  <c r="L137" i="1" s="1" a="1"/>
  <c r="L137" i="1" s="1"/>
  <c r="BC94" i="1"/>
  <c r="AY94" i="1" a="1"/>
  <c r="AY94" i="1" s="1"/>
  <c r="L94" i="1" s="1" a="1"/>
  <c r="L94" i="1" s="1"/>
  <c r="BC62" i="1"/>
  <c r="AY62" i="1" a="1"/>
  <c r="AY62" i="1" s="1"/>
  <c r="L62" i="1" s="1" a="1"/>
  <c r="L62" i="1" s="1"/>
  <c r="BC73" i="1"/>
  <c r="AY73" i="1" a="1"/>
  <c r="AY73" i="1" s="1"/>
  <c r="L73" i="1" s="1" a="1"/>
  <c r="L73" i="1" s="1"/>
  <c r="BC86" i="1"/>
  <c r="AY86" i="1" a="1"/>
  <c r="AY86" i="1" s="1"/>
  <c r="L86" i="1" s="1" a="1"/>
  <c r="L86" i="1" s="1"/>
  <c r="BC63" i="1"/>
  <c r="AY63" i="1" a="1"/>
  <c r="AY63" i="1" s="1"/>
  <c r="L63" i="1" s="1" a="1"/>
  <c r="L63" i="1" s="1"/>
  <c r="BC135" i="1"/>
  <c r="AY135" i="1" a="1"/>
  <c r="AY135" i="1" s="1"/>
  <c r="L135" i="1" s="1" a="1"/>
  <c r="L135" i="1" s="1"/>
  <c r="BC122" i="1"/>
  <c r="AY122" i="1" a="1"/>
  <c r="AY122" i="1" s="1"/>
  <c r="L122" i="1" s="1" a="1"/>
  <c r="L122" i="1" s="1"/>
  <c r="BC112" i="1"/>
  <c r="AY112" i="1" a="1"/>
  <c r="AY112" i="1" s="1"/>
  <c r="L112" i="1" s="1" a="1"/>
  <c r="L112" i="1" s="1"/>
  <c r="BC132" i="1"/>
  <c r="AY132" i="1" a="1"/>
  <c r="AY132" i="1" s="1"/>
  <c r="L132" i="1" s="1" a="1"/>
  <c r="L132" i="1" s="1"/>
  <c r="BC82" i="1"/>
  <c r="AY82" i="1" a="1"/>
  <c r="AY82" i="1" s="1"/>
  <c r="L82" i="1" s="1" a="1"/>
  <c r="L82" i="1" s="1"/>
  <c r="BC7" i="1"/>
  <c r="AY7" i="1" a="1"/>
  <c r="AY7" i="1" s="1"/>
  <c r="L7" i="1" s="1" a="1"/>
  <c r="L7" i="1" s="1"/>
  <c r="BC39" i="1"/>
  <c r="AY39" i="1" a="1"/>
  <c r="AY39" i="1" s="1"/>
  <c r="L39" i="1" s="1" a="1"/>
  <c r="L39" i="1" s="1"/>
  <c r="BC64" i="1"/>
  <c r="AY64" i="1" a="1"/>
  <c r="AY64" i="1" s="1"/>
  <c r="L64" i="1" s="1" a="1"/>
  <c r="L64" i="1" s="1"/>
  <c r="BC31" i="1"/>
  <c r="AY31" i="1" a="1"/>
  <c r="AY31" i="1" s="1"/>
  <c r="L31" i="1" s="1" a="1"/>
  <c r="L31" i="1" s="1"/>
  <c r="BC126" i="1"/>
  <c r="AY126" i="1" a="1"/>
  <c r="AY126" i="1" s="1"/>
  <c r="L126" i="1" s="1" a="1"/>
  <c r="L126" i="1" s="1"/>
  <c r="BC32" i="1"/>
  <c r="AY32" i="1" a="1"/>
  <c r="AY32" i="1" s="1"/>
  <c r="L32" i="1" s="1" a="1"/>
  <c r="L32" i="1" s="1"/>
  <c r="BC55" i="1"/>
  <c r="AY55" i="1" a="1"/>
  <c r="AY55" i="1" s="1"/>
  <c r="L55" i="1" s="1" a="1"/>
  <c r="L55" i="1" s="1"/>
  <c r="BC30" i="1"/>
  <c r="AY30" i="1" a="1"/>
  <c r="AY30" i="1" s="1"/>
  <c r="L30" i="1" s="1" a="1"/>
  <c r="L30" i="1" s="1"/>
  <c r="BC105" i="1"/>
  <c r="AY105" i="1" a="1"/>
  <c r="AY105" i="1" s="1"/>
  <c r="L105" i="1" s="1" a="1"/>
  <c r="L105" i="1" s="1"/>
  <c r="BC56" i="1"/>
  <c r="AY56" i="1" a="1"/>
  <c r="AY56" i="1" s="1"/>
  <c r="L56" i="1" s="1" a="1"/>
  <c r="L56" i="1" s="1"/>
  <c r="BC84" i="1"/>
  <c r="AY84" i="1" a="1"/>
  <c r="AY84" i="1" s="1"/>
  <c r="L84" i="1" s="1" a="1"/>
  <c r="L84" i="1" s="1"/>
  <c r="BC127" i="1"/>
  <c r="AY127" i="1" a="1"/>
  <c r="AY127" i="1" s="1"/>
  <c r="L127" i="1" s="1" a="1"/>
  <c r="L127" i="1" s="1"/>
  <c r="BC43" i="1"/>
  <c r="AY43" i="1" a="1"/>
  <c r="AY43" i="1" s="1"/>
  <c r="L43" i="1" s="1" a="1"/>
  <c r="L43" i="1" s="1"/>
  <c r="BC58" i="1"/>
  <c r="AY58" i="1" a="1"/>
  <c r="AY58" i="1" s="1"/>
  <c r="L58" i="1" s="1" a="1"/>
  <c r="L58" i="1" s="1"/>
  <c r="BC6" i="1"/>
  <c r="AY6" i="1" a="1"/>
  <c r="AY6" i="1" s="1"/>
  <c r="L6" i="1" s="1" a="1"/>
  <c r="L6" i="1" s="1"/>
  <c r="BC125" i="1"/>
  <c r="AY125" i="1" a="1"/>
  <c r="AY125" i="1" s="1"/>
  <c r="L125" i="1" s="1" a="1"/>
  <c r="L125" i="1" s="1"/>
  <c r="BC10" i="1"/>
  <c r="AY10" i="1" a="1"/>
  <c r="AY10" i="1" s="1"/>
  <c r="L10" i="1" s="1" a="1"/>
  <c r="L10" i="1" s="1"/>
  <c r="BC148" i="1"/>
  <c r="AY148" i="1" a="1"/>
  <c r="AY148" i="1" s="1"/>
  <c r="L148" i="1" s="1" a="1"/>
  <c r="L148" i="1" s="1"/>
  <c r="BC79" i="1"/>
  <c r="AY79" i="1" a="1"/>
  <c r="AY79" i="1" s="1"/>
  <c r="L79" i="1" s="1" a="1"/>
  <c r="L79" i="1" s="1"/>
  <c r="BC13" i="1"/>
  <c r="AY13" i="1" a="1"/>
  <c r="AY13" i="1" s="1"/>
  <c r="L13" i="1" s="1" a="1"/>
  <c r="L13" i="1" s="1"/>
  <c r="BC146" i="1"/>
  <c r="AY146" i="1" a="1"/>
  <c r="AY146" i="1" s="1"/>
  <c r="L146" i="1" s="1" a="1"/>
  <c r="L146" i="1" s="1"/>
  <c r="BC90" i="1"/>
  <c r="AY90" i="1" a="1"/>
  <c r="AY90" i="1" s="1"/>
  <c r="L90" i="1" s="1" a="1"/>
  <c r="L90" i="1" s="1"/>
  <c r="BC92" i="1"/>
  <c r="AY92" i="1" a="1"/>
  <c r="AY92" i="1" s="1"/>
  <c r="L92" i="1" s="1" a="1"/>
  <c r="L92" i="1" s="1"/>
  <c r="BC78" i="1"/>
  <c r="AY78" i="1" a="1"/>
  <c r="AY78" i="1" s="1"/>
  <c r="L78" i="1" s="1" a="1"/>
  <c r="L78" i="1" s="1"/>
  <c r="BC120" i="1"/>
  <c r="AY120" i="1" a="1"/>
  <c r="AY120" i="1" s="1"/>
  <c r="L120" i="1" s="1" a="1"/>
  <c r="L120" i="1" s="1"/>
  <c r="BC75" i="1"/>
  <c r="AY75" i="1" a="1"/>
  <c r="AY75" i="1" s="1"/>
  <c r="L75" i="1" s="1" a="1"/>
  <c r="L75" i="1" s="1"/>
  <c r="BC155" i="1"/>
  <c r="AY155" i="1" a="1"/>
  <c r="AY155" i="1" s="1"/>
  <c r="L155" i="1" s="1" a="1"/>
  <c r="L155" i="1" s="1"/>
  <c r="BC99" i="1"/>
  <c r="AY99" i="1" a="1"/>
  <c r="AY99" i="1" s="1"/>
  <c r="L99" i="1" s="1" a="1"/>
  <c r="L99" i="1" s="1"/>
  <c r="BC11" i="1"/>
  <c r="AY11" i="1" a="1"/>
  <c r="AY11" i="1" s="1"/>
  <c r="L11" i="1" s="1" a="1"/>
  <c r="L11" i="1" s="1"/>
  <c r="BC5" i="1"/>
  <c r="AY5" i="1" a="1"/>
  <c r="AY5" i="1" s="1"/>
  <c r="L5" i="1" s="1" a="1"/>
  <c r="L5" i="1" s="1"/>
  <c r="BC52" i="1"/>
  <c r="AY52" i="1" a="1"/>
  <c r="AY52" i="1" s="1"/>
  <c r="L52" i="1" s="1" a="1"/>
  <c r="L52" i="1" s="1"/>
  <c r="BC113" i="1"/>
  <c r="AY113" i="1" a="1"/>
  <c r="AY113" i="1" s="1"/>
  <c r="L113" i="1" s="1" a="1"/>
  <c r="L113" i="1" s="1"/>
  <c r="BC107" i="1"/>
  <c r="AY107" i="1" a="1"/>
  <c r="AY107" i="1" s="1"/>
  <c r="L107" i="1" s="1" a="1"/>
  <c r="L107" i="1" s="1"/>
  <c r="BC154" i="1"/>
  <c r="AY154" i="1" a="1"/>
  <c r="AY154" i="1" s="1"/>
  <c r="L154" i="1" s="1" a="1"/>
  <c r="L154" i="1" s="1"/>
  <c r="BC96" i="1"/>
  <c r="AY96" i="1" a="1"/>
  <c r="AY96" i="1" s="1"/>
  <c r="L96" i="1" s="1" a="1"/>
  <c r="L96" i="1" s="1"/>
  <c r="BC29" i="1"/>
  <c r="AY29" i="1" a="1"/>
  <c r="AY29" i="1" s="1"/>
  <c r="L29" i="1" s="1" a="1"/>
  <c r="L29" i="1" s="1"/>
  <c r="BC50" i="1"/>
  <c r="AY50" i="1" a="1"/>
  <c r="AY50" i="1" s="1"/>
  <c r="L50" i="1" s="1" a="1"/>
  <c r="L50" i="1" s="1"/>
  <c r="BC28" i="1"/>
  <c r="AY28" i="1" a="1"/>
  <c r="AY28" i="1" s="1"/>
  <c r="L28" i="1" s="1" a="1"/>
  <c r="L28" i="1" s="1"/>
  <c r="BC77" i="1"/>
  <c r="AY77" i="1" a="1"/>
  <c r="AY77" i="1" s="1"/>
  <c r="L77" i="1" s="1" a="1"/>
  <c r="L77" i="1" s="1"/>
  <c r="BC115" i="1"/>
  <c r="AY115" i="1" a="1"/>
  <c r="AY115" i="1" s="1"/>
  <c r="L115" i="1" s="1" a="1"/>
  <c r="L115" i="1" s="1"/>
  <c r="BC59" i="1"/>
  <c r="AY59" i="1" a="1"/>
  <c r="AY59" i="1" s="1"/>
  <c r="L59" i="1" s="1" a="1"/>
  <c r="L59" i="1" s="1"/>
  <c r="BC109" i="1"/>
  <c r="AY109" i="1" a="1"/>
  <c r="AY109" i="1" s="1"/>
  <c r="L109" i="1" s="1" a="1"/>
  <c r="L109" i="1" s="1"/>
  <c r="BC81" i="1"/>
  <c r="AY81" i="1" a="1"/>
  <c r="AY81" i="1" s="1"/>
  <c r="L81" i="1" s="1" a="1"/>
  <c r="L81" i="1" s="1"/>
  <c r="BC57" i="1"/>
  <c r="AY57" i="1" a="1"/>
  <c r="AY57" i="1" s="1"/>
  <c r="L57" i="1" s="1" a="1"/>
  <c r="L57" i="1" s="1"/>
  <c r="BC136" i="1"/>
  <c r="AY136" i="1" a="1"/>
  <c r="AY136" i="1" s="1"/>
  <c r="L136" i="1" s="1" a="1"/>
  <c r="L136" i="1" s="1"/>
  <c r="BC87" i="1"/>
  <c r="AY87" i="1" a="1"/>
  <c r="AY87" i="1" s="1"/>
  <c r="L87" i="1" s="1" a="1"/>
  <c r="L87" i="1" s="1"/>
  <c r="BC123" i="1"/>
  <c r="AY123" i="1" a="1"/>
  <c r="AY123" i="1" s="1"/>
  <c r="L123" i="1" s="1" a="1"/>
  <c r="L123" i="1" s="1"/>
  <c r="BC93" i="1"/>
  <c r="AY93" i="1" a="1"/>
  <c r="AY93" i="1" s="1"/>
  <c r="L93" i="1" s="1" a="1"/>
  <c r="L93" i="1" s="1"/>
  <c r="BC51" i="1"/>
  <c r="AY51" i="1" a="1"/>
  <c r="AY51" i="1" s="1"/>
  <c r="L51" i="1" s="1" a="1"/>
  <c r="L51" i="1" s="1"/>
  <c r="BC47" i="1"/>
  <c r="AY47" i="1" a="1"/>
  <c r="AY47" i="1" s="1"/>
  <c r="L47" i="1" s="1" a="1"/>
  <c r="L47" i="1" s="1"/>
  <c r="BF94" i="1" l="1"/>
  <c r="BE94" i="1" a="1"/>
  <c r="BE94" i="1" s="1"/>
  <c r="N94" i="1" s="1" a="1"/>
  <c r="N94" i="1" s="1"/>
  <c r="BF8" i="1"/>
  <c r="BE8" i="1" a="1"/>
  <c r="BE8" i="1" s="1"/>
  <c r="N8" i="1" s="1" a="1"/>
  <c r="N8" i="1" s="1"/>
  <c r="BF77" i="1"/>
  <c r="BE77" i="1" a="1"/>
  <c r="BE77" i="1" s="1"/>
  <c r="N77" i="1" s="1" a="1"/>
  <c r="N77" i="1" s="1"/>
  <c r="BF146" i="1"/>
  <c r="BE146" i="1" a="1"/>
  <c r="BE146" i="1" s="1"/>
  <c r="N146" i="1" s="1" a="1"/>
  <c r="N146" i="1" s="1"/>
  <c r="BF19" i="1"/>
  <c r="BE19" i="1" a="1"/>
  <c r="BE19" i="1" s="1"/>
  <c r="N19" i="1" s="1" a="1"/>
  <c r="N19" i="1" s="1"/>
  <c r="BF144" i="1"/>
  <c r="BE144" i="1" a="1"/>
  <c r="BE144" i="1" s="1"/>
  <c r="N144" i="1" s="1" a="1"/>
  <c r="N144" i="1" s="1"/>
  <c r="BF44" i="1"/>
  <c r="BE44" i="1" a="1"/>
  <c r="BE44" i="1" s="1"/>
  <c r="N44" i="1" s="1" a="1"/>
  <c r="N44" i="1" s="1"/>
  <c r="BF145" i="1"/>
  <c r="BE145" i="1" a="1"/>
  <c r="BE145" i="1" s="1"/>
  <c r="N145" i="1" s="1" a="1"/>
  <c r="N145" i="1" s="1"/>
  <c r="BF54" i="1"/>
  <c r="BE54" i="1" a="1"/>
  <c r="BE54" i="1" s="1"/>
  <c r="N54" i="1" s="1" a="1"/>
  <c r="N54" i="1" s="1"/>
  <c r="BF103" i="1"/>
  <c r="BE103" i="1" a="1"/>
  <c r="BE103" i="1" s="1"/>
  <c r="N103" i="1" s="1" a="1"/>
  <c r="N103" i="1" s="1"/>
  <c r="BF47" i="1"/>
  <c r="BE47" i="1" a="1"/>
  <c r="BE47" i="1" s="1"/>
  <c r="N47" i="1" s="1" a="1"/>
  <c r="N47" i="1" s="1"/>
  <c r="BF57" i="1"/>
  <c r="BE57" i="1" a="1"/>
  <c r="BE57" i="1" s="1"/>
  <c r="N57" i="1" s="1" a="1"/>
  <c r="N57" i="1" s="1"/>
  <c r="BF28" i="1"/>
  <c r="BE28" i="1" a="1"/>
  <c r="BE28" i="1" s="1"/>
  <c r="N28" i="1" s="1" a="1"/>
  <c r="N28" i="1" s="1"/>
  <c r="BF113" i="1"/>
  <c r="BE113" i="1" a="1"/>
  <c r="BE113" i="1" s="1"/>
  <c r="N113" i="1" s="1" a="1"/>
  <c r="N113" i="1" s="1"/>
  <c r="BF75" i="1"/>
  <c r="BE75" i="1" a="1"/>
  <c r="BE75" i="1" s="1"/>
  <c r="N75" i="1" s="1" a="1"/>
  <c r="N75" i="1" s="1"/>
  <c r="BF13" i="1"/>
  <c r="BE13" i="1" a="1"/>
  <c r="BE13" i="1" s="1"/>
  <c r="N13" i="1" s="1" a="1"/>
  <c r="N13" i="1" s="1"/>
  <c r="BF58" i="1"/>
  <c r="BE58" i="1" a="1"/>
  <c r="BE58" i="1" s="1"/>
  <c r="N58" i="1" s="1" a="1"/>
  <c r="N58" i="1" s="1"/>
  <c r="BF30" i="1"/>
  <c r="BE30" i="1" a="1"/>
  <c r="BE30" i="1" s="1"/>
  <c r="N30" i="1" s="1" a="1"/>
  <c r="N30" i="1" s="1"/>
  <c r="BF39" i="1"/>
  <c r="BE39" i="1" a="1"/>
  <c r="BE39" i="1" s="1"/>
  <c r="N39" i="1" s="1" a="1"/>
  <c r="N39" i="1" s="1"/>
  <c r="BF135" i="1"/>
  <c r="BE135" i="1" a="1"/>
  <c r="BE135" i="1" s="1"/>
  <c r="N135" i="1" s="1" a="1"/>
  <c r="N135" i="1" s="1"/>
  <c r="BF137" i="1"/>
  <c r="BE137" i="1" a="1"/>
  <c r="BE137" i="1" s="1"/>
  <c r="N137" i="1" s="1" a="1"/>
  <c r="N137" i="1" s="1"/>
  <c r="BF60" i="1"/>
  <c r="BE60" i="1" a="1"/>
  <c r="BE60" i="1" s="1"/>
  <c r="N60" i="1" s="1" a="1"/>
  <c r="N60" i="1" s="1"/>
  <c r="BF23" i="1"/>
  <c r="BE23" i="1" a="1"/>
  <c r="BE23" i="1" s="1"/>
  <c r="N23" i="1" s="1" a="1"/>
  <c r="N23" i="1" s="1"/>
  <c r="BF25" i="1"/>
  <c r="BE25" i="1" a="1"/>
  <c r="BE25" i="1" s="1"/>
  <c r="N25" i="1" s="1" a="1"/>
  <c r="N25" i="1" s="1"/>
  <c r="BF65" i="1"/>
  <c r="BE65" i="1" a="1"/>
  <c r="BE65" i="1" s="1"/>
  <c r="N65" i="1" s="1" a="1"/>
  <c r="N65" i="1" s="1"/>
  <c r="BF17" i="1"/>
  <c r="BE17" i="1" a="1"/>
  <c r="BE17" i="1" s="1"/>
  <c r="N17" i="1" s="1" a="1"/>
  <c r="N17" i="1" s="1"/>
  <c r="BF129" i="1"/>
  <c r="BE129" i="1" a="1"/>
  <c r="BE129" i="1" s="1"/>
  <c r="N129" i="1" s="1" a="1"/>
  <c r="N129" i="1" s="1"/>
  <c r="BF130" i="1"/>
  <c r="BE130" i="1" a="1"/>
  <c r="BE130" i="1" s="1"/>
  <c r="N130" i="1" s="1" a="1"/>
  <c r="N130" i="1" s="1"/>
  <c r="BF14" i="1"/>
  <c r="BE14" i="1" a="1"/>
  <c r="BE14" i="1" s="1"/>
  <c r="N14" i="1" s="1" a="1"/>
  <c r="N14" i="1" s="1"/>
  <c r="BF97" i="1"/>
  <c r="BE97" i="1" a="1"/>
  <c r="BE97" i="1" s="1"/>
  <c r="N97" i="1" s="1" a="1"/>
  <c r="N97" i="1" s="1"/>
  <c r="BF48" i="1"/>
  <c r="BE48" i="1" a="1"/>
  <c r="BE48" i="1" s="1"/>
  <c r="N48" i="1" s="1" a="1"/>
  <c r="N48" i="1" s="1"/>
  <c r="BF143" i="1"/>
  <c r="BE143" i="1" a="1"/>
  <c r="BE143" i="1" s="1"/>
  <c r="N143" i="1" s="1" a="1"/>
  <c r="N143" i="1" s="1"/>
  <c r="BF71" i="1"/>
  <c r="BE71" i="1" a="1"/>
  <c r="BE71" i="1" s="1"/>
  <c r="N71" i="1" s="1" a="1"/>
  <c r="N71" i="1" s="1"/>
  <c r="BF124" i="1"/>
  <c r="BE124" i="1" a="1"/>
  <c r="BE124" i="1" s="1"/>
  <c r="N124" i="1" s="1" a="1"/>
  <c r="N124" i="1" s="1"/>
  <c r="BF95" i="1"/>
  <c r="BE95" i="1" a="1"/>
  <c r="BE95" i="1" s="1"/>
  <c r="N95" i="1" s="1" a="1"/>
  <c r="N95" i="1" s="1"/>
  <c r="BF153" i="1"/>
  <c r="BE153" i="1" a="1"/>
  <c r="BE153" i="1" s="1"/>
  <c r="N153" i="1" s="1" a="1"/>
  <c r="N153" i="1" s="1"/>
  <c r="BF156" i="1"/>
  <c r="BE156" i="1" a="1"/>
  <c r="BE156" i="1" s="1"/>
  <c r="N156" i="1" s="1" a="1"/>
  <c r="N156" i="1" s="1"/>
  <c r="BF105" i="1"/>
  <c r="BE105" i="1" a="1"/>
  <c r="BE105" i="1" s="1"/>
  <c r="N105" i="1" s="1" a="1"/>
  <c r="N105" i="1" s="1"/>
  <c r="BF51" i="1"/>
  <c r="BE51" i="1" a="1"/>
  <c r="BE51" i="1" s="1"/>
  <c r="N51" i="1" s="1" a="1"/>
  <c r="N51" i="1" s="1"/>
  <c r="BF81" i="1"/>
  <c r="BE81" i="1" a="1"/>
  <c r="BE81" i="1" s="1"/>
  <c r="N81" i="1" s="1" a="1"/>
  <c r="N81" i="1" s="1"/>
  <c r="BF50" i="1"/>
  <c r="BE50" i="1" a="1"/>
  <c r="BE50" i="1" s="1"/>
  <c r="N50" i="1" s="1" a="1"/>
  <c r="N50" i="1" s="1"/>
  <c r="BF52" i="1"/>
  <c r="BE52" i="1" a="1"/>
  <c r="BE52" i="1" s="1"/>
  <c r="N52" i="1" s="1" a="1"/>
  <c r="N52" i="1" s="1"/>
  <c r="BF120" i="1"/>
  <c r="BE120" i="1" a="1"/>
  <c r="BE120" i="1" s="1"/>
  <c r="N120" i="1" s="1" a="1"/>
  <c r="N120" i="1" s="1"/>
  <c r="BF79" i="1"/>
  <c r="BE79" i="1" a="1"/>
  <c r="BE79" i="1" s="1"/>
  <c r="N79" i="1" s="1" a="1"/>
  <c r="N79" i="1" s="1"/>
  <c r="BF43" i="1"/>
  <c r="BE43" i="1" a="1"/>
  <c r="BE43" i="1" s="1"/>
  <c r="N43" i="1" s="1" a="1"/>
  <c r="N43" i="1" s="1"/>
  <c r="BF55" i="1"/>
  <c r="BE55" i="1" a="1"/>
  <c r="BE55" i="1" s="1"/>
  <c r="N55" i="1" s="1" a="1"/>
  <c r="N55" i="1" s="1"/>
  <c r="BF7" i="1"/>
  <c r="BE7" i="1" a="1"/>
  <c r="BE7" i="1" s="1"/>
  <c r="N7" i="1" s="1" a="1"/>
  <c r="N7" i="1" s="1"/>
  <c r="BF63" i="1"/>
  <c r="BE63" i="1" a="1"/>
  <c r="BE63" i="1" s="1"/>
  <c r="N63" i="1" s="1" a="1"/>
  <c r="N63" i="1" s="1"/>
  <c r="BF91" i="1"/>
  <c r="BE91" i="1" a="1"/>
  <c r="BE91" i="1" s="1"/>
  <c r="N91" i="1" s="1" a="1"/>
  <c r="N91" i="1" s="1"/>
  <c r="BF116" i="1"/>
  <c r="BE116" i="1" a="1"/>
  <c r="BE116" i="1" s="1"/>
  <c r="N116" i="1" s="1" a="1"/>
  <c r="N116" i="1" s="1"/>
  <c r="BF119" i="1"/>
  <c r="BE119" i="1" a="1"/>
  <c r="BE119" i="1" s="1"/>
  <c r="N119" i="1" s="1" a="1"/>
  <c r="N119" i="1" s="1"/>
  <c r="BF85" i="1"/>
  <c r="BE85" i="1" a="1"/>
  <c r="BE85" i="1" s="1"/>
  <c r="N85" i="1" s="1" a="1"/>
  <c r="N85" i="1" s="1"/>
  <c r="BF15" i="1"/>
  <c r="BE15" i="1" a="1"/>
  <c r="BE15" i="1" s="1"/>
  <c r="N15" i="1" s="1" a="1"/>
  <c r="N15" i="1" s="1"/>
  <c r="BF53" i="1"/>
  <c r="BE53" i="1" a="1"/>
  <c r="BE53" i="1" s="1"/>
  <c r="N53" i="1" s="1" a="1"/>
  <c r="N53" i="1" s="1"/>
  <c r="BF89" i="1"/>
  <c r="BE89" i="1" a="1"/>
  <c r="BE89" i="1" s="1"/>
  <c r="N89" i="1" s="1" a="1"/>
  <c r="N89" i="1" s="1"/>
  <c r="BF38" i="1"/>
  <c r="BE38" i="1" a="1"/>
  <c r="BE38" i="1" s="1"/>
  <c r="N38" i="1" s="1" a="1"/>
  <c r="N38" i="1" s="1"/>
  <c r="BF147" i="1"/>
  <c r="BE147" i="1" a="1"/>
  <c r="BE147" i="1" s="1"/>
  <c r="N147" i="1" s="1" a="1"/>
  <c r="N147" i="1" s="1"/>
  <c r="BF69" i="1"/>
  <c r="BE69" i="1" a="1"/>
  <c r="BE69" i="1" s="1"/>
  <c r="N69" i="1" s="1" a="1"/>
  <c r="N69" i="1" s="1"/>
  <c r="BF152" i="1"/>
  <c r="BE152" i="1" a="1"/>
  <c r="BE152" i="1" s="1"/>
  <c r="N152" i="1" s="1" a="1"/>
  <c r="N152" i="1" s="1"/>
  <c r="BF104" i="1"/>
  <c r="BE104" i="1" a="1"/>
  <c r="BE104" i="1" s="1"/>
  <c r="N104" i="1" s="1" a="1"/>
  <c r="N104" i="1" s="1"/>
  <c r="BF35" i="1"/>
  <c r="BE35" i="1" a="1"/>
  <c r="BE35" i="1" s="1"/>
  <c r="N35" i="1" s="1" a="1"/>
  <c r="N35" i="1" s="1"/>
  <c r="BF108" i="1"/>
  <c r="BE108" i="1" a="1"/>
  <c r="BE108" i="1" s="1"/>
  <c r="N108" i="1" s="1" a="1"/>
  <c r="N108" i="1" s="1"/>
  <c r="BF49" i="1"/>
  <c r="BE49" i="1" a="1"/>
  <c r="BE49" i="1" s="1"/>
  <c r="N49" i="1" s="1" a="1"/>
  <c r="N49" i="1" s="1"/>
  <c r="BF102" i="1"/>
  <c r="BE102" i="1" a="1"/>
  <c r="BE102" i="1" s="1"/>
  <c r="N102" i="1" s="1" a="1"/>
  <c r="N102" i="1" s="1"/>
  <c r="BF133" i="1"/>
  <c r="BE133" i="1" a="1"/>
  <c r="BE133" i="1" s="1"/>
  <c r="N133" i="1" s="1" a="1"/>
  <c r="N133" i="1" s="1"/>
  <c r="BF64" i="1"/>
  <c r="BE64" i="1" a="1"/>
  <c r="BE64" i="1" s="1"/>
  <c r="N64" i="1" s="1" a="1"/>
  <c r="N64" i="1" s="1"/>
  <c r="BF93" i="1"/>
  <c r="BE93" i="1" a="1"/>
  <c r="BE93" i="1" s="1"/>
  <c r="N93" i="1" s="1" a="1"/>
  <c r="N93" i="1" s="1"/>
  <c r="BF109" i="1"/>
  <c r="BE109" i="1" a="1"/>
  <c r="BE109" i="1" s="1"/>
  <c r="N109" i="1" s="1" a="1"/>
  <c r="N109" i="1" s="1"/>
  <c r="BF29" i="1"/>
  <c r="BE29" i="1" a="1"/>
  <c r="BE29" i="1" s="1"/>
  <c r="N29" i="1" s="1" a="1"/>
  <c r="N29" i="1" s="1"/>
  <c r="BF5" i="1"/>
  <c r="BE5" i="1" a="1"/>
  <c r="BE5" i="1" s="1"/>
  <c r="N5" i="1" s="1" a="1"/>
  <c r="N5" i="1" s="1"/>
  <c r="BF78" i="1"/>
  <c r="BE78" i="1" a="1"/>
  <c r="BE78" i="1" s="1"/>
  <c r="N78" i="1" s="1" a="1"/>
  <c r="N78" i="1" s="1"/>
  <c r="BF148" i="1"/>
  <c r="BE148" i="1" a="1"/>
  <c r="BE148" i="1" s="1"/>
  <c r="N148" i="1" s="1" a="1"/>
  <c r="N148" i="1" s="1"/>
  <c r="BF127" i="1"/>
  <c r="BE127" i="1" a="1"/>
  <c r="BE127" i="1" s="1"/>
  <c r="N127" i="1" s="1" a="1"/>
  <c r="N127" i="1" s="1"/>
  <c r="BF32" i="1"/>
  <c r="BE32" i="1" a="1"/>
  <c r="BE32" i="1" s="1"/>
  <c r="N32" i="1" s="1" a="1"/>
  <c r="N32" i="1" s="1"/>
  <c r="BF82" i="1"/>
  <c r="BE82" i="1" a="1"/>
  <c r="BE82" i="1" s="1"/>
  <c r="N82" i="1" s="1" a="1"/>
  <c r="N82" i="1" s="1"/>
  <c r="BF86" i="1"/>
  <c r="BE86" i="1" a="1"/>
  <c r="BE86" i="1" s="1"/>
  <c r="N86" i="1" s="1" a="1"/>
  <c r="N86" i="1" s="1"/>
  <c r="BF40" i="1"/>
  <c r="BE40" i="1" a="1"/>
  <c r="BE40" i="1" s="1"/>
  <c r="N40" i="1" s="1" a="1"/>
  <c r="N40" i="1" s="1"/>
  <c r="BF27" i="1"/>
  <c r="BE27" i="1" a="1"/>
  <c r="BE27" i="1" s="1"/>
  <c r="N27" i="1" s="1" a="1"/>
  <c r="N27" i="1" s="1"/>
  <c r="BF33" i="1"/>
  <c r="BE33" i="1" a="1"/>
  <c r="BE33" i="1" s="1"/>
  <c r="N33" i="1" s="1" a="1"/>
  <c r="N33" i="1" s="1"/>
  <c r="BF134" i="1"/>
  <c r="BE134" i="1" a="1"/>
  <c r="BE134" i="1" s="1"/>
  <c r="N134" i="1" s="1" a="1"/>
  <c r="N134" i="1" s="1"/>
  <c r="BF36" i="1"/>
  <c r="BE36" i="1" a="1"/>
  <c r="BE36" i="1" s="1"/>
  <c r="N36" i="1" s="1" a="1"/>
  <c r="N36" i="1" s="1"/>
  <c r="BF151" i="1"/>
  <c r="BE151" i="1" a="1"/>
  <c r="BE151" i="1" s="1"/>
  <c r="N151" i="1" s="1" a="1"/>
  <c r="N151" i="1" s="1"/>
  <c r="BF117" i="1"/>
  <c r="BE117" i="1" a="1"/>
  <c r="BE117" i="1" s="1"/>
  <c r="N117" i="1" s="1" a="1"/>
  <c r="N117" i="1" s="1"/>
  <c r="BF118" i="1"/>
  <c r="BE118" i="1" a="1"/>
  <c r="BE118" i="1" s="1"/>
  <c r="N118" i="1" s="1" a="1"/>
  <c r="N118" i="1" s="1"/>
  <c r="BF37" i="1"/>
  <c r="BE37" i="1" a="1"/>
  <c r="BE37" i="1" s="1"/>
  <c r="N37" i="1" s="1" a="1"/>
  <c r="N37" i="1" s="1"/>
  <c r="BF157" i="1"/>
  <c r="BE157" i="1" a="1"/>
  <c r="BE157" i="1" s="1"/>
  <c r="N157" i="1" s="1" a="1"/>
  <c r="N157" i="1" s="1"/>
  <c r="BF66" i="1"/>
  <c r="BE66" i="1" a="1"/>
  <c r="BE66" i="1" s="1"/>
  <c r="N66" i="1" s="1" a="1"/>
  <c r="N66" i="1" s="1"/>
  <c r="BF68" i="1"/>
  <c r="BE68" i="1" a="1"/>
  <c r="BE68" i="1" s="1"/>
  <c r="N68" i="1" s="1" a="1"/>
  <c r="N68" i="1" s="1"/>
  <c r="BF160" i="1"/>
  <c r="BE160" i="1" a="1"/>
  <c r="BE160" i="1" s="1"/>
  <c r="N160" i="1" s="1" a="1"/>
  <c r="N160" i="1" s="1"/>
  <c r="BF70" i="1"/>
  <c r="BE70" i="1" a="1"/>
  <c r="BE70" i="1" s="1"/>
  <c r="N70" i="1" s="1" a="1"/>
  <c r="N70" i="1" s="1"/>
  <c r="BF141" i="1"/>
  <c r="BE141" i="1" a="1"/>
  <c r="BE141" i="1" s="1"/>
  <c r="N141" i="1" s="1" a="1"/>
  <c r="N141" i="1" s="1"/>
  <c r="BF142" i="1"/>
  <c r="BE142" i="1" a="1"/>
  <c r="BE142" i="1" s="1"/>
  <c r="N142" i="1" s="1" a="1"/>
  <c r="N142" i="1" s="1"/>
  <c r="BF136" i="1"/>
  <c r="BE136" i="1" a="1"/>
  <c r="BE136" i="1" s="1"/>
  <c r="N136" i="1" s="1" a="1"/>
  <c r="N136" i="1" s="1"/>
  <c r="BF6" i="1"/>
  <c r="BE6" i="1" a="1"/>
  <c r="BE6" i="1" s="1"/>
  <c r="N6" i="1" s="1" a="1"/>
  <c r="N6" i="1" s="1"/>
  <c r="BF138" i="1"/>
  <c r="BE138" i="1" a="1"/>
  <c r="BE138" i="1" s="1"/>
  <c r="N138" i="1" s="1" a="1"/>
  <c r="N138" i="1" s="1"/>
  <c r="BF76" i="1"/>
  <c r="BE76" i="1" a="1"/>
  <c r="BE76" i="1" s="1"/>
  <c r="N76" i="1" s="1" a="1"/>
  <c r="N76" i="1" s="1"/>
  <c r="BF98" i="1"/>
  <c r="BE98" i="1" a="1"/>
  <c r="BE98" i="1" s="1"/>
  <c r="N98" i="1" s="1" a="1"/>
  <c r="N98" i="1" s="1"/>
  <c r="BF107" i="1"/>
  <c r="BE107" i="1" a="1"/>
  <c r="BE107" i="1" s="1"/>
  <c r="N107" i="1" s="1" a="1"/>
  <c r="N107" i="1" s="1"/>
  <c r="BF67" i="1"/>
  <c r="BE67" i="1" a="1"/>
  <c r="BE67" i="1" s="1"/>
  <c r="N67" i="1" s="1" a="1"/>
  <c r="N67" i="1" s="1"/>
  <c r="BF123" i="1"/>
  <c r="BE123" i="1" a="1"/>
  <c r="BE123" i="1" s="1"/>
  <c r="N123" i="1" s="1" a="1"/>
  <c r="N123" i="1" s="1"/>
  <c r="BF59" i="1"/>
  <c r="BE59" i="1" a="1"/>
  <c r="BE59" i="1" s="1"/>
  <c r="N59" i="1" s="1" a="1"/>
  <c r="N59" i="1" s="1"/>
  <c r="BF96" i="1"/>
  <c r="BE96" i="1" a="1"/>
  <c r="BE96" i="1" s="1"/>
  <c r="N96" i="1" s="1" a="1"/>
  <c r="N96" i="1" s="1"/>
  <c r="BF11" i="1"/>
  <c r="BE11" i="1" a="1"/>
  <c r="BE11" i="1" s="1"/>
  <c r="N11" i="1" s="1" a="1"/>
  <c r="N11" i="1" s="1"/>
  <c r="BF92" i="1"/>
  <c r="BE92" i="1" a="1"/>
  <c r="BE92" i="1" s="1"/>
  <c r="N92" i="1" s="1" a="1"/>
  <c r="N92" i="1" s="1"/>
  <c r="BF10" i="1"/>
  <c r="BE10" i="1" a="1"/>
  <c r="BE10" i="1" s="1"/>
  <c r="N10" i="1" s="1" a="1"/>
  <c r="N10" i="1" s="1"/>
  <c r="BF84" i="1"/>
  <c r="BE84" i="1" a="1"/>
  <c r="BE84" i="1" s="1"/>
  <c r="N84" i="1" s="1" a="1"/>
  <c r="N84" i="1" s="1"/>
  <c r="BF126" i="1"/>
  <c r="BE126" i="1" a="1"/>
  <c r="BE126" i="1" s="1"/>
  <c r="N126" i="1" s="1" a="1"/>
  <c r="N126" i="1" s="1"/>
  <c r="BF132" i="1"/>
  <c r="BE132" i="1" a="1"/>
  <c r="BE132" i="1" s="1"/>
  <c r="N132" i="1" s="1" a="1"/>
  <c r="N132" i="1" s="1"/>
  <c r="BF73" i="1"/>
  <c r="BE73" i="1" a="1"/>
  <c r="BE73" i="1" s="1"/>
  <c r="N73" i="1" s="1" a="1"/>
  <c r="N73" i="1" s="1"/>
  <c r="BF139" i="1"/>
  <c r="BE139" i="1" a="1"/>
  <c r="BE139" i="1" s="1"/>
  <c r="N139" i="1" s="1" a="1"/>
  <c r="N139" i="1" s="1"/>
  <c r="BF106" i="1"/>
  <c r="BE106" i="1" a="1"/>
  <c r="BE106" i="1" s="1"/>
  <c r="N106" i="1" s="1" a="1"/>
  <c r="N106" i="1" s="1"/>
  <c r="BF20" i="1"/>
  <c r="BE20" i="1" a="1"/>
  <c r="BE20" i="1" s="1"/>
  <c r="N20" i="1" s="1" a="1"/>
  <c r="N20" i="1" s="1"/>
  <c r="BF61" i="1"/>
  <c r="BE61" i="1" a="1"/>
  <c r="BE61" i="1" s="1"/>
  <c r="N61" i="1" s="1" a="1"/>
  <c r="N61" i="1" s="1"/>
  <c r="BF149" i="1"/>
  <c r="BE149" i="1" a="1"/>
  <c r="BE149" i="1" s="1"/>
  <c r="N149" i="1" s="1" a="1"/>
  <c r="N149" i="1" s="1"/>
  <c r="BF140" i="1"/>
  <c r="BE140" i="1" a="1"/>
  <c r="BE140" i="1" s="1"/>
  <c r="N140" i="1" s="1" a="1"/>
  <c r="N140" i="1" s="1"/>
  <c r="BF101" i="1"/>
  <c r="BE101" i="1" a="1"/>
  <c r="BE101" i="1" s="1"/>
  <c r="N101" i="1" s="1" a="1"/>
  <c r="N101" i="1" s="1"/>
  <c r="BF110" i="1"/>
  <c r="BE110" i="1" a="1"/>
  <c r="BE110" i="1" s="1"/>
  <c r="N110" i="1" s="1" a="1"/>
  <c r="N110" i="1" s="1"/>
  <c r="BF100" i="1"/>
  <c r="BE100" i="1" a="1"/>
  <c r="BE100" i="1" s="1"/>
  <c r="N100" i="1" s="1" a="1"/>
  <c r="N100" i="1" s="1"/>
  <c r="BF24" i="1"/>
  <c r="BE24" i="1" a="1"/>
  <c r="BE24" i="1" s="1"/>
  <c r="N24" i="1" s="1" a="1"/>
  <c r="N24" i="1" s="1"/>
  <c r="BF128" i="1"/>
  <c r="BE128" i="1" a="1"/>
  <c r="BE128" i="1" s="1"/>
  <c r="N128" i="1" s="1" a="1"/>
  <c r="N128" i="1" s="1"/>
  <c r="BF131" i="1"/>
  <c r="BE131" i="1" a="1"/>
  <c r="BE131" i="1" s="1"/>
  <c r="N131" i="1" s="1" a="1"/>
  <c r="N131" i="1" s="1"/>
  <c r="BF72" i="1"/>
  <c r="BE72" i="1" a="1"/>
  <c r="BE72" i="1" s="1"/>
  <c r="N72" i="1" s="1" a="1"/>
  <c r="N72" i="1" s="1"/>
  <c r="BF83" i="1"/>
  <c r="BE83" i="1" a="1"/>
  <c r="BE83" i="1" s="1"/>
  <c r="N83" i="1" s="1" a="1"/>
  <c r="N83" i="1" s="1"/>
  <c r="BF80" i="1"/>
  <c r="BE80" i="1" a="1"/>
  <c r="BE80" i="1" s="1"/>
  <c r="N80" i="1" s="1" a="1"/>
  <c r="N80" i="1" s="1"/>
  <c r="BF74" i="1"/>
  <c r="BE74" i="1" a="1"/>
  <c r="BE74" i="1" s="1"/>
  <c r="N74" i="1" s="1" a="1"/>
  <c r="N74" i="1" s="1"/>
  <c r="BF155" i="1"/>
  <c r="BE155" i="1" a="1"/>
  <c r="BE155" i="1" s="1"/>
  <c r="N155" i="1" s="1" a="1"/>
  <c r="N155" i="1" s="1"/>
  <c r="BF9" i="1"/>
  <c r="BE9" i="1" a="1"/>
  <c r="BE9" i="1" s="1"/>
  <c r="N9" i="1" s="1" a="1"/>
  <c r="N9" i="1" s="1"/>
  <c r="BF122" i="1"/>
  <c r="BE122" i="1" a="1"/>
  <c r="BE122" i="1" s="1"/>
  <c r="N122" i="1" s="1" a="1"/>
  <c r="N122" i="1" s="1"/>
  <c r="BF12" i="1"/>
  <c r="BE12" i="1" a="1"/>
  <c r="BE12" i="1" s="1"/>
  <c r="N12" i="1" s="1" a="1"/>
  <c r="N12" i="1" s="1"/>
  <c r="BF87" i="1"/>
  <c r="BE87" i="1" a="1"/>
  <c r="BE87" i="1" s="1"/>
  <c r="N87" i="1" s="1" a="1"/>
  <c r="N87" i="1" s="1"/>
  <c r="BF115" i="1"/>
  <c r="BE115" i="1" a="1"/>
  <c r="BE115" i="1" s="1"/>
  <c r="N115" i="1" s="1" a="1"/>
  <c r="N115" i="1" s="1"/>
  <c r="BF154" i="1"/>
  <c r="BE154" i="1" a="1"/>
  <c r="BE154" i="1" s="1"/>
  <c r="N154" i="1" s="1" a="1"/>
  <c r="N154" i="1" s="1"/>
  <c r="BF99" i="1"/>
  <c r="BE99" i="1" a="1"/>
  <c r="BE99" i="1" s="1"/>
  <c r="N99" i="1" s="1" a="1"/>
  <c r="N99" i="1" s="1"/>
  <c r="BF90" i="1"/>
  <c r="BE90" i="1" a="1"/>
  <c r="BE90" i="1" s="1"/>
  <c r="N90" i="1" s="1" a="1"/>
  <c r="N90" i="1" s="1"/>
  <c r="BF125" i="1"/>
  <c r="BE125" i="1" a="1"/>
  <c r="BE125" i="1" s="1"/>
  <c r="N125" i="1" s="1" a="1"/>
  <c r="N125" i="1" s="1"/>
  <c r="BF56" i="1"/>
  <c r="BE56" i="1" a="1"/>
  <c r="BE56" i="1" s="1"/>
  <c r="N56" i="1" s="1" a="1"/>
  <c r="N56" i="1" s="1"/>
  <c r="BF31" i="1"/>
  <c r="BE31" i="1" a="1"/>
  <c r="BE31" i="1" s="1"/>
  <c r="N31" i="1" s="1" a="1"/>
  <c r="N31" i="1" s="1"/>
  <c r="BF112" i="1"/>
  <c r="BE112" i="1" a="1"/>
  <c r="BE112" i="1" s="1"/>
  <c r="N112" i="1" s="1" a="1"/>
  <c r="N112" i="1" s="1"/>
  <c r="BF62" i="1"/>
  <c r="BE62" i="1" a="1"/>
  <c r="BE62" i="1" s="1"/>
  <c r="N62" i="1" s="1" a="1"/>
  <c r="N62" i="1" s="1"/>
  <c r="BF41" i="1"/>
  <c r="BE41" i="1" a="1"/>
  <c r="BE41" i="1" s="1"/>
  <c r="N41" i="1" s="1" a="1"/>
  <c r="N41" i="1" s="1"/>
  <c r="BF42" i="1"/>
  <c r="BE42" i="1" a="1"/>
  <c r="BE42" i="1" s="1"/>
  <c r="N42" i="1" s="1" a="1"/>
  <c r="N42" i="1" s="1"/>
  <c r="BF4" i="1"/>
  <c r="BE4" i="1" a="1"/>
  <c r="BE4" i="1" s="1"/>
  <c r="N4" i="1" s="1" a="1"/>
  <c r="N4" i="1" s="1"/>
  <c r="BF26" i="1"/>
  <c r="BE26" i="1" a="1"/>
  <c r="BE26" i="1" s="1"/>
  <c r="N26" i="1" s="1" a="1"/>
  <c r="N26" i="1" s="1"/>
  <c r="BF111" i="1"/>
  <c r="BE111" i="1" a="1"/>
  <c r="BE111" i="1" s="1"/>
  <c r="N111" i="1" s="1" a="1"/>
  <c r="N111" i="1" s="1"/>
  <c r="BF121" i="1"/>
  <c r="BE121" i="1" a="1"/>
  <c r="BE121" i="1" s="1"/>
  <c r="N121" i="1" s="1" a="1"/>
  <c r="N121" i="1" s="1"/>
  <c r="BF150" i="1"/>
  <c r="BE150" i="1" a="1"/>
  <c r="BE150" i="1" s="1"/>
  <c r="N150" i="1" s="1" a="1"/>
  <c r="N150" i="1" s="1"/>
  <c r="BF16" i="1"/>
  <c r="BE16" i="1" a="1"/>
  <c r="BE16" i="1" s="1"/>
  <c r="N16" i="1" s="1" a="1"/>
  <c r="N16" i="1" s="1"/>
  <c r="BF22" i="1"/>
  <c r="BE22" i="1" a="1"/>
  <c r="BE22" i="1" s="1"/>
  <c r="N22" i="1" s="1" a="1"/>
  <c r="N22" i="1" s="1"/>
  <c r="BF46" i="1"/>
  <c r="BE46" i="1" a="1"/>
  <c r="BE46" i="1" s="1"/>
  <c r="N46" i="1" s="1" a="1"/>
  <c r="N46" i="1" s="1"/>
  <c r="BF18" i="1"/>
  <c r="BE18" i="1" a="1"/>
  <c r="BE18" i="1" s="1"/>
  <c r="N18" i="1" s="1" a="1"/>
  <c r="N18" i="1" s="1"/>
  <c r="BF45" i="1"/>
  <c r="BE45" i="1" a="1"/>
  <c r="BE45" i="1" s="1"/>
  <c r="N45" i="1" s="1" a="1"/>
  <c r="N45" i="1" s="1"/>
  <c r="BF114" i="1"/>
  <c r="BE114" i="1" a="1"/>
  <c r="BE114" i="1" s="1"/>
  <c r="N114" i="1" s="1" a="1"/>
  <c r="N114" i="1" s="1"/>
  <c r="BF34" i="1"/>
  <c r="BE34" i="1" a="1"/>
  <c r="BE34" i="1" s="1"/>
  <c r="N34" i="1" s="1" a="1"/>
  <c r="N34" i="1" s="1"/>
  <c r="BF88" i="1"/>
  <c r="BE88" i="1" a="1"/>
  <c r="BE88" i="1" s="1"/>
  <c r="N88" i="1" s="1" a="1"/>
  <c r="N88" i="1" s="1"/>
  <c r="BF21" i="1"/>
  <c r="BE21" i="1" a="1"/>
  <c r="BE21" i="1" s="1"/>
  <c r="N21" i="1" s="1" a="1"/>
  <c r="N21" i="1" s="1"/>
  <c r="BI111" i="1" l="1"/>
  <c r="BH111" i="1" a="1"/>
  <c r="BH111" i="1" s="1"/>
  <c r="O111" i="1" s="1" a="1"/>
  <c r="O111" i="1" s="1"/>
  <c r="BI155" i="1"/>
  <c r="BH155" i="1" a="1"/>
  <c r="BH155" i="1" s="1"/>
  <c r="O155" i="1" s="1" a="1"/>
  <c r="O155" i="1" s="1"/>
  <c r="BI70" i="1"/>
  <c r="BH70" i="1" a="1"/>
  <c r="BH70" i="1" s="1"/>
  <c r="O70" i="1" s="1" a="1"/>
  <c r="O70" i="1" s="1"/>
  <c r="BI104" i="1"/>
  <c r="BH104" i="1" a="1"/>
  <c r="BH104" i="1" s="1"/>
  <c r="O104" i="1" s="1" a="1"/>
  <c r="O104" i="1" s="1"/>
  <c r="BI53" i="1"/>
  <c r="BH53" i="1" a="1"/>
  <c r="BH53" i="1" s="1"/>
  <c r="O53" i="1" s="1" a="1"/>
  <c r="O53" i="1" s="1"/>
  <c r="BI153" i="1"/>
  <c r="BH153" i="1" a="1"/>
  <c r="BH153" i="1" s="1"/>
  <c r="O153" i="1" s="1" a="1"/>
  <c r="O153" i="1" s="1"/>
  <c r="BI144" i="1"/>
  <c r="BH144" i="1" a="1"/>
  <c r="BH144" i="1" s="1"/>
  <c r="O144" i="1" s="1" a="1"/>
  <c r="O144" i="1" s="1"/>
  <c r="BI18" i="1"/>
  <c r="BH18" i="1" a="1"/>
  <c r="BH18" i="1" s="1"/>
  <c r="O18" i="1" s="1" a="1"/>
  <c r="O18" i="1" s="1"/>
  <c r="BI149" i="1"/>
  <c r="BH149" i="1" a="1"/>
  <c r="BH149" i="1" s="1"/>
  <c r="O149" i="1" s="1" a="1"/>
  <c r="O149" i="1" s="1"/>
  <c r="BI27" i="1"/>
  <c r="BH27" i="1" a="1"/>
  <c r="BH27" i="1" s="1"/>
  <c r="O27" i="1" s="1" a="1"/>
  <c r="O27" i="1" s="1"/>
  <c r="BI63" i="1"/>
  <c r="BH63" i="1" a="1"/>
  <c r="BH63" i="1" s="1"/>
  <c r="O63" i="1" s="1" a="1"/>
  <c r="O63" i="1" s="1"/>
  <c r="BI21" i="1"/>
  <c r="BH21" i="1" a="1"/>
  <c r="BH21" i="1" s="1"/>
  <c r="O21" i="1" s="1" a="1"/>
  <c r="O21" i="1" s="1"/>
  <c r="BI46" i="1"/>
  <c r="BH46" i="1" a="1"/>
  <c r="BH46" i="1" s="1"/>
  <c r="O46" i="1" s="1" a="1"/>
  <c r="O46" i="1" s="1"/>
  <c r="BI26" i="1"/>
  <c r="BH26" i="1" a="1"/>
  <c r="BH26" i="1" s="1"/>
  <c r="O26" i="1" s="1" a="1"/>
  <c r="O26" i="1" s="1"/>
  <c r="BI31" i="1"/>
  <c r="BH31" i="1" a="1"/>
  <c r="BH31" i="1" s="1"/>
  <c r="O31" i="1" s="1" a="1"/>
  <c r="O31" i="1" s="1"/>
  <c r="BI115" i="1"/>
  <c r="BH115" i="1" a="1"/>
  <c r="BH115" i="1" s="1"/>
  <c r="O115" i="1" s="1" a="1"/>
  <c r="O115" i="1" s="1"/>
  <c r="BI74" i="1"/>
  <c r="BH74" i="1" a="1"/>
  <c r="BH74" i="1" s="1"/>
  <c r="O74" i="1" s="1" a="1"/>
  <c r="O74" i="1" s="1"/>
  <c r="BI24" i="1"/>
  <c r="BH24" i="1" a="1"/>
  <c r="BH24" i="1" s="1"/>
  <c r="O24" i="1" s="1" a="1"/>
  <c r="O24" i="1" s="1"/>
  <c r="BI61" i="1"/>
  <c r="BH61" i="1" a="1"/>
  <c r="BH61" i="1" s="1"/>
  <c r="O61" i="1" s="1" a="1"/>
  <c r="O61" i="1" s="1"/>
  <c r="BI126" i="1"/>
  <c r="BH126" i="1" a="1"/>
  <c r="BH126" i="1" s="1"/>
  <c r="O126" i="1" s="1" a="1"/>
  <c r="O126" i="1" s="1"/>
  <c r="BI59" i="1"/>
  <c r="BH59" i="1" a="1"/>
  <c r="BH59" i="1" s="1"/>
  <c r="O59" i="1" s="1" a="1"/>
  <c r="O59" i="1" s="1"/>
  <c r="BI138" i="1"/>
  <c r="BH138" i="1" a="1"/>
  <c r="BH138" i="1" s="1"/>
  <c r="O138" i="1" s="1" a="1"/>
  <c r="O138" i="1" s="1"/>
  <c r="BH160" i="1" a="1"/>
  <c r="BH160" i="1" s="1"/>
  <c r="O160" i="1" s="1" a="1"/>
  <c r="O160" i="1" s="1"/>
  <c r="BI160" i="1"/>
  <c r="BI117" i="1"/>
  <c r="BH117" i="1" a="1"/>
  <c r="BH117" i="1" s="1"/>
  <c r="O117" i="1" s="1" a="1"/>
  <c r="O117" i="1" s="1"/>
  <c r="BI40" i="1"/>
  <c r="BH40" i="1" a="1"/>
  <c r="BH40" i="1" s="1"/>
  <c r="O40" i="1" s="1" a="1"/>
  <c r="O40" i="1" s="1"/>
  <c r="BI78" i="1"/>
  <c r="BH78" i="1" a="1"/>
  <c r="BH78" i="1" s="1"/>
  <c r="O78" i="1" s="1" a="1"/>
  <c r="O78" i="1" s="1"/>
  <c r="BI133" i="1"/>
  <c r="BH133" i="1" a="1"/>
  <c r="BH133" i="1" s="1"/>
  <c r="O133" i="1" s="1" a="1"/>
  <c r="O133" i="1" s="1"/>
  <c r="BI152" i="1"/>
  <c r="BH152" i="1" a="1"/>
  <c r="BH152" i="1" s="1"/>
  <c r="O152" i="1" s="1" a="1"/>
  <c r="O152" i="1" s="1"/>
  <c r="BI15" i="1"/>
  <c r="BH15" i="1" a="1"/>
  <c r="BH15" i="1" s="1"/>
  <c r="O15" i="1" s="1" a="1"/>
  <c r="O15" i="1" s="1"/>
  <c r="BI7" i="1"/>
  <c r="BH7" i="1" a="1"/>
  <c r="BH7" i="1" s="1"/>
  <c r="O7" i="1" s="1" a="1"/>
  <c r="O7" i="1" s="1"/>
  <c r="BI50" i="1"/>
  <c r="BH50" i="1" a="1"/>
  <c r="BH50" i="1" s="1"/>
  <c r="O50" i="1" s="1" a="1"/>
  <c r="O50" i="1" s="1"/>
  <c r="BI95" i="1"/>
  <c r="BH95" i="1" a="1"/>
  <c r="BH95" i="1" s="1"/>
  <c r="O95" i="1" s="1" a="1"/>
  <c r="O95" i="1" s="1"/>
  <c r="BI14" i="1"/>
  <c r="BH14" i="1" a="1"/>
  <c r="BH14" i="1" s="1"/>
  <c r="O14" i="1" s="1" a="1"/>
  <c r="O14" i="1" s="1"/>
  <c r="BI23" i="1"/>
  <c r="BH23" i="1" a="1"/>
  <c r="BH23" i="1" s="1"/>
  <c r="O23" i="1" s="1" a="1"/>
  <c r="O23" i="1" s="1"/>
  <c r="BI58" i="1"/>
  <c r="BH58" i="1" a="1"/>
  <c r="BH58" i="1" s="1"/>
  <c r="O58" i="1" s="1" a="1"/>
  <c r="O58" i="1" s="1"/>
  <c r="BI47" i="1"/>
  <c r="BH47" i="1" a="1"/>
  <c r="BH47" i="1" s="1"/>
  <c r="O47" i="1" s="1" a="1"/>
  <c r="O47" i="1" s="1"/>
  <c r="BI19" i="1"/>
  <c r="BH19" i="1" a="1"/>
  <c r="BH19" i="1" s="1"/>
  <c r="O19" i="1" s="1" a="1"/>
  <c r="O19" i="1" s="1"/>
  <c r="BI118" i="1"/>
  <c r="BH118" i="1" a="1"/>
  <c r="BH118" i="1" s="1"/>
  <c r="O118" i="1" s="1" a="1"/>
  <c r="O118" i="1" s="1"/>
  <c r="BI132" i="1"/>
  <c r="BH132" i="1" a="1"/>
  <c r="BH132" i="1" s="1"/>
  <c r="O132" i="1" s="1" a="1"/>
  <c r="O132" i="1" s="1"/>
  <c r="BI97" i="1"/>
  <c r="BH97" i="1" a="1"/>
  <c r="BH97" i="1" s="1"/>
  <c r="O97" i="1" s="1" a="1"/>
  <c r="O97" i="1" s="1"/>
  <c r="BI88" i="1"/>
  <c r="BH88" i="1" a="1"/>
  <c r="BH88" i="1" s="1"/>
  <c r="O88" i="1" s="1" a="1"/>
  <c r="O88" i="1" s="1"/>
  <c r="BI22" i="1"/>
  <c r="BH22" i="1" a="1"/>
  <c r="BH22" i="1" s="1"/>
  <c r="O22" i="1" s="1" a="1"/>
  <c r="O22" i="1" s="1"/>
  <c r="BI4" i="1"/>
  <c r="BH4" i="1" a="1"/>
  <c r="BH4" i="1" s="1"/>
  <c r="O4" i="1" s="1" a="1"/>
  <c r="O4" i="1" s="1"/>
  <c r="BI56" i="1"/>
  <c r="BH56" i="1" a="1"/>
  <c r="BH56" i="1" s="1"/>
  <c r="O56" i="1" s="1" a="1"/>
  <c r="O56" i="1" s="1"/>
  <c r="BI87" i="1"/>
  <c r="BH87" i="1" a="1"/>
  <c r="BH87" i="1" s="1"/>
  <c r="O87" i="1" s="1" a="1"/>
  <c r="O87" i="1" s="1"/>
  <c r="BI80" i="1"/>
  <c r="BH80" i="1" a="1"/>
  <c r="BH80" i="1" s="1"/>
  <c r="O80" i="1" s="1" a="1"/>
  <c r="O80" i="1" s="1"/>
  <c r="BI100" i="1"/>
  <c r="BH100" i="1" a="1"/>
  <c r="BH100" i="1" s="1"/>
  <c r="O100" i="1" s="1" a="1"/>
  <c r="O100" i="1" s="1"/>
  <c r="BI20" i="1"/>
  <c r="BH20" i="1" a="1"/>
  <c r="BH20" i="1" s="1"/>
  <c r="O20" i="1" s="1" a="1"/>
  <c r="O20" i="1" s="1"/>
  <c r="BI84" i="1"/>
  <c r="BH84" i="1" a="1"/>
  <c r="BH84" i="1" s="1"/>
  <c r="O84" i="1" s="1" a="1"/>
  <c r="O84" i="1" s="1"/>
  <c r="BI123" i="1"/>
  <c r="BH123" i="1" a="1"/>
  <c r="BH123" i="1" s="1"/>
  <c r="O123" i="1" s="1" a="1"/>
  <c r="O123" i="1" s="1"/>
  <c r="BI6" i="1"/>
  <c r="BH6" i="1" a="1"/>
  <c r="BH6" i="1" s="1"/>
  <c r="O6" i="1" s="1" a="1"/>
  <c r="O6" i="1" s="1"/>
  <c r="BI68" i="1"/>
  <c r="BH68" i="1" a="1"/>
  <c r="BH68" i="1" s="1"/>
  <c r="O68" i="1" s="1" a="1"/>
  <c r="O68" i="1" s="1"/>
  <c r="BI151" i="1"/>
  <c r="BH151" i="1" a="1"/>
  <c r="BH151" i="1" s="1"/>
  <c r="O151" i="1" s="1" a="1"/>
  <c r="O151" i="1" s="1"/>
  <c r="BI86" i="1"/>
  <c r="BH86" i="1" a="1"/>
  <c r="BH86" i="1" s="1"/>
  <c r="O86" i="1" s="1" a="1"/>
  <c r="O86" i="1" s="1"/>
  <c r="BI5" i="1"/>
  <c r="BH5" i="1" a="1"/>
  <c r="BH5" i="1" s="1"/>
  <c r="O5" i="1" s="1" a="1"/>
  <c r="O5" i="1" s="1"/>
  <c r="BI102" i="1"/>
  <c r="BH102" i="1" a="1"/>
  <c r="BH102" i="1" s="1"/>
  <c r="O102" i="1" s="1" a="1"/>
  <c r="O102" i="1" s="1"/>
  <c r="BI69" i="1"/>
  <c r="BH69" i="1" a="1"/>
  <c r="BH69" i="1" s="1"/>
  <c r="O69" i="1" s="1" a="1"/>
  <c r="O69" i="1" s="1"/>
  <c r="BI85" i="1"/>
  <c r="BH85" i="1" a="1"/>
  <c r="BH85" i="1" s="1"/>
  <c r="O85" i="1" s="1" a="1"/>
  <c r="O85" i="1" s="1"/>
  <c r="BI55" i="1"/>
  <c r="BH55" i="1" a="1"/>
  <c r="BH55" i="1" s="1"/>
  <c r="O55" i="1" s="1" a="1"/>
  <c r="O55" i="1" s="1"/>
  <c r="BI81" i="1"/>
  <c r="BH81" i="1" a="1"/>
  <c r="BH81" i="1" s="1"/>
  <c r="O81" i="1" s="1" a="1"/>
  <c r="O81" i="1" s="1"/>
  <c r="BI124" i="1"/>
  <c r="BH124" i="1" a="1"/>
  <c r="BH124" i="1" s="1"/>
  <c r="O124" i="1" s="1" a="1"/>
  <c r="O124" i="1" s="1"/>
  <c r="BI130" i="1"/>
  <c r="BH130" i="1" a="1"/>
  <c r="BH130" i="1" s="1"/>
  <c r="O130" i="1" s="1" a="1"/>
  <c r="O130" i="1" s="1"/>
  <c r="BI60" i="1"/>
  <c r="BH60" i="1" a="1"/>
  <c r="BH60" i="1" s="1"/>
  <c r="O60" i="1" s="1" a="1"/>
  <c r="O60" i="1" s="1"/>
  <c r="BI13" i="1"/>
  <c r="BH13" i="1" a="1"/>
  <c r="BH13" i="1" s="1"/>
  <c r="O13" i="1" s="1" a="1"/>
  <c r="O13" i="1" s="1"/>
  <c r="BI103" i="1"/>
  <c r="BH103" i="1" a="1"/>
  <c r="BH103" i="1" s="1"/>
  <c r="O103" i="1" s="1" a="1"/>
  <c r="O103" i="1" s="1"/>
  <c r="BI146" i="1"/>
  <c r="BH146" i="1" a="1"/>
  <c r="BH146" i="1" s="1"/>
  <c r="O146" i="1" s="1" a="1"/>
  <c r="O146" i="1" s="1"/>
  <c r="BI96" i="1"/>
  <c r="BH96" i="1" a="1"/>
  <c r="BH96" i="1" s="1"/>
  <c r="O96" i="1" s="1" a="1"/>
  <c r="O96" i="1" s="1"/>
  <c r="BI128" i="1"/>
  <c r="BH128" i="1" a="1"/>
  <c r="BH128" i="1" s="1"/>
  <c r="O128" i="1" s="1" a="1"/>
  <c r="O128" i="1" s="1"/>
  <c r="BI64" i="1"/>
  <c r="BH64" i="1" a="1"/>
  <c r="BH64" i="1" s="1"/>
  <c r="O64" i="1" s="1" a="1"/>
  <c r="O64" i="1" s="1"/>
  <c r="BI57" i="1"/>
  <c r="BH57" i="1" a="1"/>
  <c r="BH57" i="1" s="1"/>
  <c r="O57" i="1" s="1" a="1"/>
  <c r="O57" i="1" s="1"/>
  <c r="BI34" i="1"/>
  <c r="BH34" i="1" a="1"/>
  <c r="BH34" i="1" s="1"/>
  <c r="O34" i="1" s="1" a="1"/>
  <c r="O34" i="1" s="1"/>
  <c r="BI16" i="1"/>
  <c r="BH16" i="1" a="1"/>
  <c r="BH16" i="1" s="1"/>
  <c r="O16" i="1" s="1" a="1"/>
  <c r="O16" i="1" s="1"/>
  <c r="BI42" i="1"/>
  <c r="BH42" i="1" a="1"/>
  <c r="BH42" i="1" s="1"/>
  <c r="O42" i="1" s="1" a="1"/>
  <c r="O42" i="1" s="1"/>
  <c r="BI125" i="1"/>
  <c r="BH125" i="1" a="1"/>
  <c r="BH125" i="1" s="1"/>
  <c r="O125" i="1" s="1" a="1"/>
  <c r="O125" i="1" s="1"/>
  <c r="BI12" i="1"/>
  <c r="BH12" i="1" a="1"/>
  <c r="BH12" i="1" s="1"/>
  <c r="O12" i="1" s="1" a="1"/>
  <c r="O12" i="1" s="1"/>
  <c r="BI83" i="1"/>
  <c r="BH83" i="1" a="1"/>
  <c r="BH83" i="1" s="1"/>
  <c r="O83" i="1" s="1" a="1"/>
  <c r="O83" i="1" s="1"/>
  <c r="BI110" i="1"/>
  <c r="BH110" i="1" a="1"/>
  <c r="BH110" i="1" s="1"/>
  <c r="O110" i="1" s="1" a="1"/>
  <c r="O110" i="1" s="1"/>
  <c r="BI106" i="1"/>
  <c r="BH106" i="1" a="1"/>
  <c r="BH106" i="1" s="1"/>
  <c r="O106" i="1" s="1" a="1"/>
  <c r="O106" i="1" s="1"/>
  <c r="BI10" i="1"/>
  <c r="BH10" i="1" a="1"/>
  <c r="BH10" i="1" s="1"/>
  <c r="O10" i="1" s="1" a="1"/>
  <c r="O10" i="1" s="1"/>
  <c r="BI67" i="1"/>
  <c r="BH67" i="1" a="1"/>
  <c r="BH67" i="1" s="1"/>
  <c r="O67" i="1" s="1" a="1"/>
  <c r="O67" i="1" s="1"/>
  <c r="BI136" i="1"/>
  <c r="BH136" i="1" a="1"/>
  <c r="BH136" i="1" s="1"/>
  <c r="O136" i="1" s="1" a="1"/>
  <c r="O136" i="1" s="1"/>
  <c r="BI66" i="1"/>
  <c r="BH66" i="1" a="1"/>
  <c r="BH66" i="1" s="1"/>
  <c r="O66" i="1" s="1" a="1"/>
  <c r="O66" i="1" s="1"/>
  <c r="BI36" i="1"/>
  <c r="BH36" i="1" a="1"/>
  <c r="BH36" i="1" s="1"/>
  <c r="O36" i="1" s="1" a="1"/>
  <c r="O36" i="1" s="1"/>
  <c r="BI82" i="1"/>
  <c r="BH82" i="1" a="1"/>
  <c r="BH82" i="1" s="1"/>
  <c r="O82" i="1" s="1" a="1"/>
  <c r="O82" i="1" s="1"/>
  <c r="BI29" i="1"/>
  <c r="BH29" i="1" a="1"/>
  <c r="BH29" i="1" s="1"/>
  <c r="O29" i="1" s="1" a="1"/>
  <c r="O29" i="1" s="1"/>
  <c r="BI49" i="1"/>
  <c r="BH49" i="1" a="1"/>
  <c r="BH49" i="1" s="1"/>
  <c r="O49" i="1" s="1" a="1"/>
  <c r="O49" i="1" s="1"/>
  <c r="BI147" i="1"/>
  <c r="BH147" i="1" a="1"/>
  <c r="BH147" i="1" s="1"/>
  <c r="O147" i="1" s="1" a="1"/>
  <c r="O147" i="1" s="1"/>
  <c r="BI119" i="1"/>
  <c r="BH119" i="1" a="1"/>
  <c r="BH119" i="1" s="1"/>
  <c r="O119" i="1" s="1" a="1"/>
  <c r="O119" i="1" s="1"/>
  <c r="BI43" i="1"/>
  <c r="BH43" i="1" a="1"/>
  <c r="BH43" i="1" s="1"/>
  <c r="O43" i="1" s="1" a="1"/>
  <c r="O43" i="1" s="1"/>
  <c r="BI51" i="1"/>
  <c r="BH51" i="1" a="1"/>
  <c r="BH51" i="1" s="1"/>
  <c r="O51" i="1" s="1" a="1"/>
  <c r="O51" i="1" s="1"/>
  <c r="BI71" i="1"/>
  <c r="BH71" i="1" a="1"/>
  <c r="BH71" i="1" s="1"/>
  <c r="O71" i="1" s="1" a="1"/>
  <c r="O71" i="1" s="1"/>
  <c r="BI129" i="1"/>
  <c r="BH129" i="1" a="1"/>
  <c r="BH129" i="1" s="1"/>
  <c r="O129" i="1" s="1" a="1"/>
  <c r="O129" i="1" s="1"/>
  <c r="BI137" i="1"/>
  <c r="BH137" i="1" a="1"/>
  <c r="BH137" i="1" s="1"/>
  <c r="O137" i="1" s="1" a="1"/>
  <c r="O137" i="1" s="1"/>
  <c r="BI75" i="1"/>
  <c r="BH75" i="1" a="1"/>
  <c r="BH75" i="1" s="1"/>
  <c r="O75" i="1" s="1" a="1"/>
  <c r="O75" i="1" s="1"/>
  <c r="BI54" i="1"/>
  <c r="BH54" i="1" a="1"/>
  <c r="BH54" i="1" s="1"/>
  <c r="O54" i="1" s="1" a="1"/>
  <c r="O54" i="1" s="1"/>
  <c r="BI77" i="1"/>
  <c r="BH77" i="1" a="1"/>
  <c r="BH77" i="1" s="1"/>
  <c r="O77" i="1" s="1" a="1"/>
  <c r="O77" i="1" s="1"/>
  <c r="BI112" i="1"/>
  <c r="BH112" i="1" a="1"/>
  <c r="BH112" i="1" s="1"/>
  <c r="O112" i="1" s="1" a="1"/>
  <c r="O112" i="1" s="1"/>
  <c r="BI30" i="1"/>
  <c r="BH30" i="1" a="1"/>
  <c r="BH30" i="1" s="1"/>
  <c r="O30" i="1" s="1" a="1"/>
  <c r="O30" i="1" s="1"/>
  <c r="BI148" i="1"/>
  <c r="BH148" i="1" a="1"/>
  <c r="BH148" i="1" s="1"/>
  <c r="O148" i="1" s="1" a="1"/>
  <c r="O148" i="1" s="1"/>
  <c r="BI114" i="1"/>
  <c r="BH114" i="1" a="1"/>
  <c r="BH114" i="1" s="1"/>
  <c r="O114" i="1" s="1" a="1"/>
  <c r="O114" i="1" s="1"/>
  <c r="BI150" i="1"/>
  <c r="BH150" i="1" a="1"/>
  <c r="BH150" i="1" s="1"/>
  <c r="O150" i="1" s="1" a="1"/>
  <c r="O150" i="1" s="1"/>
  <c r="BI41" i="1"/>
  <c r="BH41" i="1" a="1"/>
  <c r="BH41" i="1" s="1"/>
  <c r="O41" i="1" s="1" a="1"/>
  <c r="O41" i="1" s="1"/>
  <c r="BI90" i="1"/>
  <c r="BH90" i="1" a="1"/>
  <c r="BH90" i="1" s="1"/>
  <c r="O90" i="1" s="1" a="1"/>
  <c r="O90" i="1" s="1"/>
  <c r="BI122" i="1"/>
  <c r="BH122" i="1" a="1"/>
  <c r="BH122" i="1" s="1"/>
  <c r="O122" i="1" s="1" a="1"/>
  <c r="O122" i="1" s="1"/>
  <c r="BI72" i="1"/>
  <c r="BH72" i="1" a="1"/>
  <c r="BH72" i="1" s="1"/>
  <c r="O72" i="1" s="1" a="1"/>
  <c r="O72" i="1" s="1"/>
  <c r="BI101" i="1"/>
  <c r="BH101" i="1" a="1"/>
  <c r="BH101" i="1" s="1"/>
  <c r="O101" i="1" s="1" a="1"/>
  <c r="O101" i="1" s="1"/>
  <c r="BI139" i="1"/>
  <c r="BH139" i="1" a="1"/>
  <c r="BH139" i="1" s="1"/>
  <c r="O139" i="1" s="1" a="1"/>
  <c r="O139" i="1" s="1"/>
  <c r="BI92" i="1"/>
  <c r="BH92" i="1" a="1"/>
  <c r="BH92" i="1" s="1"/>
  <c r="O92" i="1" s="1" a="1"/>
  <c r="O92" i="1" s="1"/>
  <c r="BI107" i="1"/>
  <c r="BH107" i="1" a="1"/>
  <c r="BH107" i="1" s="1"/>
  <c r="O107" i="1" s="1" a="1"/>
  <c r="O107" i="1" s="1"/>
  <c r="BI142" i="1"/>
  <c r="BH142" i="1" a="1"/>
  <c r="BH142" i="1" s="1"/>
  <c r="O142" i="1" s="1" a="1"/>
  <c r="O142" i="1" s="1"/>
  <c r="BI157" i="1"/>
  <c r="BH157" i="1" a="1"/>
  <c r="BH157" i="1" s="1"/>
  <c r="O157" i="1" s="1" a="1"/>
  <c r="O157" i="1" s="1"/>
  <c r="BI134" i="1"/>
  <c r="BH134" i="1" a="1"/>
  <c r="BH134" i="1" s="1"/>
  <c r="O134" i="1" s="1" a="1"/>
  <c r="O134" i="1" s="1"/>
  <c r="BI32" i="1"/>
  <c r="BH32" i="1" a="1"/>
  <c r="BH32" i="1" s="1"/>
  <c r="O32" i="1" s="1" a="1"/>
  <c r="O32" i="1" s="1"/>
  <c r="BI109" i="1"/>
  <c r="BH109" i="1" a="1"/>
  <c r="BH109" i="1" s="1"/>
  <c r="O109" i="1" s="1" a="1"/>
  <c r="O109" i="1" s="1"/>
  <c r="BI108" i="1"/>
  <c r="BH108" i="1" a="1"/>
  <c r="BH108" i="1" s="1"/>
  <c r="O108" i="1" s="1" a="1"/>
  <c r="O108" i="1" s="1"/>
  <c r="BI38" i="1"/>
  <c r="BH38" i="1" a="1"/>
  <c r="BH38" i="1" s="1"/>
  <c r="O38" i="1" s="1" a="1"/>
  <c r="O38" i="1" s="1"/>
  <c r="BI116" i="1"/>
  <c r="BH116" i="1" a="1"/>
  <c r="BH116" i="1" s="1"/>
  <c r="O116" i="1" s="1" a="1"/>
  <c r="O116" i="1" s="1"/>
  <c r="BI79" i="1"/>
  <c r="BH79" i="1" a="1"/>
  <c r="BH79" i="1" s="1"/>
  <c r="O79" i="1" s="1" a="1"/>
  <c r="O79" i="1" s="1"/>
  <c r="BI105" i="1"/>
  <c r="BH105" i="1" a="1"/>
  <c r="BH105" i="1" s="1"/>
  <c r="O105" i="1" s="1" a="1"/>
  <c r="O105" i="1" s="1"/>
  <c r="BI143" i="1"/>
  <c r="BH143" i="1" a="1"/>
  <c r="BH143" i="1" s="1"/>
  <c r="O143" i="1" s="1" a="1"/>
  <c r="O143" i="1" s="1"/>
  <c r="BI17" i="1"/>
  <c r="BH17" i="1" a="1"/>
  <c r="BH17" i="1" s="1"/>
  <c r="O17" i="1" s="1" a="1"/>
  <c r="O17" i="1" s="1"/>
  <c r="BI135" i="1"/>
  <c r="BH135" i="1" a="1"/>
  <c r="BH135" i="1" s="1"/>
  <c r="O135" i="1" s="1" a="1"/>
  <c r="O135" i="1" s="1"/>
  <c r="BI113" i="1"/>
  <c r="BH113" i="1" a="1"/>
  <c r="BH113" i="1" s="1"/>
  <c r="O113" i="1" s="1" a="1"/>
  <c r="O113" i="1" s="1"/>
  <c r="BI145" i="1"/>
  <c r="BH145" i="1" a="1"/>
  <c r="BH145" i="1" s="1"/>
  <c r="O145" i="1" s="1" a="1"/>
  <c r="O145" i="1" s="1"/>
  <c r="BI8" i="1"/>
  <c r="BH8" i="1" a="1"/>
  <c r="BH8" i="1" s="1"/>
  <c r="O8" i="1" s="1" a="1"/>
  <c r="O8" i="1" s="1"/>
  <c r="BI76" i="1"/>
  <c r="BH76" i="1" a="1"/>
  <c r="BH76" i="1" s="1"/>
  <c r="O76" i="1" s="1" a="1"/>
  <c r="O76" i="1" s="1"/>
  <c r="BI25" i="1"/>
  <c r="BH25" i="1" a="1"/>
  <c r="BH25" i="1" s="1"/>
  <c r="O25" i="1" s="1" a="1"/>
  <c r="O25" i="1" s="1"/>
  <c r="BI154" i="1"/>
  <c r="BH154" i="1" a="1"/>
  <c r="BH154" i="1" s="1"/>
  <c r="O154" i="1" s="1" a="1"/>
  <c r="O154" i="1" s="1"/>
  <c r="BI52" i="1"/>
  <c r="BH52" i="1" a="1"/>
  <c r="BH52" i="1" s="1"/>
  <c r="O52" i="1" s="1" a="1"/>
  <c r="O52" i="1" s="1"/>
  <c r="BI45" i="1"/>
  <c r="BH45" i="1" a="1"/>
  <c r="BH45" i="1" s="1"/>
  <c r="O45" i="1" s="1" a="1"/>
  <c r="O45" i="1" s="1"/>
  <c r="BI121" i="1"/>
  <c r="BH121" i="1" a="1"/>
  <c r="BH121" i="1" s="1"/>
  <c r="O121" i="1" s="1" a="1"/>
  <c r="O121" i="1" s="1"/>
  <c r="BI62" i="1"/>
  <c r="BH62" i="1" a="1"/>
  <c r="BH62" i="1" s="1"/>
  <c r="O62" i="1" s="1" a="1"/>
  <c r="O62" i="1" s="1"/>
  <c r="BI99" i="1"/>
  <c r="BH99" i="1" a="1"/>
  <c r="BH99" i="1" s="1"/>
  <c r="O99" i="1" s="1" a="1"/>
  <c r="O99" i="1" s="1"/>
  <c r="BI9" i="1"/>
  <c r="BH9" i="1" a="1"/>
  <c r="BH9" i="1" s="1"/>
  <c r="O9" i="1" s="1" a="1"/>
  <c r="O9" i="1" s="1"/>
  <c r="BI131" i="1"/>
  <c r="BH131" i="1" a="1"/>
  <c r="BH131" i="1" s="1"/>
  <c r="O131" i="1" s="1" a="1"/>
  <c r="O131" i="1" s="1"/>
  <c r="BI140" i="1"/>
  <c r="BH140" i="1" a="1"/>
  <c r="BH140" i="1" s="1"/>
  <c r="O140" i="1" s="1" a="1"/>
  <c r="O140" i="1" s="1"/>
  <c r="BI73" i="1"/>
  <c r="BH73" i="1" a="1"/>
  <c r="BH73" i="1" s="1"/>
  <c r="O73" i="1" s="1" a="1"/>
  <c r="O73" i="1" s="1"/>
  <c r="BI11" i="1"/>
  <c r="BH11" i="1" a="1"/>
  <c r="BH11" i="1" s="1"/>
  <c r="O11" i="1" s="1" a="1"/>
  <c r="O11" i="1" s="1"/>
  <c r="BI98" i="1"/>
  <c r="BH98" i="1" a="1"/>
  <c r="BH98" i="1" s="1"/>
  <c r="O98" i="1" s="1" a="1"/>
  <c r="O98" i="1" s="1"/>
  <c r="BI141" i="1"/>
  <c r="BH141" i="1" a="1"/>
  <c r="BH141" i="1" s="1"/>
  <c r="O141" i="1" s="1" a="1"/>
  <c r="O141" i="1" s="1"/>
  <c r="BI37" i="1"/>
  <c r="BH37" i="1" a="1"/>
  <c r="BH37" i="1" s="1"/>
  <c r="O37" i="1" s="1" a="1"/>
  <c r="O37" i="1" s="1"/>
  <c r="BI33" i="1"/>
  <c r="BH33" i="1" a="1"/>
  <c r="BH33" i="1" s="1"/>
  <c r="O33" i="1" s="1" a="1"/>
  <c r="O33" i="1" s="1"/>
  <c r="BI127" i="1"/>
  <c r="BH127" i="1" a="1"/>
  <c r="BH127" i="1" s="1"/>
  <c r="O127" i="1" s="1" a="1"/>
  <c r="O127" i="1" s="1"/>
  <c r="BI93" i="1"/>
  <c r="BH93" i="1" a="1"/>
  <c r="BH93" i="1" s="1"/>
  <c r="O93" i="1" s="1" a="1"/>
  <c r="O93" i="1" s="1"/>
  <c r="BI35" i="1"/>
  <c r="BH35" i="1" a="1"/>
  <c r="BH35" i="1" s="1"/>
  <c r="O35" i="1" s="1" a="1"/>
  <c r="O35" i="1" s="1"/>
  <c r="BI89" i="1"/>
  <c r="BH89" i="1" a="1"/>
  <c r="BH89" i="1" s="1"/>
  <c r="O89" i="1" s="1" a="1"/>
  <c r="O89" i="1" s="1"/>
  <c r="BI91" i="1"/>
  <c r="BH91" i="1" a="1"/>
  <c r="BH91" i="1" s="1"/>
  <c r="O91" i="1" s="1" a="1"/>
  <c r="O91" i="1" s="1"/>
  <c r="BI120" i="1"/>
  <c r="BH120" i="1" a="1"/>
  <c r="BH120" i="1" s="1"/>
  <c r="O120" i="1" s="1" a="1"/>
  <c r="O120" i="1" s="1"/>
  <c r="BI156" i="1"/>
  <c r="BH156" i="1" a="1"/>
  <c r="BH156" i="1" s="1"/>
  <c r="O156" i="1" s="1" a="1"/>
  <c r="O156" i="1" s="1"/>
  <c r="BI48" i="1"/>
  <c r="BH48" i="1" a="1"/>
  <c r="BH48" i="1" s="1"/>
  <c r="O48" i="1" s="1" a="1"/>
  <c r="O48" i="1" s="1"/>
  <c r="BI65" i="1"/>
  <c r="BH65" i="1" a="1"/>
  <c r="BH65" i="1" s="1"/>
  <c r="O65" i="1" s="1" a="1"/>
  <c r="O65" i="1" s="1"/>
  <c r="BI39" i="1"/>
  <c r="BH39" i="1" a="1"/>
  <c r="BH39" i="1" s="1"/>
  <c r="O39" i="1" s="1" a="1"/>
  <c r="O39" i="1" s="1"/>
  <c r="BI28" i="1"/>
  <c r="BH28" i="1" a="1"/>
  <c r="BH28" i="1" s="1"/>
  <c r="O28" i="1" s="1" a="1"/>
  <c r="O28" i="1" s="1"/>
  <c r="BI44" i="1"/>
  <c r="BH44" i="1" a="1"/>
  <c r="BH44" i="1" s="1"/>
  <c r="O44" i="1" s="1" a="1"/>
  <c r="O44" i="1" s="1"/>
  <c r="BI94" i="1"/>
  <c r="BH94" i="1" a="1"/>
  <c r="BH94" i="1" s="1"/>
  <c r="O94" i="1" s="1" a="1"/>
  <c r="O94" i="1" s="1"/>
  <c r="BL20" i="1" l="1"/>
  <c r="BN20" i="1" s="1" a="1"/>
  <c r="BN20" i="1" s="1"/>
  <c r="Q20" i="1" s="1" a="1"/>
  <c r="Q20" i="1" s="1"/>
  <c r="BK20" i="1" a="1"/>
  <c r="BK20" i="1" s="1"/>
  <c r="P20" i="1" s="1" a="1"/>
  <c r="P20" i="1" s="1"/>
  <c r="BL48" i="1"/>
  <c r="BN48" i="1" s="1" a="1"/>
  <c r="BN48" i="1" s="1"/>
  <c r="Q48" i="1" s="1" a="1"/>
  <c r="Q48" i="1" s="1"/>
  <c r="BK48" i="1" a="1"/>
  <c r="BK48" i="1" s="1"/>
  <c r="P48" i="1" s="1" a="1"/>
  <c r="P48" i="1" s="1"/>
  <c r="BL92" i="1"/>
  <c r="BN92" i="1" s="1" a="1"/>
  <c r="BN92" i="1" s="1"/>
  <c r="Q92" i="1" s="1" a="1"/>
  <c r="Q92" i="1" s="1"/>
  <c r="BK92" i="1" a="1"/>
  <c r="BK92" i="1" s="1"/>
  <c r="P92" i="1" s="1" a="1"/>
  <c r="P92" i="1" s="1"/>
  <c r="BL51" i="1"/>
  <c r="BN51" i="1" s="1" a="1"/>
  <c r="BN51" i="1" s="1"/>
  <c r="Q51" i="1" s="1" a="1"/>
  <c r="Q51" i="1" s="1"/>
  <c r="BK51" i="1" a="1"/>
  <c r="BK51" i="1" s="1"/>
  <c r="P51" i="1" s="1" a="1"/>
  <c r="P51" i="1" s="1"/>
  <c r="BL146" i="1"/>
  <c r="BN146" i="1" s="1" a="1"/>
  <c r="BN146" i="1" s="1"/>
  <c r="Q146" i="1" s="1" a="1"/>
  <c r="Q146" i="1" s="1"/>
  <c r="BK146" i="1" a="1"/>
  <c r="BK146" i="1" s="1"/>
  <c r="P146" i="1" s="1" a="1"/>
  <c r="P146" i="1" s="1"/>
  <c r="BL22" i="1"/>
  <c r="BN22" i="1" s="1" a="1"/>
  <c r="BN22" i="1" s="1"/>
  <c r="Q22" i="1" s="1" a="1"/>
  <c r="Q22" i="1" s="1"/>
  <c r="BK22" i="1" a="1"/>
  <c r="BK22" i="1" s="1"/>
  <c r="P22" i="1" s="1" a="1"/>
  <c r="P22" i="1" s="1"/>
  <c r="BL160" i="1"/>
  <c r="BN160" i="1" s="1" a="1"/>
  <c r="BN160" i="1" s="1"/>
  <c r="Q160" i="1" s="1" a="1"/>
  <c r="Q160" i="1" s="1"/>
  <c r="BK160" i="1" a="1"/>
  <c r="BK160" i="1" s="1"/>
  <c r="P160" i="1" s="1" a="1"/>
  <c r="P160" i="1" s="1"/>
  <c r="BL94" i="1"/>
  <c r="BN94" i="1" s="1" a="1"/>
  <c r="BN94" i="1" s="1"/>
  <c r="Q94" i="1" s="1" a="1"/>
  <c r="Q94" i="1" s="1"/>
  <c r="BK94" i="1" a="1"/>
  <c r="BK94" i="1" s="1"/>
  <c r="P94" i="1" s="1" a="1"/>
  <c r="P94" i="1" s="1"/>
  <c r="BL156" i="1"/>
  <c r="BN156" i="1" s="1" a="1"/>
  <c r="BN156" i="1" s="1"/>
  <c r="Q156" i="1" s="1" a="1"/>
  <c r="Q156" i="1" s="1"/>
  <c r="BK156" i="1" a="1"/>
  <c r="BK156" i="1" s="1"/>
  <c r="P156" i="1" s="1" a="1"/>
  <c r="P156" i="1" s="1"/>
  <c r="BL127" i="1"/>
  <c r="BN127" i="1" s="1" a="1"/>
  <c r="BN127" i="1" s="1"/>
  <c r="Q127" i="1" s="1" a="1"/>
  <c r="Q127" i="1" s="1"/>
  <c r="BK127" i="1" a="1"/>
  <c r="BK127" i="1" s="1"/>
  <c r="P127" i="1" s="1" a="1"/>
  <c r="P127" i="1" s="1"/>
  <c r="BL73" i="1"/>
  <c r="BN73" i="1" s="1" a="1"/>
  <c r="BN73" i="1" s="1"/>
  <c r="Q73" i="1" s="1" a="1"/>
  <c r="Q73" i="1" s="1"/>
  <c r="BK73" i="1" a="1"/>
  <c r="BK73" i="1" s="1"/>
  <c r="P73" i="1" s="1" a="1"/>
  <c r="P73" i="1" s="1"/>
  <c r="BL121" i="1"/>
  <c r="BN121" i="1" s="1" a="1"/>
  <c r="BN121" i="1" s="1"/>
  <c r="Q121" i="1" s="1" a="1"/>
  <c r="Q121" i="1" s="1"/>
  <c r="BK121" i="1" a="1"/>
  <c r="BK121" i="1" s="1"/>
  <c r="P121" i="1" s="1" a="1"/>
  <c r="P121" i="1" s="1"/>
  <c r="BL8" i="1"/>
  <c r="BN8" i="1" s="1" a="1"/>
  <c r="BN8" i="1" s="1"/>
  <c r="Q8" i="1" s="1" a="1"/>
  <c r="Q8" i="1" s="1"/>
  <c r="BK8" i="1" a="1"/>
  <c r="BK8" i="1" s="1"/>
  <c r="P8" i="1" s="1" a="1"/>
  <c r="P8" i="1" s="1"/>
  <c r="BL105" i="1"/>
  <c r="BN105" i="1" s="1" a="1"/>
  <c r="BN105" i="1" s="1"/>
  <c r="Q105" i="1" s="1" a="1"/>
  <c r="Q105" i="1" s="1"/>
  <c r="BK105" i="1" a="1"/>
  <c r="BK105" i="1" s="1"/>
  <c r="P105" i="1" s="1" a="1"/>
  <c r="P105" i="1" s="1"/>
  <c r="BL32" i="1"/>
  <c r="BN32" i="1" s="1" a="1"/>
  <c r="BN32" i="1" s="1"/>
  <c r="Q32" i="1" s="1" a="1"/>
  <c r="Q32" i="1" s="1"/>
  <c r="BK32" i="1" a="1"/>
  <c r="BK32" i="1" s="1"/>
  <c r="P32" i="1" s="1" a="1"/>
  <c r="P32" i="1" s="1"/>
  <c r="BL139" i="1"/>
  <c r="BN139" i="1" s="1" a="1"/>
  <c r="BN139" i="1" s="1"/>
  <c r="Q139" i="1" s="1" a="1"/>
  <c r="Q139" i="1" s="1"/>
  <c r="BK139" i="1" a="1"/>
  <c r="BK139" i="1" s="1"/>
  <c r="P139" i="1" s="1" a="1"/>
  <c r="P139" i="1" s="1"/>
  <c r="BL150" i="1"/>
  <c r="BN150" i="1" s="1" a="1"/>
  <c r="BN150" i="1" s="1"/>
  <c r="Q150" i="1" s="1" a="1"/>
  <c r="Q150" i="1" s="1"/>
  <c r="BK150" i="1" a="1"/>
  <c r="BK150" i="1" s="1"/>
  <c r="P150" i="1" s="1" a="1"/>
  <c r="P150" i="1" s="1"/>
  <c r="BL54" i="1"/>
  <c r="BN54" i="1" s="1" a="1"/>
  <c r="BN54" i="1" s="1"/>
  <c r="Q54" i="1" s="1" a="1"/>
  <c r="Q54" i="1" s="1"/>
  <c r="BK54" i="1" a="1"/>
  <c r="BK54" i="1" s="1"/>
  <c r="P54" i="1" s="1" a="1"/>
  <c r="P54" i="1" s="1"/>
  <c r="BL43" i="1"/>
  <c r="BN43" i="1" s="1" a="1"/>
  <c r="BN43" i="1" s="1"/>
  <c r="Q43" i="1" s="1" a="1"/>
  <c r="Q43" i="1" s="1"/>
  <c r="BK43" i="1" a="1"/>
  <c r="BK43" i="1" s="1"/>
  <c r="P43" i="1" s="1" a="1"/>
  <c r="P43" i="1" s="1"/>
  <c r="BL36" i="1"/>
  <c r="BN36" i="1" s="1" a="1"/>
  <c r="BN36" i="1" s="1"/>
  <c r="Q36" i="1" s="1" a="1"/>
  <c r="Q36" i="1" s="1"/>
  <c r="BK36" i="1" a="1"/>
  <c r="BK36" i="1" s="1"/>
  <c r="P36" i="1" s="1" a="1"/>
  <c r="P36" i="1" s="1"/>
  <c r="BL110" i="1"/>
  <c r="BN110" i="1" s="1" a="1"/>
  <c r="BN110" i="1" s="1"/>
  <c r="Q110" i="1" s="1" a="1"/>
  <c r="Q110" i="1" s="1"/>
  <c r="BK110" i="1" a="1"/>
  <c r="BK110" i="1" s="1"/>
  <c r="P110" i="1" s="1" a="1"/>
  <c r="P110" i="1" s="1"/>
  <c r="BL34" i="1"/>
  <c r="BN34" i="1" s="1" a="1"/>
  <c r="BN34" i="1" s="1"/>
  <c r="Q34" i="1" s="1" a="1"/>
  <c r="Q34" i="1" s="1"/>
  <c r="BK34" i="1" a="1"/>
  <c r="BK34" i="1" s="1"/>
  <c r="P34" i="1" s="1" a="1"/>
  <c r="P34" i="1" s="1"/>
  <c r="BL103" i="1"/>
  <c r="BN103" i="1" s="1" a="1"/>
  <c r="BN103" i="1" s="1"/>
  <c r="Q103" i="1" s="1" a="1"/>
  <c r="Q103" i="1" s="1"/>
  <c r="BK103" i="1" a="1"/>
  <c r="BK103" i="1" s="1"/>
  <c r="P103" i="1" s="1" a="1"/>
  <c r="P103" i="1" s="1"/>
  <c r="BL55" i="1"/>
  <c r="BN55" i="1" s="1" a="1"/>
  <c r="BN55" i="1" s="1"/>
  <c r="Q55" i="1" s="1" a="1"/>
  <c r="Q55" i="1" s="1"/>
  <c r="BK55" i="1" a="1"/>
  <c r="BK55" i="1" s="1"/>
  <c r="P55" i="1" s="1" a="1"/>
  <c r="P55" i="1" s="1"/>
  <c r="BL151" i="1"/>
  <c r="BN151" i="1" s="1" a="1"/>
  <c r="BN151" i="1" s="1"/>
  <c r="Q151" i="1" s="1" a="1"/>
  <c r="Q151" i="1" s="1"/>
  <c r="BK151" i="1" a="1"/>
  <c r="BK151" i="1" s="1"/>
  <c r="P151" i="1" s="1" a="1"/>
  <c r="P151" i="1" s="1"/>
  <c r="BL100" i="1"/>
  <c r="BN100" i="1" s="1" a="1"/>
  <c r="BN100" i="1" s="1"/>
  <c r="Q100" i="1" s="1" a="1"/>
  <c r="Q100" i="1" s="1"/>
  <c r="BK100" i="1" a="1"/>
  <c r="BK100" i="1" s="1"/>
  <c r="P100" i="1" s="1" a="1"/>
  <c r="P100" i="1" s="1"/>
  <c r="BL88" i="1"/>
  <c r="BN88" i="1" s="1" a="1"/>
  <c r="BN88" i="1" s="1"/>
  <c r="Q88" i="1" s="1" a="1"/>
  <c r="Q88" i="1" s="1"/>
  <c r="BK88" i="1" a="1"/>
  <c r="BK88" i="1" s="1"/>
  <c r="P88" i="1" s="1" a="1"/>
  <c r="P88" i="1" s="1"/>
  <c r="BL58" i="1"/>
  <c r="BN58" i="1" s="1" a="1"/>
  <c r="BN58" i="1" s="1"/>
  <c r="Q58" i="1" s="1" a="1"/>
  <c r="Q58" i="1" s="1"/>
  <c r="BK58" i="1" a="1"/>
  <c r="BK58" i="1" s="1"/>
  <c r="P58" i="1" s="1" a="1"/>
  <c r="P58" i="1" s="1"/>
  <c r="BL15" i="1"/>
  <c r="BN15" i="1" s="1" a="1"/>
  <c r="BN15" i="1" s="1"/>
  <c r="Q15" i="1" s="1" a="1"/>
  <c r="Q15" i="1" s="1"/>
  <c r="BK15" i="1" a="1"/>
  <c r="BK15" i="1" s="1"/>
  <c r="P15" i="1" s="1" a="1"/>
  <c r="P15" i="1" s="1"/>
  <c r="BL74" i="1"/>
  <c r="BN74" i="1" s="1" a="1"/>
  <c r="BN74" i="1" s="1"/>
  <c r="Q74" i="1" s="1" a="1"/>
  <c r="Q74" i="1" s="1"/>
  <c r="BK74" i="1" a="1"/>
  <c r="BK74" i="1" s="1"/>
  <c r="P74" i="1" s="1" a="1"/>
  <c r="P74" i="1" s="1"/>
  <c r="BL63" i="1"/>
  <c r="BN63" i="1" s="1" a="1"/>
  <c r="BN63" i="1" s="1"/>
  <c r="Q63" i="1" s="1" a="1"/>
  <c r="Q63" i="1" s="1"/>
  <c r="BK63" i="1" a="1"/>
  <c r="BK63" i="1" s="1"/>
  <c r="P63" i="1" s="1" a="1"/>
  <c r="P63" i="1" s="1"/>
  <c r="BL53" i="1"/>
  <c r="BN53" i="1" s="1" a="1"/>
  <c r="BN53" i="1" s="1"/>
  <c r="Q53" i="1" s="1" a="1"/>
  <c r="Q53" i="1" s="1"/>
  <c r="BK53" i="1" a="1"/>
  <c r="BK53" i="1" s="1"/>
  <c r="P53" i="1" s="1" a="1"/>
  <c r="P53" i="1" s="1"/>
  <c r="BL143" i="1"/>
  <c r="BN143" i="1" s="1" a="1"/>
  <c r="BN143" i="1" s="1"/>
  <c r="Q143" i="1" s="1" a="1"/>
  <c r="Q143" i="1" s="1"/>
  <c r="BK143" i="1" a="1"/>
  <c r="BK143" i="1" s="1"/>
  <c r="P143" i="1" s="1" a="1"/>
  <c r="P143" i="1" s="1"/>
  <c r="BL16" i="1"/>
  <c r="BN16" i="1" s="1" a="1"/>
  <c r="BN16" i="1" s="1"/>
  <c r="Q16" i="1" s="1" a="1"/>
  <c r="Q16" i="1" s="1"/>
  <c r="BK16" i="1" a="1"/>
  <c r="BK16" i="1" s="1"/>
  <c r="P16" i="1" s="1" a="1"/>
  <c r="P16" i="1" s="1"/>
  <c r="BL24" i="1"/>
  <c r="BN24" i="1" s="1" a="1"/>
  <c r="BN24" i="1" s="1"/>
  <c r="Q24" i="1" s="1" a="1"/>
  <c r="Q24" i="1" s="1"/>
  <c r="BK24" i="1" a="1"/>
  <c r="BK24" i="1" s="1"/>
  <c r="P24" i="1" s="1" a="1"/>
  <c r="P24" i="1" s="1"/>
  <c r="BL76" i="1"/>
  <c r="BN76" i="1" s="1" a="1"/>
  <c r="BN76" i="1" s="1"/>
  <c r="Q76" i="1" s="1" a="1"/>
  <c r="Q76" i="1" s="1"/>
  <c r="BK76" i="1" a="1"/>
  <c r="BK76" i="1" s="1"/>
  <c r="P76" i="1" s="1" a="1"/>
  <c r="P76" i="1" s="1"/>
  <c r="BL77" i="1"/>
  <c r="BN77" i="1" s="1" a="1"/>
  <c r="BN77" i="1" s="1"/>
  <c r="Q77" i="1" s="1" a="1"/>
  <c r="Q77" i="1" s="1"/>
  <c r="BK77" i="1" a="1"/>
  <c r="BK77" i="1" s="1"/>
  <c r="P77" i="1" s="1" a="1"/>
  <c r="P77" i="1" s="1"/>
  <c r="BL106" i="1"/>
  <c r="BN106" i="1" s="1" a="1"/>
  <c r="BN106" i="1" s="1"/>
  <c r="Q106" i="1" s="1" a="1"/>
  <c r="Q106" i="1" s="1"/>
  <c r="BK106" i="1" a="1"/>
  <c r="BK106" i="1" s="1"/>
  <c r="P106" i="1" s="1" a="1"/>
  <c r="P106" i="1" s="1"/>
  <c r="BL81" i="1"/>
  <c r="BN81" i="1" s="1" a="1"/>
  <c r="BN81" i="1" s="1"/>
  <c r="Q81" i="1" s="1" a="1"/>
  <c r="Q81" i="1" s="1"/>
  <c r="BK81" i="1" a="1"/>
  <c r="BK81" i="1" s="1"/>
  <c r="P81" i="1" s="1" a="1"/>
  <c r="P81" i="1" s="1"/>
  <c r="BL21" i="1"/>
  <c r="BN21" i="1" s="1" a="1"/>
  <c r="BN21" i="1" s="1"/>
  <c r="Q21" i="1" s="1" a="1"/>
  <c r="Q21" i="1" s="1"/>
  <c r="BK21" i="1" a="1"/>
  <c r="BK21" i="1" s="1"/>
  <c r="P21" i="1" s="1" a="1"/>
  <c r="P21" i="1" s="1"/>
  <c r="BL44" i="1"/>
  <c r="BN44" i="1" s="1" a="1"/>
  <c r="BN44" i="1" s="1"/>
  <c r="Q44" i="1" s="1" a="1"/>
  <c r="Q44" i="1" s="1"/>
  <c r="BK44" i="1" a="1"/>
  <c r="BK44" i="1" s="1"/>
  <c r="P44" i="1" s="1" a="1"/>
  <c r="P44" i="1" s="1"/>
  <c r="BL120" i="1"/>
  <c r="BN120" i="1" s="1" a="1"/>
  <c r="BN120" i="1" s="1"/>
  <c r="Q120" i="1" s="1" a="1"/>
  <c r="Q120" i="1" s="1"/>
  <c r="BK120" i="1" a="1"/>
  <c r="BK120" i="1" s="1"/>
  <c r="P120" i="1" s="1" a="1"/>
  <c r="P120" i="1" s="1"/>
  <c r="BL33" i="1"/>
  <c r="BN33" i="1" s="1" a="1"/>
  <c r="BN33" i="1" s="1"/>
  <c r="Q33" i="1" s="1" a="1"/>
  <c r="Q33" i="1" s="1"/>
  <c r="BK33" i="1" a="1"/>
  <c r="BK33" i="1" s="1"/>
  <c r="P33" i="1" s="1" a="1"/>
  <c r="P33" i="1" s="1"/>
  <c r="BL140" i="1"/>
  <c r="BN140" i="1" s="1" a="1"/>
  <c r="BN140" i="1" s="1"/>
  <c r="Q140" i="1" s="1" a="1"/>
  <c r="Q140" i="1" s="1"/>
  <c r="BK140" i="1" a="1"/>
  <c r="BK140" i="1" s="1"/>
  <c r="P140" i="1" s="1" a="1"/>
  <c r="P140" i="1" s="1"/>
  <c r="BL45" i="1"/>
  <c r="BN45" i="1" s="1" a="1"/>
  <c r="BN45" i="1" s="1"/>
  <c r="Q45" i="1" s="1" a="1"/>
  <c r="Q45" i="1" s="1"/>
  <c r="BK45" i="1" a="1"/>
  <c r="BK45" i="1" s="1"/>
  <c r="P45" i="1" s="1" a="1"/>
  <c r="P45" i="1" s="1"/>
  <c r="BL145" i="1"/>
  <c r="BN145" i="1" s="1" a="1"/>
  <c r="BN145" i="1" s="1"/>
  <c r="Q145" i="1" s="1" a="1"/>
  <c r="Q145" i="1" s="1"/>
  <c r="BK145" i="1" a="1"/>
  <c r="BK145" i="1" s="1"/>
  <c r="P145" i="1" s="1" a="1"/>
  <c r="P145" i="1" s="1"/>
  <c r="BL79" i="1"/>
  <c r="BN79" i="1" s="1" a="1"/>
  <c r="BN79" i="1" s="1"/>
  <c r="Q79" i="1" s="1" a="1"/>
  <c r="Q79" i="1" s="1"/>
  <c r="BK79" i="1" a="1"/>
  <c r="BK79" i="1" s="1"/>
  <c r="P79" i="1" s="1" a="1"/>
  <c r="P79" i="1" s="1"/>
  <c r="BL134" i="1"/>
  <c r="BN134" i="1" s="1" a="1"/>
  <c r="BN134" i="1" s="1"/>
  <c r="Q134" i="1" s="1" a="1"/>
  <c r="Q134" i="1" s="1"/>
  <c r="BK134" i="1" a="1"/>
  <c r="BK134" i="1" s="1"/>
  <c r="P134" i="1" s="1" a="1"/>
  <c r="P134" i="1" s="1"/>
  <c r="BL101" i="1"/>
  <c r="BN101" i="1" s="1" a="1"/>
  <c r="BN101" i="1" s="1"/>
  <c r="Q101" i="1" s="1" a="1"/>
  <c r="Q101" i="1" s="1"/>
  <c r="BK101" i="1" a="1"/>
  <c r="BK101" i="1" s="1"/>
  <c r="P101" i="1" s="1" a="1"/>
  <c r="P101" i="1" s="1"/>
  <c r="BL114" i="1"/>
  <c r="BN114" i="1" s="1" a="1"/>
  <c r="BN114" i="1" s="1"/>
  <c r="Q114" i="1" s="1" a="1"/>
  <c r="Q114" i="1" s="1"/>
  <c r="BK114" i="1" a="1"/>
  <c r="BK114" i="1" s="1"/>
  <c r="P114" i="1" s="1" a="1"/>
  <c r="P114" i="1" s="1"/>
  <c r="BL75" i="1"/>
  <c r="BN75" i="1" s="1" a="1"/>
  <c r="BN75" i="1" s="1"/>
  <c r="Q75" i="1" s="1" a="1"/>
  <c r="Q75" i="1" s="1"/>
  <c r="BK75" i="1" a="1"/>
  <c r="BK75" i="1" s="1"/>
  <c r="P75" i="1" s="1" a="1"/>
  <c r="P75" i="1" s="1"/>
  <c r="BL119" i="1"/>
  <c r="BN119" i="1" s="1" a="1"/>
  <c r="BN119" i="1" s="1"/>
  <c r="Q119" i="1" s="1" a="1"/>
  <c r="Q119" i="1" s="1"/>
  <c r="BK119" i="1" a="1"/>
  <c r="BK119" i="1" s="1"/>
  <c r="P119" i="1" s="1" a="1"/>
  <c r="P119" i="1" s="1"/>
  <c r="BL66" i="1"/>
  <c r="BN66" i="1" s="1" a="1"/>
  <c r="BN66" i="1" s="1"/>
  <c r="Q66" i="1" s="1" a="1"/>
  <c r="Q66" i="1" s="1"/>
  <c r="BK66" i="1" a="1"/>
  <c r="BK66" i="1" s="1"/>
  <c r="P66" i="1" s="1" a="1"/>
  <c r="P66" i="1" s="1"/>
  <c r="BL83" i="1"/>
  <c r="BN83" i="1" s="1" a="1"/>
  <c r="BN83" i="1" s="1"/>
  <c r="Q83" i="1" s="1" a="1"/>
  <c r="Q83" i="1" s="1"/>
  <c r="BK83" i="1" a="1"/>
  <c r="BK83" i="1" s="1"/>
  <c r="P83" i="1" s="1" a="1"/>
  <c r="P83" i="1" s="1"/>
  <c r="BL57" i="1"/>
  <c r="BN57" i="1" s="1" a="1"/>
  <c r="BN57" i="1" s="1"/>
  <c r="Q57" i="1" s="1" a="1"/>
  <c r="Q57" i="1" s="1"/>
  <c r="BK57" i="1" a="1"/>
  <c r="BK57" i="1" s="1"/>
  <c r="P57" i="1" s="1" a="1"/>
  <c r="P57" i="1" s="1"/>
  <c r="BL13" i="1"/>
  <c r="BN13" i="1" s="1" a="1"/>
  <c r="BN13" i="1" s="1"/>
  <c r="Q13" i="1" s="1" a="1"/>
  <c r="Q13" i="1" s="1"/>
  <c r="BK13" i="1" a="1"/>
  <c r="BK13" i="1" s="1"/>
  <c r="P13" i="1" s="1" a="1"/>
  <c r="P13" i="1" s="1"/>
  <c r="BL85" i="1"/>
  <c r="BN85" i="1" s="1" a="1"/>
  <c r="BN85" i="1" s="1"/>
  <c r="Q85" i="1" s="1" a="1"/>
  <c r="Q85" i="1" s="1"/>
  <c r="BK85" i="1" a="1"/>
  <c r="BK85" i="1" s="1"/>
  <c r="P85" i="1" s="1" a="1"/>
  <c r="P85" i="1" s="1"/>
  <c r="BL68" i="1"/>
  <c r="BN68" i="1" s="1" a="1"/>
  <c r="BN68" i="1" s="1"/>
  <c r="Q68" i="1" s="1" a="1"/>
  <c r="Q68" i="1" s="1"/>
  <c r="BK68" i="1" a="1"/>
  <c r="BK68" i="1" s="1"/>
  <c r="P68" i="1" s="1" a="1"/>
  <c r="P68" i="1" s="1"/>
  <c r="BL80" i="1"/>
  <c r="BN80" i="1" s="1" a="1"/>
  <c r="BN80" i="1" s="1"/>
  <c r="Q80" i="1" s="1" a="1"/>
  <c r="Q80" i="1" s="1"/>
  <c r="BK80" i="1" a="1"/>
  <c r="BK80" i="1" s="1"/>
  <c r="P80" i="1" s="1" a="1"/>
  <c r="P80" i="1" s="1"/>
  <c r="BL97" i="1"/>
  <c r="BN97" i="1" s="1" a="1"/>
  <c r="BN97" i="1" s="1"/>
  <c r="Q97" i="1" s="1" a="1"/>
  <c r="Q97" i="1" s="1"/>
  <c r="BK97" i="1" a="1"/>
  <c r="BK97" i="1" s="1"/>
  <c r="P97" i="1" s="1" a="1"/>
  <c r="P97" i="1" s="1"/>
  <c r="BL23" i="1"/>
  <c r="BN23" i="1" s="1" a="1"/>
  <c r="BN23" i="1" s="1"/>
  <c r="Q23" i="1" s="1" a="1"/>
  <c r="Q23" i="1" s="1"/>
  <c r="BK23" i="1" a="1"/>
  <c r="BK23" i="1" s="1"/>
  <c r="P23" i="1" s="1" a="1"/>
  <c r="P23" i="1" s="1"/>
  <c r="BL152" i="1"/>
  <c r="BN152" i="1" s="1" a="1"/>
  <c r="BN152" i="1" s="1"/>
  <c r="Q152" i="1" s="1" a="1"/>
  <c r="Q152" i="1" s="1"/>
  <c r="BK152" i="1" a="1"/>
  <c r="BK152" i="1" s="1"/>
  <c r="P152" i="1" s="1" a="1"/>
  <c r="P152" i="1" s="1"/>
  <c r="BL138" i="1"/>
  <c r="BN138" i="1" s="1" a="1"/>
  <c r="BN138" i="1" s="1"/>
  <c r="Q138" i="1" s="1" a="1"/>
  <c r="Q138" i="1" s="1"/>
  <c r="BK138" i="1" a="1"/>
  <c r="BK138" i="1" s="1"/>
  <c r="P138" i="1" s="1" a="1"/>
  <c r="P138" i="1" s="1"/>
  <c r="BL115" i="1"/>
  <c r="BN115" i="1" s="1" a="1"/>
  <c r="BN115" i="1" s="1"/>
  <c r="Q115" i="1" s="1" a="1"/>
  <c r="Q115" i="1" s="1"/>
  <c r="BK115" i="1" a="1"/>
  <c r="BK115" i="1" s="1"/>
  <c r="P115" i="1" s="1" a="1"/>
  <c r="P115" i="1" s="1"/>
  <c r="BL27" i="1"/>
  <c r="BN27" i="1" s="1" a="1"/>
  <c r="BN27" i="1" s="1"/>
  <c r="Q27" i="1" s="1" a="1"/>
  <c r="Q27" i="1" s="1"/>
  <c r="BK27" i="1" a="1"/>
  <c r="BK27" i="1" s="1"/>
  <c r="P27" i="1" s="1" a="1"/>
  <c r="P27" i="1" s="1"/>
  <c r="BL104" i="1"/>
  <c r="BN104" i="1" s="1" a="1"/>
  <c r="BN104" i="1" s="1"/>
  <c r="Q104" i="1" s="1" a="1"/>
  <c r="Q104" i="1" s="1"/>
  <c r="BK104" i="1" a="1"/>
  <c r="BK104" i="1" s="1"/>
  <c r="P104" i="1" s="1" a="1"/>
  <c r="P104" i="1" s="1"/>
  <c r="BL62" i="1"/>
  <c r="BN62" i="1" s="1" a="1"/>
  <c r="BN62" i="1" s="1"/>
  <c r="Q62" i="1" s="1" a="1"/>
  <c r="Q62" i="1" s="1"/>
  <c r="BK62" i="1" a="1"/>
  <c r="BK62" i="1" s="1"/>
  <c r="P62" i="1" s="1" a="1"/>
  <c r="P62" i="1" s="1"/>
  <c r="BL117" i="1"/>
  <c r="BN117" i="1" s="1" a="1"/>
  <c r="BN117" i="1" s="1"/>
  <c r="Q117" i="1" s="1" a="1"/>
  <c r="Q117" i="1" s="1"/>
  <c r="BK117" i="1" a="1"/>
  <c r="BK117" i="1" s="1"/>
  <c r="P117" i="1" s="1" a="1"/>
  <c r="P117" i="1" s="1"/>
  <c r="BL93" i="1"/>
  <c r="BN93" i="1" s="1" a="1"/>
  <c r="BN93" i="1" s="1"/>
  <c r="Q93" i="1" s="1" a="1"/>
  <c r="Q93" i="1" s="1"/>
  <c r="BK93" i="1" a="1"/>
  <c r="BK93" i="1" s="1"/>
  <c r="P93" i="1" s="1" a="1"/>
  <c r="P93" i="1" s="1"/>
  <c r="BL41" i="1"/>
  <c r="BN41" i="1" s="1" a="1"/>
  <c r="BN41" i="1" s="1"/>
  <c r="Q41" i="1" s="1" a="1"/>
  <c r="Q41" i="1" s="1"/>
  <c r="BK41" i="1" a="1"/>
  <c r="BK41" i="1" s="1"/>
  <c r="P41" i="1" s="1" a="1"/>
  <c r="P41" i="1" s="1"/>
  <c r="BL82" i="1"/>
  <c r="BN82" i="1" s="1" a="1"/>
  <c r="BN82" i="1" s="1"/>
  <c r="Q82" i="1" s="1" a="1"/>
  <c r="Q82" i="1" s="1"/>
  <c r="BK82" i="1" a="1"/>
  <c r="BK82" i="1" s="1"/>
  <c r="P82" i="1" s="1" a="1"/>
  <c r="P82" i="1" s="1"/>
  <c r="BL86" i="1"/>
  <c r="BN86" i="1" s="1" a="1"/>
  <c r="BN86" i="1" s="1"/>
  <c r="Q86" i="1" s="1" a="1"/>
  <c r="Q86" i="1" s="1"/>
  <c r="BK86" i="1" a="1"/>
  <c r="BK86" i="1" s="1"/>
  <c r="P86" i="1" s="1" a="1"/>
  <c r="P86" i="1" s="1"/>
  <c r="BL153" i="1"/>
  <c r="BN153" i="1" s="1" a="1"/>
  <c r="BN153" i="1" s="1"/>
  <c r="Q153" i="1" s="1" a="1"/>
  <c r="Q153" i="1" s="1"/>
  <c r="BK153" i="1" a="1"/>
  <c r="BK153" i="1" s="1"/>
  <c r="P153" i="1" s="1" a="1"/>
  <c r="P153" i="1" s="1"/>
  <c r="BL28" i="1"/>
  <c r="BN28" i="1" s="1" a="1"/>
  <c r="BN28" i="1" s="1"/>
  <c r="Q28" i="1" s="1" a="1"/>
  <c r="Q28" i="1" s="1"/>
  <c r="BK28" i="1" a="1"/>
  <c r="BK28" i="1" s="1"/>
  <c r="P28" i="1" s="1" a="1"/>
  <c r="P28" i="1" s="1"/>
  <c r="BL91" i="1"/>
  <c r="BN91" i="1" s="1" a="1"/>
  <c r="BN91" i="1" s="1"/>
  <c r="Q91" i="1" s="1" a="1"/>
  <c r="Q91" i="1" s="1"/>
  <c r="BK91" i="1" a="1"/>
  <c r="BK91" i="1" s="1"/>
  <c r="P91" i="1" s="1" a="1"/>
  <c r="P91" i="1" s="1"/>
  <c r="BL37" i="1"/>
  <c r="BN37" i="1" s="1" a="1"/>
  <c r="BN37" i="1" s="1"/>
  <c r="Q37" i="1" s="1" a="1"/>
  <c r="Q37" i="1" s="1"/>
  <c r="BK37" i="1" a="1"/>
  <c r="BK37" i="1" s="1"/>
  <c r="P37" i="1" s="1" a="1"/>
  <c r="P37" i="1" s="1"/>
  <c r="BL131" i="1"/>
  <c r="BN131" i="1" s="1" a="1"/>
  <c r="BN131" i="1" s="1"/>
  <c r="Q131" i="1" s="1" a="1"/>
  <c r="Q131" i="1" s="1"/>
  <c r="BK131" i="1" a="1"/>
  <c r="BK131" i="1" s="1"/>
  <c r="P131" i="1" s="1" a="1"/>
  <c r="P131" i="1" s="1"/>
  <c r="BL52" i="1"/>
  <c r="BN52" i="1" s="1" a="1"/>
  <c r="BN52" i="1" s="1"/>
  <c r="Q52" i="1" s="1" a="1"/>
  <c r="Q52" i="1" s="1"/>
  <c r="BK52" i="1" a="1"/>
  <c r="BK52" i="1" s="1"/>
  <c r="P52" i="1" s="1" a="1"/>
  <c r="P52" i="1" s="1"/>
  <c r="BL113" i="1"/>
  <c r="BN113" i="1" s="1" a="1"/>
  <c r="BN113" i="1" s="1"/>
  <c r="Q113" i="1" s="1" a="1"/>
  <c r="Q113" i="1" s="1"/>
  <c r="BK113" i="1" a="1"/>
  <c r="BK113" i="1" s="1"/>
  <c r="P113" i="1" s="1" a="1"/>
  <c r="P113" i="1" s="1"/>
  <c r="BL116" i="1"/>
  <c r="BN116" i="1" s="1" a="1"/>
  <c r="BN116" i="1" s="1"/>
  <c r="Q116" i="1" s="1" a="1"/>
  <c r="Q116" i="1" s="1"/>
  <c r="BK116" i="1" a="1"/>
  <c r="BK116" i="1" s="1"/>
  <c r="P116" i="1" s="1" a="1"/>
  <c r="P116" i="1" s="1"/>
  <c r="BL157" i="1"/>
  <c r="BN157" i="1" s="1" a="1"/>
  <c r="BN157" i="1" s="1"/>
  <c r="Q157" i="1" s="1" a="1"/>
  <c r="Q157" i="1" s="1"/>
  <c r="BK157" i="1" a="1"/>
  <c r="BK157" i="1" s="1"/>
  <c r="P157" i="1" s="1" a="1"/>
  <c r="P157" i="1" s="1"/>
  <c r="BL72" i="1"/>
  <c r="BN72" i="1" s="1" a="1"/>
  <c r="BN72" i="1" s="1"/>
  <c r="Q72" i="1" s="1" a="1"/>
  <c r="Q72" i="1" s="1"/>
  <c r="BK72" i="1" a="1"/>
  <c r="BK72" i="1" s="1"/>
  <c r="P72" i="1" s="1" a="1"/>
  <c r="P72" i="1" s="1"/>
  <c r="BL148" i="1"/>
  <c r="BN148" i="1" s="1" a="1"/>
  <c r="BN148" i="1" s="1"/>
  <c r="Q148" i="1" s="1" a="1"/>
  <c r="Q148" i="1" s="1"/>
  <c r="BK148" i="1" a="1"/>
  <c r="BK148" i="1" s="1"/>
  <c r="P148" i="1" s="1" a="1"/>
  <c r="P148" i="1" s="1"/>
  <c r="BL137" i="1"/>
  <c r="BN137" i="1" s="1" a="1"/>
  <c r="BN137" i="1" s="1"/>
  <c r="Q137" i="1" s="1" a="1"/>
  <c r="Q137" i="1" s="1"/>
  <c r="BK137" i="1" a="1"/>
  <c r="BK137" i="1" s="1"/>
  <c r="P137" i="1" s="1" a="1"/>
  <c r="P137" i="1" s="1"/>
  <c r="BL147" i="1"/>
  <c r="BN147" i="1" s="1" a="1"/>
  <c r="BN147" i="1" s="1"/>
  <c r="Q147" i="1" s="1" a="1"/>
  <c r="Q147" i="1" s="1"/>
  <c r="BK147" i="1" a="1"/>
  <c r="BK147" i="1" s="1"/>
  <c r="P147" i="1" s="1" a="1"/>
  <c r="P147" i="1" s="1"/>
  <c r="BL136" i="1"/>
  <c r="BN136" i="1" s="1" a="1"/>
  <c r="BN136" i="1" s="1"/>
  <c r="Q136" i="1" s="1" a="1"/>
  <c r="Q136" i="1" s="1"/>
  <c r="BK136" i="1" a="1"/>
  <c r="BK136" i="1" s="1"/>
  <c r="P136" i="1" s="1" a="1"/>
  <c r="P136" i="1" s="1"/>
  <c r="BL12" i="1"/>
  <c r="BN12" i="1" s="1" a="1"/>
  <c r="BN12" i="1" s="1"/>
  <c r="Q12" i="1" s="1" a="1"/>
  <c r="Q12" i="1" s="1"/>
  <c r="BK12" i="1" a="1"/>
  <c r="BK12" i="1" s="1"/>
  <c r="P12" i="1" s="1" a="1"/>
  <c r="P12" i="1" s="1"/>
  <c r="BL64" i="1"/>
  <c r="BN64" i="1" s="1" a="1"/>
  <c r="BN64" i="1" s="1"/>
  <c r="Q64" i="1" s="1" a="1"/>
  <c r="Q64" i="1" s="1"/>
  <c r="BK64" i="1" a="1"/>
  <c r="BK64" i="1" s="1"/>
  <c r="P64" i="1" s="1" a="1"/>
  <c r="P64" i="1" s="1"/>
  <c r="BL60" i="1"/>
  <c r="BN60" i="1" s="1" a="1"/>
  <c r="BN60" i="1" s="1"/>
  <c r="Q60" i="1" s="1" a="1"/>
  <c r="Q60" i="1" s="1"/>
  <c r="BK60" i="1" a="1"/>
  <c r="BK60" i="1" s="1"/>
  <c r="P60" i="1" s="1" a="1"/>
  <c r="P60" i="1" s="1"/>
  <c r="BL69" i="1"/>
  <c r="BN69" i="1" s="1" a="1"/>
  <c r="BN69" i="1" s="1"/>
  <c r="Q69" i="1" s="1" a="1"/>
  <c r="Q69" i="1" s="1"/>
  <c r="BK69" i="1" a="1"/>
  <c r="BK69" i="1" s="1"/>
  <c r="P69" i="1" s="1" a="1"/>
  <c r="P69" i="1" s="1"/>
  <c r="BL6" i="1"/>
  <c r="BN6" i="1" s="1" a="1"/>
  <c r="BN6" i="1" s="1"/>
  <c r="Q6" i="1" s="1" a="1"/>
  <c r="Q6" i="1" s="1"/>
  <c r="BK6" i="1" a="1"/>
  <c r="BK6" i="1" s="1"/>
  <c r="P6" i="1" s="1" a="1"/>
  <c r="P6" i="1" s="1"/>
  <c r="BL87" i="1"/>
  <c r="BN87" i="1" s="1" a="1"/>
  <c r="BN87" i="1" s="1"/>
  <c r="Q87" i="1" s="1" a="1"/>
  <c r="Q87" i="1" s="1"/>
  <c r="BK87" i="1" a="1"/>
  <c r="BK87" i="1" s="1"/>
  <c r="P87" i="1" s="1" a="1"/>
  <c r="P87" i="1" s="1"/>
  <c r="BL132" i="1"/>
  <c r="BN132" i="1" s="1" a="1"/>
  <c r="BN132" i="1" s="1"/>
  <c r="Q132" i="1" s="1" a="1"/>
  <c r="Q132" i="1" s="1"/>
  <c r="BK132" i="1" a="1"/>
  <c r="BK132" i="1" s="1"/>
  <c r="P132" i="1" s="1" a="1"/>
  <c r="P132" i="1" s="1"/>
  <c r="BL14" i="1"/>
  <c r="BN14" i="1" s="1" a="1"/>
  <c r="BN14" i="1" s="1"/>
  <c r="Q14" i="1" s="1" a="1"/>
  <c r="Q14" i="1" s="1"/>
  <c r="BK14" i="1" a="1"/>
  <c r="BK14" i="1" s="1"/>
  <c r="P14" i="1" s="1" a="1"/>
  <c r="P14" i="1" s="1"/>
  <c r="BL133" i="1"/>
  <c r="BN133" i="1" s="1" a="1"/>
  <c r="BN133" i="1" s="1"/>
  <c r="Q133" i="1" s="1" a="1"/>
  <c r="Q133" i="1" s="1"/>
  <c r="BK133" i="1" a="1"/>
  <c r="BK133" i="1" s="1"/>
  <c r="P133" i="1" s="1" a="1"/>
  <c r="P133" i="1" s="1"/>
  <c r="BL59" i="1"/>
  <c r="BN59" i="1" s="1" a="1"/>
  <c r="BN59" i="1" s="1"/>
  <c r="Q59" i="1" s="1" a="1"/>
  <c r="Q59" i="1" s="1"/>
  <c r="BK59" i="1" a="1"/>
  <c r="BK59" i="1" s="1"/>
  <c r="P59" i="1" s="1" a="1"/>
  <c r="P59" i="1" s="1"/>
  <c r="BL31" i="1"/>
  <c r="BN31" i="1" s="1" a="1"/>
  <c r="BN31" i="1" s="1"/>
  <c r="Q31" i="1" s="1" a="1"/>
  <c r="Q31" i="1" s="1"/>
  <c r="BK31" i="1" a="1"/>
  <c r="BK31" i="1" s="1"/>
  <c r="P31" i="1" s="1" a="1"/>
  <c r="P31" i="1" s="1"/>
  <c r="BL149" i="1"/>
  <c r="BN149" i="1" s="1" a="1"/>
  <c r="BN149" i="1" s="1"/>
  <c r="Q149" i="1" s="1" a="1"/>
  <c r="Q149" i="1" s="1"/>
  <c r="BK149" i="1" a="1"/>
  <c r="BK149" i="1" s="1"/>
  <c r="P149" i="1" s="1" a="1"/>
  <c r="P149" i="1" s="1"/>
  <c r="BL70" i="1"/>
  <c r="BN70" i="1" s="1" a="1"/>
  <c r="BN70" i="1" s="1"/>
  <c r="Q70" i="1" s="1" a="1"/>
  <c r="Q70" i="1" s="1"/>
  <c r="BK70" i="1" a="1"/>
  <c r="BK70" i="1" s="1"/>
  <c r="P70" i="1" s="1" a="1"/>
  <c r="P70" i="1" s="1"/>
  <c r="BL11" i="1"/>
  <c r="BN11" i="1" s="1" a="1"/>
  <c r="BN11" i="1" s="1"/>
  <c r="Q11" i="1" s="1" a="1"/>
  <c r="Q11" i="1" s="1"/>
  <c r="BK11" i="1" a="1"/>
  <c r="BK11" i="1" s="1"/>
  <c r="P11" i="1" s="1" a="1"/>
  <c r="P11" i="1" s="1"/>
  <c r="BL47" i="1"/>
  <c r="BN47" i="1" s="1" a="1"/>
  <c r="BN47" i="1" s="1"/>
  <c r="Q47" i="1" s="1" a="1"/>
  <c r="Q47" i="1" s="1"/>
  <c r="BK47" i="1" a="1"/>
  <c r="BK47" i="1" s="1"/>
  <c r="P47" i="1" s="1" a="1"/>
  <c r="P47" i="1" s="1"/>
  <c r="BL39" i="1"/>
  <c r="BN39" i="1" s="1" a="1"/>
  <c r="BN39" i="1" s="1"/>
  <c r="Q39" i="1" s="1" a="1"/>
  <c r="Q39" i="1" s="1"/>
  <c r="BK39" i="1" a="1"/>
  <c r="BK39" i="1" s="1"/>
  <c r="P39" i="1" s="1" a="1"/>
  <c r="P39" i="1" s="1"/>
  <c r="BL89" i="1"/>
  <c r="BN89" i="1" s="1" a="1"/>
  <c r="BN89" i="1" s="1"/>
  <c r="Q89" i="1" s="1" a="1"/>
  <c r="Q89" i="1" s="1"/>
  <c r="BK89" i="1" a="1"/>
  <c r="BK89" i="1" s="1"/>
  <c r="P89" i="1" s="1" a="1"/>
  <c r="P89" i="1" s="1"/>
  <c r="BL141" i="1"/>
  <c r="BN141" i="1" s="1" a="1"/>
  <c r="BN141" i="1" s="1"/>
  <c r="Q141" i="1" s="1" a="1"/>
  <c r="Q141" i="1" s="1"/>
  <c r="BK141" i="1" a="1"/>
  <c r="BK141" i="1" s="1"/>
  <c r="P141" i="1" s="1" a="1"/>
  <c r="P141" i="1" s="1"/>
  <c r="BL9" i="1"/>
  <c r="BN9" i="1" s="1" a="1"/>
  <c r="BN9" i="1" s="1"/>
  <c r="Q9" i="1" s="1" a="1"/>
  <c r="Q9" i="1" s="1"/>
  <c r="BK9" i="1" a="1"/>
  <c r="BK9" i="1" s="1"/>
  <c r="P9" i="1" s="1" a="1"/>
  <c r="P9" i="1" s="1"/>
  <c r="BL154" i="1"/>
  <c r="BN154" i="1" s="1" a="1"/>
  <c r="BN154" i="1" s="1"/>
  <c r="Q154" i="1" s="1" a="1"/>
  <c r="Q154" i="1" s="1"/>
  <c r="BK154" i="1" a="1"/>
  <c r="BK154" i="1" s="1"/>
  <c r="P154" i="1" s="1" a="1"/>
  <c r="P154" i="1" s="1"/>
  <c r="BL135" i="1"/>
  <c r="BN135" i="1" s="1" a="1"/>
  <c r="BN135" i="1" s="1"/>
  <c r="Q135" i="1" s="1" a="1"/>
  <c r="Q135" i="1" s="1"/>
  <c r="BK135" i="1" a="1"/>
  <c r="BK135" i="1" s="1"/>
  <c r="P135" i="1" s="1" a="1"/>
  <c r="P135" i="1" s="1"/>
  <c r="BL38" i="1"/>
  <c r="BN38" i="1" s="1" a="1"/>
  <c r="BN38" i="1" s="1"/>
  <c r="Q38" i="1" s="1" a="1"/>
  <c r="Q38" i="1" s="1"/>
  <c r="BK38" i="1" a="1"/>
  <c r="BK38" i="1" s="1"/>
  <c r="P38" i="1" s="1" a="1"/>
  <c r="P38" i="1" s="1"/>
  <c r="BL142" i="1"/>
  <c r="BN142" i="1" s="1" a="1"/>
  <c r="BN142" i="1" s="1"/>
  <c r="Q142" i="1" s="1" a="1"/>
  <c r="Q142" i="1" s="1"/>
  <c r="BK142" i="1" a="1"/>
  <c r="BK142" i="1" s="1"/>
  <c r="P142" i="1" s="1" a="1"/>
  <c r="P142" i="1" s="1"/>
  <c r="BL122" i="1"/>
  <c r="BN122" i="1" s="1" a="1"/>
  <c r="BN122" i="1" s="1"/>
  <c r="Q122" i="1" s="1" a="1"/>
  <c r="Q122" i="1" s="1"/>
  <c r="BK122" i="1" a="1"/>
  <c r="BK122" i="1" s="1"/>
  <c r="P122" i="1" s="1" a="1"/>
  <c r="P122" i="1" s="1"/>
  <c r="BL30" i="1"/>
  <c r="BN30" i="1" s="1" a="1"/>
  <c r="BN30" i="1" s="1"/>
  <c r="Q30" i="1" s="1" a="1"/>
  <c r="Q30" i="1" s="1"/>
  <c r="BK30" i="1" a="1"/>
  <c r="BK30" i="1" s="1"/>
  <c r="P30" i="1" s="1" a="1"/>
  <c r="P30" i="1" s="1"/>
  <c r="BL129" i="1"/>
  <c r="BN129" i="1" s="1" a="1"/>
  <c r="BN129" i="1" s="1"/>
  <c r="Q129" i="1" s="1" a="1"/>
  <c r="Q129" i="1" s="1"/>
  <c r="BK129" i="1" a="1"/>
  <c r="BK129" i="1" s="1"/>
  <c r="P129" i="1" s="1" a="1"/>
  <c r="P129" i="1" s="1"/>
  <c r="BL49" i="1"/>
  <c r="BN49" i="1" s="1" a="1"/>
  <c r="BN49" i="1" s="1"/>
  <c r="Q49" i="1" s="1" a="1"/>
  <c r="Q49" i="1" s="1"/>
  <c r="BK49" i="1" a="1"/>
  <c r="BK49" i="1" s="1"/>
  <c r="P49" i="1" s="1" a="1"/>
  <c r="P49" i="1" s="1"/>
  <c r="BL67" i="1"/>
  <c r="BN67" i="1" s="1" a="1"/>
  <c r="BN67" i="1" s="1"/>
  <c r="Q67" i="1" s="1" a="1"/>
  <c r="Q67" i="1" s="1"/>
  <c r="BK67" i="1" a="1"/>
  <c r="BK67" i="1" s="1"/>
  <c r="P67" i="1" s="1" a="1"/>
  <c r="P67" i="1" s="1"/>
  <c r="BL125" i="1"/>
  <c r="BN125" i="1" s="1" a="1"/>
  <c r="BN125" i="1" s="1"/>
  <c r="Q125" i="1" s="1" a="1"/>
  <c r="Q125" i="1" s="1"/>
  <c r="BK125" i="1" a="1"/>
  <c r="BK125" i="1" s="1"/>
  <c r="P125" i="1" s="1" a="1"/>
  <c r="P125" i="1" s="1"/>
  <c r="BL128" i="1"/>
  <c r="BN128" i="1" s="1" a="1"/>
  <c r="BN128" i="1" s="1"/>
  <c r="Q128" i="1" s="1" a="1"/>
  <c r="Q128" i="1" s="1"/>
  <c r="BK128" i="1" a="1"/>
  <c r="BK128" i="1" s="1"/>
  <c r="P128" i="1" s="1" a="1"/>
  <c r="P128" i="1" s="1"/>
  <c r="BL130" i="1"/>
  <c r="BN130" i="1" s="1" a="1"/>
  <c r="BN130" i="1" s="1"/>
  <c r="Q130" i="1" s="1" a="1"/>
  <c r="Q130" i="1" s="1"/>
  <c r="BK130" i="1" a="1"/>
  <c r="BK130" i="1" s="1"/>
  <c r="P130" i="1" s="1" a="1"/>
  <c r="P130" i="1" s="1"/>
  <c r="BL102" i="1"/>
  <c r="BN102" i="1" s="1" a="1"/>
  <c r="BN102" i="1" s="1"/>
  <c r="Q102" i="1" s="1" a="1"/>
  <c r="Q102" i="1" s="1"/>
  <c r="BK102" i="1" a="1"/>
  <c r="BK102" i="1" s="1"/>
  <c r="P102" i="1" s="1" a="1"/>
  <c r="P102" i="1" s="1"/>
  <c r="BL123" i="1"/>
  <c r="BN123" i="1" s="1" a="1"/>
  <c r="BN123" i="1" s="1"/>
  <c r="Q123" i="1" s="1" a="1"/>
  <c r="Q123" i="1" s="1"/>
  <c r="BK123" i="1" a="1"/>
  <c r="BK123" i="1" s="1"/>
  <c r="P123" i="1" s="1" a="1"/>
  <c r="P123" i="1" s="1"/>
  <c r="BL56" i="1"/>
  <c r="BN56" i="1" s="1" a="1"/>
  <c r="BN56" i="1" s="1"/>
  <c r="Q56" i="1" s="1" a="1"/>
  <c r="Q56" i="1" s="1"/>
  <c r="BK56" i="1" a="1"/>
  <c r="BK56" i="1" s="1"/>
  <c r="P56" i="1" s="1" a="1"/>
  <c r="P56" i="1" s="1"/>
  <c r="BL118" i="1"/>
  <c r="BN118" i="1" s="1" a="1"/>
  <c r="BN118" i="1" s="1"/>
  <c r="Q118" i="1" s="1" a="1"/>
  <c r="Q118" i="1" s="1"/>
  <c r="BK118" i="1" a="1"/>
  <c r="BK118" i="1" s="1"/>
  <c r="P118" i="1" s="1" a="1"/>
  <c r="P118" i="1" s="1"/>
  <c r="BL95" i="1"/>
  <c r="BN95" i="1" s="1" a="1"/>
  <c r="BN95" i="1" s="1"/>
  <c r="Q95" i="1" s="1" a="1"/>
  <c r="Q95" i="1" s="1"/>
  <c r="BK95" i="1" a="1"/>
  <c r="BK95" i="1" s="1"/>
  <c r="P95" i="1" s="1" a="1"/>
  <c r="P95" i="1" s="1"/>
  <c r="BL78" i="1"/>
  <c r="BN78" i="1" s="1" a="1"/>
  <c r="BN78" i="1" s="1"/>
  <c r="Q78" i="1" s="1" a="1"/>
  <c r="Q78" i="1" s="1"/>
  <c r="BK78" i="1" a="1"/>
  <c r="BK78" i="1" s="1"/>
  <c r="P78" i="1" s="1" a="1"/>
  <c r="P78" i="1" s="1"/>
  <c r="BL126" i="1"/>
  <c r="BN126" i="1" s="1" a="1"/>
  <c r="BN126" i="1" s="1"/>
  <c r="Q126" i="1" s="1" a="1"/>
  <c r="Q126" i="1" s="1"/>
  <c r="BK126" i="1" a="1"/>
  <c r="BK126" i="1" s="1"/>
  <c r="P126" i="1" s="1" a="1"/>
  <c r="P126" i="1" s="1"/>
  <c r="BL26" i="1"/>
  <c r="BN26" i="1" s="1" a="1"/>
  <c r="BN26" i="1" s="1"/>
  <c r="Q26" i="1" s="1" a="1"/>
  <c r="Q26" i="1" s="1"/>
  <c r="BK26" i="1" a="1"/>
  <c r="BK26" i="1" s="1"/>
  <c r="P26" i="1" s="1" a="1"/>
  <c r="P26" i="1" s="1"/>
  <c r="BL18" i="1"/>
  <c r="BN18" i="1" s="1" a="1"/>
  <c r="BN18" i="1" s="1"/>
  <c r="Q18" i="1" s="1" a="1"/>
  <c r="Q18" i="1" s="1"/>
  <c r="BK18" i="1" a="1"/>
  <c r="BK18" i="1" s="1"/>
  <c r="P18" i="1" s="1" a="1"/>
  <c r="P18" i="1" s="1"/>
  <c r="BL155" i="1"/>
  <c r="BN155" i="1" s="1" a="1"/>
  <c r="BN155" i="1" s="1"/>
  <c r="Q155" i="1" s="1" a="1"/>
  <c r="Q155" i="1" s="1"/>
  <c r="BK155" i="1" a="1"/>
  <c r="BK155" i="1" s="1"/>
  <c r="P155" i="1" s="1" a="1"/>
  <c r="P155" i="1" s="1"/>
  <c r="BL109" i="1"/>
  <c r="BN109" i="1" s="1" a="1"/>
  <c r="BN109" i="1" s="1"/>
  <c r="Q109" i="1" s="1" a="1"/>
  <c r="Q109" i="1" s="1"/>
  <c r="BK109" i="1" a="1"/>
  <c r="BK109" i="1" s="1"/>
  <c r="P109" i="1" s="1" a="1"/>
  <c r="P109" i="1" s="1"/>
  <c r="BL7" i="1"/>
  <c r="BN7" i="1" s="1" a="1"/>
  <c r="BN7" i="1" s="1"/>
  <c r="Q7" i="1" s="1" a="1"/>
  <c r="Q7" i="1" s="1"/>
  <c r="BK7" i="1" a="1"/>
  <c r="BK7" i="1" s="1"/>
  <c r="P7" i="1" s="1" a="1"/>
  <c r="P7" i="1" s="1"/>
  <c r="BL65" i="1"/>
  <c r="BN65" i="1" s="1" a="1"/>
  <c r="BN65" i="1" s="1"/>
  <c r="Q65" i="1" s="1" a="1"/>
  <c r="Q65" i="1" s="1"/>
  <c r="BK65" i="1" a="1"/>
  <c r="BK65" i="1" s="1"/>
  <c r="P65" i="1" s="1" a="1"/>
  <c r="P65" i="1" s="1"/>
  <c r="BL35" i="1"/>
  <c r="BN35" i="1" s="1" a="1"/>
  <c r="BN35" i="1" s="1"/>
  <c r="Q35" i="1" s="1" a="1"/>
  <c r="Q35" i="1" s="1"/>
  <c r="BK35" i="1" a="1"/>
  <c r="BK35" i="1" s="1"/>
  <c r="P35" i="1" s="1" a="1"/>
  <c r="P35" i="1" s="1"/>
  <c r="BL98" i="1"/>
  <c r="BN98" i="1" s="1" a="1"/>
  <c r="BN98" i="1" s="1"/>
  <c r="Q98" i="1" s="1" a="1"/>
  <c r="Q98" i="1" s="1"/>
  <c r="BK98" i="1" a="1"/>
  <c r="BK98" i="1" s="1"/>
  <c r="P98" i="1" s="1" a="1"/>
  <c r="P98" i="1" s="1"/>
  <c r="BL99" i="1"/>
  <c r="BN99" i="1" s="1" a="1"/>
  <c r="BN99" i="1" s="1"/>
  <c r="Q99" i="1" s="1" a="1"/>
  <c r="Q99" i="1" s="1"/>
  <c r="BK99" i="1" a="1"/>
  <c r="BK99" i="1" s="1"/>
  <c r="P99" i="1" s="1" a="1"/>
  <c r="P99" i="1" s="1"/>
  <c r="BL25" i="1"/>
  <c r="BN25" i="1" s="1" a="1"/>
  <c r="BN25" i="1" s="1"/>
  <c r="Q25" i="1" s="1" a="1"/>
  <c r="Q25" i="1" s="1"/>
  <c r="BK25" i="1" a="1"/>
  <c r="BK25" i="1" s="1"/>
  <c r="P25" i="1" s="1" a="1"/>
  <c r="P25" i="1" s="1"/>
  <c r="BL17" i="1"/>
  <c r="BN17" i="1" s="1" a="1"/>
  <c r="BN17" i="1" s="1"/>
  <c r="Q17" i="1" s="1" a="1"/>
  <c r="Q17" i="1" s="1"/>
  <c r="BK17" i="1" a="1"/>
  <c r="BK17" i="1" s="1"/>
  <c r="P17" i="1" s="1" a="1"/>
  <c r="P17" i="1" s="1"/>
  <c r="BL108" i="1"/>
  <c r="BN108" i="1" s="1" a="1"/>
  <c r="BN108" i="1" s="1"/>
  <c r="Q108" i="1" s="1" a="1"/>
  <c r="Q108" i="1" s="1"/>
  <c r="BK108" i="1" a="1"/>
  <c r="BK108" i="1" s="1"/>
  <c r="P108" i="1" s="1" a="1"/>
  <c r="P108" i="1" s="1"/>
  <c r="BL107" i="1"/>
  <c r="BN107" i="1" s="1" a="1"/>
  <c r="BN107" i="1" s="1"/>
  <c r="Q107" i="1" s="1" a="1"/>
  <c r="Q107" i="1" s="1"/>
  <c r="BK107" i="1" a="1"/>
  <c r="BK107" i="1" s="1"/>
  <c r="P107" i="1" s="1" a="1"/>
  <c r="P107" i="1" s="1"/>
  <c r="BL90" i="1"/>
  <c r="BN90" i="1" s="1" a="1"/>
  <c r="BN90" i="1" s="1"/>
  <c r="Q90" i="1" s="1" a="1"/>
  <c r="Q90" i="1" s="1"/>
  <c r="BK90" i="1" a="1"/>
  <c r="BK90" i="1" s="1"/>
  <c r="P90" i="1" s="1" a="1"/>
  <c r="P90" i="1" s="1"/>
  <c r="BL112" i="1"/>
  <c r="BN112" i="1" s="1" a="1"/>
  <c r="BN112" i="1" s="1"/>
  <c r="Q112" i="1" s="1" a="1"/>
  <c r="Q112" i="1" s="1"/>
  <c r="BK112" i="1" a="1"/>
  <c r="BK112" i="1" s="1"/>
  <c r="P112" i="1" s="1" a="1"/>
  <c r="P112" i="1" s="1"/>
  <c r="BL71" i="1"/>
  <c r="BN71" i="1" s="1" a="1"/>
  <c r="BN71" i="1" s="1"/>
  <c r="Q71" i="1" s="1" a="1"/>
  <c r="Q71" i="1" s="1"/>
  <c r="BK71" i="1" a="1"/>
  <c r="BK71" i="1" s="1"/>
  <c r="P71" i="1" s="1" a="1"/>
  <c r="P71" i="1" s="1"/>
  <c r="BL29" i="1"/>
  <c r="BN29" i="1" s="1" a="1"/>
  <c r="BN29" i="1" s="1"/>
  <c r="Q29" i="1" s="1" a="1"/>
  <c r="Q29" i="1" s="1"/>
  <c r="BK29" i="1" a="1"/>
  <c r="BK29" i="1" s="1"/>
  <c r="P29" i="1" s="1" a="1"/>
  <c r="P29" i="1" s="1"/>
  <c r="BL10" i="1"/>
  <c r="BN10" i="1" s="1" a="1"/>
  <c r="BN10" i="1" s="1"/>
  <c r="Q10" i="1" s="1" a="1"/>
  <c r="Q10" i="1" s="1"/>
  <c r="BK10" i="1" a="1"/>
  <c r="BK10" i="1" s="1"/>
  <c r="P10" i="1" s="1" a="1"/>
  <c r="P10" i="1" s="1"/>
  <c r="BL42" i="1"/>
  <c r="BN42" i="1" s="1" a="1"/>
  <c r="BN42" i="1" s="1"/>
  <c r="Q42" i="1" s="1" a="1"/>
  <c r="Q42" i="1" s="1"/>
  <c r="BK42" i="1" a="1"/>
  <c r="BK42" i="1" s="1"/>
  <c r="P42" i="1" s="1" a="1"/>
  <c r="P42" i="1" s="1"/>
  <c r="BL96" i="1"/>
  <c r="BN96" i="1" s="1" a="1"/>
  <c r="BN96" i="1" s="1"/>
  <c r="Q96" i="1" s="1" a="1"/>
  <c r="Q96" i="1" s="1"/>
  <c r="BK96" i="1" a="1"/>
  <c r="BK96" i="1" s="1"/>
  <c r="P96" i="1" s="1" a="1"/>
  <c r="P96" i="1" s="1"/>
  <c r="BL124" i="1"/>
  <c r="BN124" i="1" s="1" a="1"/>
  <c r="BN124" i="1" s="1"/>
  <c r="Q124" i="1" s="1" a="1"/>
  <c r="Q124" i="1" s="1"/>
  <c r="BK124" i="1" a="1"/>
  <c r="BK124" i="1" s="1"/>
  <c r="P124" i="1" s="1" a="1"/>
  <c r="P124" i="1" s="1"/>
  <c r="BL5" i="1"/>
  <c r="BN5" i="1" s="1" a="1"/>
  <c r="BN5" i="1" s="1"/>
  <c r="Q5" i="1" s="1" a="1"/>
  <c r="Q5" i="1" s="1"/>
  <c r="BK5" i="1" a="1"/>
  <c r="BK5" i="1" s="1"/>
  <c r="P5" i="1" s="1" a="1"/>
  <c r="P5" i="1" s="1"/>
  <c r="BL84" i="1"/>
  <c r="BN84" i="1" s="1" a="1"/>
  <c r="BN84" i="1" s="1"/>
  <c r="Q84" i="1" s="1" a="1"/>
  <c r="Q84" i="1" s="1"/>
  <c r="BK84" i="1" a="1"/>
  <c r="BK84" i="1" s="1"/>
  <c r="P84" i="1" s="1" a="1"/>
  <c r="P84" i="1" s="1"/>
  <c r="BL4" i="1"/>
  <c r="BN4" i="1" s="1" a="1"/>
  <c r="BN4" i="1" s="1"/>
  <c r="Q4" i="1" s="1" a="1"/>
  <c r="Q4" i="1" s="1"/>
  <c r="BK4" i="1" a="1"/>
  <c r="BK4" i="1" s="1"/>
  <c r="P4" i="1" s="1" a="1"/>
  <c r="P4" i="1" s="1"/>
  <c r="BL19" i="1"/>
  <c r="BN19" i="1" s="1" a="1"/>
  <c r="BN19" i="1" s="1"/>
  <c r="Q19" i="1" s="1" a="1"/>
  <c r="Q19" i="1" s="1"/>
  <c r="BK19" i="1" a="1"/>
  <c r="BK19" i="1" s="1"/>
  <c r="P19" i="1" s="1" a="1"/>
  <c r="P19" i="1" s="1"/>
  <c r="BL50" i="1"/>
  <c r="BN50" i="1" s="1" a="1"/>
  <c r="BN50" i="1" s="1"/>
  <c r="Q50" i="1" s="1" a="1"/>
  <c r="Q50" i="1" s="1"/>
  <c r="BK50" i="1" a="1"/>
  <c r="BK50" i="1" s="1"/>
  <c r="P50" i="1" s="1" a="1"/>
  <c r="P50" i="1" s="1"/>
  <c r="BL40" i="1"/>
  <c r="BN40" i="1" s="1" a="1"/>
  <c r="BN40" i="1" s="1"/>
  <c r="Q40" i="1" s="1" a="1"/>
  <c r="Q40" i="1" s="1"/>
  <c r="BK40" i="1" a="1"/>
  <c r="BK40" i="1" s="1"/>
  <c r="P40" i="1" s="1" a="1"/>
  <c r="P40" i="1" s="1"/>
  <c r="BL61" i="1"/>
  <c r="BN61" i="1" s="1" a="1"/>
  <c r="BN61" i="1" s="1"/>
  <c r="Q61" i="1" s="1" a="1"/>
  <c r="Q61" i="1" s="1"/>
  <c r="BK61" i="1" a="1"/>
  <c r="BK61" i="1" s="1"/>
  <c r="P61" i="1" s="1" a="1"/>
  <c r="P61" i="1" s="1"/>
  <c r="BL46" i="1"/>
  <c r="BN46" i="1" s="1" a="1"/>
  <c r="BN46" i="1" s="1"/>
  <c r="Q46" i="1" s="1" a="1"/>
  <c r="Q46" i="1" s="1"/>
  <c r="BK46" i="1" a="1"/>
  <c r="BK46" i="1" s="1"/>
  <c r="P46" i="1" s="1" a="1"/>
  <c r="P46" i="1" s="1"/>
  <c r="BL144" i="1"/>
  <c r="BN144" i="1" s="1" a="1"/>
  <c r="BN144" i="1" s="1"/>
  <c r="Q144" i="1" s="1" a="1"/>
  <c r="Q144" i="1" s="1"/>
  <c r="BK144" i="1" a="1"/>
  <c r="BK144" i="1" s="1"/>
  <c r="P144" i="1" s="1" a="1"/>
  <c r="P144" i="1" s="1"/>
  <c r="BL111" i="1"/>
  <c r="BN111" i="1" s="1" a="1"/>
  <c r="BN111" i="1" s="1"/>
  <c r="Q111" i="1" s="1" a="1"/>
  <c r="Q111" i="1" s="1"/>
  <c r="BK111" i="1" a="1"/>
  <c r="BK111" i="1" s="1"/>
  <c r="P111" i="1" s="1" a="1"/>
  <c r="P11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6C04D6-183D-4A92-9C4D-B87E777D2B44}" keepAlive="1" name="Consulta - Controle_Projetos" description="Conexão com a consulta 'Controle_Projetos' na pasta de trabalho." type="5" refreshedVersion="8" background="1" saveData="1">
    <dbPr connection="Provider=Microsoft.Mashup.OleDb.1;Data Source=$Workbook$;Location=Controle_Projetos;Extended Properties=&quot;&quot;" command="SELECT * FROM [Controle_Projetos]"/>
  </connection>
  <connection id="2" xr16:uid="{AC039E97-EA71-495C-A4A2-2A173C405A8D}" keepAlive="1" name="Consulta - GERAL_CONTRATOS" description="Conexão com a consulta 'GERAL_CONTRATOS' na pasta de trabalho." type="5" refreshedVersion="8" background="1" saveData="1">
    <dbPr connection="Provider=Microsoft.Mashup.OleDb.1;Data Source=$Workbook$;Location=GERAL_CONTRATOS;Extended Properties=&quot;&quot;" command="SELECT * FROM [GERAL_CONTRATOS]"/>
  </connection>
  <connection id="3" xr16:uid="{27E95A83-43D9-4741-8FAA-AC745B54683E}" keepAlive="1" name="Consulta - Liderança" description="Conexão com a consulta 'Liderança' na pasta de trabalho." type="5" refreshedVersion="8" background="1" saveData="1">
    <dbPr connection="Provider=Microsoft.Mashup.OleDb.1;Data Source=$Workbook$;Location=Liderança;Extended Properties=&quot;&quot;" command="SELECT * FROM [Liderança]"/>
  </connection>
  <connection id="4" xr16:uid="{713CE9FF-D3FD-4817-A375-CD7AA90080F7}" keepAlive="1" name="Consulta - TabControleEfetivo" description="Conexão com a consulta 'TabControleEfetivo' na pasta de trabalho." type="5" refreshedVersion="8" background="1" saveData="1">
    <dbPr connection="Provider=Microsoft.Mashup.OleDb.1;Data Source=$Workbook$;Location=TabControleEfetivo;Extended Properties=&quot;&quot;" command="SELECT * FROM [TabControleEfetivo]"/>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<sst xmlns="http://schemas.openxmlformats.org/spreadsheetml/2006/main" count="35011" uniqueCount="7315">
  <si>
    <t>MOBILIZAÇÃO DE PESSOAS</t>
  </si>
  <si>
    <t>considerar a data aproximada da data prevista</t>
  </si>
  <si>
    <t>0 - ASSINATURA DE CONTRATO - COMERCIAL</t>
  </si>
  <si>
    <t>1 - ABERTURA DE CHAMADO - FORMS</t>
  </si>
  <si>
    <t>2 - EXAMES</t>
  </si>
  <si>
    <t>3 - EMISSAO ASO</t>
  </si>
  <si>
    <t>4 - TREINAMENTOS AGENDADOS</t>
  </si>
  <si>
    <t>5 - CONCLUSAO TREINAMENTOS</t>
  </si>
  <si>
    <t>6 - ALTERAÇÃO CONTRATUAL / CLT</t>
  </si>
  <si>
    <t>7 - ENVIO DOSSIÊ</t>
  </si>
  <si>
    <t>8 - POSTAGEM PELO CLIENTE</t>
  </si>
  <si>
    <t>9 - APROVAÇÃO CLIENTE FINAL</t>
  </si>
  <si>
    <t>10 - LIBERAÇÃO CRACHÁ</t>
  </si>
  <si>
    <t>STATUS PROCESSO MOBILIZAÇÃO</t>
  </si>
  <si>
    <t>RESPONSÁVEL</t>
  </si>
  <si>
    <t>MOBILIZADO / DESMOBILIZADO</t>
  </si>
  <si>
    <t>NÚMERO DO
 CHAMADO</t>
  </si>
  <si>
    <t>COLABORADOR</t>
  </si>
  <si>
    <t>STATUS GERAL</t>
  </si>
  <si>
    <t>Abertura de Chamado</t>
  </si>
  <si>
    <t>Exames</t>
  </si>
  <si>
    <t>Liberação ASO</t>
  </si>
  <si>
    <t>Agend. Trein.</t>
  </si>
  <si>
    <t>Conclusão Trein.</t>
  </si>
  <si>
    <t>Alt. Contratual</t>
  </si>
  <si>
    <t>Envio Dossiê</t>
  </si>
  <si>
    <t>Postagem</t>
  </si>
  <si>
    <t>Aprovação</t>
  </si>
  <si>
    <t>Crachá</t>
  </si>
  <si>
    <t>PREVISÃO TÉRMINO</t>
  </si>
  <si>
    <t>DATA REAL FINALIZAÇÃO</t>
  </si>
  <si>
    <t>Dias Decorridos</t>
  </si>
  <si>
    <t>Tempo Mobilização ADM (PHD)</t>
  </si>
  <si>
    <t>Tempo Mobilização Cliente</t>
  </si>
  <si>
    <t>Dias Inicio Mobi com Contrato Assinado</t>
  </si>
  <si>
    <t>COO PHD</t>
  </si>
  <si>
    <t>GER PHD</t>
  </si>
  <si>
    <t>E-mail Coordenador</t>
  </si>
  <si>
    <t>E-mail Gerente</t>
  </si>
  <si>
    <t>EMPRESA PHD</t>
  </si>
  <si>
    <t>CLIENTE PHD</t>
  </si>
  <si>
    <t xml:space="preserve">CLIENTE FINAL </t>
  </si>
  <si>
    <t>LOCAL DA OBRA</t>
  </si>
  <si>
    <t>CÓD. CT</t>
  </si>
  <si>
    <t>CÓD. PHD</t>
  </si>
  <si>
    <t>DATA PREV</t>
  </si>
  <si>
    <t>DATA REAL</t>
  </si>
  <si>
    <t>DIAS ATRASO</t>
  </si>
  <si>
    <t>DATA PREV - FORMS</t>
  </si>
  <si>
    <t>DATA REAL - FORMS</t>
  </si>
  <si>
    <t>TEMPO REAL - FORMS</t>
  </si>
  <si>
    <t>DATA PREV - EXAMES</t>
  </si>
  <si>
    <t>DATA REAL - EXAMES</t>
  </si>
  <si>
    <t>DIAS ATRASO - EXAMES</t>
  </si>
  <si>
    <t>DATA PREV - ASO</t>
  </si>
  <si>
    <t>DATA REAL - ASO</t>
  </si>
  <si>
    <t>DIAS ATRASO - ASO</t>
  </si>
  <si>
    <t>DATA PREV - TREINAMENTOS</t>
  </si>
  <si>
    <t>DATA REAL - TREINAMENTOS</t>
  </si>
  <si>
    <t>DIAS ATRASO - TREINAMENTOS</t>
  </si>
  <si>
    <t>DATA PREV - CONCL. TREIN.</t>
  </si>
  <si>
    <t>DATA REAL - CONCL. TREIN.</t>
  </si>
  <si>
    <t>DIAS ATRASO - CONCL. TREIN.</t>
  </si>
  <si>
    <t>DATA INICIO - ALTER. CONTRATUAL</t>
  </si>
  <si>
    <t>DATA FIM - ALTER. CONTRATUAL</t>
  </si>
  <si>
    <t>DIAS ATRASO - ALTER. CONTRATUAL</t>
  </si>
  <si>
    <t>DATA PREV - DOSSIÊ</t>
  </si>
  <si>
    <t>DATA REAL - DOSSIÊ</t>
  </si>
  <si>
    <t>DIAS ATRASO - DOSSIÊ</t>
  </si>
  <si>
    <t>DATA PREV - POSTAGEM</t>
  </si>
  <si>
    <t>DATA REAL - POSTAGEM</t>
  </si>
  <si>
    <t>DIAS ATRASO - POSTAGEM</t>
  </si>
  <si>
    <t>DATA PREV - APROV FINAL</t>
  </si>
  <si>
    <t>DATA REAL - APROV FINAL</t>
  </si>
  <si>
    <t>DIAS ATRASO - APROV FINAL</t>
  </si>
  <si>
    <t>DATA PREV - CRACHÁ</t>
  </si>
  <si>
    <t>DATA REAL - CRACHÁ</t>
  </si>
  <si>
    <t>DIAS ATRASO - CRACHÁ</t>
  </si>
  <si>
    <t>OBSERVAÇÕES</t>
  </si>
  <si>
    <t>Finalizado</t>
  </si>
  <si>
    <t>Leticia</t>
  </si>
  <si>
    <t>Desmobilizado</t>
  </si>
  <si>
    <t>GUILHERME DE ASSIS BRAGA</t>
  </si>
  <si>
    <t>LUCAS FERRAZ</t>
  </si>
  <si>
    <t>PAULO PAIVA</t>
  </si>
  <si>
    <t>lucas.ferraz@phdengenharia.eng.br</t>
  </si>
  <si>
    <t>paulo.paiva@phdengenharia.eng.br</t>
  </si>
  <si>
    <t>PHD ENGENHARIA</t>
  </si>
  <si>
    <t>IMC SASTE</t>
  </si>
  <si>
    <t>VALE</t>
  </si>
  <si>
    <t>NOVA LIMA</t>
  </si>
  <si>
    <t>IMCS-CT08</t>
  </si>
  <si>
    <t>28/10/2024 - Não temos os programas legais baseados na obra para readequarmos o ASO do colaborador. Estamos aguardando as informações contratuais da IMC Saste x Vale para elaborarmos os programas legais com base na obra. 
29/10/2024 - Profissional possui Treinamentos válidos.
30/10/2024 - Pendente assintaura de 01 certificado e 02 listas de presença, enviado para assinatura por meio da plataforma Autentique.
30/10/2024 - Pendente TRANSCRIÇÃO DE ASO, pois ainda não ha programas legais 
30/10/2024 - Cliente ainda não enviou as informações do contrato para elaboração dos programas legais.
31/10/2024 - Enviado novo e-mail e Watzaap  para o cliente, solicitando os dados para elaboração dos programas legais.
01/11/2024 - Cliente disponibilizou as informações pendentes.
01/11/2024 - Solicitação feita para a clinica construir os programas legais. Prazo de 7 dias úteis
11/11/2024 - Clinica enviou os programas com local divergente do informado
11/11/2024 - Clinica solicitou espefificação das Minas que serão abrangidas, solicitação feita ao cliente e encaminhada para a clinica nesta data.
14/11/2024 - Programas enviados para o cliente.
14/11/2024 - Transcrição de ASO solicitado para a clínica
25/11/2024 - ASO liberado com posto de trabalho errado- Solicitado correção para a clinica
26/11/2024 - ASO retificado e liberado
27/11/2024 - Dosssiê enviado 
28/11/2024 - Solicitado CPF e RG em documentos distintos, solicitado ao profissional
29/11/2024 - Documentos enviados
06/01/2025 - Profissional Guilherme nos avisou que o crachá foi liebrado nesta data.</t>
  </si>
  <si>
    <t>Ivone</t>
  </si>
  <si>
    <t>LUANNA PRICYLA MARQUES DE FREITAS</t>
  </si>
  <si>
    <t>ARTHUR ROCHA</t>
  </si>
  <si>
    <t>arthur.rocha@phdengenharia.eng.br</t>
  </si>
  <si>
    <t>PHD ASSESSORIA</t>
  </si>
  <si>
    <t>SALUM</t>
  </si>
  <si>
    <t>MINA DE BRUCUTU</t>
  </si>
  <si>
    <t>SALU-CT08</t>
  </si>
  <si>
    <t xml:space="preserve">31/10/2024 - Demanda iniciada sem abertura de chamado
31/10/2024 - Solicitada Trancrisção do ASO para Mirtes
31/10/2024 - Verificação de quais treianmentos serão reaproveitados
01/11/2024 - Disponibilização de treinamentos para a profissional realizar.
04/11/2024 - Treinamentos finalizados - Aguardando liberação dos certificados.
08/11/2024 - Certificados liberados
11/11/2024 - Certficados assinados.
11/11/2024 - Aguardando ASO.
25/11/2024 - ASO liberado e enviado para assinatura
26/11/2024 - Dossiê enviado para o cliente
27/11/2024 - ASO reprovado pelo cliente pois a validade deve ser de 30 dias.
27/11/2024 - Direcionado para Mirtes agendar.
29/11/2024 - Previsto realização do ASO em 29/11/2024.
03/12/2024 - Declaração de NR 22 Reprovada_Imporatnte sinalizar que já havia sinalizado a divergência da declaração para AVALA e ela se recusou a modificar, disendo que deveria ter uma recisa do cleinte.
03/12/2024 - ASO reprovado, devido a mudnaça de rsicos nos programas legais, feito pela AVAL.
03/12/2024 - Pendências direcionadas para a clinica.
04/12/2024 - Aval informa nesta data que  não consegue atender com o certificado e lista de NR 22 aceito pela Salum, pois não tem técnico ambiental.
05/12/2024 - Solicitaddo para o antigo fornecedor de treinamento os certificados de NR 22 e lista.
06/12/2024 - Certificados e lista de NR 22 ok.
06/12/2024 - Pendente liberação do ASO por parte da AVAL.
06/12/2024 - Pendente  ataulização dos programas legais pela AVAL.
10/12/2024 - Programas revisados e reenviados.
11/12/2024 - Programas reprovados novamente.
11/12/2024 - Pendência repassada para clinica.
12/12/2024 - Programas enviados e reprovados novamente 
16/12/2024 - Aval disponibilizou um "Adendo do PCMSO"
19/12/2024 - Programas reprovados, direcionados para a clinica corrigir
20/12/2024 - Programas reenviados para o cliente.
26/12/2024 - Aguardando retorno do cliente. Documentação da profissional foi reencaminhada novamente em 16/12/2024
06/01/2025 - Programas legais reprovados.
08/01/2025 - Programas reprovados.
08/01/2025  - Programas corrigidos enviados para o cliente.
17/01/2025 - PCMSO aprovado com ressalvas.
20/01/2025 - Cliente solicita revisão do ASO. 
20/01/2025 - Solicitada revisão para a clinica.
21/01/2025 - Aval disponibiliza o ASO
21/01/2025 - Aso enviaddo para o cliente.
24/01/2025 - Mobilização aprovada.
</t>
  </si>
  <si>
    <t>LUIS EDUARDO FAGUNDES FRAGA</t>
  </si>
  <si>
    <t>TULIO MORAIS</t>
  </si>
  <si>
    <t>tulio.rafael@phdengenharia.eng.br</t>
  </si>
  <si>
    <t>MINA DE FÁBRICA</t>
  </si>
  <si>
    <t>IMCS-CT07</t>
  </si>
  <si>
    <t>19/11/2024 - Transcrição de ASO e atualização dos programas solicitada para Mirtes
19/11/2024 - Treinamentos pendentes solicitados
03/12/2024 - ASO liberado
30/11/2024 - Treinamentos finalizados
03/12/2024 - Aguardando liberação dos certificados
05/12/2024 - Treinamentos finalizados e enviados para assinatura 
06/12/2024 - Dossiê enviado para o cliente.
18/12/2024 - Cliente informou que o SGC estava com instabilidade e a previsão de postagem está para o dia 19/12.
07/01/2025 - Cliente retornou, informando que a mobilização foi postada nesta data.
13/01/2025 - Profissional informou que o crachá foi liberado nesta data.
14/01/2025 - Treinamentos reprovados.
14/01/2025 - Enviados novos treinamentos para profissional realizar.
20/01/2025 - Treinamentos concluídos.
20/01/2025 - Certificados atualizados enviados para o cliente.
25/01/2025 - Mobilização aprovada.</t>
  </si>
  <si>
    <t>Mobilizado</t>
  </si>
  <si>
    <t>POLYANE GOMES DE LANES</t>
  </si>
  <si>
    <t>JULIO CESAR</t>
  </si>
  <si>
    <t>Mina de Agua Limpa</t>
  </si>
  <si>
    <t>SALU-CT09</t>
  </si>
  <si>
    <t>19/11/2024 - Solicitação de mobilização via e-mail_PENDENTE abertura de chamado
18/11/2024 - Transcrição de ASO Solicitada
19/11/2024 - Treinamentos pendentes solicitados e enviados para realização
21/11/2024 - ASO liberado enviado para assinatura
25/11/2024 - Aguardando finalização dos treinamentos - profissional está de férias.
03/12/2024 - Aguardando a finalização dos treinamentos - profissional está de férias.
09/12/2024 - Profissional ainda não realizou os treinamentos.
10/12/2024 - Conclusão de treinamentos
11/12/2024- Dossiê enviado ao cliente.
18/12/2024 - Aso reprovado, foi solicitado Atestado de saude assistencial, pendência direcionada para Mirtes.
18/12/2024 -  Atestado de saude assistencial enviado para o cliente 
20/12/2024 - ASO reprovado devido prazo ddo ASO ser de apenas 30 dias.
20/12/2024 - Direcionado para Mirtes agendar novo ASO
26/12/2024 - ASO agendado para 27/12.
03/01/2025 - Aso reenviado para o cliente
08/01/2025 - Mobilização concluída
08/01/2025 - Crachá liberado.</t>
  </si>
  <si>
    <t>FRANCISCO BECARI JUNIOR</t>
  </si>
  <si>
    <t>GCE SA</t>
  </si>
  <si>
    <t>Unidade Prisional de Poços de Caldas</t>
  </si>
  <si>
    <t>GCES-CT01</t>
  </si>
  <si>
    <t xml:space="preserve">27/11/2024 - Iniciado as tratativas para mobilização do profissional, porém, dependemos da elaboração dos programas legais para liberação do ASO
27/11/2024 - Transcrição do ASO solicitado patra a Mirtes.
28/11/2024 - Treinamentos solicitados
29/11/2024 - Treinamentos enviados para o profissional realizar.
09/12/2024 - Treinamentos básicos ok.
09/12/2024 - Programas legais enviados para o cliente.
09/12/2024 -  Pendente ASO.
12/12/2024 - Treinamentos realizados
12/12/2024 - Certificados enviados para assintura.
13/12/2024 - Aguardando profissional assinar.
16/12/2024 - Certificados assiandos.
16/12/2024 - ASO liberado 
16/12/2024 - Dossiê enviado 
18/12/2024 -Programas legais reprovados
19/12/2024 - Direcionados para a clinica atualizar 
23/12/2024 - Programas legais reenviados para o cliente.
26/12/2024 - Dossiê já enviado em 16/12/2024.
27/12/2024 -  ASO reprovado - clinica trocou os exames que deviam ser feitos
07/01//2024 - ASO reenviado para o cliente
09/01/2024 - Mobilização Finalizada.
</t>
  </si>
  <si>
    <t>Cancelado</t>
  </si>
  <si>
    <t>ALDO WERLE DOS SANTOS</t>
  </si>
  <si>
    <t>THALES PADUA</t>
  </si>
  <si>
    <t>EDUARDO ELER</t>
  </si>
  <si>
    <t>thales.padua@phdengenharia.eng.br</t>
  </si>
  <si>
    <t>eduardo.eler@phdengenharia.eng.br</t>
  </si>
  <si>
    <t>CIMCOP</t>
  </si>
  <si>
    <t xml:space="preserve">Mina de Brucutu </t>
  </si>
  <si>
    <t>CIMC-CT02</t>
  </si>
  <si>
    <t>11/12/2024 - Treinamentos solicitados
11/12/2024 - Solicitado para Mirtes a transcrição do ASO -&gt; feito pela clinica
11/12/2024 - Solicitado para Mirtes a transcrição dos programas legais, devido a alteração da clinica, os programas devem ser atualizados e enviados para que o cliente poste no portal da Vale, antes de postar a mobilziação do profissional.
11/12/2024 - Treinamentos liberados para realização.
12/12/2024- Treinamentos concluídos aguardando liberação de certificado.
12/12/2024 - Pendente ASO e Termos
18/12/2024 - Até o momento a clínica não liberou os programas legais transcritos, sem a postagem dos programas, não tem como postar a mobilização do profissional.
18/12/2024-  Programas liberados pela Aval, direcionado para o Nery assinar 
18/12/2024 - Aguardando Nery assinar os programas transcritos para envio.
19/12/2024 - Programas legais atualizados enviados
23/12/2024 -Aguardando aprovação dos programas legais para envio dos documentos
23/12/2024 - Pendente assinatura dos certificados.
26/12/2024 - Dossiê enviado para o cliente
08/01/2025 - Conforme  e-mail do coordenador Thales, está mobilização estásendo cancelada</t>
  </si>
  <si>
    <t>MARCELO FERRAZ LIMA</t>
  </si>
  <si>
    <t>BRUNO AZEVEDO</t>
  </si>
  <si>
    <t>bruno.azevedo@phdengenharia.eng.br</t>
  </si>
  <si>
    <t>GERDAU</t>
  </si>
  <si>
    <t>Usina Cearense</t>
  </si>
  <si>
    <t>GERD-CT05</t>
  </si>
  <si>
    <t>19/12/2024 - Iniciada as tratativas no bancodoc.
19/12/2024 - Programas legais solicitados.
20/12/2024 - Solicitado a transcrição do ASO para a Mirtes
20/12/2024 - feita a subcontratação da PHd Engenharia na unidade cearense 
23/12/2024 - Pré cadastro do profissional realizado no bancodoc. 
26/12/2024 - Postagem dos documentos iniciada, pendente ASO e número PEP
27/12/2024 - Documentos aprovados no bancodoc.
27/12/2024 - Pendente treinamento  PIT- Agendado para o dia 14/01/2025
14/01/2025 - treinamento  PIT realizado
15/01/2025 - Crachá liberado</t>
  </si>
  <si>
    <t>Edijane</t>
  </si>
  <si>
    <t>MARLON WITOR BORGES MUELLER</t>
  </si>
  <si>
    <t>ATRIUM CONSTRUTORA</t>
  </si>
  <si>
    <t>SÃO PAULO CATARINA</t>
  </si>
  <si>
    <t>São Roque-SP</t>
  </si>
  <si>
    <t>ATRI-CT02</t>
  </si>
  <si>
    <t>20/12/2024 - Chamado de mobilização aberto, Sem previsão de inicio
06/01/2025 - solicitado para Mirtes trancrisão do aso
07/01/2025 - Pendente TRANSCRIÇÃO DE ASO, pois ainda não ha programas legais
07/01/2025 - dossie enviado, pendente envio do aso.
09/01/2025 - Aguardando envio do aso pela clinica
13/01/2025 - aso recebido e enviado para o cliente
13/01/2025 - Pendente a integração Atrium
20/01/2025 - mobilização cancelada, conforme informado por Lucas via whats</t>
  </si>
  <si>
    <t>KARINE VITORIA MADEIRA GAMA</t>
  </si>
  <si>
    <t>MARAVILHAS</t>
  </si>
  <si>
    <t>SALU-CT06</t>
  </si>
  <si>
    <t xml:space="preserve">27/12/2024 - Solicitado por e-mail a mobilização da profissional neste projeto - pendente chamado.
27/12/2024 - Solicitado o ASO para Mirtes
27/12/2024 - Treinamentos solicitados para a AVAL.
03/01/2025- Aso Realizado - pendente liberação.
06/01/2025 - Pendente Termos: Regras de Ouro, Direitos Humanos - Solicitado para Mirtes
06/01/2025 - Treinamentos concluídos .
07/01/2025 - Pendente liberação do ASO.
08/01/2025 - ASO liberado com exames faltantes.Retornado para clinica retificar.
09/01/2025 - Pendente ordem de serviço
09/01/2025 - ASO liberado com riscos diferentes do PCMSO aprovado, direcionado para Felipe verificar com a AVAL
10/01/2024 - ASO liberado.
10/01/2025 - Dossiê enviado.
14/01/2025 - Retorno do cliente: Certificado de RAC com revisão desatualizada- direcioanda para AVAL Atualizar.
15/01/2025 - Certificado de RAC- Reprovado novamente pela VALE. 
16/01/2025 - Certificado reenviado 
20/01/2025 - Mobilização concluida - Informação do clinete nesta data
</t>
  </si>
  <si>
    <t xml:space="preserve">Ivone </t>
  </si>
  <si>
    <t>DIEGO RANIERI MELO RODRIGUES</t>
  </si>
  <si>
    <t>DIOGO SOARES</t>
  </si>
  <si>
    <t>LEONARDO DRUMOND</t>
  </si>
  <si>
    <t>diogo.soares@phdengenharia.eng.br</t>
  </si>
  <si>
    <t>leonardo.drumond@phdengenharia.eng.br</t>
  </si>
  <si>
    <t>ADM DO BRASIL</t>
  </si>
  <si>
    <t>Três Corações - MG</t>
  </si>
  <si>
    <t>ADMB-CT01</t>
  </si>
  <si>
    <t>06/01/2025 - Recebemos na data de hoje  a informação de mobilização do profissional
06/01/2025 - Chamado aberto
06/01/2025 - ASO liberado
06/01/2025 - Treinamentos liberados para a realização.
06/01/2025 - Pendente Alteração contratual ou protocolo de entrada junto a JUCEMG.
06/01/2025 - OS, ficha de EPI e Foto solicitado para Mirtes.
07/01/2025 - Necessário retificação do ASO
08/01/2025 - Aguardando Diego assinar as declarações 
08/01/2025 - Dossiê enviado, PEDNDENTE alteração contratual, foi enviado declaração.
08/01/2025 - Pendente envio dos programas legais atualizados.
13/01/2025 - programas legais enviados
13/01/2025 - Cliente retornou solicitando protocolo da alteração contratual.
14/01/2025 - Previsão de liberação do protocolo da alteração em 16/01/2025.
17/01/2025 - Enviada nova declaração com protocolo de entrada da alteração. (na planilha considerada está data para envio do Dossiê.
21/01/2025 -Integração está sendo realizada
22/01/2025- Crachá liberado 
 **11 dias aguardando protocolo da JUCEMG, referente a alteração contratual.</t>
  </si>
  <si>
    <t>ALINE LAGE</t>
  </si>
  <si>
    <t>SILAS MOREIRA</t>
  </si>
  <si>
    <t>silas.moreira@phdengenharia.eng.br</t>
  </si>
  <si>
    <t>Itabira - MG</t>
  </si>
  <si>
    <t>IMCS-CT06</t>
  </si>
  <si>
    <t>06/01/2025 - Chamado recebido
06/01/2025 - Solicitado trancrição de ASO para Mirtes
06/01/2025 - Necessário atualização dos programas legais pela clinica AVAL, foi cobrado retorno deles sobre essa trancrição.
06/01/2025 - Treinamentos pendentes solicitados para a clinica.
07/01/2025 - Treinamentos liberados para realização.
10/01/2025 - Programas legais liberados, direcionados para Felipe conferir
13/01/2025 - Programas legais devolvidos para a clinica retificar
15/01/2025 - Programas legais atualizados enviados para o cliente
15/01/2025 - Pendente e-social, RG
16/01/2025 - Pendente envio do RG e ASO
17/01/2025 - Aso liberadao 
17/01/2025 - Dossiê enviado
23/01/2025 - Conforme confirmação do cordenador Silas a profissiona foi mobilizada nesta data.</t>
  </si>
  <si>
    <t>ADAILTON LUCAS GALINDO DE ANDRADE</t>
  </si>
  <si>
    <t>08/01/2025 - ASO Solicitado para Mirtes/Felipe
08/01/2024 - Treinamentos disponibilizados para o profissional realizar
13/01/2025 - Profissional está de férias- Aguardando retorno
16/01/2025 - Treianmentos concluidos 
16/01/2025 - Pendente termos e ASO
20/01/2025 - Coordenador Diogo pediu para aguardar
20/01/2025 - Conforme e-mail do coordenador Diogo a mobilização foi cancelada.</t>
  </si>
  <si>
    <t>GUILHERME RAFAEL DUARTE ROCHA</t>
  </si>
  <si>
    <t>NIPLAN ENGENHARIA</t>
  </si>
  <si>
    <t>ArcelorMittal</t>
  </si>
  <si>
    <t>BARRA MANSA/RJ</t>
  </si>
  <si>
    <t>NIPL-CT01</t>
  </si>
  <si>
    <t xml:space="preserve">08/01/2025 - chamado recebido
08/01/2025 - agendamento dos treinamentos
09/01/2025 - Processo de trancrição dos programas legais para mobilização do profissional
13/01/2025 - Aso e certificados recebidos
15/01/2025 - Programas legais recebido e enviado ao cliente
16/01/2025 - retorno dos programas legais com pendencia
16/01/2025 - dossie enviado, pendente alteração contratual
23/01/2025 - programas legais aprovados
23/01/2025 - dossie postado
24/01/2025 - aprovado, crachá liberado
</t>
  </si>
  <si>
    <t>THALLES DAVIDY GONDIN DA SILVEIRA</t>
  </si>
  <si>
    <t>NILTON NETTO</t>
  </si>
  <si>
    <t>nilton.netto@phdengenharia.eng.br</t>
  </si>
  <si>
    <t>ALCOA</t>
  </si>
  <si>
    <t>SÃO LUIS - MA</t>
  </si>
  <si>
    <t>ALCO-CT02</t>
  </si>
  <si>
    <t xml:space="preserve">11/01/2025 - Chamado recebido de mobilização
11/01/2025 - não podemos adiantar o processo de mobilização, pois o profissional ainda não fez exame
21/01/2025 - Solicitação de readequaçõ no aso para a clinica Aval
22/01/2025 - Admissão
22/01/2025 - Treinamento agendado no senai para dia 23/01 e 24/01
22/01/2025 - Planilha enviada para gestor do contrato e portaria da Alumar para aprovação do processo de mobilização
22/01/2025 - Informação pelo o cliente que o processo de mobilização mudou
24/01/2025 - treinamentos finalizados
24/01/2025 - Aso validado por Felipe e enviado para o médico da alcoa para analise
24/01/2025 - Solicitação de analise pisicologica
24/01/2025 - Solicitação de seguro vida e plano de saúde
24/01/2025 - pré cadastro realizado no softexpert plataforma de mobilização Alcoa
28/01/2025 - Pré cadastro reprovado pelo o securyt
28/01/2025 - informaçao repassada para o Nilton e Leo para verificar junto ao gestor da alcoa
30/01/2025 - Mobilização paralisada, informada por Leo via whats. aguardar devido ao cadastro ter sido reprovado pelo o security alcoa
03/02/2025 - cancelado conforme informado por Netto
</t>
  </si>
  <si>
    <t>CRISTIANE SAMARA DE MELO LOBO</t>
  </si>
  <si>
    <t>PAREX</t>
  </si>
  <si>
    <t>MIGUEL BURNIER</t>
  </si>
  <si>
    <t>PARE-CT08</t>
  </si>
  <si>
    <t xml:space="preserve">13/01/2025 - solicitado via Teams a mobilização da profissional Cristiane no contrato da PAREX
13/01/2025 - Solicitado para a clinica os programas da PHD Engenharia, pois a profissional é desta empresa.
13/01/2025 - Solicitado a trancrição do ASO 
14/01/2025 - Questionado ao gestor, sobre a inativação da profissonal no contrato da SALUM, para seguimos com a mobilização no bandodoc.
15/01/2025 - Tentativa de transferência no bancodoc, porém, a PHD engenharia não está mobilizada pelo cliente PAREX, solicitado o cadastro nesta data.
16/01/2025 - Cliente informou que não é possivel cadastrar a engenharia, devido a mesma nãop estar no contrato.
22/01/2025 - Aguardando retorno do coordenador/gestor se será mobilizado outra pessoa ou se devemos aguardar.
22/01/2025 - Certificados de assinatura enviados para assinatura 
29/01/2025 - Aguardando a inclusão da PHD Engenharia no contrato da PAREX
03/02/2025 - Aguardando o contrato da PHD Engenharia  com a PAREX ser liberado para seguir com a mobilização.
05/02/2025 - Contrato liberado  e direcionado para o cliente realizar a subcontratação.
06/02/2025 - Aguardando a PAREX realizar a subcontratação.
07/02/2025 - Inciada a alteração no cadastro da empregada no bancodoc.
10/02/2025 - Crachá liberado
</t>
  </si>
  <si>
    <t>DIEGO GOMES PERES</t>
  </si>
  <si>
    <t xml:space="preserve">ANGLO AMERICAN </t>
  </si>
  <si>
    <t>CONCEIÇÃO DO MATO DENTRO</t>
  </si>
  <si>
    <t>SALU-CT04</t>
  </si>
  <si>
    <t xml:space="preserve">13/01/2025 - Solicitado a transcrição dos programas da Engenharia para Aval
13/01/2025 - Solicitado o ASO Para Mirtes e Felipe.
13/01/2025 - Solicitado treinamento.
15/01/2025 - Mobilização cancelada a pedido do gestor Paulo Paiva.
</t>
  </si>
  <si>
    <t>MATHEUS HENRIQUE MOREIRA DIAS</t>
  </si>
  <si>
    <t>SNC LAVALIN</t>
  </si>
  <si>
    <t>Conceição do Mato Dentro -MG</t>
  </si>
  <si>
    <t>SNCL-CT01</t>
  </si>
  <si>
    <t>14/01/2025 - Demanda chegou por e-mail
14/01/2025 - Solicitado a elaboração dos programas legais da Engenharia, pois não tem
15/01/2025 - Solicitado a transcrição do ASO para Mirtes.
16/01/2025 - Solicitado para o DP e para o profissional os documentos pendentes ( e-social, ficha de registro atualizada, CPF, RG e CARTÃO 
22/01/2025 - Pendente ASO 
23/01/2025 - Programas legais enviados para o cliente.
24/01/2025 - Profissional vai precisar comparecer a clinica, Mirtes está agendando o exame.
27/01/2025 - Profissional realizou o ASO
29/01/2025 - Dossiê enviado nesta data
30/01/2025 - Cliente retorna  informando que a PHD Engenharia não está no contrato. 
30/01/2025 - Direcionado e-mail para gestor do contrato verificar, a documentação completa deo profissional já foi enviada  em 29/01/2025
06/02/2025 - Aguardando definição do gestor sobre a inclusão da PHD Engenharia no contrato ou indicação de outra pessoa para ser mobilizada.
12/02/2025 -Aguardando definição do gestor sobre a inclusão da PHD Engenharia no contrato ou indicação de outra pessoa para ser mobilizada.
14/02/2025 - 15 dias aguardando a definição do gestor sobre a inclusão da PHD Engenharia no contrato.Mobilização Paralisada.
24/02/2025 - Mobilização paralisada, aguardando retorno do gestor.
24/02/2025 - Gestro informou que a mobilização foi cancelada.</t>
  </si>
  <si>
    <t>GUSTAVO VIEIRA LANA</t>
  </si>
  <si>
    <t xml:space="preserve">14/01/2025 - Demanda chegou por e-mail
14/01/2025 - Solicitado a Transcrição dos programas legais para atualização dos programas legais
15/01/2025 - Solicitado a transcrição do ASO para Mirtes.
21/01/2025 - Pendente ASO;
21/01/2025 - Envio dos programas legais para o cliente.
22/01/2025 - Pendente ASO
23/01/2025 - ASO liberado
23/01/2025 - Dossiê enviado para o cliente
30/01/2025 - Mobilização em andamento com o cliente.
06/02/2025 - Profissional realizando integração no cliente.
10/02/2025 - Aguardando liberação do crachá.
14/02/2025 - Questionamento feito ao cliente sobre  liberação do Crachá.
14/02/2025 - Crachá liberado
</t>
  </si>
  <si>
    <t>CAROLLINE SENEM LACERDA DA SILVA</t>
  </si>
  <si>
    <t>VALE VERDE</t>
  </si>
  <si>
    <t>VAVE-CT07</t>
  </si>
  <si>
    <t xml:space="preserve">16/01/2025 - Recebido a informação de que a profissional será transferida para PHD Assessoria 
16/01/2025 - Solicitado para Felipe a transcrição dos programas com os dados da nova clinica
16/01/2025 - Pendente alteração contratual
17/01/2025 - Chamado aberto
17/01/2025 - Solicitado para Mirtes os termos atualizados com o novo cargo
22/01/2025 - Solicitado para empresa GN readequação dos certificados com o novo cargo.
22/01/2025 - Solicitado para o cliente a desmobilização da profissional da empresa PHD Engenharia.
22/01/2025 - Conforme informado pelo gestor o contrato foi cancelado.
</t>
  </si>
  <si>
    <t>ENESA</t>
  </si>
  <si>
    <t>Canaã dos Carajás-PA S11D</t>
  </si>
  <si>
    <t>ENES-CT02</t>
  </si>
  <si>
    <t xml:space="preserve">17/01/2024 - informações recebida sobre a mobilização
21/01/2025 - Solicitado para Felipe/Mirtes a transcrição do ASO
21/01/2025 - dossie enviado, pendente envio do aso.
28/01/2025 - aso recebido da aval
29/01/2025 - aso  validado por Felipe
29/01/2025 - Aso enviado ao cliente
30/01/2025 - Aguardando conclusão da mobilizaçao da empresa que esta pendente o contrato assinado
04/02/2025 - Aguardando conclusão da mobilizaçao da empresa que esta pendente o contrato assinado
07/02/2025 - Aguardando conclusão da mobilizaçao da empresa que esta pendente o contrato assinado
12/02/2025 - Aguardando conclusão da mobilizaçao da empresa que esta pendente o contrato assinado
20/02/2025 - Aguardando conclusão da mobilizaçao da empresa que esta pendente o contrato assinado
28/02/2025 - Aguardando conclusão da mobilizaçao da empresa que esta pendente o contrato assinado
07/03/2025 - Contrato assinado, aguardando aprovação da subcontratação para o processo de mobilização
14/03/2025 - Aguardando aprovação dos programas legais para inicio da mobilização.
15/03/2025 - Conclusão da mobilização
17/03/2025 - Postagem dos documentos no SGC, mobilização concluida
</t>
  </si>
  <si>
    <t>FABRICIA ALVARENGA FREIRE</t>
  </si>
  <si>
    <t>wantuil.oliveira@phdengenharia.eng.br</t>
  </si>
  <si>
    <t>CAVALCANTE PEIXOTO</t>
  </si>
  <si>
    <t>BOSTON METAL</t>
  </si>
  <si>
    <t>CORONEL XAVIER CHAVES/MG</t>
  </si>
  <si>
    <t>CAPE-CT01</t>
  </si>
  <si>
    <t>22/01/2025 - Chamado iniciado
22/01/2025 - Soliciado a trancrição de ASO  para o Felipe
22/01/2025 - Utiliza programas legais da SEDE
22/01/2025 - Solicitado treinamentos
22/01/2025 - Disponibilizado treinamentos para a profissional realizar
23/01/2025 -Solicitados os documentos pendentes.
24/01/2025 - Treinamentos realizados
24/01/2025 - Enviado os programas legais atualizados.
27/01/2025 - Aso liberado e  enviado para assinatura
27/01/2025 - Dossiê enviado.
07/02/2025 - Mobilização Finalizada, crachá liberado</t>
  </si>
  <si>
    <t>AYWME MAYARA DE SOUZA LINHARES</t>
  </si>
  <si>
    <t>WANTUIL OLIVEIRA</t>
  </si>
  <si>
    <t>NOBREGA PIMENTA</t>
  </si>
  <si>
    <t>FICO</t>
  </si>
  <si>
    <t>CRIXAS/GO</t>
  </si>
  <si>
    <t>NOBR-CT05</t>
  </si>
  <si>
    <t>21/01/2025 - Chamado de mobilização aberto
21/01/2025 - Solicitado para Felipe a transcrição do ASO
28/01/2025 - aso recebido da aval
29/01/2025 - aso  validado por Felipe
29/01/2025 - dossiê enviado para o cliente
03/02/2025 - Aprovação da mobilização</t>
  </si>
  <si>
    <t>ARTHUR JOSE TEIXEIRA ANDRADE</t>
  </si>
  <si>
    <t xml:space="preserve">24/01/2025 - Chamado aberto
27/01/2025 - Solicitado os treinamentos necessários.
27/01/2025 - Pendente liberação do ASO admissional.
27/01/2025 - Pendente Alteração Contratual.
27/01/2025- Treinamentos enviados para o profissional realizar.
27/01/2025 - Solicitado correção do ASO para Felipe.
30/01/2025 - Pendente a realização dos treinamentos.
31/01/2025 - Treianamentos realizados, aguardando liberação do certificado.
03/02/2025 - Pendemte alteração contratual, DP informou que ele vai entra na 32º alteração que ainda não foi iniciada. 
06/02/2025 - Certificado de treinamentos liberados
11/02/2025 - Cliente solicitou o envio do Dossiê, foi enviado de forma incompleta.
11/02/2025 -Pendente Alteração Contratual.
14/02/2025 - Conforme retorno do DP, profissional irá entrar apenas na 32º alteração, que ainda não foi iniciada.
14/02/2025 - Já são 21 dias aguardando a alteração contratual. Cliente está no cobrando.
14/02/2025 - Certificado de NR 22 aceito pelo cliente mudou, necessário readequação.
14/02/2025 - Solicitado readequação para a AVAL.
18/02/2025 - Aval disponibilizou certificado de NR 22 
18/02/2025 - Certficado enviado para o cliente
20/02/2025 - Aguardando retorno dos clientes se os certificados de NR 22 serão aceitos.
24/02/2025 - Cliente aprovou o certificado de NR 22 enviado.
07/03/2025 - Aguardando alteração contratual.
17/03/2025 - Aguardando alteração contratual.
18/03/2025 - Mobilização cancelada, conforme solicitação do coordenador Túlio. (tempo de duração: 53 dias)
</t>
  </si>
  <si>
    <t>CRETA</t>
  </si>
  <si>
    <t>PORTO AÇU - SÃO JOÃO DA BARRA/RJ</t>
  </si>
  <si>
    <t>CRET-CT01</t>
  </si>
  <si>
    <t xml:space="preserve">27/01/2025 - Chamado de mobilização aberto
27/01/2025 - Solicitação de trancrição de aso para Felipe 
28/01/2025 - Dossiê enviado , Pendente NR12
31/01/2025 - Documentos Postado pelo o cliente
03/02/2025 - Retorno da creta sobre o aso- risco divergente do PCMSO(foi analisado com o PCMSO aprovado da salubritar)
10/02/2025 - Adailton refez exame conforme solicitado pela creta em uma clinica no RIO, conforme o PCMSO da salubritar
10/02/2025 - Aso enviado para o cliente
11/02/2025 - Aso aprovado pela anglo,pendente intregação
14/02/2025 - Retorno da creta informando que a ambientação foi agendada pela anglo de 17/02 a 19/02
17/02/2025 - Em treinamento de ambientação até 19/02
19/02/2025 - treinamento finalizado
20/02/2025 - aguardando retorno da anglo
22/02/2025 - Liberado pela anglo
26/02/2025 - Conforme informado por Adailton ele está liberado com autorização, ele tem que ir na portaria pegar o crachá provisório
18/03/2025 - Crachá provisorio retirado
</t>
  </si>
  <si>
    <t>WANTUIL TORREZANI OLIVEIRA</t>
  </si>
  <si>
    <t xml:space="preserve">28/01/2025 - Informação chegou pelo Teams 
28/01/2025 - Solicitado a transcrição de ASO para Felipe
28/01/2025 - Solicitado os treinamentos para AVAL.
29/01/2025 - ASO Liberado 
29/01/2025 - Agurdando envio dos certificados de treinamentos. 
30/01/2025 - Certificados enviados para assinatura - Aguardando profissional assinar
03/02/2025 - Dossiê enviado.
07/02/2025 - Mobilização Finalizada, crachá liberado
</t>
  </si>
  <si>
    <t>FELIPE RIO BAPTISTA</t>
  </si>
  <si>
    <t>ARCLEAN</t>
  </si>
  <si>
    <t>A100</t>
  </si>
  <si>
    <t>Jundiaí-SP</t>
  </si>
  <si>
    <t>ARCL-CT02</t>
  </si>
  <si>
    <t xml:space="preserve">29/01/2025 - chamado aberto
30/01/2025 - Solicitado a transcrição de ASO para Felipe
30/01/2025 - Solicitado os treinamentos para AVAL.
31/01/2025 - Agendamento de treinamento
03/02/2025 - Conclusão dos treinamentos
05/02/2025 - Programas legais em processo de elaboração
07/02/2025 - Dossie enviado para o cliente
10/02/2025- Aguardando conclusão da mobilização da empresa
12/02/2025 - Aguardando conclusão da mobilização da empresa
14/02/2025 - Aguardando conclusão da mobilização da empresa
17/02/2025 - Solicitação de adequação no aso risco e nos programas Legais - Riscos/dados da contratante
18/02/2025 - Programas e aso readequados enviados
19/02/2025 - Pendencia no PCMSO contratante sendo a construcap e o correto e a Arclean, aso sem assinatura
20/02/2025 - Aso assinado enviado
21/02/2025 - Aguardando analise da mobilizaçao da empresa
24/02/2025 - Programas legais aprovados, Postagem dos documentos 
25/02/2025 - Documentos aprovados
26/02/2025 - Intregação realizada
27/02/2025 - Crachá liberado, retirar na obra
</t>
  </si>
  <si>
    <t>30/01/2025 - Solicitada transcrição de ASO 
31/01/2025- ASO liberado
31/01/2025 - Profisssional já tinha os treinamentos, enviado certificados para assinatura.
03/02/2025 - Dossiê enviado para o cliente
07/02/205 - Mobilização Finalizada, crachá liberado</t>
  </si>
  <si>
    <t>WARLEY SANTOS MARTINS NOGUEIRA</t>
  </si>
  <si>
    <t xml:space="preserve">30/01/2025 - Informação da mobilização
03/02/2025 - Admissão
03/02/2025 - Agendamento de treinamento
06/02/2025 - Realização do exame no RIO
07/02/2025 - Pendente o aso
10/02/2025 - Pendente a atualização dos programas legais
11/02/2025 - Aso recebido. dossie enviado
11/02/2025 - Pendente a atualização dos programas legais
14/02/2025 - Programas legais postados na Anglo
17/02/2025 - Aguardando analise dos Programas
20/02/2025 - Aguardando analise dos Programas
21/02/2025 - Pendencia no PGR Vigência do contrato Anglo X Creta
26/02/2025 - Programas legais readequados enviado
27/02/2025 - Pendencia no PGR Vigência do contrato Anglo X Creta ( data informada por Lucas está divergente) 
28/02/2025 - Programas corrigidos e enviados
03/03/2025 - PGR aprovado, aguardando analise no PCMSO
07/03/2025 - Pendencia no PCMSO riscos divergente
10/03/2025 - PCMSO corrigido enviado
14/03/2025 - Aguardando analise do PCMSO
27/03/2025 - Retorno de pendencia no PCMSO, alterar ações e assinatura do medico do RJ
04/04/2025 - PCMSO corrigido e enviado para creta
07/04/2025 - PCMSO aprovado
07/04/2025 - Novo dossie enviado com aso na função de sócio cotista
07/04/2025 - Fui informada por ligação que o processo de mobilização mudou e que estavam aguardando treinamento para o novo processo
11/04/2025 - Conforme informação da creta o processo de mobilização mudou e esta em processo de implantação
14/04/2025 - Documentação postada na anglo
17/04/2025 - Pendencia no aso, riscos divergente. aguadando readequeação da clinica
24/04/2025 - Aso corrigido recebido da clinica, enviado pro cliente
25/04/2025 - Aguardando retorno do cliente
30/04/2025 -Pentende liberação da algo  para intregação
05/05/2025 - Retorno da creta com agendamento da intregação para 07/05 a 09/05
13/05/2025 - Treinamento de ISPS Code realizado
16/05/2025 - Retorno da creta o profissional ficou reprovado na prova de intregação e será agendado o treinamento novamente
20/05/2025 - Retorno do cliente com nova data da intregação para dias 21/05, 22/05 e 23/05
27/05/2025 - Aprovado pela anglo, crachá provisorio liberado
</t>
  </si>
  <si>
    <t>JAKELINE RAYANE BARROS FELIX</t>
  </si>
  <si>
    <t>CONSTRUCAP</t>
  </si>
  <si>
    <t>CCAP-CT14</t>
  </si>
  <si>
    <t xml:space="preserve">31/01/2025 - Informação na reunião de  kick off 
31/01/2025 - Treinamentos agendados
03/02/2025 - Aguardando elaboração dos programas legais para transcrição de aso
04/02/2025 - Dados solicitado ao cliente para elaboraçao dos programas
05/02/2025 - Chamado aberto de mobilizaçao
07/02/2025 - Processo de mobilização da empresa ainda não inicio, aguardando dados do cliente para elaboração dos programas legais. 
10/02/2025 - Aguardando conclusão dos treinamentos.
12/02/2025 - Processo de mobilização da empresa ainda não iniciou, aguardando dados do cliente para elaboração dos programas legais.
12/02/2025 - Aguardando conclusão dos treinamentos. 
18/02/2025 - Conclusão dos treinamentos
18/02/2025 - Solicitaçao de elaboração dos programas legais para aval
19/02/2025 - Aso solicitado trancrição para clinica aval
20/02/2025 - Dossie enviado, pendente aso. Aguardando mobilização da empresa
26/02/2025 - Pendente aso,aguardando mobilização da empresa
27/02/2025 - Aso recebido da clinica Aval e enviado para o cliente
27/02/2025 - Aguardando analise do cliente nos documentos 
06/03/2025 - Retorno do cliente com pendencia no aso, riscos divergente
11/03/2025 - Aso recebido da clinica Aval e enviado ao cliente
12/03/2025 - Aso aprovado pelo o cliente
14/03/2025 - Conforme retorno do cliente mobilização concluida dia 06/03
</t>
  </si>
  <si>
    <t>03/02/2025 - Informação da mobilização
03/02/2025 - Solicitação de trancrição de aso para Felipe 
10/02/2025 - Mobilização cancelada,conforme informada por Tulio via whats</t>
  </si>
  <si>
    <t>LUCIO ANTONIO MIRANDA DA SILVA</t>
  </si>
  <si>
    <t>ICMBio</t>
  </si>
  <si>
    <t>Jericoacoara - CE</t>
  </si>
  <si>
    <t>CCAP-CT13</t>
  </si>
  <si>
    <t>04/02/2025 - Chamado aberto
04/02/2025 - agendamento dos treinamentos
05/02/2025 - Aso recebido
07/02/2025 - aguardando conclusão dos treinamentos
10/02/2025 - Pendente alteração contratual, ele vai entra na 32º alteração que ainda não foi iniciada. 
11/02/2025 - Certificados recebidos da aval e enviados para assinatura do profissional 
12/02/2025 - Aguardando retorno do cliente referente a mobilizaçao da empresa.Pendente alteração contratual, ele vai entra na 32º alteração que ainda não foi iniciada. 
20/02/2025 - Aguardando retorno do cliente referente a mobilizaçao da empresa. Pendente alteração contratual, ele vai entra na 32º alteração que ainda não foi iniciada.
21/02/2025 - Dossie enviado . Aguardando retorno do cliente referente a mobilizaçao da empresa. Pendente alteração contratual, ele vai entra na 32º alteração que ainda não foi iniciada.
21/02/2025 - Postado pelo o cliente
25/02/2025 - Realizado intregação, mobilizaçaõ liberada
26/02/2025 - Enviado declaração de trabalho da PHD</t>
  </si>
  <si>
    <t>LUCAS FERRAZ GONCALVES</t>
  </si>
  <si>
    <t>PAINEIRA</t>
  </si>
  <si>
    <t>WABTEC</t>
  </si>
  <si>
    <t>Contagem -MG</t>
  </si>
  <si>
    <t>PAIN-CT01</t>
  </si>
  <si>
    <t/>
  </si>
  <si>
    <t>07/02/2025 - Solicitado transcrição de ASO
07/02/2025 - Transcrição dos progamas legais em andamento.
07/02/2025 - Solicitado Treinamentos
12/02/2025 - ASO Liberado 
12/02/2025 - Certificados enviados para assinatura
14/02/2025 - Dossiê enviado para o cliente.
21/02/2025 - Coordenador informou que o contrato foi cancelado.</t>
  </si>
  <si>
    <t>MATEUS NASCIMENTO CEREJO ZICO</t>
  </si>
  <si>
    <t>MILPLAN</t>
  </si>
  <si>
    <t>S11D -CANÃA DOS CARAJÁS PA</t>
  </si>
  <si>
    <t>MILP-CT04</t>
  </si>
  <si>
    <t>11/02/2025 - Chamado aberto
11/02/2025 - Solicitação de trancrição de aso para Felipe 
11/02/2025 - agendamento dos treinamentos
13/02/2025 - certificados dos treinamentos recebidos
13/02/2025 - Aso recebido
14/02/2025 - Pendente alteração contratual, ele vai entra na 32º alteração que ainda não foi iniciada.
18/02/2025 - Pendente alteração contratual, ele vai entra na 32º alteração que ainda não foi iniciada.  
24/02/2025 - Pendente alteração contratual, ele vai entra na 32º alteração que ainda não foi iniciada.
28/02/2025 - Pendente alteração contratual, ele vai entra na 32º alteração que ainda não foi iniciada.
10/03/2025 - Mobilização cancelada, conforme solicitado por eduardo via whats</t>
  </si>
  <si>
    <t>ANDRE LUCAS OLIVEIRA GOMES</t>
  </si>
  <si>
    <t xml:space="preserve">11/02/2025 - Solicitada a transcrição do ASO para Felipe
12/02/2025 - Solicitado para  Mirtes atualização das fichas de EPI.
14/02/2025 - Aguardando liberação do ASO.
21/02/2025 - Coordenador informou que o contrato foi cancelado.
</t>
  </si>
  <si>
    <t>FABIO ROBERTO KRELLING</t>
  </si>
  <si>
    <t>10/02/2024 - Informações recebida sobre a mobilização
11/02/2025 - Admissão
12/02/2025 - Aguardando conclusão da mobilizaçao da empresa que esta pendente o contrato assinado
12/02/2025 - Pendente alteração contratual, ele vai entra na 32º alteração que ainda não foi iniciada. 
14/02/2025 - Agendamento dos treinamentos
14/02/2025 - Finalizou os treinamentos
18/02/2025 - Aso recebido da clinica Aval
18/02/2025 - Pendente alteração contratual, ele vai entra na 32º alteração que ainda não foi iniciada. 
21/02/2025 - Dossie enviado , pendente alteração contratual, ele vai entra na 32º alteração que ainda não foi iniciada. 
21/02/2025 - Chamado de mobilização aberto
28/02/2025 - Aguardando conclusão da mobilizaçao da empresa que esta pendente o contrato assinado. Pendente alteração contratual, ele vai entra na 32º alteração que ainda não foi iniciada.
07/03/2025 - Aguardando conclusão da mobilizaçao da empresa,subcontratação em analise . Pendente alteração contratual.
14/03/2025 - Aguardando aprovação dos programas legais,pendente alteração contratual
15/03/2025 - Conclusão da mobilização,pendente alteração contratual
20/03/2025 - Pendente alteração contratual
28/03/2025 - Alteração contratual liberada, enviada para o cliente, postado no sistema
29/03/2025 - Mobilização concluida
31/03/2025 - Crachá recebido</t>
  </si>
  <si>
    <t>LETICIA NARDI ROLLA DOMINGUES</t>
  </si>
  <si>
    <t>CEMINAS</t>
  </si>
  <si>
    <t>Itabirito - MG</t>
  </si>
  <si>
    <t>CEMI-CT02</t>
  </si>
  <si>
    <t xml:space="preserve">17/02/2025 - Solicitada a transcrição do ASO para Felipe. 
18/02/2025 - Solicitado para Aval os treinamentos.
18/02/2025 - Treinamentos disponibilizados.
20/02/2025 - Profissional informou que ainda não conseguiu realizar os treinamentos.
20/02/2025 - Aso liberado
26/02/2025 - Treinamentos realizados, aguardando certificados.
27/02/2025- Certificados liberados.
27/02/2025 - Dossiê enviado para o cliente.
27/02/2025- Após questionamento do cliente, sobre a mobilização de 02 profissionais, coordenador informou que a mobilização está cancelada.
</t>
  </si>
  <si>
    <t>GABRIEL DE ANDRADE ABUD</t>
  </si>
  <si>
    <t>GOIASA</t>
  </si>
  <si>
    <t>Goiatuba-GO</t>
  </si>
  <si>
    <t>GOIA-CT01</t>
  </si>
  <si>
    <t>17/02/2024 - Informações recebida sobre a mobilização
18/02/2024 - Treinamentos agendados
20/02/2025- Conclusão dos treinamentos
21/02/2025 - Aguardadno programas legais para solicitar a transcrição do aso, sem dados do cliente.
24/02/2025 - Dados recebido do cliente. Aguardando programas legais para solicitar a transcrição do aso
28/02/2025 - Transcrição de aso solicitada para clinica Aval
07/03/2025 - Cancelado conforme solicitado por Leo</t>
  </si>
  <si>
    <t>VICTOR GOMES AGUIAR</t>
  </si>
  <si>
    <t xml:space="preserve">19/02/2025 - Informaçaões da mobilização via e-mail
19/02/2025 - Treinamento de introdutorio agendado no senai para dia 24/02 e 25/02 e de NR18 E NR06 agendado online
19/02/2025 - Solicitação de analise pisicologica
20/02/2025 - realizando exame admissional
20/02/2025 - pré cadastro realizado no softexpert plataforma de mobilização Alcoa, pazo de 48h para analise
20/02/2025 - chamado aberto de mobilizaçao
21/02/2025 - Ele vai entra na 32º alteração que ainda não foi iniciada. 
24/02/2025 - Cadastro de mobilização aprovado, aguardando pra anexar os documentos. Ele vai entra na 32º alteração que ainda não foi iniciada. 
24/02/2025 - Pendente anexo dos documentos,Ele vai entra na 32º alteração que ainda não foi iniciada
25/02/2025 - Treinamento finalizado
26/02/2025 - Alguns documentos anexados na plataforma de mobilização
27/02/2025 - Pendente Aso, 32º alteração que ainda não foi iniciada, seguro de vida, plano de saúde.
06/03/2025 - Aso recebido da clinica aval
07/03/2025 - Aso enviado para o medico da Alcoa para analise
12/03/2025 - Documentos pendentes para anexar na plataforma de mobilização: Alteração contratual, Carteira plano de saúde,Comprovante de pagamento plano de saúde vigente,Apólice seguro de vida anual atualizado vigente,Comprovante de pagamento seguro de vida vigente.
14/03/2025 - Documentos pendentes para anexar na plataforma de mobilização: Alteração contratual, Carteira plano de saúde,Comprovante de pagamento plano de saúde vigente,Apólice seguro de vida anual atualizado vigente,Comprovante de pagamento seguro de vida vigente.
18/03/2025 - Documentos pendentes para anexar na plataforma de mobilização: Alteração contratual, Carteira plano de saúde,Comprovante de pagamento plano de saúde vigente,Apólice seguro de vida anual atualizado vigente,Comprovante de pagamento seguro de vida vigente.
28/03/2025 - Alteração contratual liberada, postada no sistema de mobilização para analise
28/03/2025 - Aprovação da mobilização
31/03/2025 - Crachá liberado
</t>
  </si>
  <si>
    <t>IVAN VERVE SANTOS SILVA</t>
  </si>
  <si>
    <t>Divinópolis -MG</t>
  </si>
  <si>
    <t>GERD-CT11</t>
  </si>
  <si>
    <t xml:space="preserve">20/02/2025 - Pendente abertura de chamado
20/02/2025 - Solicitado transcrição do ASO para Felipe
20/02/2025 - Profissional terá que comparecer a clínica para fazer exames.
20/02/2025 - Treinamento de NR 06 solicitados para a AVAL
20/02/2025 - Treinamentos liberados para o profissional realizar.
21/02/2025 - Pendente cartão de Vacina
21/02/2025 - Realizado pré cadastro no bancodoc
24/02/2025 - Cadastro finalizado no bancodoc - Iniciado a postagem dos documentos.
27/02/2025 - Pendente Liberação do ASO, Cartão de vacina, treinamento NR 06, treinamento PIT
07/03/2025 - Pendente liberação do ASO.
07/03/2025 - Cartão de vacina postado, agauardando Análise
07/03/2025 - Documentos postado em análise.
07/03/2025 - Treianmento PIT agendado para 12/03.
14/03/2025 - Treinamento realizado. Agurdando cliente liberação do crachá.
14/03/2025 - Crachá liberado na unidade Divinopolis
14/03/2025 - Crachá de risco entregue par aos profissionais .
</t>
  </si>
  <si>
    <t>YAN CAUE DA SILVA</t>
  </si>
  <si>
    <t>20/02/2025 - Pendente abertura de chamado
20/02/2025 - Solicitado transcrição do ASO.
20/02/2025 - Profissional terá que comparecer a clínica para fazer exames.
20/02/2025 - Treinamento de NR 06  solicitados para a AVAL
21/02/2025 - Pendente cartão de Vacina
21/02/2025 - Realizado pré cadastro no bancodoc - Aguardando aprovação para conclusão do cadastro
21/02/2025 - Treinamento liberado para o profissional realizar.
24/02/2025 - Cadastro finalizado no bancodoc, iniciado a postagem dos documentos.
27/02/2025 - Treinamento de NR 06 -OK
27/02/2025 - Pendente Liberação do ASO, Cartão de Vacina, treinamento PIT
07/03/2025 - Documentos postado em análise.
07/03/2025 - Treianmento PIT agendado para 12/03.
12/03/2025 - Treinamento PIT realizado.
07/03/2025 - Treianmento PIT agendado para 12/03.
14/03/2025 - Treinamento realizado. Agurdando cliente liberação do crachá.
14/03/2025 - Crachá liberado na unidade Divinopolis
14/03/2025 - Crachá de risco entregue par aos profissionais .</t>
  </si>
  <si>
    <t>BRTECH - Terceirização</t>
  </si>
  <si>
    <t xml:space="preserve">MOBILIZAÇÃO DE RESPONSABILIDADE DO FORNECEDOR - Setor de mobilização PHD apenas acompanha e orienta.
OBS: Setor de mobilização está fazendo contato via e-mail / WhatsApp para cobrar retorno deste fornecedor.
19/02/2025 - Contato inicial com a BRTECH, mostrando o caminho para iniciar o cadastro no bancodoc
20/02/2025- Enviado modelo de documentos e instruções de como cadastrar no bancodoc.
20/02/2025 - Enviado dados do contrato com a Gerdau para finalizarem o cadastro. 
20/02/2025 - Informado para o gerente PHD que é necessário o contrato assinado entre PHD e BRTECH, para que o fornecedor consiga cadastrar os profissionais.
06/03/2025 - Contrato da BRTECH e carta de subcontratação enviado para o gestor Gerdau cadastrar/aprovar a subcontratação. 
06/03/2025 -Informado para a BRTECH que a subcontratação já foi feita e que eles já conseguem cadastrar os profissionais
11/03/2025 - Cadastro feito pela BRTECH,  na unidade Gerdau divergente 
12/03/2025 - Unidade correta foi liberada para BRTECH seguir com o cadastro
13/03/2025 - BRTECH concluiu o cadastro e vai iniciar a postagem dos documentos.
13/03/2025 - BRTECH agendou treinamento PIT para o dia 17/03.
13/03/2025 - BRTECH informou que iniciou a postagem dos documentos
14/03/2025 - BRTECH informou que os documentos estão em análise pelo cliente.
17/03/2025 - Certificado de NR 06 e cartão de vacina recusados.
18/03/2025 - Certificados postados novamente.
19/03/2025 - Mobilização aprovada. Crachás liberados.
</t>
  </si>
  <si>
    <t>ROSILAINE DA SILVA VAZ</t>
  </si>
  <si>
    <t>25/02/2025 - Solicitado transcrição do ASO.
25/02/2025 -  readequação dos certificados de NR 22 e TBSSMA conforme nova Mina. 
25/02/2025 - Solicitado treinamento de Rac 08.
26/02/2025 - Aguardando certificados NR 22 e ASO
28/02/2025 - Certificados liberados
28/02/2025 - Pendente ASO, profissional teve que comparecer a clinica na data de 28/02.
10/03/2025 - Pendente liberação do ASO - Clinica credenciada está em recesso de Carnaval retorna em 10/03.
11/03/2025 - Dossiê enviado.
17/03/2025 - Aguardando retorno do cliente.
21/03/2025 - Cliente informou que a mobilização foi postada e está em análise pela VALE.
25/03/2025 - Aguardando retorno do cliente.
26/03/2025 - Mobilização finalizada em 24/03/2025</t>
  </si>
  <si>
    <t>Ouro Branco - MG</t>
  </si>
  <si>
    <t>PARE-CT04</t>
  </si>
  <si>
    <t xml:space="preserve">26/02/2025 - Chamado aberto
26/02/2025 - Profissional está atuando em outra obra atualmente.
27/02/2025 - Solicitado transcrição de ASO para Felipe.
27/02/2025 - Iniciado pré cadastro no bancodoc - 1 dia para liberar.
28/02/2025 - Cadastro concluido - Iniciar postagem dos documentos.
07/03/2025 - Documentos postado, aguardando validação.
07/03/2025 - Pendente alteração contratual.
12/03/2025  - Pendente alteração contratual.
25/03/2025 - Pendente alteração contratual.
28/03/2025 - Alteração contratual liberada e postada no bancodoc.
04/04/2025 - Crachá liberado - Mobilização finalizada
</t>
  </si>
  <si>
    <t>MARCOS ANTONIO ALMEIDA FERRAIS</t>
  </si>
  <si>
    <t>CG CONSTRUÇÕES</t>
  </si>
  <si>
    <t>LAVRAS</t>
  </si>
  <si>
    <t>CGCO-CT01</t>
  </si>
  <si>
    <t xml:space="preserve">06/03/2025 - Solicitada a mudança do profissional Marcos da PHD Engenharia para a PHD Assessoria
06/03/2025 - Enviado os programas legais e alteração contratual da PHD Assessoria para o cliente.
12/03/2025 - Enviado ASO e demais documentos com a alteração do cargo.
12/03/2025 - Aguardando retorno do cliente.
14/03/2025 - Cliente solicitou a desmobilização do profissional da engenharia, para depois mobilizar ele na assessoria. Enviado ASO e Kit TRCT
20/03/2025 - Programas legais da PHD assessoria foram reprovados..
20/03/2025 - A aprovação dos programas é necessária para que o profissiopnal seja regularizado.
21/03/2025 - Programas legais reprovados.
25/03/2025 - Programas legais atualizados, enviados ao cliente.
31/03/2025 - ASO divergente do PCMSO, solicitado correção para a AVAL.
01/04/2025 - ASO disponibilizado e enviado novamente para o cliente.
03/04/2025 - Cliente informou que a mobilização do profissional foi postada.
08/04/2025 -Solicitado retorno ao cliente.
08/04/2025 - Mobilização Finalizada.
</t>
  </si>
  <si>
    <t>JEFFERSON MAGALHAES DE SA</t>
  </si>
  <si>
    <t xml:space="preserve">11/03/2025 - Informações recebida sobre a mobilização
11/03/2025 - Treinamento agendado
11/03/2025 - Pendente alteração contratual, ele vai entra na 32º alteração que ainda não foi iniciada. 
12/03/2025 - Abertura do chamado, conclusão dos treinamentos.
14/03/2025 - Ele vai entra na 32º alteração que ainda não foi iniciada. 
21/03/2025 - Pedido de compra atualizado com CNPJ da Assessoria
21/03/2025 - Pré cadastro feito no sistema da VERTECH , pendente alteração contratual
21/03/2025 - Pré cadastro aprovado , pendente alteração contratual
28/03/2025 - Alteração contratual Liberada e postada
28/03/2025 - Integração feita, mobilização concluida
</t>
  </si>
  <si>
    <t>ALEX POSSIDONIO DA SILVA</t>
  </si>
  <si>
    <t xml:space="preserve">11/03/2025 - Informações recebida sobre a mobilização
11/03/2025 - Treinamento agendado
11/03/2025 - Pendente alteração contratual, ele vai entra na 32º alteração que ainda não foi iniciada. 
12/03/2025 - Abertura do chamado
14/03/2025 - Ele vai entra na 32º alteração que ainda não foi iniciada, pendente aso. 
14/03/2025 - Aso recebdio da clinica Aval, conclusão dos treinamentos
21/03/2025 - Pedido de compra atualizado com CNPJ da Assessoria
21/03/2025 - Pré cadastro feito no sistema da VERTECH , pendente alteração contratual
21/03/2025 - Pré cadastro aprovado , pendente alteração contratual
28/03/2025 - Alteração contratual Liberada e postada
28/03/2025 - Integração feita, mobilização concluida
</t>
  </si>
  <si>
    <t>GUTEMBERG GOMES ROSA DA SILVA</t>
  </si>
  <si>
    <t>CARAJÁS - PA</t>
  </si>
  <si>
    <t>PARE-CT05</t>
  </si>
  <si>
    <t xml:space="preserve">11/03/2025 - Informações da mobilização via whats,chamado não aberto de mobilização
11/03/2025 - Treinamento agendado
11/03/2025 - Pendente alteração contratual, ele vai entra na 32º alteração que ainda não foi iniciada. 
12/03/2025 - Conclusão dos treinamentos.
14/03/2025 - Ele vai entra na 32º alteração que ainda não foi iniciada. 
19/03/2025 - Pendente alteraçao contratual
24/03/2025 - Dossie enviado,pendente alteraçao contratual
25/03/2025 - Chamado de mobilização aberto
28/03/2025 - Alteração contratual liberada, enviada para o cliente
29/03/2025 - Informação do cliente que os programas deu pendencia
03/04/2025 - Programas reenviados para atualização
04/04/2025 - Programas legais aprovados, documentos postado no SGC
08/04/2025 - Mobilização concluida, crachá liberado
</t>
  </si>
  <si>
    <t>Maravilhas</t>
  </si>
  <si>
    <t>11/03/2025 -  Solicitado a transcriçao do ASO para Felipe - ASO Salum deve estar dentro dos 90 dias.
12/03/2025 - Profissional terá que comparecer na clinica.
14/03/2025-  Exame agendado para o dia 17/03/2025.
20/03/2025 - ASO liberado
20/03/2025 - Dossiê enviado ao cliente.
25/03/2025 - Conforme informado pelo coordenador Lucas, pelo Teams a mobilização foi cancelada. (14 dias da mobilização)</t>
  </si>
  <si>
    <t>17/03/2025 - Solicitado o envio dos documentos, pelo coordenador Tulio.
17/03/2025 - Profissional já tinha todos os documentos.
17/03/2025 - Dossiê enviado.
18/03/2025 - Chamado aberto _2448
27/03/2025 - Mobilização Finalizada.</t>
  </si>
  <si>
    <t xml:space="preserve">NEW GROUP </t>
  </si>
  <si>
    <t>ARCELOR MITTAL</t>
  </si>
  <si>
    <t>Itatiaiuçu-MG</t>
  </si>
  <si>
    <t>NEWG-CT01</t>
  </si>
  <si>
    <t xml:space="preserve">24/03/2025 - Necessário a elaboração dos programas legais para solicitar o ASO.
24/03/2025 - Aguardando o retorno  do cliente com os dados para a solicitar os programas legais.
07/04/2025 - Aguardando retorno do cliente sobre a aqnecessidade de mobilização.
07/04/2025 - Enviado e-mail para o gestor, solicitando ajuda.
11/04/2025 - Gestor respondeu informando que será necessário mobilizar o profissional para comntrole deles.
11/04/2025 - Cobrado do cliente as infromações pendentes para emissão dos programas legais.
14/04/2025 - Programas legais solicitados; 
17/04/2025 - Aguardando a elaboração dos programas legais para a trancrição do ASO.
22/04/2025 - Transcrição do ASO solicitado.
22/04/2025 - Readequação dos certificados solicitada para Aval 
22/04/2025 - Solicitado para Felipe - Termo álcool e drogas.
23/04/2025 - Certificado readequado enviado para assinatura
23/04/2025 - Programas legais enviados para o cliente
28/04/2025 - Aso recebido da aval
29/04/2025 - Dossie enviado para o cliente
06/05/2025 - Conforme informação do cliente não será mais necessario o processo de mobilizaçao
</t>
  </si>
  <si>
    <t>DANIEL CARLOS SILVA</t>
  </si>
  <si>
    <t>ALESSANDRO MOREIRA</t>
  </si>
  <si>
    <t xml:space="preserve">24/03/2025 - Chamado aberto para inicio da mobilização
24/03/2025 - Solicitação de transcrição do aso para Felipe TST
25/03/2025 - Pré cadastro feito no sistema da VERTECH
01/04/2025 - Conforme informação do cliente não será necessario aso
03/04/2025 - Integração e crachá liberado
</t>
  </si>
  <si>
    <t>PIATEC</t>
  </si>
  <si>
    <t>APMT TERMINALS</t>
  </si>
  <si>
    <t>Ipojuca-PE</t>
  </si>
  <si>
    <t>PIAT-CT02</t>
  </si>
  <si>
    <t>25/03/2025 - Chamado aberto para inicio da mobilização
25/03/2025 - Não foi feito o kick off ainda
28/03/2025 - Documentos enviados
31/03/2025 - Postagem dos documentos aguardando analise
04/04/2025 - Documentos em analise
09/04/2025 - Documentos em analise
10/04/2025 - Mobilizaçao concluida</t>
  </si>
  <si>
    <t>25/03/2025 - Chamado aberto para inicio da mobilização
25/03/2025 - Solicitação de transcrição do aso para Felipe TST
01/04/2025 - Aso recebido da clinica aval
01/04/2025 - Dossie enviado para o cliente
08/04/2025 - Mobilização concluida</t>
  </si>
  <si>
    <t>SILAS MOREIRA TUPINAMBA</t>
  </si>
  <si>
    <t>ELEVAÇÃO</t>
  </si>
  <si>
    <t>ELEV-CT02</t>
  </si>
  <si>
    <t>25/03/2025 - Pendente contrato assinado. 
25/03/2025 - Pendente Dados para elaboração dos programas legais.
27/03/2025 - Informações disponibilziadas pelo cliente 
27/03/2025 - programas legais solicitados.
27/03/2025 - Treinamentos solicitados.
11/04/2025 - ASO Liberado.
14/04/2025 - Pendente Treinamentos
17/04/2025 - Dossiê enviado com certificados antigos que podem não ser aceitos pelo cliente. NR. Como o cliente cobrou enviamos desta forma mesmo. Os treinamentos foram disponibilziados para realização em 27/03/2025.
30/04/2025 - Postagem dos documentos</t>
  </si>
  <si>
    <t>25/03/2025 - Pendente contrato assinado. 
25/03/2025 - Pendente Dados para elaboração dos programas legais.
27/03/2025 - Informações disponibilziadas pelo cliente 
27/03/2025 - programas legais solicitados.
27/03/2025 - Treinamentos solicitados.
11/04/2025 - Treinamentos finalizados.
14/04/2025 - Exame realizado nesta data.
16/04/2025-  Exame liberado.
16/04/2025 - Dossiê enviado.
30/04/2025 - Postagem dos documentos</t>
  </si>
  <si>
    <t>LUCAS QUINTAO PENHA</t>
  </si>
  <si>
    <t>25/03/2025 - Pendente contrato assinado. 
25/03/2025 - Pendente Dados para elaboração dos programas legais.
27/03/2025 - Informações disponibilziadas pelo cliente 
27/03/2025 - programas legais solicitados.
27/03/2025 - Treinamentos solicitados.
11/04/2025 - ASO liberado com dados errados, solicitada correção para a AVAL.
14/04/2025 - Pendente Treinamentos .
30/04/2025 - Postagem dos documentos</t>
  </si>
  <si>
    <t>25/03/2025 - Pendente contrato assinado. 
25/03/2025 - Pendente Dados para elaboração dos programas legais.
27/03/2025 - Informações disponibilziadas pelo cliente 
27/03/2025 - programas legais solicitados.
27/03/2025 - Treinamentos solicitados.
11/04/2025 - ASO Liberado 
14/04/2025 - Pendente Treinamentos 
15/04/2025 - Treinamentos finalizados 
16/04/2025 - Dossiê enviado.
30/04/2025 - Postagem dos documentos</t>
  </si>
  <si>
    <t>Mina de Brucutu</t>
  </si>
  <si>
    <t xml:space="preserve">25/03/2025 - Solicitada a transcrição de ASO para o Felipe 
25/03/2025 - Profissional terá que fazer Treianemnto NR 22 
26/03/2025 - Conforme alinahdo com Sayoanra e Paulo Paiva, profissional irá realizar treianmento de NR 22 no cliente, pois o certificado da AVAL não atende a gerência de Brucutu.
27/03/2025 - Dossiê PARCIAL enviado para verificação do cleinte.
Pendente: Termo de direitos humanos, termo de conduta, ASO; NR 22
31/03/2025 - Aguardando transcrição do ASO pela Aval.
01/04/2025 - Aso liberado - (5 dias para liberar transcrição do ASO). Enviado para a profissional assinar.
02/04/2025 - Dossiê enviado.
10/06/2025 - Pedido de desmobilização enviado por e-mail em 10/06 - (sayonara@salumconstrucoes.com.br)
</t>
  </si>
  <si>
    <t>PAULO RICARDO HONORIO DE MORAES</t>
  </si>
  <si>
    <t>PREFEITURA DE CONGONHAS</t>
  </si>
  <si>
    <t>Congonhas -MG</t>
  </si>
  <si>
    <t>PAIN-CT02</t>
  </si>
  <si>
    <t xml:space="preserve">31/03/2025 - Chamado aberto - 2527
03/04/2025 - Documentação solicitado pelo cliente já foi enviada.
03/04/2025 - Solicitada readequação do ASO para o Felipe.
04/04/2025 - Aguardando retorno do cliente, sobre as informações para elaboração dos programas legais. 
04/04/2025 - Cliente informou que não será necessário a emissão de programas legais especificos para a área.
05/04/2025 - Parte dos documentos já foi enviada.
10/04/2025- Aso e programas legais da sede enviados.
</t>
  </si>
  <si>
    <t>31/03/2025 - Chamado aberto - 2528
02/04/2025 - Aguardando retorno do cliente, sobre as informações para elaboração dos programas legais. 
02/04/2025 - Solicitado a transcrição do ASO para o Felipe.
08/04/2025 - Aguardando ASO e ordem de serviço.
11/04/2025 - Documentos completos, aguardando coordenador informar que podemos enviar os documentos. (11 dias até aqui)
23/04/2025 - Coordenador Lucas pediu para mobilizar ele no projeto salum CT 08 primeiro.
06/05/2025 - Mobilização cancelada, informada por Lucas via whats</t>
  </si>
  <si>
    <t>ANDREY LUZ SOUSA</t>
  </si>
  <si>
    <t>SEEL ENGENHARIA</t>
  </si>
  <si>
    <t>SEEL-CT01</t>
  </si>
  <si>
    <t xml:space="preserve">04/04/2025 - Iniciado contato com o cliente para obter informações sobre o processo de mobilização.
04/04/2025 - Cliente retornou informando os documentos necessários.
08/04/2025 - Aguardando ASO.
08/04/2025 - Os Documentos solicitados foram enviados estando pendente o ASO atualizado.
10/04/2025 - ASO liberado.
11/04/2025 - Cliente não pediu certificados de treinamentos.
</t>
  </si>
  <si>
    <t>09/04/2025 - Coordenador Lucas pediu para iniciar a mobilização do profissional 
09/04/2025 - ASO solicitado para Felipe 
09/04/2025 - Treinamentos solicitados e disponibilziados para profissional realizar_treinamento realizado na GN (NR 22 03 dias) e treinamentos realizados na Aval
17/04/2025 - Aso Liberado 
23/04/2025 - Certificados liberados e assinados.
23/04/2025 - Dossiê enviado.
30/04/2025 - Documentos postados
06/05/2025 - Retorno do cliente RG não aceito, termos não aceito, dados incompletos
06/05/2025 - Documentos postados
07/05/2025 - Solicitado proficiência de RAC08
08/05/2025 - Pendencia no ASO -Médica não consta na lista de médicos examinadores do PCMSO
13/05/2025 - Aso recebido e enviado para o cliente
13/05/2025 - Mobilização concluida</t>
  </si>
  <si>
    <t>PIETRO MATEUS HOLTHAUSEN ROSA</t>
  </si>
  <si>
    <t>Pindamonhangaba - SP</t>
  </si>
  <si>
    <t>GERD-CT13</t>
  </si>
  <si>
    <t>10/04/2025 - Informação da necessidade da mobilização via e-mail por Bruno
10/04/2025 - Pendente abertura do chamado
11/04/2025 - Treinamento de NR 06  solicitados para a AVALTreinamento, aso solicitado para Felipe
11/04/2025 - Realizado pré cadastro no bancodoc - Aguardando aprovação para conclusão do cadastro
11/04/2025 - Treinamento disponibilizado para o profissional
14/04/2025 - Cadastro aprovado no Bancodoc
15/04/2025 - Conclusão do treinamento
16/04/2025 - Certificado liberado para assinatura
16/04/2025 - Pendente carteira de vacina
17/04/2025 - Aguardando realização do exame
17/04/2025 - Pendente subcontratação da PHD ASSESSORIA 
22/04/2025 - Subcontratação realizada pela Gerdau
23/04/2025 - carteira de vacina recebida e anexada no banco doc
24/04/2025 - Treinamento PIT agendado para 05/05
28/04/2025 - Aso agendado para 02/05
05/05/2025 -Treinamento PIT realizado
07/05/2025 - Aso recebido
08/05/2025 - Aso anexado no banco doc, mobilização concluida</t>
  </si>
  <si>
    <t>BRUNO ALBERTO AZEVEDO</t>
  </si>
  <si>
    <t xml:space="preserve">10/04/2025 - Informação da necessidade da mobilização via e-mail por Bruno
10/04/2025 - Pendente abertura do chamado
11/04/2025 - Treinamento de NR 06  solicitados para a AVAL
11/04/2025 - Realizado pré cadastro no bancodoc - Aguardando aprovação para conclusão do cadastro
11/04/2025 - Treinamento disponibilizado para o profissional
14/04/2025 - Cadastro aprovado no Bancodoc
15/04/2025 - Conclusão do treinamento
16/04/2025 - Certificado liberado para assinatura
16/04/2025 - Pedente carteira de vacina
17/04/2025 - Aguardando realização do exame
17/04/2025 - Pendente subcontratação da PHD ASSESSORIA 
22/04/2025 - Subcontratação realizada pela Gerdau
22/04/2025 - Pendente: Aso, carteira de vacina atualizada e treinamento PIT
24/04/2025 - Treinamento PIT agendado para 05/05
02/05/2025 - Cancelado conforme solicitado por Bruno via whats
</t>
  </si>
  <si>
    <t>EDUARDO FERREIRA DA SILVA</t>
  </si>
  <si>
    <t>10/04/2025 - Informação da necessidade da mobilização via e-mail por Bruno
10/04/2025 - Pendente abertura do chamado
11/04/2025 - Treinamento de NR 06  solicitados para a AVAL
11/04/2025 - Realizado pré cadastro no bancodoc - Aguardando aprovação para conclusão do cadastro
11/04/2025 - Treinamento disponibilizado para o profissional
14/04/2025 - Cadastro aprovado no Bancodoc
16/04/2025 - Pendente carteira de vacina
17/04/2025 - Aguardando realização do exame
17/04/2025 - Pendente subcontratação da PHD ASSESSORIA 
22/04/2025 - Exame agendado para 25/04
22/04/2025 - Subcontratação realizada pela Gerdau
22/04/2025 - Pendente: Aso, carteira de vacina atualizada e treinamento PIT e NR06
24/04/2025 - Treinamento PIT agendado para 05/05
28/04/2025 - Aso liberado
28/04/2025 - Treinamento concluido
05/05/2025 - Carteira de vacina anexada no bancodoc
06/05/2025 - Mobilização Aguardando Liberação, documentos aprovados
08/05/2025 - Crachá liberado</t>
  </si>
  <si>
    <t>FABRICIO TEIXEIRA DOS SANTOS</t>
  </si>
  <si>
    <t>NEW GROUP</t>
  </si>
  <si>
    <t>SEATRIUM</t>
  </si>
  <si>
    <t>Aracruz-ES</t>
  </si>
  <si>
    <t>NEWG-CT02</t>
  </si>
  <si>
    <t xml:space="preserve">11/04/2025 - Chamado aberto para mobilização
14/04/2025 - Programas solicitados para Aval
16/04/2025 - Aso solicitado para Felipe
</t>
  </si>
  <si>
    <t>RODOLPHO GUEDES FONSECA</t>
  </si>
  <si>
    <t>Mina de Timbopeba</t>
  </si>
  <si>
    <t>SALU-CT05</t>
  </si>
  <si>
    <t>11/04/2025 - Solicitado ASO para Felipe
22/04/2025 - Solicitado readequação dos certificados para Aval
17/04/2025 - Solicitado treinamento de NR 06, está prestes a vencer
22/04/2025 - Aso disponibilizado, porém, está com dados incorretos_Aguardando retorno da Aval.
24/04/2025 - Readequação de certificado ok.
24/04/2025 - Pendente ASO - Treinamento NR 06
28/04/2025 - Mobilização cancelada conforme informada por whats por Lucas Ferraz</t>
  </si>
  <si>
    <t>TULIO RAFAEL DE MORAIS NEIVA</t>
  </si>
  <si>
    <t>DIEGO BERNARDES</t>
  </si>
  <si>
    <t>diego.bernardes@phdengenharia.eng.br</t>
  </si>
  <si>
    <t>BEMISA</t>
  </si>
  <si>
    <t>Antônio Dias/MG</t>
  </si>
  <si>
    <t>BEMI-CT02</t>
  </si>
  <si>
    <t>11/04/2025 - Chamado aberto para mobilização - 2597
14/04/2025 -Programas legais solicitados 
15/04/2025 - Treinamentos solicitados 
16/04/2025 - Mobilização cancelada - informação repassada pelo gestor Leonado</t>
  </si>
  <si>
    <t>TALLES COSMI GONCALVES</t>
  </si>
  <si>
    <t>11/04/2025 - Chamado aberto para mobilização - 2597
14/04/2025 - Programas legais solicitados 
15/04/2025 - Treinamentos solicitados 
16/04/2025 - Aso solicitado para Aval
22/04/2025 - Termos disponibilizados.
23/04/2025 - Pendente ASO e certificado de NR 22 e integração PHD 16hs 
28/04/2025 - Intregação agendada na Bemisa para 29/04
28/04/2025 - Conclusão da NR22
28/04/2025 - Aso recebido da aval
29/04/2025 - Aguardando assinatura no aso,NR22 e intregação
30/04/2025 - Documentos enviados aso,NR22 e intregação
30/04/2025 - Mobilização concluida</t>
  </si>
  <si>
    <t>ANDERSON NONATO DOS SANTOS</t>
  </si>
  <si>
    <t>11/04/2025 - Chamado aberto para mobilização - 2597
14/04/2025 - Programas legais solicitados 
14/04/2025 - Profissional ainda não foi contratado.
23/04/2025 - Profissional vai realizar o exame admissional em 24/04/2025 - Treinamentos solicitados.
24/04/2025 - Pendente integração Bemisa
30/04/2025 - Aso recebido
30/04/2025 - Treinamento concluido, pendente assinatura
02/05/2025 - Pendente assinatura no certificado de NR22
05/05/2025 - Pendente assinatura na Intregação PHD, ficha e OS
07/05/2025 - Mobilização cancelada, informada por Diego via whats</t>
  </si>
  <si>
    <t>MAXWENDER BORGES DE OLIVEIRA</t>
  </si>
  <si>
    <t xml:space="preserve">28/04/2025 - Chamado recebido de mobilização
29/04/2025  - Solicitado transcrição de aso para Felipe
29/04/2025 - Treinamento agendado
30/04/2025 - Mobilização cancelada
</t>
  </si>
  <si>
    <t>CASSIA BRUNA TORRES SPECK</t>
  </si>
  <si>
    <t xml:space="preserve">29/04/2025 - Chamado aberto de mobilização
30/04/2025 - Aso solicitado para Felipe
02/05/2025 - Aso recebido da clinica aval
05/05/2025 - Dossie enviado para o cliente
05/05/2025 - Em treinamento de ambientação
07/05/2025 - Conclusão dos treinamentos
16/05/2025 - Retorno do cliente que a profissional foi postada hoje no SGC
19/05/2025 - Crachá liberado
20/05/2025 - Retorno do cliente com pedencia no ASO riscos
22/05/2025 - Agendamento do exame para 23/05
26/05/2025 - Aso recebido da Aval, enviado para o cliente
27/05/2025 - Mobilizaçaõ concluida
</t>
  </si>
  <si>
    <t>WASHINGTON VENANCIO JUNIOR</t>
  </si>
  <si>
    <t xml:space="preserve">30/04/2025 - Informação da mobilização via e-mail
30/04/2025 - Chamado de mobilização não foi aberto
02/05/2025 - Agendamento dos treinamentos
05/05/2025 - Data de admissão
08/05/2025 - Agendado intregaçao na Bemisa para 13/05
09/05/2025 - Aso recebido da clinica AVAL, conclusão dos treinamentos
12/05/2025 - Dossie enviado parcial, pendente alteração
13/05/2025 - Não realizou a intregação, agendada para 20/05
19/05/2025 - Chamado de mobilização aberto 2789
20/05/2025 - Realização da intregação
21/05/2025 - Mobilização concluida, crachá liberado
</t>
  </si>
  <si>
    <t>08/05/2025 - Chamado recebido de mobilização
09/05/2025  - Solicitado transcrição de aso para Felipe
12/05/2025 - Aso recebido pela Aval
12/05/2025 - Dossie enviado, pendente realização de exame
13/05/2025 - Pendente realizaçao do exame no Rio
19/05/2025 - Realizaçao do exame
22/05/2025 - Aso recebido, enviado para o cliente
23/05/2025 - Conforme informe por Franciane cadastro no sistema da anglo
30/05/2025 - Retorno do cliente, intregação anglo agendada para 02/06 a 04/06
04/06/2025 - Finalizado intregação, aguardando Anglo
09/06/2025 - Realizando treinamento de ISPSCOUDE
12/06/2025 - Aguardando retorno anglo-Crachá
16/06/2025 - Crachá provisorio liberado</t>
  </si>
  <si>
    <t xml:space="preserve">12/05/2025 - Chamado recebido de mobilização
12/05/2025  - Solicitado transcrição de aso para Felipe
12/05/2025 - Treinamento de NR12 agendado para 16/05
13/05/2025 - Profissional terá que realizar exame no Rio
16/05/2025 - Exame agendado para 20/05
20/05/2025 - Realizaçao do exame
22/05/2025 - Aso recebido, enviado para o cliente
30/05/2025 - Aguardando retorno do cliente da integraçao Anglo
04/06/2025 - Aguardando retorno do cliente da integraçao Anglo
12/06/2025 - Aguardando retorno do cliente da integraçao Anglo
26/06/2025 - Retorno da Creta: O Arthur ainda não foi aceito na ambientação Anglo, visto a necessidade dos documentos legais da empresa serem aprovados no sistema para o novo contrato.
04/07/2025 - Aguardando retorno do cliente da integraçao Anglo
07/07/2025 - Aguardando retorno do cliente da integraçao Anglo
11/07/2025 - Aguardando retorno do cliente da integraçao Anglo
14/07/2025 - Aguardando retorno do cliente da integraçao Anglo
17/07/2025 - Treinamento de Ambientação agendado para os dias 21-07, 22-07 e 23-07
25/07/2025 - Aguardando treinamento de ISPSCOUDE
25/07/2025 - Treinamento de ISPSCOUDE ,liberaçao de crachá provisorio
</t>
  </si>
  <si>
    <t>GUILHERME AMARAL DE OLIVEIRA E SILVA</t>
  </si>
  <si>
    <t xml:space="preserve">12/05/2025 - Chamado recebido de mobilização
14/05/2025  - Solicitado aso para Felipe, o profissional terá que realizar os exames
19/05/2025 - Aguardando realização do exame
26/05/2025 - Exame agendado para 28/05
29/05/2025 - Aso recebido da aval
29/05/2025 - Aguardando definição para envio dos documentos para o cliente
30/05/2025 - Dossie enviado para o cliente
03/06/2025 - Solicitado RC08
04/06/2025 - RAC08 enviado para o cliente
05/06/2025 - Postagem dos documentos no SGC
06/06/2025 - Documentos em analise
10/06/2025 - Mobilização concluida
</t>
  </si>
  <si>
    <t xml:space="preserve">15/05/2025 - Chamado recebido de mobilização
15/05/2025  - Solicitado aso para Felipe, o profissional terá que realizar os exames
15/05/2025 - Treinamentos agendados
15/05/2025 - O exame será realizado em 26/05 conforme agenda do profissional.
26/05/2025 - Realizaçaõ do exame
27/05/2025 - Conclusão dos treinamentos
28/05/2025 - Aso recebido
29/05/2025 - Aguardando assinatura dos certificados pelo profisisonal
30/05/2025 - Certificados assinados pelo o profisisonal ,dossie enviado ao cliente
04/06/2025 - Documentos postados
05/06/2025 - Mobilizaçaõ concluida, crachá liberado
</t>
  </si>
  <si>
    <t>Cajamar- SP</t>
  </si>
  <si>
    <t>ARCL-CT03</t>
  </si>
  <si>
    <t xml:space="preserve">15/05/2025 - Informaçaões da mobilização via whats
15/05/2025  - Pendente dados para elaboraçaõ dos programas, para solicitar aso
15/05/2025 - Pendente Ficha de EPI e OS
20/05/2025 - Ficha de EPI recebida
21/05/2025 - Pendente aso, pois precisamos dos dados para elaboração dos programas legais
22/05/2025 - Dossiê parcial enviado
26/05/2025 - Dados recebidos do cliente, solicitado programas legais pra Felipe
27/05/2025 - Programas solicitado para aval por Felipe
28/05/2025 - Posto cadastrado, aso solicitado para Felipe
30/05/2025 - Aso recebido da aval com pendencia, solicitado adequação
02/06/2025 - Aso recebido, enviado para assinatura
04/06/2025 - Assinado pelo  o profissional, enviado para o cliente
05/06/2025 - mobilização concluida
</t>
  </si>
  <si>
    <t>GERD-CT14</t>
  </si>
  <si>
    <t xml:space="preserve">19/05/2025 - Abertura do chamado 2787
19/05/2025 - Aso solicitado para Felipe
19/05/2025 - Realizado pré cadastro no bancodoc - Aguardando aprovação para conclusão do cadastro
20/05/2025 - Pré cadastro aprovado, carta de subcontratação da PHD Assessoria enviado para o gestor Gerdau
21/05/2025 - Subcontratação concluida, cadastro do profissional finalizado
21/05/2025 - PIT agendado para 26/05, pendente aso
21/05/2025 - Todos os documentos foi anexado no banco doc, pendente a realização do exame.
22/05/2025 - Tomar vacina de Tetano
27/05/2025 - Exame realizado, aso recebido postado no banco doc
27/05/2025 - Mobilização concluida, crachá gerado e enviado
</t>
  </si>
  <si>
    <t>Alessandra</t>
  </si>
  <si>
    <t>GETULIO ALVES PEDROSA</t>
  </si>
  <si>
    <t>MINA DE CAPANEMA</t>
  </si>
  <si>
    <t>19/05/2025 - Chamado aberto de mobilização 2790
19/05/2025 - Em processo de contratação
21/05/2025 - Realizaçao do exame
22/05/2025 - Admissão
23/05/2025 - Recebido ASO
23/05/2025 - Solicitado treinamento para a AVAL
26/05/2025 - Treinamento informado para o profissional realizar
28/05/2025 - Treinamentos liberados em 02/06
28/05/2025 - Enviado dossiê parcial ao cliente com Declaração de Vínculo para análise (Contrato Social pendente previsão de liberação 30/06/25.
05/06/2025 - Pedi retorno ao cliente sobre a Análise da Declaração de Vínculo.
06/05/2025 - Andreza da Ceminas informa que nas últimas mobilizações não foi aceito a Declaração mas que irá verificar e retornar. Previsão para Contrato 30/06
11/06/2025 - Ainda sem liberação da Alteração contratual. 
16/06/2025 - Mobilização cancelada conforme pedido e-mail de Paulo Neto. (solicitação do cliente para redução da função em obra e o Getúlio ira atender neste mês via sede da PHD.).</t>
  </si>
  <si>
    <t>Eder Ferreira Costa Angelo</t>
  </si>
  <si>
    <t xml:space="preserve">19/05/2025 - Abertura do chamado 2787
19/05/2025 - Em processo de admissão, previsão de admissão 26/05
26/05/2025 - Processo cancelado.
</t>
  </si>
  <si>
    <t>DEIVIDY ALVES GOMES</t>
  </si>
  <si>
    <t xml:space="preserve">21/05/2025 - Abertura do chamado 2797
21/05/2025 - Solicitado treinamento para AVAL e ASO para Felipe
21/05/2025 - Disponibilizado de treinamento para Deividy
21/05/2025 - Realizado pré-cadastro no Bancodoc
28/05/2025 - ASO liberado na clínica
28/05/2025 - Declaração de vínculo de sócio-cotista foi recusada. Aguarda o contrato da JCMG. Prazo mínimo 18/06
04/06/2025 - Aprovado pelo juridico da Gerdau a declaração de vínculo de sócio cotista
</t>
  </si>
  <si>
    <t>PAULO HENRIQUE COSTA ASSIS</t>
  </si>
  <si>
    <t>21/05/2025 - Abertura do chamado 2803
22/05/2025 - Solicitado treinamento para AVAL e ASO para Felipe
22/05/2025 - Realizado pré-cadastro no Bancodoc
23/05/2025 - ASO agendado para 27/05
27/05/2025 - Crachá liberado no cliente. Colaborador mobilizado</t>
  </si>
  <si>
    <t>DIEGO FIRME BERNARDES</t>
  </si>
  <si>
    <t xml:space="preserve">21/05/2025 - Abertura do chamado 2797
21/05/2025 - Solicitado treinamento para AVAL e ASO
21/05/2025 - Disponibilizado de treinamento NR 06
21/05/2025 - Realizado pré-cadastro no Bancodoc
26/05/2025 - Aguarda treinamento de NR06 a ser realizado pelo Diego online
26/05/2025 - Colaborador impossibilitado de realizar PIT nesta data
27/05/2025 - Recebido ASO
28/05/2025 - Nova marcação de PIT agendada para 02/06/2025
02/06/2025 - Aprovação de NR06 e PIT
03/06/2025 - Crachá Liberado 
</t>
  </si>
  <si>
    <t>28/05/2025 - Abertura do chamado 2832
28/05/2025 - Pedido ASO ao Felipe 
06/06/2025 - A colaboradora retorna da obra em 10/06. ASO e exames agendados para 11/06.
10/06/2025 - Enviado o dossiê parcial pendente o ASO
11/06/2025 - ASO novamente reagendado para 13/06
12/06/2025 - Recebido hoje transcrição aguarda assinatura Letícia
12/06/2025 - Enviado dossiê para o cliente
17/06/2025 - Pedido atualização de status por e-mail</t>
  </si>
  <si>
    <t>RUBENS RODRIGUES DA SILVA</t>
  </si>
  <si>
    <t>EMPA</t>
  </si>
  <si>
    <t>Mara Rosa-GO</t>
  </si>
  <si>
    <t>EMPA-CT03</t>
  </si>
  <si>
    <t>02/06/2025 - Abertura do chamado 2851
03/06/2025 - Pedido ASO Felipe (será necessário audiometria/radiografia/clínica)
05/06/2025 - Recebido ASO
06/06/2025 - Enviado para Rubens - treinamento NR06 e NR18
11/06/2025 - Treinamentos assinados
12/06/2025 - Aguarda assinaturas na Alteração Contratual
19/06/2025 - Enviado dossiê parcial do colaborador
07/07/2025 - Liberada Alteração contratual, enviado para o cliente
07/07/2025 - Postagem dos documentos
10/07/2025 - Mobilização concluida</t>
  </si>
  <si>
    <t>PEDRO IVO DA SILVA BATISTA FILHO</t>
  </si>
  <si>
    <t>FIDENS</t>
  </si>
  <si>
    <t>São Gonçalo do Rio Abaixo - MG</t>
  </si>
  <si>
    <t>FIDE-CT02</t>
  </si>
  <si>
    <t xml:space="preserve">03/06/2025 - Abertura do chamado 2850
03/06/2025 - Pedido ASO Felipe (será necessário audiometria/radiografia/clínica) 
05/06/2025 - Contrato ainda não assinado.
06/06/2025 - ASO agendado para 10/06
05/06/2025 - Pedido treinamento NR06 e NR18 na AVAL
11/06/2025 - Treinamentos assinados
12/06/2025 - Aguardando a liberação do ASO à partir de 16/06
17/06/2025 - ASO Liberado
17/06/2025 - Dossiê enviado ao cliente por e-mail: Marcos Antonio Lepiani Sobrinho
04/07/2025 - Postagem dos documentos pelo cliente.
07/07/2025 - Crachá liberado
08/07/2025 - Pendencia no Formulario de Rac, solicitado para clinica
10/07/2025 - Recebido da clinica enviado para o cliente, mobilização concluida
</t>
  </si>
  <si>
    <t>RONALDO MENDES MACHADO</t>
  </si>
  <si>
    <t>Vitória - ES</t>
  </si>
  <si>
    <t>VALE-CT01</t>
  </si>
  <si>
    <t>05/06/2025 - Abertura do chamado 2867
06/06/2025 - Recebido ASO
09/06/2025 - Solicitado treinamento TBSSMA
11/06/2025 - Recebido  treinamento TBSSMA
11/06/2025 - Postado documentos no SGC aguardando aprovação
26/06/2025 - Documentos aprovados no SGC aguardando emissão de crachá pela VALE
27/06/2025 - Profissional mobilizado. Liberado crachá.</t>
  </si>
  <si>
    <t>DANIEL MIRANDA CABRAL DE SOUSA</t>
  </si>
  <si>
    <t>05/06/2025 - Abertura do chamado 2867
09/06/2025 -Recebido ASO
09/06/2025 - Solicitado treinamento TBSSMA para AVAL
11/06/2025 - Recebido  treinamento TBSSMA
11/06/2025 - Postado documentos no SGC aguardando aprovação
27/06/2025 - Profissional mobilizado. Liberado crachá.</t>
  </si>
  <si>
    <t>LUIZ GUSTAVO LOPES DOS SANTOS</t>
  </si>
  <si>
    <t>CRET-CT03</t>
  </si>
  <si>
    <t xml:space="preserve">02/06/2025 - Abertura do chamado 2847
02/06/2025 - Pedido ASO ao Felipe 
04/06/2025 - Solicitado treinamentos para Aval e GNI - aguardando realização pelo colaborador
06/06/2025 - Solicitado ao Maicon o ASO Admissional - o colaborador fez os exames no dia 03
11/06/2025 - Treinamentos liberados
12/06/2025 - O ASO não foi liberado pelo médico - aguardando
16/06/2025 - ASO liberado
17/06/2025 - Aguardando Alteração contratual
19/06/2025 - Enviado dossiê parcial - aguardando liberação da Alt. Contratual previsão 30/06
30/06/2025 - Aguardando aprovação dos programas legais e liberação da Alt. Contratual
07/07/2025 - Liberada Alteração contratual, enviado para o cliente
08/07/2025 - Aguardando retorno do cliente da integraçao Anglo
11/07/2025 - Aguardando retorno do cliente da integraçao Anglo
16/07/2025 - Retorno do cliente com pendencia no aso, solicitado adequação para clinica
22/07/2025 - Aso readequado e enviado ao cliente
24/07/2025 - Treinamento de Ambientação agendado para os dias 28-07, 29-07 e 30-07
04/08/2025 - Treinamento realizado de ISPSCOUDE
05/08/2025 - Liberado crachá provisorio
</t>
  </si>
  <si>
    <t xml:space="preserve">03/06/2025 - Diego Firme - Pedido pelo WhatsApp para ir adiantando o processo - Chamado 2897
05/06/2025 - Aso solicitado para Felipe
06/06/2025 - Treinamento enviado para o colaborador
06/06/2025 - ASO recebido
09/06/2025 - Treinamento finalizado 
10/06/2025 - Pré-cadastro efetuado no Bancodoc
11/06/2025 - Abertura de chamado
11/06/2025 - Documentos cadastrados no Bancodoc aguardando aprovação.
12/06/2025 - Documentos aprovados no Bancodoc
12/06/2025 - Treinamento PIT aguardando definição pelo Diego Firme
13/06/2025 - Carteira de Vacina reprovada. Foi postada novamente mais completa.
17/06/2025 - Cartão de vacina aprovado- Treinamento PIT aguardando definição pelo Diego Firme
18/06/2025 - Treinamento agendado para 23/06/2025
25/06/2025 - Profissional mobilizado. Crachá liberado.
</t>
  </si>
  <si>
    <t>Fernando Muniz de Menezes</t>
  </si>
  <si>
    <t>NEXA</t>
  </si>
  <si>
    <t>Aripuanã - MT</t>
  </si>
  <si>
    <t>NEXA-CT03</t>
  </si>
  <si>
    <t xml:space="preserve">11/06/2025 - Abertura do chamado 2902
11/06/2025 - Colaborador ainda será contratado
11/06/2025 - Colaborador declinou da vaga </t>
  </si>
  <si>
    <t>PAULO CEZAR DE PAIVA NETO</t>
  </si>
  <si>
    <t xml:space="preserve">11/06/2025 - Abertura do chamado 2904
13/06/2025 - Pedidos de Programas Legais e treinamentos NR6 e NR22 para AVAL
13/06/2025 - Enviado planilha de consulta cadastral de pessoas para NEXA
26/06/2025 - Consulta cadastral aprovada pela NEXA
26/06/2025 - Aguardando atualização de Vacina e treinamentos a serem realizados pelo profissional
09/07/2025 - Agendado ambientação para o dia 14/07
10/07/2025 - Treinamento concluido
14/07/2025 - Ambientação realizada, Docs postados
16/07/2025 -Mobilização concluida
</t>
  </si>
  <si>
    <t>17/06/2025 - Abertura do chamado 2904
23/06/2025 - Enviado dossiê ao cliente por e-mail
30/06/2025 - Solicitado cancelamento na reunião semanal</t>
  </si>
  <si>
    <t>Aguardando abertura do chamado
23/06/2025 - chamado aberto nº 2960
23/06/2025 - Enviado planilha de consulta cadastral de pessoas para NEXA
27/06/2025 - aprovado consulta cadastral - enviado doctos para avaliação
30/06/2025 - Docs postado,aguardar validação dos documentos pela NEXA
30/06/2025 - Aguardar definição data da ida ao projeto para agendar intregação
08/07/2025 - Pendencia, solicitação de ART e proficiencia da NR22
09/07/2025 - Agendado ambientação para o dia 14/07
14/07/2025 - Ambientação realizada
14/07/2025 - Docs postados, aguardando analise do cliente
16/07/2025 - Mobilização concluida</t>
  </si>
  <si>
    <t>27/06/2025 - Abertura do chamado 2996
30/06/2025 - Solicitado Treinamentos NR6, NR 22 e NR18
30/06/2025 - Solicitado ASO
07/07/2025 - Exames de ASO realizado porém pendente Gota Espessa. 
07/07/2025 - Exame de Gota Espessa agendado para 09/07
09/07/2025 - Agendado ambientação para o dia 14/07
14/07/2025 - Aguardando resultado do exame de Gota Espessa
18/07/2025 - Pendente aso
21/07/2025 - Aso liberado e postado no sistema
23/07/2025 - Mobilização concluida</t>
  </si>
  <si>
    <t xml:space="preserve">EKTOR </t>
  </si>
  <si>
    <t>Betim - MG</t>
  </si>
  <si>
    <t>EKTO-CT01</t>
  </si>
  <si>
    <t>30/06/2025 - Abertura do chamado 3008
03/07/2025 - Enviado Documentos
07/07/2025 - Mobilização concluída, aprovado pelos clientes.</t>
  </si>
  <si>
    <t>PEDRO GABRIEL SANTOS CHAVES</t>
  </si>
  <si>
    <t>26/06/2025 - Abertura do chamado 2981
01/07/2025 - Data de admissão, Inicio do processo
07/07/2025 - Solicitação de treinamento e conclusão
07/07/2025 - Aso liberado
11/07/2025 - Pendente alteração contratual e agendamento do PIT
14/07/2025 - Cadastro no banco doc so pode ser feito após a liberação do protocolo da alteração, pois se for realizado o cadastro bloqueia o acesso
16/07/2025 - Protocolo da alteração contratual liberado- cadastrado será feito na sexta 18/07
18/07/2025 - Pré cadastro feito no banco doc
18/07/2025 - Cadastro concluido, PIT agendado, docs anexados
22/07/2025 - Mobilização concluida</t>
  </si>
  <si>
    <t>EMERSON DE MELO FERREIRA DA SILVA</t>
  </si>
  <si>
    <t>ALEX SILVA</t>
  </si>
  <si>
    <t>alex.silva@phdengenharia.eng.br</t>
  </si>
  <si>
    <t>GOIA-CT02</t>
  </si>
  <si>
    <t>02/07/2025 - Chamado aberto para inicio da mobilização 3017
02/07/2025 - Treinamento solicitado
04/07/2025 - Treinamento concluido
07/07/2025 - Pendente alteraçao contratual
08/07/2025 - Cadastro feito no sistema Vertech de mobilização
09/07/2025 - Anexado declaração de socio, aprovado e integração agendada para 10/07</t>
  </si>
  <si>
    <t>04/07/2025 - Chamado aberto para inicio da mobilização 3032
07/07/2025 - Transcrição de aso solicitado para Felipe
07/07/2025 - Treinamento solicitado para aval
08/07/2025 - Treinamento disponibilizado para o profissional
08/07/2025 - Transcrição de aso solicitado para aval
09/07/2025 - retorno da clinica que tem que realizar exame
10/07/2025 - Pendente data para realização do exame
14/07/2025 - Exame agendado para 17/07
15/07/2025 - Cancelado conforme solicitado por Tulio</t>
  </si>
  <si>
    <t>WERNER KINSSEY SOUSA</t>
  </si>
  <si>
    <t>CAMPO GRANDE/MS</t>
  </si>
  <si>
    <t>ADMB-CT10</t>
  </si>
  <si>
    <t>07/07/2025 - Chamado aberto para inicio da mobilização 3043
07/07/2025 - Transcrição de aso solicitado para Felipe
08/07/2025 - Transcrição de aso solicitado para aval
09/07/2025 - Treinamento enviado para realização
10/07/2025 - Pendente data para realização do exame
14/07/2025 - Exame agendado para 16/07
14/07/2025 - Pendente alteração contratual
16/07/2025 - Protocolo da alteração contratual liberado
17/07/2025 - Declaração de sócio cotista enviado para analise
18/07/2025 - Aso liberado
29/07/2025 - Alteração contratual liberada e enviada ao cliente, mobilização concluida</t>
  </si>
  <si>
    <t>VALE DAS COBRAS</t>
  </si>
  <si>
    <t xml:space="preserve">07/07/2025 - Chamado aberto para inicio da mobilização 3047
07/07/2025 - Aguardando data para afzer o exame
08/07/2025 - Uma transcrição em CT04 em andamento para realizar essa
14/07/2025 - Exame agendado para 17/07
15/07/2025 - Cancelado conforme soliictado por Lucas via whats
</t>
  </si>
  <si>
    <t>16/07/2025 - Chamado aberto para inicio da mobilização 3099
16/07/2025 - Transcrição de aso solicitado para Felipe
16/07/2025 - Treinamento solicitado para aval
17/07/2025 - Aso liberado
22/07/2025 - Treinamento  concluido, dossie enviado ao cliente
23/07/2025 - Retorno do cliente realizar exame, (quando voltar de ferias)
25/07/2025 - Cancelado conforme solicitado por Paulo</t>
  </si>
  <si>
    <t>NILTON DE SORDI NETTO</t>
  </si>
  <si>
    <t>21/07/2025 - Chamado de mobilização aberto 3129
21/07/2025 - Solicitado treinamentos na Aval
21/07/2025 - Trancrição de aso solicitada a Felipe
23/07/2025 - Aso Liberado
02/08/2025 - Conclusão dos treinamentos
04/08/2025 - Enviado ao cliente
04/08/2025 - Solicitado treinamento para dirigir
06/08/2025 - Treinamento enviado, mobilização concluída</t>
  </si>
  <si>
    <t>JADER THIAGO SILVA CORREA</t>
  </si>
  <si>
    <t>CONORTE</t>
  </si>
  <si>
    <t>HYDRO</t>
  </si>
  <si>
    <t>Barcarena/PA</t>
  </si>
  <si>
    <t>CONO-CT02</t>
  </si>
  <si>
    <t xml:space="preserve">23/07/2025 - Chamado de mobilização aberto 3157
23/07/2025 - Trancrição de aso solicitado a Felipe
24/07/2025 - Dossie parcial enviado ao cliente
25/07/2025 - Pendente exame, agendado para dia 30/07
30/07/2025 - Treinamento de Ambientação Hydro agendado para 31/07 e 01/08 
30/07/2025 - Treinamento de Ambientação Hydro reagendado para 07/08 e 08/08
04/08/2025 - Aso liberado, enviado ao cliente
08/08/2025 - Treinamento online de Ambientação Hydro concluido
08/08/2025 -  NR35 dia 12/08 -  PRESENCIAL/ HSE dia 14/08  - PRESENCIAL/NR20 dia 15/08 e 16/08  - PRESENCIAL
11/08/2025 - Profissional chegou no projeto
12/08/2025 - Inicio dos treinamentos presencial
16/08/2025 - Conclusão dos treinamentos na Hydro
18/08/2025 - Postagem pelo o cliente na Hydro
26/08/2025 - Mobilização concluida
</t>
  </si>
  <si>
    <t>DIANY STEFFANE FERREIRA SANTANA</t>
  </si>
  <si>
    <t>ENGEFORM</t>
  </si>
  <si>
    <t>ENGF-CT03</t>
  </si>
  <si>
    <t xml:space="preserve">23/07/2025 -Pendente abertura de chamado
23/07/2025 - Transcrição de aso solicitado a Felipe
25/07/2025 - Chamado aberto 3167
24/07/2025 - Exame agendado para dia 25/07
30/07/2025 - Aso liberado
31/07/2025 - Pendente mobilização da empresa, carteira de vacina,termos,CPF,RG
02/08/2025 - Docs recebidos
04/08/2025 - Dossie enviado ao cliente, aguardando conclusão da mobilização empresa
13/08/2025 - Programas aprovados, Dossie postado no SGC
14/08/2025 - Mobilização concluida
</t>
  </si>
  <si>
    <t>AURA MINERALS</t>
  </si>
  <si>
    <t>Almas-TO</t>
  </si>
  <si>
    <t>AURA-CT01</t>
  </si>
  <si>
    <t>28/07/2025 - Chamado de mobilização aberto 3171
28/07/2025 - Solicitado treinamentos na Aval
29/07/2025 - Treinamento concluido
31/07/2025 - Cadastro feito no sistema MOBI para análise da triagem
01/08/2025 - Triagem aprovada, documentos postados
04/08/2025 - Pendencia nos programas legais
05/08/2025 - Programas readequados, recebido da clinica
06/08/2025 - Assinado e postado para analise
08/08/2025 - Programas legais aprovados
11/08/2025 - Documentos aprovados</t>
  </si>
  <si>
    <t>ARTUR VIEIRA JANUTH</t>
  </si>
  <si>
    <t>28/07/2025 - Chamado de mobilização aberto 3172
28/07/2025 - Aguardando aso
31/07/2025 - Cadastro feito no sistema MOBI para análise da triagem
01/08/2025 - Aso liberado
01/08/2025 - Triagem aprovada, documentos postados
04/08/2025 - Pendencia nos programas legais
05/08/2025 - Programas readequados, recebido da clinica
06/08/2025 - Assinado e postado para analise
08/08/2025 - Programas legais aprovados
11/08/2025 - Pendencia na ficha de Epi, atualizada e anexada no sistema
14/08/2025 - FICHA DE EPI aprovada</t>
  </si>
  <si>
    <t xml:space="preserve">05/08/2025 -Abertura de chamado 3228
05/08/2025 - Trancrição de aso solicitado a Felipe
07/08/2025 - Pendente Aso ( profissional não pode se ausentar da  obra no momento para realização do exame)
11/08/2025 - Exame agendado 12/08
13/08/2025 - Aso liberado, Dossie enviado, pendente termos
14/08/2025 - Termos enviado, docs postados no SGC
18/08/2025 - Mobilização concluída
</t>
  </si>
  <si>
    <t>RONEY ANDERSON ROSA DA SILVA</t>
  </si>
  <si>
    <t>05/08/2025 -Abertura de chamado 3226
05/08/2025 - Solicitado treinamentos na Aval
06/08/2025 - Treinamento concluido
10/08/2025 - Termos, OS e FICHA assinados
13/08/2025 - Dossie enviado parcial, pendente alteração contratual
21/08/2025 - Protocolo da alteraçao contratual liberada, enviada para assinatura
26/08/2025 - Assinada, enviada para o cliente
29/08/2025 - Declaração não aceita para mobilização
04/09/2025 - Alteraçao liberada e enviada para o cliente,postado
08/09/2025- Mobilização concluída</t>
  </si>
  <si>
    <t>05/08/2025 -Abertura de chamado 3231
05/08/2025 - Trancrição de aso solicitado a Felipe
06/08/2025 - Aso liberado
11/08/2025 - Treinamento concluido
13/08/2025 - Aguardando a analise dos documentos no SGC para atualizar o contrato .
18/08/2025 - Documentos aprovados do contrato, dossie postado no SGC
22/08/2025 - Mobilização concluída</t>
  </si>
  <si>
    <t>FABIO CARDOSO DOS SANTOS</t>
  </si>
  <si>
    <t>05/08/2025 -Abertura de chamado 3227
05/08/2025 - Previsão de admissão 11/08
11/08/2025 - Admissão e realização do exame
12/08/2025 - Solicitação dos treinamento
13/08/2025 - Treinamento concluido
21/08/2025 - Protocolo da alteraçao contratual liberada, enviada para assinatura
26/08/2025 - Assinada, enviada para o cliente
29/08/2025 - Declaração não aceita para mobilização
04/09/2025 - Alteraçao liberada e enviada para o cliente,postado
08/09/2025- Mobilização concluída</t>
  </si>
  <si>
    <t>LUCAS DE ASSIS BRAGA</t>
  </si>
  <si>
    <t>AURACO</t>
  </si>
  <si>
    <t>Inocência-MS</t>
  </si>
  <si>
    <t>CCAP-CT16</t>
  </si>
  <si>
    <t>13/08/2025 - Transcrição de aso solicitado
14/08/2025 - Exame agendado pro dia 18/08
19/08/2025- Aso liberado
05/09/2025 - Cancelado, conforme solciitado por Wantuil</t>
  </si>
  <si>
    <t>FERNANDA LOPES DE LIGORIO</t>
  </si>
  <si>
    <t>14/08/2025 - Transcrição de aso solicitado
18/08/2025 - Solicitação dos treinamento e Concluido
19/08/2025- Aso liberado
27/08/2025 - Chamado aberto 3360
04/09/2025 - Contrato social liberado
05/09/2025 - Documentos postados no sistema Metax
10/09/2025 - Documentos em aprovação
18/09/2025 - Documentos  aprovados
19/09/2025 - Mobilização concluída</t>
  </si>
  <si>
    <t>AR CLEAN</t>
  </si>
  <si>
    <t>Jundiai-SP</t>
  </si>
  <si>
    <t>19/08/2025 - Chamado de mobilização aberto 3314
19/08/2025 - Trancrição de aso solicitado a Felipe
21/08/2025 - Vai realizar o exame 22/08
25/08/2025 - Aso liberado, Dossie enviado ao cliente
28/08/2025 - Retorno do cliente pendencia aso
01/09/2025 - Aso readequado enviado
02/09/2025 - Mobilização concluída</t>
  </si>
  <si>
    <t>DIVINO FELICIO SANTOS</t>
  </si>
  <si>
    <t>WASHINGTON JUNIOR</t>
  </si>
  <si>
    <t>washington.junior@phdengenharia.eng.br</t>
  </si>
  <si>
    <t>21/08/2025 - Solicitação do treinamento
21/08/2025 - Cadastro feito no sistema MOBI para análise da triagem
25/08/2025 - Chamado de mobilizaçaõ aberto 3345
26/05/2025 - Pre triagem aprovada
28/08/2025 - Declaração de vinculo enviado
03/09/2025 - Intregaçaõ realizado, aprovado
04/09/2025 - Crachá liberado</t>
  </si>
  <si>
    <t>MATEUS FREITAS DE SOUZA</t>
  </si>
  <si>
    <t xml:space="preserve"> 25/08/2025 - Solicitação dos treinamento
25/08/2025 - Pendente abertura de chamado
02/09/2025 - Conclusão dos treinamentos
02/09/2025 - Cancelado conforme solcitado por Paulo
</t>
  </si>
  <si>
    <t>USINA OURO BRANCO</t>
  </si>
  <si>
    <t>GERD-CT19</t>
  </si>
  <si>
    <t>26/08/2025 - Informação recebida por e-mail
27/08/2025 - Aso solicitado para Aval
29/08/2025 - Chmado aberto 3368
29/08/2025 - Cadastro ativado no bancodoc
01/09/2025 - Aso anexado, pendente PIT
08/09/2025 - Mobilização concluída</t>
  </si>
  <si>
    <t xml:space="preserve">26/08/2025 - Informação recebida por e-mail
27/08/2025 - Aso solicitado para Aval
29/08/2025 - Chmado aberto 3369
29/08/2025 - Cadastro ativado no bancodoc
01/09/2025 - Aso anexado, pendente PIT
04/09/2025 - Pendente data para agendar PIT
08/09/2025 - Pendente data para agendar PIT
11/09/2025 - Pendente data para agendar PIT
29/09/2025 - PIT agendado para 30/09 e 01/10
06/10/2025 - Gestor Gerdau informou ao Icaro que a mobilização não foi aprovada
</t>
  </si>
  <si>
    <t>USINA CEARENSE</t>
  </si>
  <si>
    <t>26/08/2025 - Informação recebida por e-mail
27/08/2025 - Aso solicitado para Aval
29/08/2025 - Chamado aberto 3376
29/08/2025 - Cadastro ativado no bancodoc
01/09/2025 - Docs anexado, pendente  PIT
02/09/2025 - Treinamento PIT agendado presencial na unidade Cearense pro dia 15/09
15/09/2025- PIT realizado
16/09/2025 - Mobilização concluída</t>
  </si>
  <si>
    <t>PAULO HENRIQUE DE SOUSA ANASTACIO</t>
  </si>
  <si>
    <t xml:space="preserve">26/08/2025 - Informação recebida por e-mail
27/08/2025 - Aso solicitado para Aval
28/08/2025 - Pre cadastro realizado no Bancodoc
29/08/2025 - Chamado aberto 3375
01/09/2025 - Docs anexado, pendente  PIT
02/09/2025 - Treinamento PIT agendado presencial na unidade Cearense pro dia 15/09
15/09/2025- PIT realizado
16/09/2025 - Mobilização concluída
</t>
  </si>
  <si>
    <t>VICTOR HUGO SILVA MOTA</t>
  </si>
  <si>
    <t>26/08/2025 - Informação recebida por e-mail
27/08/2025 - Aso solicitado para Aval
28/08/2025 - Pre cadastro realizado no Bancodoc
29/08/2025 - Chamado aberto 3370
08/09/2025 - Mobilização concluída</t>
  </si>
  <si>
    <t xml:space="preserve">26/08/2025 - Informação recebida por e-mail
27/08/2025 - Aso solicitado para Aval
29/08/2025 - Chamado aberto 3371
29/08/2025 - Cadastro ativado no bancodoc
01/09/2025 - Aso anexado, pendente PIT, pendente carteira de vacina
04/09/2025 - Aso anexado, pendente PIT, pendente carteira de vacina
08/09/2025 - Aso anexado, pendente PIT, pendente carteira de vacina
17/09/2025 - Aso anexado, pendente PIT, pendente carteira de vacina
24/09/2025 - Aso anexado, pendente PIT, pendente carteira de vacina
06/10/2025 - Cancelado conforme solicitado por Bruno via teams
</t>
  </si>
  <si>
    <t>26/08/2025 - Informação recebida por e-mail
27/08/2025 - Aso solicitado para Aval
28/08/2025 - Pre cadastro realizado no Bancodoc
29/08/2025 - Chamado aberto 3372
05/09/2025 - Exame realizado
05/09/2025 - Pendente data para agendar PIT
08/09/2025 - Pendente data para agendar PIT
11/09/2025 - Pendente data para agendar PIT
06/10/2025 - Cancelado conforme solicitado por Bruno via teams</t>
  </si>
  <si>
    <t xml:space="preserve">26/08/2025 - Informação recebida por e-mail
27/08/2025 - Aso solicitado para Aval
28/08/2025 - Pre cadastro realizado no Bancodoc
29/08/2025 - Chamado aberto 3374
01/09/2025 - Aso anexado, pendente PIT, pendente carteira de vacina
03/09/2025 - Carteira de vacina recebida e postada
04/09/2025 - Pendencia na vacina
05/09/2025 - PIT realizado, vacina postada
09/09/2025 - Pendencia na vacina, solicitado tomar a triplice viral
16/09/2025 - Cartão de vacina atualizado e postado no sistema
17/09/2025 - Aprovada, mobilização concluída
</t>
  </si>
  <si>
    <t>ICARO ANTONIO DUQUE BAHIA</t>
  </si>
  <si>
    <t>26/08/2025 - Informação recebida por e-mail
27/08/2025 - Aso solicitado para Aval
28/08/2025 - Pre cadastro realizado no Bancodoc
29/08/2025 - Chamado aberto 3373
01/09/2025 - Aso anexado, pendente PIT
03/09/2025 - Carteira de vacina recebida, postada no bancodoc
09/09/2025 - Mobilização concluída</t>
  </si>
  <si>
    <t>03/09/2025 - Informação recebida por teams por Bruno da Mobi
03/09/2025 - Aso solicitado para Aval
03/09/2025- Transferência solicitada no Bancodoc
05/09/2025 - Chamado aberto 34 08
08/09/2025 - Mobilização concluída</t>
  </si>
  <si>
    <t>RODRIGO MARTINS BRANDOLT</t>
  </si>
  <si>
    <t>Itabira-MG</t>
  </si>
  <si>
    <t>04/09/2025 - Chamado aberto 3402
04/09/2025 - Aso solicitado para Felipe
05/09/2025 - Solicitação dos treinamentos
15/09/2025 - Conclusão dos treinamentos
17/09/2025 - Pendente assinatura dos certificados
22/09/2025 - Certificados assinados, Dossiê enviado ao cliente
10/10/2025 - Postado no SGC pelo o cliente
15/10/2025 - Conforme retorno do cliente, será necessário efetuar a migração dos contratos , para mobilizar os profissionais e está pendente a analise dos programas da PHD da equipe de segurança do consorcio.
21/10/2025 -Pendente a analise dos programas da PHD da equipe de segurança do consorcio, para mobilizar os profissionais.
29/10/2025 -Pendente a analise dos programas da PHD da equipe de segurança do consorcio, para mobilizar os profissionais.
03/11/2025 -Pendente a analise dos programas da PHD da equipe de segurança do consorcio, para mobilizar os profissionais.
13/11/2025 - Retorno do cliente com pendencia nos programas, mudar informações contratuais. Em processo de adequação
19/11/2025 - Enviado ao cliente
24/11/2025 - Retorno do cliente, que não foi feito as adequações solicitadas. Enviado para a clinica novamente
26/11/2025 - PGR corrigido recebido da clinica
27/11/2025 - PGR Enviado ao cliente
01/12/2025 - Retorno do cliente, que não foi feito as adequações solicitadas, solicitado mudança de endereço. Enviado para a clinica novamente
04/12/2025 - Foi gerado uma nova ART para pagamento, devido a mudança de endereço.
09/12/2025 - Programas corrigido, enviado ao cliente
11/12/2025 - Retorno do cliente que foi postado no SGC, em analise
12/12/2025 - Cliente retornou programas com pendencia
16/12/2025 - Programas adequados recebidos da clinica, enviado ao cliente
19/12/2025 - Retorno para adequar o gestor no PCMSO
22/12/2025 - PCMSO adequado recebido da aval, enviado ao cliente.
08/01/2026 - Programas legais postados na Vale SGC
12/01/2026 - Programas aprovados
12/01/2026 - Aso pendencia
14/01/2026 - Aso recebido da Aval, enviado para assinatura
15/01/2026 - Aso assinado e enviado ao cliente
15/01/2026 - Postado no SGC MCL20260024577
16/01/2026 - Mobilização concluída</t>
  </si>
  <si>
    <t>ARTHUR FARHAT BENEDITO</t>
  </si>
  <si>
    <t>04/09/2025 - Chamado aberto 3403
05/09/2025 - Solicitação dos treinamentos
10/09/2025 - Pendente conclusão dos treinamentos
17/09/2025 - Pendente conclusão dos treinamentos
24/09/2025 - Pendente conclusão dos treinamentos
30/09/2025 - Conclusão dos treinamentos
06/10/2025 - Pendente alteração contratual
07/10/2025 - Alteração contratual liberada, enviada ao cliente
10/10/2025 - Postado no SGC pelo o cliente
15/10/2025 - Conforme retorno do cliente, será necessário efetuar a migração dos contratos , para mobilizar os profissionais e está pendente a analise dos programas da PHD da equipe de segurança do consorcio.
21/10/2025 - Pendente a analise dos programas da PHD da equipe de segurança do consorcio.
29/10/2025 -Pendente a analise dos programas da PHD da equipe de segurança do consorcio, para mobilizar os profissionais.
03/11/2025 -Pendente a analise dos programas da PHD da equipe de segurança do consorcio, para mobilizar os profissionais.
13/11/2025 - Retorno do cliente com pendencia nos programas, mudar informações contratuais. Em processo de adequação
19/11/2025 - Enviado ao cliente
24/11/2025 - Retorno do cliente, que não foi feito as adequações solicitadas. Enviado para a clinica novamente
26/11/2025 - PGR corrigido recebido da clinica
27/11/2025 - PGR Enviado ao cliente
01/12/2025 - Retorno do cliente, que não foi feito as adequações solicitadas, solicitado mudança de endereço. Enviado para a clinica novamente
04/12/2025 - Foi gerado uma nova ART para pagamento, devido a mudança de endereço.
09/12/2025 - Programas corrigido, enviado ao cliente
11/12/2025 - Retorno do cliente que foi postado no SGC, em analise
12/12/2025 - Cliente retornou programas com pendencia
16/12/2025 - Programas adequados recebidos da clinica, enviado ao cliente
19/12/2025 - Retorno para adequar o gestor no PCMSO
22/12/2025 - PCMSO adequado recebido da aval, enviado ao cliente.
08/01/2026 - Programas legais postados na Vale SGC
12/01/2026 - Programas aprovados
12/01/2026 - Aso pendencia
13/01/2026 - Aso adequado e enviado ao cliente
14/01/2026 - Posatdo no SGC MCL20260023524
15/01/2026 - Mobilização concluída</t>
  </si>
  <si>
    <t>ROBERTO RIBEIRO GUIMARAES DE MEDEIROS</t>
  </si>
  <si>
    <t>10/09/2025 - Chamado aberto 3424
10/09/2025 - Aso solicitado para Felipe
11/09/2025 - Solicitação dos treinamentos
11/09/2025 - Exame agendado para dia 15/09 ( Profissional estava de folga)
17/09/2025 - Conclusão dos treinamentos
18/09/2025 - Dossiê enviado
19/09/2025 - Mobilização concluída</t>
  </si>
  <si>
    <t>ENGETOWER</t>
  </si>
  <si>
    <t>ENGT-CT01</t>
  </si>
  <si>
    <t>11/09/2025 - Chamado aberto 3441
11/09/2025 - Aso solicitado para Felipe
12/09/2025 - Aso solicitado para Aval por Felipe
17/09/2025 - Aso liberado, dossiê enviado
17/09/2025 - Mobilização concluída</t>
  </si>
  <si>
    <t xml:space="preserve">11/09/2025 - Chamado aberto 3442
11/09/2025 - Aso solicitado para Felipe
22/09/2025 - Aso realizado
26/09/2025 - Aso liberado
29/09/2025 - Dossie enviado ao cliente
06/10/2025 - Cancelado conforme solicitado por Eduardo via Whats
</t>
  </si>
  <si>
    <t>15/09/2025 -Abertura de chamado 3449
15/09/2025 - Trancrição de aso solicitado a Felipe
19/09/2025 - Exame realizado 
24/09/2025 - Aso recebido, dossiê enviado ao cliente
26/09/2025 - Mobilização concluída</t>
  </si>
  <si>
    <t>RODRIGO MORAIS TEIXEIRA</t>
  </si>
  <si>
    <t>15/09/2025 -Abertura de chamado 3451
15/09/2025 - Transcrição de aso solicitado a Felipe
15/09/2025 - Treinamento enviado para o profissional para realização
19/09/2025 - Conclusão dos treinamentos, realização do aso
23/09/2025 - Aso rcebido, dossiê enviado ao cliente
26/09/2025 - Cancelada conforme solicitada por Lucas.</t>
  </si>
  <si>
    <t>GERD-CT20</t>
  </si>
  <si>
    <t>17/09/2025 - Informação da mobilização
17/09/2025 - Transcrição de aso solicitado a Felipe
19/09/2025 - Aso recebido da Aval
22/09/2025 - Subcontratação realizada, aso anexado
22/09/2025 - Pendente agendar PIT
26/09/2025 - PIT agendado para 06/10
06/10/2025 - PIT realizado
07/10/2025 - Mobilização liberada</t>
  </si>
  <si>
    <t>RONALDO MACHADO</t>
  </si>
  <si>
    <t>SINOBRAS</t>
  </si>
  <si>
    <t>Marabá  PA</t>
  </si>
  <si>
    <t>SINO-CT01</t>
  </si>
  <si>
    <t>18/09/2025 - Informação da mobilização
19/09/2025 - Transcrição de aso solicitado a Felipe
19/09/2025 - Anexados alguns documentos, pendente o aso
23/09/2025 - Aso recebido, Documentos anexados
24/09/2025 - Integração agendada na Sinobras - Data 10/10 presencial
10/10/2025 - Mobilização concluída</t>
  </si>
  <si>
    <t>RAYKLEISON SOUSA COSTA</t>
  </si>
  <si>
    <t>PAVIDEZ</t>
  </si>
  <si>
    <t>PAVDEZ</t>
  </si>
  <si>
    <t>PAVI-CT01</t>
  </si>
  <si>
    <t>22/09/2025 -Abertura de chamado 3474
22/09/2025 - Treinamento solicitado
23/09/2025  - Treinamento concluído
30/09/2025 - Pendente alteração contratual
06/10/2025 - Pendente alteração contratual
10/10/2025 - Pendente alteração contratual
16/10/2025 - Pendente alteração contratual
20/10/2025 - Pendente alteração contratual
24/10/2025 - Alteração contratual liberada, dossiê enviado ao cliente
05/11/2025 - Postagem dos documentos pelo o cliente
06/11/2025 - Pendencia na OS
07/11/2025 - OS atualizada e enviada ao cliente, pendente integração
12/11/2025 - Pendente integração
19/11/2025 - Integração realizada, mobilização concluída</t>
  </si>
  <si>
    <t xml:space="preserve">22/09/2025 -Abertura de chamado 3473
22/09/2025 - Transcrição de aso solicitado a Felipe
26/09/2025 - Exame realizado
01/10/2025 - Aso liberado, dossiê enviado
01/10/2025 - Postado no SGC, em analise
02/10/2025 - Mobilização concluída
</t>
  </si>
  <si>
    <t>THALES SANDER CARVALHO DE PADUA</t>
  </si>
  <si>
    <t xml:space="preserve">25/09/2025 - Transcrição de aso solicitado a Felipe
26/09/2025 -Abertura de chamado 3512
02/10/2025 - Exame realizado
06/10/2025 - Aso liberado
06/10/2025 - Pendente intregação no cliente
20/10/2025 - Intregação agendada para o dia 24/10
23/10/2025 - Conforme solicitado por Thales, intregação cancelada
29/10/2025 - Intregação reagendada para o dia 04/11
03/11/2025 - Intregação reagendada para o dia 06/11
06/11/2025 - Mobilização concluída
</t>
  </si>
  <si>
    <t>DIOGO HENRIQUE SOARES</t>
  </si>
  <si>
    <t>Santos - SP</t>
  </si>
  <si>
    <t>ADMB-CT16</t>
  </si>
  <si>
    <t>29/09/2025 -Abertura de chamado 3526
29/09/2025 - Treinamento solicitado
01/10/2025 - Conclusão do treinamento
02/10/2025 - Recebido Ficha de EPI e OS, Dossiê enviado ao cliente
03/10/2025 - Documentos aprovados,pendente somente intregação no cliente.</t>
  </si>
  <si>
    <t>U&amp;M</t>
  </si>
  <si>
    <t>Canaã dos Carajás-PA Sossego</t>
  </si>
  <si>
    <t>U&amp;MM-CT02</t>
  </si>
  <si>
    <t xml:space="preserve">02/10/2025 - Chamado aberto 43
02/10/2025 - Solicitado transcrição de Aso
02/10/2025 - Solicitado treinamento
06/10/2025 - Pendente treinamento
08/10/2025 - Aso liberado, pendente treinamento.
15/10/2025 - Conclusão dos treinamentos, Dossiê enviado
20/10/2025 - Aguardando retorno do cliente
21/10/2025 - Postagem do cliente
22/10/2025 - Mobilização concluída
</t>
  </si>
  <si>
    <t xml:space="preserve">02/10/2025 - Chamado aberto 39
02/10/2025 - Solicitado transcrição de Aso
02/10/2025 - Pendente alteração contratual
07/10/2025 - Alteração contratual liberada
07/10/2025 - Documentos postados
08/10/2025 - Conforme solicitação do cliente e confirmação do Wantuil, cancelar a mobilização.
</t>
  </si>
  <si>
    <t>FELIPE SANTOS ARAUJO</t>
  </si>
  <si>
    <t>06/10/2025 - Informação da mobilização
06/10/2025 - Aso solicitado para Felipe
06/10/2025 - Solicitação dos treinamentos
07/10/2025 - Conclusão dos treinamentos
08/10/2025 - Chamado aberto 72
08/10/2025 - Aso liberado, pendente alteração contratual
15/10/2025 - Alteração contratual
20/10/2025 - Alteração contratual
29/10/2025 -Pendente a analise dos programas da PHD da equipe de segurança do consorcio, para mobilizar os profissionais.
03/11/2025 -Pendente a analise dos programas da PHD da equipe de segurança do consorcio, para mobilizar os profissionais.
13/11/2025 - Retorno do cliente com pendencia nos programas, mudar informações contratuais. Em processo de adequação
19/11/2025 - Enviado ao cliente
24/11/2025 - Retorno do cliente, que não foi feito as adequações solicitadas. Enviado para a clinica novamente
26/11/2025 - PGR corrigido recebido da clinica
27/11/2025 - PGR Enviado ao cliente
01/12/2025 - Retorno do cliente, que não foi feito as adequações solicitadas, solicitado mudança de endereço. Enviado para a clinica novamente
04/12/2025 - Foi gerado uma nova ART para pagamento, devido a mudança de endereço.
09/12/2025 - Programas corrigido, enviado ao cliente
11/12/2025 - Retorno do cliente que foi postado no SGC, em analise
12/12/2025 - Cliente retornou programas com pendencia
16/12/2025 - Programas adequados recebidos da clinica, enviado ao cliente
22/12/2025 - PCMSO adequado recebido da aval, enviado ao cliente.
19/12/2025 - Retorno para adequar o gestor no PCMSO
30/12/2025 - Cancelamento solicitado por Silas VIA TEAMS</t>
  </si>
  <si>
    <t>ICARO BAHIA</t>
  </si>
  <si>
    <t>icaro.bahia@phdengenharia.eng.br</t>
  </si>
  <si>
    <t xml:space="preserve">08/10/2025 - Chamado aberto 69
10/10/2025 - Mobilização andamento, processo de transferência de contrato feito no banco.
10/10/2025 - Pendente treinamento de PIM para área de mina.
10/10/2025 - Mobilização não iniciada antes, por que o profissional estava no projeto e podia bloquear o crachá.
10/10/2025 - Indetificado que a mobilização teria que ser feita na unidade Miguel Bounier (mineração)
13/10/2025 - Contrato vinculado em Miguel Bounier
13/10/2025 - Realizado processo de transferência de contrato no banco
14/10/2025 - PIM agendado para realização do dia 15/10 a 17/10
17/10/2025 - PIM concluído
20/10/2025 - Informação do cliente sobre exame toxicologico para realização dia 21/10
21/10/2025 - Realizado exame toxicologico
22/10/2025 - Mobilização concluída
</t>
  </si>
  <si>
    <t xml:space="preserve">08/10/2025 - Chamado aberto 70
10/10/2025 - Mobilização andamento, processo de transferência de contrato feito no banco.
10/10/2025 - Pendente treinamento de PIM para área de mina.
10/10/2025 - Mobilização não iniciada antes, por que o profissional estava no projeto e podia bloquear o crachá.
10/10/2025 - Indetificado que a mobilização teria que ser feita na unidade Miguel Bounier (mineração)
13/10/2025 - Contrato vinculado em Miguel Bounier
13/10/2025 - Realizado processo de transferência de contrato no banco
14/10/2025 - PIM agendado para realização do dia 15/10 a 17/10
17/10/2025 - PIM concluído
20/10/2025 - Informação do cliente sobre exame toxicologico para realização dia 21/10
21/10/2025 - Realizado exame toxicologico
22/10/2025 - Mobilização concluída
</t>
  </si>
  <si>
    <t>TAINARA PEREIRA RODRIGUES</t>
  </si>
  <si>
    <t xml:space="preserve">14/10/2025 - Informação da mobilização
14/10/2025 - Pre cadastro realizado no Bancodoc
14/10/2025 - Treinamento solicitado
15/10/2025 - Treinamento concluido
16/10/2025 - Aso liberado
16/10/2025 - Pre cadastro aprovado, cadastro concluído. Pendente alteração contratual e agendar o PIT
16/10/2025 - Chamado recebido 124
20/10/2025 - Treinamento PIT agendado para 21/10 e 22/10
22/10/2025 - PIT concluído, pendente alteração contratual
24/10/2025 - Alteração contratual liberada e postada no banco doc
27/10/2025 - Mobilização concluída
</t>
  </si>
  <si>
    <t>DIEGO SOARES ANTUNES</t>
  </si>
  <si>
    <t>15/10/2025 - Informação da mobilização
15/10/2025 - Solicitado treinamento e enviado para realização.
16/10/2025 - Chamado recebido 110
20/10/2025 - Pendente treinamento e alteração contratual
21/10/2025 - Treinamentos concluído
24/10/2025 - Alteração contratual liberada, dossiê enviado ao cliente
24/10/2025 - Postagem pelo o cliente no SGC, nº MCL20251384314
24/10/2025 - Pendencia no certificado de NR22, corrigido e enviado
28/10/2025 - Pendencia no certificado de TBSSMA
29/10/2025 - Mobilização concluída</t>
  </si>
  <si>
    <t>M.Roscoe</t>
  </si>
  <si>
    <t>MCCAIN</t>
  </si>
  <si>
    <t>Araxá-MG</t>
  </si>
  <si>
    <t>MROS-CT02</t>
  </si>
  <si>
    <t>16/10/2025 - Informação da mobilização
16/10/2025 - Contato com o cliente sobre a mobilização da empresa
17/10/2025 - Solicitado transcrição de aso
17/10/2025 - Chamado aberto 137
23/10/2025 - Exame agendado para 24/10
28/10/2025 - Aso liberado, dossiê enviado ao cliente
04/11/2025 - Documentos postados pelo o cliente
06/11/2025 - Pendencia na ficha de EPI, atualizada e enviado
10/11/2025 - Mobilização concluída</t>
  </si>
  <si>
    <t>LUCAS PEDRO ZACARIAS</t>
  </si>
  <si>
    <t>ISA CTEEP</t>
  </si>
  <si>
    <t>Ribeirão Preto - SP</t>
  </si>
  <si>
    <t>ENGF-CT04</t>
  </si>
  <si>
    <t xml:space="preserve">16/10/2025 - Chamado recebido 131
16/10/2025 - Aguardando informações do cliente sobre a mobilização, para iniciar o processo.
20/10/2025 - Aguardando informações do cliente sobre a mobilização, para iniciar o processo.
30/10/2025 - Aguardando informações do cliente sobre a mobilização, para iniciar o processo.
07/11/2025 - Dados recebido do cliente, enviado para aval para elaboração dos programas
07/11/2025 - Dossie enviado , pendente aso
07/11/2025 - Solicitado para clinica
10/11/2025 - Retorno da clinica que o profissional teria que realizar exame
14/11/2025 - Exame agendado para realização no dia 17/11
24/11/2025 - Exame realizado
24/11/2025 - Retorno do cliente com pendencia no PCMSO, solicitado adequação para aval
25/11/2025 - Aso liberado pela clinica, enviado para o cliente. Pendente mobilização da empresa
26/11/2025 - PCMSO corrigido recebido da clinica
27/11/2025 - PCMSO Enviado ao cliente 
27/11/2025 - Postagem dos documentos no cliente final  ISA
01/12/2025 - Pendencia no Aso e OS
02/12/2025- OS enviada ao cliente
09/12/2025 - Aso corrigido enviado ao cliente
11/12/2025 - Aguardando contrato assinado 
19/12/2025 - Pendente contrato assinado
07/01/2026 - Cancelado coforme solicitado por Tulio via whats
</t>
  </si>
  <si>
    <t>ANDRADE GUTIERREZ</t>
  </si>
  <si>
    <t>ANDR-CT03</t>
  </si>
  <si>
    <t>17/10/2025 - Informação da mobilização pelo o whats
20/10/2025 - Não será necessário mobilização da empresa ,conforme informação do cliente, por ser uma mobilização rápida será feito apenas mobilização de funcionários
27/10/2025 - Intregação no cliente agendada para o dia 29/10
31/10/2025 - Pendente contrato assinado para liberação do crachá
04/11/2025 - Mobilização concluída</t>
  </si>
  <si>
    <t>JULIO CESAR SILVA</t>
  </si>
  <si>
    <t>THIAGO ANDRADE CAMBRAIA</t>
  </si>
  <si>
    <t>21/10/2025 - Chamado recebido 147
22/10/2025 - Solicitado transcrição do Aso
22/10/2025 - Treinamento solicitado
23/10/2025 - Profissional de férias, retorna dia 03/11
28/10/2025 - Pendente aso
03/11/2025 - Treinamento concluído, exame agendado para 11/11
06/11/2025 - Dossie parcial enviado ao cliente, pendente aso
11/11/2025 - Exame realizado
17/11/2025 - Aso recebido e enviado ao cliente
17/11/2025 - Pendente integração no cliente
19/11/2025 - Pendente integração no cliente
21/11/2025 - Pendente integração no cliente</t>
  </si>
  <si>
    <t>JEFERSON EXPEDITO DE OLIVEIRA SILVA</t>
  </si>
  <si>
    <t xml:space="preserve">21/10/2025 - Chamado recebido 151 
22/10/2025 - Solicitado transcrição do Aso
22/10/2025 - Treinamento solicitado
28/10/2025 - Treinamento concluído
30/10/2025 - Exame agendado para 06/11 em Santos-SP
31/10/2025 - Dossie parcial enviado ao cliente, pendente aso
12/11/2025 - Aso recebido da aval, enviado ao cliente
14/11/2025 - Mobilização concluída
</t>
  </si>
  <si>
    <t>CARLOS HENRIQUE MACEDO ALVES</t>
  </si>
  <si>
    <t>16/10/2025 - Chamado recebido 132
16/10/2025 - Aguardando admissão para inicio do processo de mobilização
27/10/2025 - Admissão, solicitação de treinamento
27/10/2025 - Mobilização iniciada
28/10/2025 - Treinamento concluído
29/10/2025 - Pendente aso, Não temos programas especificos para essa obra
30/10/2025 - Pendente aso, Aguardando informações do cliente sobre a mobilização, para iniciar o processo.
07/11/2025 - Dados recebido do cliente, enviado para aval para elaboração dos programas
07/11/2025 - Dossie enviado , pendente aso e contrato social
12/11/2025 - Aso recebido da clinica
13/11/2025 - Aso enviado ao cliente
17/11/2025 - Pendente contrato social
26/11/2025 - PCMSO corrigido recebido da clinica, liberado contrato social
27/11/2025 - PCMSO e contrato social Enviado ao cliente 
27/11/2025 - Postagem dos documentos no cliente final  ISA
01/12/2025 - Pendencia no Aso e OS
03/12/2025- OS enviada ao cliente
11/12/2025 - Aguardando contrato assinado 
19/12/2025 - Pendente contrato assinado
07/01/2026 - Cancelado coforme solicitado por Tulio via whats</t>
  </si>
  <si>
    <t>Divinópolis - MG</t>
  </si>
  <si>
    <t xml:space="preserve">07/11/2025 - Chamado aberto 225
07/11/2025  - Mobilização andamento, processo de transferência de contrato feito no banco.
10/11/2025 - PITagendado para realização do dia 11/11
12/11/2025 - Mobilização concluído
</t>
  </si>
  <si>
    <t>07/11/2025 - Chamado aberto 226
07/11/2025  - Mobilização andamento, processo de transferência de contrato feito no banco.
10/11/2025 - PITagendado para realização do dia 11/11
12/11/2025 - Mobilização concluído</t>
  </si>
  <si>
    <t>Sapucaia do Sul - SP - GAB - Usina Riograndense</t>
  </si>
  <si>
    <t>14/11/2025 - Chamado aberto de mobilização #268
14/11/2025 - Pendente aso, falta informações para elaboração dos programas legais
14/11/2025 - Mobilização só pode ser iniciada no banco doc após 28/11 devido está em outro projeto
19/11/2025 - Dados recebidos, solicitado elaboração programação legais
19/11/2025 - Aso solicitado
21/11/2025 - Aso recebido da clinica
26/11/2025 - Processo de tranferencia feito no banco doc, PIT agendado para 01/12</t>
  </si>
  <si>
    <t>14/11/2025 - Chamado aberto de mobilização #269
14/11/2025 - Pendente aso, falta informações para elaboração dos programas legais
14/11/2025 - Mobilização só pode ser iniciada no banco doc após 28/11 devido está em outro projeto
19/11/2025 - Dados recebidos, solicitado elaboração programação legais
19/11/2025 - Aso solicitado
21/11/2025 - Aso recebido da clinica
26/11/2025 - Processo de tranferencia feito no banco doc, PIT agendado para 01/12
01/12/2025 - PIT realizado, mobilização concluida</t>
  </si>
  <si>
    <t>Guarulhos-SP - GAB - Unidade Cumbica</t>
  </si>
  <si>
    <t>14/11/2025 - Chamado aberto de mobilização #270
14/11/2025 - Pendente aso, falta informações para elaboração dos programas legais
14/11/2025 - Mobilização só pode ser iniciada no banco doc após 28/11
19/11/2025 - Dados recebidos, solicitado elaboração programação legais
19/11/2025 - Aso solicitado
21/11/2025 - Aso recebido da clinica
27/11/2025 - Processo de tranferencia feito no banco doc, PIT agendado para 01/12
01/12/2025 - PIT realizado, mobilização concluida</t>
  </si>
  <si>
    <t>14/11/2025 - Chamado aberto de mobilização #271
14/11/2025 - Pendente aso, falta informações para elaboração dos programas legais
14/11/2025 - Mobilização só pode ser iniciada no banco doc após 28/11
19/11/2025 - Dados recebidos, solicitado elaboração programação legais
19/11/2025 - Aso solicitado
21/11/2025 - Aso recebido da clinica com a função errada
25/11/2025 - Novo aso recebido da clinica
27/11/2025 - Processo de tranferencia feito no banco doc, PIT agendado para 01/12
01/12/2025 - PIT realizado, mobilização concluida</t>
  </si>
  <si>
    <t xml:space="preserve"> Rio de Janeiro-RJ - GAB - Usina Cosigua</t>
  </si>
  <si>
    <t>14/11/2025 - Chamado aberto de mobilização #272
14/11/2025 - Pendente aso, falta informações para elaboração dos programas legais
14/11/2025 - Mobilização só pode ser iniciada no banco doc após 28/11
17/11/2025 - Aso solicitado
18/11/2025 - Aso recebido
24/11/2025 - Mobilização só pode ser iniciada no banco doc após 28/11, estão em outro contrato
26/11/2025 - Processo de tranferencia feito no banco doc, PIT agendado para 01/12
01/12/2025 - PIT rezalizado
02/12/2025 - Mobilização concluída</t>
  </si>
  <si>
    <t>14/11/2025 - Chamado aberto de mobilização #273
14/11/2025 - Pendente aso, falta informações para elaboração dos programas legais
14/11/2025 - Mobilização só pode ser iniciada no banco doc após 28/11
17/11/2025 - Aso solicitado
18/11/2025 - Aso recebido
26/11/2025 - Processo de tranferencia feito no banco doc, PIT agendado para 01/12
01/12/2025 - PIT rezalizado
02/12/2025 - Mobilização concluída</t>
  </si>
  <si>
    <t>MATHEUS PERA</t>
  </si>
  <si>
    <t>24/11/2025 - Chamado aberto de mobilização #304
24/11/2025 - Solicitação dos treinamentos
24/11/2025 - Transcrição de aso solicitado
27/11/2025 - Conclusão dos treinamentos
02/12/2025 - Aso liberado
09/12/2025 - Dossie enviado ao cliente com declaração
10/12/2025 - Postado no SGC pelo o cliente, aguardando analise
19/12/2025 - Pendente alteração contratual
22/12/2025 - Pendente alteração contratual
22/12/2025 - Documentação postada no SGC
19/01/2026 - Pendente alteração contratual
22/01/2026 - Alteração contratual liberada e enviada ao cliente
27/01/2026 - Mobilização concluída</t>
  </si>
  <si>
    <t>TIMBOPEBA</t>
  </si>
  <si>
    <t>SALU-CT11</t>
  </si>
  <si>
    <t>24/11/2025 - Chamado aberto de mobilização #309
24/11/2025 - Transcrição de aso solicitado
24/11/2025 - Solicitado treinamentos de NR22/RAC08</t>
  </si>
  <si>
    <t>COTRIN</t>
  </si>
  <si>
    <t>RUMO</t>
  </si>
  <si>
    <t>Araraquara - SP</t>
  </si>
  <si>
    <t>COTR-CT01</t>
  </si>
  <si>
    <t>25/11/2025 - Chamado aberto de mobilização #319
25/11/2025 - Transcrição de aso solicitado
26/11/2025 - Retorno da clinica que a profissional terá que realizar novos exames
26/11/2025 - Profissional de folga, retorna dia 01/12
27/11/2025 - Exame agendado para 01/12
05/12/2025 - Aso liberado
10/12/2025 - Dossiê enviado ao cliente
10/12/2025 - Aguardando contrato assinado para mobilizar a empresa e em seguida a profissional
19/12/2025 - Aguardando contrato assinado para mobilizar a empresa e em seguida a profissional
05/01/2026 - Contrato assinado
08/01/2026 - Treinamento no cliente
13/01/2026 - Treinamento no cliente
15/01/2026 - Programas legais aprovados
15/01/2026 - Documentos postados
16/01/2026 - Pendencia na OS, riscos conforme PGR
19/01/2026 - OS atualizada e enviada
20/01/2026 - Pendencia na OS, riscos conforme PGR
23/01/2026 - OS assinada e enviada ao cliente
23/01/2026 - Mobilização concluída</t>
  </si>
  <si>
    <t>VLI</t>
  </si>
  <si>
    <t>VLIM-CT01</t>
  </si>
  <si>
    <t xml:space="preserve">02/12/2025 - Chamado aberto 348
03/12/2025 - E-mail para cliente solicitando dados para elaborar programas legais
03/12/2025 - Dados recebido do cliente
03/12/2025 - Soliictado elaboração dos programas legais para Felipe
04/12/2025 - E-mail enviado para clinica solicitando elaboração dos programas
04/12/2025 - Aso solicitado para Felipe
09/12/2025 - Aso recebido da clinica
11/12/2025 - Cadastro de mobilização realizado no sistema
11/12/2025 - Aguardando documentos atualizados do Felipe
11/12/2025 - Programas legais em processo de elaboração
11/12/2025 - Treinamentos agendados
12/12/2025 - Treinamentos concluídos
12/12/2025 - Programas postados no sistema
16/12/2025 - Conclusão da postagem de todos os documentos da empresa postado no sistema
17/12/2025 - Retorno com pendencia
18/12/2025 - Será necessário a subcontratação da Assessoria. Cadastro excluido
18/12/2025 - Solicitado a Subcontatação para o cliente ( Realizar cadastro no sistema novamente pela Assessoria)
22/12/2025 -  Solicitado a Subcontatação para o cliente ( Realizar cadastro no sistema novamente pela Assessoria)
22/12/2025 - Aguardando retono do cliente com cadastro da PHD ( prazo 5 dias uteis ) 
09/01/2026 - Cadastro da Assessoria feito no sistema pela VLI
09/01/2026 - Documentos da Assessoria anexados no sistema para análise
09/01/2026 - Docs anexados, aguardando analise dos docs da empresa
12/01/2026 - Retorno com pendencia na PAE, elaborada e assinada por engenheiro de segurança
12/01/2026 - Solicitado elaboração para AVal
13/01/2026 - Orçamento recebido, em processo de elaboração
20/01/2026 - PAE recebida e postada
22/01/2026 - Mobilização concluída
</t>
  </si>
  <si>
    <t>03/12/2025 - Chamado aberto 344
03/12/2025 - Aso solicitado para Felipe
05/12/2025 - Retorno da clinica que a profissional terá que fazer exame.
10/12/2025 - Treinamentos agendados
11/12/2025 - Exame agendado para dia 15/12
17/12/2025 - Treinamentos concluídos
17/12/2025 - Aso liberado
17/12/2025 - Aso e NR22 enviado para assinatura
18/12/2025 - Dossiê enviado ao cliente
19/12/2025 - Retorno para adequar o gestor no PCMSO, pendente mobilizaçaõ da empresa
22/12/2025 - PCMSO adequado recebido da aval, enviado ao cliente.
08/01/2026 - Programas legais postados na Vale SGC
12/01/2026 - Programas aprovados
12/01/2026 - Dossie postado no SCG MCL20260018022
14/01/2026 - Mobilização concluída</t>
  </si>
  <si>
    <t>ALEXANDER FLAMENGO BRITO RODRIGUES</t>
  </si>
  <si>
    <t>09/12/2025 - Solicitado treinamentos de NR06/NR18
12/12/2025 - Pendente contrato social
12/12/2025 - Pendente OS e ficha de EPI
15/12/2025 - Treinamentos concluídos
16/12/2025 - documentos parcial enviado ao cliente
16/12/2025 - Pendente contrato social
16/12/2025 - Chamado aberto 413
19/12/2025 - Pendente contrato social
19/01/2026 - Pendente alteração contratual
22/01/2026 - Alteraçaõ contratual liberada e enviada ao cliente
26/01/2026 - Intregação agendada no cliente pro dia 02/02
03/02/2026 - Intregação Concluída
04/02/2026 - Mobilização concluida</t>
  </si>
  <si>
    <t>PAULO SERGIO DA SILVA COSTA JUNIOR</t>
  </si>
  <si>
    <t>Vitoria - ES</t>
  </si>
  <si>
    <t>VALE-CT03</t>
  </si>
  <si>
    <t>10/12/2025 - Abertura do chamado 380
10/12/2025 - Treinamentos solicitado
10/12/2025 - Exame agendado
12/12/2025 - Exame realizado
15/12/2025 - Treinamento em andamento
16/12/2025 - Treinamento concluído
17/12/2025 - Programas legais postados no SGC
18/12/2025 - Retorno com pedencia, solicitado adequação para aval
18/12/2025 - Documentos enviados para subcontratação da Assessoria
19/12/2025 - Aso liberado pela Aval
22/12/2025  -Mobilização concluída
19/12/2025 - Pendente Subcontratação da Assessoria
22/12/2025  -Mobilização concluída</t>
  </si>
  <si>
    <t xml:space="preserve">10/12/2025 - Abertura do chamado 383
10/12/2025 - Treinamentos solicitado
10/12/2025 - Aso solicitado
12/12/2025 - Aso recebido
15/12/2025 - Treinamento concluído
17/12/2025 - Programas legais postados no SGC
18/12/2025 - Retorno com pedencia, solicitado adequação para aval
18/12/2025 - Documentos enviados para subcontratação da Assessoria
19/12/2025 - Pendente Subcontratação da Assessoria
22/12/2025  -Mobilização concluída
</t>
  </si>
  <si>
    <t>YAN LUCCA DE ALMEIDA MOREIRA</t>
  </si>
  <si>
    <t>10/12/2025 - Abertura do chamado 381
10/12/2025 - Treinamentos solicitado
10/12/2025 - Exame agendado
15/12/2025 - Exame realizado
15/12/2025 - Treinamento concluído
17/12/2025 - Aso liberado
17/12/2025 - Programas legais postados no SGC
18/12/2025 - Retorno com pedencia, solicitado adequação para aval
18/12/2025 - Documentos enviados para subcontratação da Assessoria
19/12/2025 - Pendente Subcontratação da Assessoria
22/12/2025  -Mobilização concluída</t>
  </si>
  <si>
    <t>10/12/2025 - Abertura do chamado 382
10/12/2025 - Treinamentos solicitado
10/12/2025 - Exame agendado
15/12/2025 - Treinamento em andamento
16/12/2025 - Treinamento concluído
17/12/2025 - Aso liberado
17/12/2025 - Programas legais postados no SGC
18/12/2025 - Retorno com pedencia, solicitado adequação para aval
18/12/2025 - Documentos enviados para subcontratação da Assessoria
19/12/2025 - Pendente Subcontratação da Assessoria
29/12/2025 - Documentos postados no SGC
30/12/2025 - Pendente aprovação dos programas legais
07/01/2026 - Programas legais aprovados
07/01/2025 - Aprovado mobilização
08/01/2025 - Crachá retirado</t>
  </si>
  <si>
    <t>EDUARDO DOS REIS ELER</t>
  </si>
  <si>
    <t>10/12/2025 - Treinamentos solicitado
10/12/2025 - Exame agendado
12/12/2025 - Exame realizado
16/12/2025 - Chamado de mobilização aberto #408
17/12/2025 - Aso liberado
17/12/2025 - Treinamento pendente
17/12/2025 - Programas legais postados no SGC
18/12/2025 - Retorno com pedencia, solicitado adequação para aval
18/12/2025 - Documentos enviados para subcontratação da Assessoria
19/12/2025 - Pendente Subcontratação da Assessoria, pendente treinamento
30/12/2025 - Treinamentos concluídos
30/12/2025 - Pendente aprovação dos programas legais, para postagem dos documentos
07/01/2026 - Programas legais aprovados
07/01/2026 - Solicitação de mobilização ID MCL20260006840
12/01/2026 - Retorno da vale, pendencia no formulario de TBSSMA
13/01/2026 - Novo formulario recebido pela vale
13/01/2025 - Repostado no SGC
14/01/2026 - Mobilização concluída</t>
  </si>
  <si>
    <t>CCAP-CT15</t>
  </si>
  <si>
    <t>16/12/2025 - Chamado aberto 405
16/12/2025 - Documentos postados
17/12/2025 - Retorno com pendencia 
17/12/2025 - Enviado novamente
18/12/2025 - Retorno com pendencia novamente ( Esta sendo solicitado que mude a função para socio proprietario) Cliente está veirifcando ,pois não podemos mujdar a função nos documentos
22/12/2025 - Conforme informação do cliente , só será possível após o recesso de fim de ano. Será enviado pelo o cliente um e-mail de aprovação para o cliente final, para conclusão.
09/01/2026 - Retorno para atualização da OS e fciha de EPI, e declaração de endereço
09/01/2026 - Postado novamente no sistema
26/01/2026 - Contrato assinado, postado no sistema metax
28/01/2026 - Mobilização concluída</t>
  </si>
  <si>
    <t>ronaldo.machado@phdengenharia.eng.br</t>
  </si>
  <si>
    <t xml:space="preserve">16/12/2025 - Chamado aberto 416
18/12/2025 - Documentos enviados para subcontratação da Assessoria
22/12/2025 - Contrato cadastrado no SGC
30/12/2025 - Programas adequados e postados
05/01/2026 - Retorno vale com pedencia, solicitado adequação para Aval
06/01/2026 - Recebido e postado nO SGC
07/01/2026 - Programas aprovados
09/01/2025 - Cadastro feito da Assessoria no SGC
09/01/2025 - Postado declaração de cumprimento legal MCT20260000604
12/01/2025 - Declaração aprovada
12/01/2026 - Informação da Vale de novo formulario de TBSSMA
13/01/2026 - Novo formulario recebido pela vale, solicitado adequação para aval
13/01/2026 - Certificado recebido da vala, enviado para assinatura
14/01/2026 - Postado no SGC MCL20260021811
16/01/2026 - Documentos em analise
20/01/2026 - Mobilização concluida
</t>
  </si>
  <si>
    <t>16/12/2025 - Chamado aberto 415
18/12/2025 - Documentos enviados para subcontratação da Assessoria
22/12/2025 - Contrato cadastrado no SGC
30/12/2025 - Programas adequados e postados
05/01/2026 - Retorno vale com pedencia, solicitado adequação para Aval
06/01/2026 - Recebido e postado nO SGC
07/01/2026 - Programas aprovados
09/01/2025 - Cadastro feito da Assessoria no SGC
09/01/2025 - Postado declaração de cumprimento legal MCT20260000604
12/01/2025 - Declaração aprovada
12/01/2026 - Informação da Vale de novo formulario de TBSSMA
13/01/2026 - Novo formulario recebido pela vale, solicitado adequação para aval
13/01/2026 - Certificado recebido da vala, enviado para assinatura
14/01/2026 - Postado no SGC MCL20260021811
16/01/2026 - Documentos em analise
20/01/2026 - Mobilização concluida</t>
  </si>
  <si>
    <t xml:space="preserve">16/12/2025 - Chamado aberto 417
16/12/2025 - Treinamento solicitado
18/12/2025 - Aso solicitado
18/12/2025 - Documentos enviados para subcontratação da Assessoria
22/12/2025 - Contrato cadastrado no SGC
22/12/2025 - Aguardando assinatura dos documentos
22/12/2025 - Treinamentos concluídos
23/12/2025 - Aso recebido da Aval
30/12/2025 - Programas adequados e postados
05/01/2026 - Retorno vale com pedencia, solicitado adequação para Aval
06/01/2026 - Recebido e postado nO SGC
07/01/2026 - Programas aprovados
09/01/2025 - Cadastro feito da Assessoria no SGC
09/01/2025 - Postado declaração de cumprimento legal MCT20260000604
12/01/2025 - Declaração aprovada
12/01/2026 - Informação da Vale de novo formulario de TBSSMA
13/01/2026 - Novo formulario recebido pela vale, solicitado adequação para aval
13/01/2026 - Certificado recebido da vala, enviado para assinatura
14/01/2026 - Postado no SGC MCL20260021811
16/01/2026 - Documentos em analise
20/01/2026 - Mobilização concluida
</t>
  </si>
  <si>
    <t xml:space="preserve">30/12/2025 - Chamado aberto 439
30/12/2025 - Aso solicitado para Aval
30/12/2025 - Treinamentos agendados
30/12/2025 - Profissional de férias
05/01/2026- Retorno das férias
06/01/2026 - Aso recebido
08/01/2026 - Programas legais postados na Vale SGC
08/01/2026 - Treinamentos concluidos
09/01/2026 - Dossiê enviado ao cliente
12/01/2026 - Programas aprovados
12/01/2026 - Dossie postado no SCG MCL20260017958
14/01/2026 - Mobilização concluída
</t>
  </si>
  <si>
    <t>WARLEY ALVES CAMPOS</t>
  </si>
  <si>
    <t>12/01/2026 - Chamado aberto de mobilização 482
13/01/2026 - Aso solicitado
14/01/2026 - Aso recebido da clinica Aval
14/01/2026 - Docs enviado ao cliente
14/01/2026 - Introdutório agendado para 20/01 ( terça-feira )
20/01/2026 - Introdutório realizado
16/01/2026 - E-mail enviado para o cliente sobre a mobilização no banco doc
23/01/2026 - Retorno do cliente com forms para preenchimento, cadastro da PHD no banco doc
28/01/2026 - Casdastro da PHD concluido no Banco doc
29/01/2026 - Contrato da PHD no banco Doc cadastrado
29/01/2026 - PCMSO/PGR anexados para analise
29/01/2026 - Cadastro do profissional realizado no banco doc, anexado alguns documentos
30/01/2026 - Plano de saúde anexado
02/02/2026 - Pendencia no plano de saúde
03/02/2026 - Termo de saúde anexado
04/02/2026 - Termo de saúde aprovado
05/02/2026  - PCMSO/PGR aprovados
05/02/2026 - Pendente analise do Aso
06/02/2026 - Pendencia no aso, não tem a função no PCMSO
06/02/2026 - Solicitado alteração nos programas legais para Aval
09/02/2026 - Programas recebido da aval e postados no Banco Doc
12/02/2026 - Programas aprovados, pendente Validação do Aso
12/02/2026 - Mobilização concluída</t>
  </si>
  <si>
    <t>12/01/2026 - Chamado aberto de mobilização 481
13/01/2026 - Aso solicitado
13/01/2026 - Treinamento solicitado
14/01/2026 - Docs parcial enviado ao cliente
14/01/2026 - Introdutório agendado para 20/01 ( terça-feira )
22/01/2026 - Aso liberado pela Aval
23/01/2026 - Retorno do cliente com forms para preenchimento, cadastro da PHD no banco doc
28/01/2026 - Casdastro da PHD concluido no Banco doc
29/01/2026 - Contrato da PHD no banco Doc cadastrado
29/01/2026 - Cadastro do profissional realizado no banco doc, anexado alguns documentos
30/01/2026 - Pendente conclusão dos treinamentos
04/02/2026 - Conclusão dos treinamentos
06/02/2026 - Pendencia no aso, não tem a função no PCMSO
06/02/2026 - Solicitado alteração nos programas legais para Aval
09/02/2026 - Programas recebido e postados no Banco Doc
12/02/2026 - Programas aprovados, pendente Validação do Aso
12/02/2026 - Mobilização concluída</t>
  </si>
  <si>
    <t>HERCULANO MINERAÇÃO</t>
  </si>
  <si>
    <t>HERC-CT01</t>
  </si>
  <si>
    <t>12/01/2026 - Chamado aberto de mobilização 478
13/01/2026 - Retorno do cliente ,pendente contrato asinado
15/01/2026 - Aguardando contrato assinado, pendente dados do cliente para elaborar programas legais
15/01/2026 - Contrato assinado, liberação do acesso para anexo de docs
19/01/2026 - Dados recebidos, programas solicitado elaboração pra clinica Aval
19/01/2026 - Solicitado transcrição de Aso
19/01/2026 - Treinamento solicitado
21/01/2026 - Aso liberado, treinamento concluído
23/01/2026 - Programas legais recebido da Aval e postado para analise.
27/01/2026 - Mobilização empresa concluída
27/01/2026 - Documentos postados para analise
30/01/2026 - Documentos aprovados
09/02/2026 - Integração agendada no cliente pro dia 10/02
10/02/2026 - Mobilização concluída</t>
  </si>
  <si>
    <t xml:space="preserve">VALTECI LEANDRO DE OLIVEIRA </t>
  </si>
  <si>
    <t>12/01/2026 - Chamado aberto de mobilização 477
13/01/2026 - Retorno do cliente ,pendente contrato asinado
15/01/2026 - Aguardando contrato assinado, pendente dados do cliente para elaborar programas legais
15/01/2026 - Contrato assinado, liberação do acesso para anexo de docs
19/01/2026 - Dados recebidos, programas solicitado elaboração pra clinica Aval
19/01/2026 - Solicitado transcrição de Aso
19/01/2026 - Treinamento solicitado
20/01/2026 - Treinamento concluido
23/01/2026 - Programas legais recebido da Aval e postado para analise.
26/01/2026 - Aso liberado pela Aval
27/01/2026 - Mobilização empresa concluída
27/01/2026 - Documentos postados para analise
28/01/2026 - Documentos aprovados
29/01/2026 - Integração agendada no cliente pro dia 03/02
03/02/2026 - Mobilização concluída</t>
  </si>
  <si>
    <t>28/01/2026 - Chamado aberto de mobilização 536
28/01/2026 - Aso solicitado para Aval
29/01/2026 - Retorno da Aval que ele terá que fazer exame
29/01/2026 - Ele está em outro cliente e só pode fazer o exame apartir de 07/02
30/01/2026 - Cancelada conforme solicitado por Paulo Paiva</t>
  </si>
  <si>
    <t>02/02/2026 - Chamado aberto #548
02/02/2026 - Aso realizado
02/02/2026 - Treinamento enviado para o profissional
06/02/2026 - Aso liberado pela Aval
10/02/2026 - Cancelado conforme solicitado</t>
  </si>
  <si>
    <t>GCE</t>
  </si>
  <si>
    <t xml:space="preserve">02/02/2026 - Aso solicitado
04/02/2026 - Aso recebido da Movida
05/02/2026 - Enviado programas legais com a inclusão da função da Fernanda
05/02/2026 - Dossiê enviado
06/02/2026 - Programas legais aprovados
09/02/2026 - Dossiê postado no SGC
09/02/2026 - Mobilização concluída
</t>
  </si>
  <si>
    <t xml:space="preserve">09/02/2026 - Informação da Mobilização
10/02/2026 - Chamado aberto
10/02/2026 - Aso liberado. Documentos postados
12/02/2026 - Documentos aprovados
13/02/2026 - introdutório agendado no cliente para o dia 19/02 .
19/02/2026 - Mobilização concluída
</t>
  </si>
  <si>
    <t>RONDINOPOLIS MT</t>
  </si>
  <si>
    <t>ADMB-CT17</t>
  </si>
  <si>
    <t xml:space="preserve">11/02/2026 - Solicitado Elaboração dos programas legais.
11/02/2026 - Solicitado transcrição de Aso para Clinica.
11/02/2026 - Pendente realização dos treinamentos.
12/02/2026 - Aso liberado, treinamentos concluídos
13/02/2026 - Boleto ART enviado para pagamento/ Pendente realização do treinamento de NR20.
20/02/2026 - Dossie enviado, pendente NR20
20/02/2026 - Programas legais recebido da Aval, enviado ao cliente
23/02/2026 - Conclusão da NR20
25/02/2026 - Mobilização concluída
</t>
  </si>
  <si>
    <t>MOSAIC</t>
  </si>
  <si>
    <t>CAJATI - SP</t>
  </si>
  <si>
    <t>NOBR-CT07</t>
  </si>
  <si>
    <t>12/02/2026 - Treinamento agendado
12/02/2026 - Aso agendado para realização 13/02
13/02/2026 - Pre cadastro realizado no sistema de mobilização
13/02/2026 - Treinamento concluido
20/02/2026 - Aso liberado
24/02/2026 - Documentos postados para analise
27/02/2026 - Pendencia nos Programas legais, solicitado adequação para AVAL
02/03/2026 - Boleto enviado para pagamento
05/03/2026 - Recebido da AVAL e repostados para analise
09/03/2026 - Retorno com pendencia, repostado para analise
10/03/2026 - PGR aprovado , Pendencia no PCMSO
10/03/2026 - Pendencia no ASO.
11/03/2026 - Aso recebido e postado para analise.
12/03/2026 - Aprovado
17/03/2026 - Mobilização concluída</t>
  </si>
  <si>
    <t>PJ</t>
  </si>
  <si>
    <t>Sossego - Canãa dos Carajás PA</t>
  </si>
  <si>
    <t>VABM-CT01</t>
  </si>
  <si>
    <t>12/02/2026 - FORMS preenchido para Vale para processo de subcontratação
13/02/2026 - Treinamento agendado e concluído
13/02/2026 - Subcontratação concluída
13/02/2026 - Declaração de cumprimento legal postada no SGC, solicitado prioridade para Vale
13/02/2026 - Declaração aprovada, mobilização da empresa concluída
13/02/2026 - Profissional terá que realizar exame. Após análise , concluiu-se que, para as condições atuais do posto de trabalho, não há necessidade de elaboração de programas legais. Tal definição visa otimizar e agilizar o processo de implantação do posto.
19/02/2026 - Exame agendado para 20/02
19/02/2026 - Abertura do chamado de mobilização
20/02/2026 - Exame realizado, Postagem dos documentos MCL20260103270
23/02/2026 - Mobilização concluída</t>
  </si>
  <si>
    <t>12/02/2026 - Treinamento agendado
12/02/2026 - Aso agendado para realização 13/02
20/02/2026 - Aso liberado, treinamento concluído
24/02/2026 - Documentos postados para analise
27/02/2026 - Pendencia nos Programas legais, solicitado adequação para AVAL
02/03/2026 - Boleto enviado para pagamento
05/03/2026 - Recebido da AVAL e repostados para analise
09/03/2026 - Retorno com pendencia, repostado para analise
10/03/2026 - PGR aprovado , Pendencia no PCMSO
10/03/2026 - Pendencia no ASO, riscos.
11/03/2026 - Aso recebido e postado para analise.
11/03/2026 - Pendencia solicitado assinatura fisica
12/03/2026 - Aprovado
17/03/2026 - Mobilização concluída</t>
  </si>
  <si>
    <t>REFRAMAX</t>
  </si>
  <si>
    <t>SIMEC</t>
  </si>
  <si>
    <t>CARIACICA / ES</t>
  </si>
  <si>
    <t>REFR-CT01</t>
  </si>
  <si>
    <t>24/02/2026 - Chamado aberto da mobilização
24/02/2026 - Aso solicitado, terá que realizar exame
24/02/2026 - Conforme inofrmação do cliente não será necessário treinamentos
26/02/2026 - Exame agendado para 27/02
27/02/2026 - Exame realizado
03/03/2026 - Pendente aso
04/03/2026 - Aso recebido, Dossie enviado
09/03/2026 - Integação realizada, documentos postados pelo o cliente
10/03/2026 - Mobilização concluída</t>
  </si>
  <si>
    <t>ELDER AFONSO SILVA SARAIVA</t>
  </si>
  <si>
    <t>24/02/2026 - Chamado aberto da mobilização
27/02/2026 - Pendencia nos Programas legais, solicitado adequação para AVAL
02/03/2026 - Boleto enviado para pagamento
05/03/2026 - Recebido da AVAL e repostados para analise
09/03/2026 - Retorno com pendencia, repostado para analise
10/03/2026 - PGR aprovado , Pendencia no PCMSO
10/03/2026 - Pendencia no ASO.
12/03/2026 - Aprovado
17/03/2026 - Mobilização concluída</t>
  </si>
  <si>
    <t>ITABIRITO MG</t>
  </si>
  <si>
    <t>IMCS-CT09</t>
  </si>
  <si>
    <t>26/02/2026 - Chamado aberto
26/02/2026 - Aso solicitado
26/02/2026 - Treinamento enviado para realização
03/03/2026 - Aso liberado
03/03/2026 - Pendente realização dos treinamentos, conforme informado por Tulio o mesmo está em uma demanda, irá inciar os treinamentos após concluir.
13/03/2026  - Mobilização cancelada conforme solicitado por Tulio.</t>
  </si>
  <si>
    <t>26/02/2026 - Chamado aberto
26/02/2026 - Aso solicitado
26/02/2026 - Treinamento enviado para realização
03/03/2026 - Pendente realização dos treinamentos, conforme informado por Tulio o mesmo está em uma demanda, irá inciar os treinamentos após concluir.
11/03/2026 - Exame realizado
13/03/2026 - Aso liberado</t>
  </si>
  <si>
    <t>26/02/2026 - Chamado aberto
26/02/2026 - Aso solicitado
03/03/2026 - Pendente realização dos treinamentos, conforme informado por Tulio o mesmo está em uma demanda, irá inciar os treinamentos após concluir.
03/03/2026 - Aso liberado</t>
  </si>
  <si>
    <t>CIVIL MASTER</t>
  </si>
  <si>
    <t>MINA DE FABRICA</t>
  </si>
  <si>
    <t>CIVM-CT01</t>
  </si>
  <si>
    <t>09/03/2026 - Chamado aberto
09/03/2026 - Aso solicitado
13/03/2026 - Aso liberado, dossie enviado
13/03/2026 - Pendente contrato assinado e mobilização da empresa.
20/03/2026 - Contrato assinado
23/03/2026 - Subcontratação enviada para analise.
31/03/2026 - Subcontratação aprovada.
31/03/2026 - Pendencia nos programas, solicitado adequação para AVAL
01/04/2026 - Programas legais adequados pela Aval e enviado ao cliente.
02/04/2026 - Postado no SGC, em analise.
06/04/2026 - Pendencia nos programas, solicitado adequação para AVAL
08/04/2026 - Programas legais adequados pela Aval e enviado ao cliente.
10/04/2026 - Retorno pendencia no PCMSO, solicitado adequação para AVAL
13/04/2026 - Recebido da AVAL
14/04/2026 - Assinado e enviado ao cliente
17/04/2026 - Programas legais aprovados
21/04/2026 - Postado para analise
23/04/2026 - Retorno do cliente com pendencia no aso
27/04/2026 - Aso adequado recebido da avla, enviado ao cliente
28/04/2029 - Mobilização concluída</t>
  </si>
  <si>
    <t>HUDSON JUAN MACHADO VILELA</t>
  </si>
  <si>
    <t>09/03/2026 - Chamado aberto
09/03/2026 - Aso solicitado
10/03/2026 - Treinamento solicitado
12/03/2026 - Treinamento concluido
13/03/2026 - Exame agendado 16/03
16/03/2026 - Exame realizado
19/03/2026 - Aso liberado, Dossiê enviado ao cliente
20/03/2026 - Mobilização concluída</t>
  </si>
  <si>
    <t>alessandro.moreira@phdengenharia.eng.br</t>
  </si>
  <si>
    <t>09/03/2026 - Chamado aberto
09/03/2026 - Aso solicitado
16/03/2026 - Exame agendado 17/03
17/03/2026 - Exame realizado
19/03/2026 - Aso liberado,Documentos anexados para analise
26/03/2026 - Documentos aprovados, pendente integração.
30/03/2026 - Chegará no cliente no dia 30/03
30/03/2026 - Mobilização concluída</t>
  </si>
  <si>
    <t>FELIPE GABRIEL COSTANZI</t>
  </si>
  <si>
    <t>AURA MNERALS</t>
  </si>
  <si>
    <t>AURA-CT04</t>
  </si>
  <si>
    <t>10/03/2026 - Chamado aberto
10/03/2026 - Aso solicitado, treinamento enviado para realização
11/03/2026 - Criado um novo contrato pela Aura para mobilização
12/03/2026 - Treinamento concluído
12/03/2026 - Pré cadastro feito e enviado para triagem
13/03/2026 - Pré cadastro aprovado
16/03/2026 - Aso liberado e anexado
16/03/2026 - Informado que também seria necessário anexar os documentos da empresa, por causa da mudança do contrato
16/03/2026 - Anexado PGR,PCMSO, porém os programas que anteriormente tinha feito uma carta de exceção pelo o cliente, não seria aceito e analise só é feita após o envio de todos os documentos.
16/03/2026 - Prazo de 3 dias úteis para analise, após aprovação dos documentos da empresa que é de 3 dias também.
17/03/2026 - E-mail enviado pela PHD para Aura, solicitando a carta de exceção, já que foi aceito no contrato anterior afim de agilizarmos o processo de mobilização.
18/03/2026 - Reunião PHD com Aura, novo e-mail e foi definido que seria aprovado a carta, que será enviada pela Aura e postada para analise no portal de mobilização.
18/03/206 - Analise da empresa é de 3 dias úteis e o profissional também, porém só inicia a contar após aprovação da empresa, que ainda depende da carta que será enviada pela Aura. A integração é somente aprovação dos documentos.
19/03/2026 - Carta recebida pela Aura e postada
19/03/2026 - Pendencia no PCMSO, solicitado adequação para AVAL
20/03/2026 - Recebido da AVAL, enviado para assinatura
23/03/2026 - Assinado e postado para analise
23/03/2026 - PCMSO aprovado.
23/03/2026 - Pendencia no Aso, solicitado adequação para AVAL
24/03/2026 - Aso recebido da Aval e repostado para analise.
27/03/2026 - Documentos aprovados, não integração na ultima semana do mês, então a integração será dia 07/04 e 08/04. O Felipe está acessando com crachá de visitante.
08/04/2026 - Conclusão da integração
09/04/2026 - Crachá liberado</t>
  </si>
  <si>
    <t>Mina de Gongo Soco</t>
  </si>
  <si>
    <t>10/03/2026 - Chamado aberto
10/03/2026 - Aso solicitado, treinamento enviado para realização
12/03/2026 - Exame realizado
12/03/2026 - Conclusão dos treinamentos
13/03/2026 Pendente aso
13/03/2026 - Pendente contrato assinado, mobilização da empresa.
16/03/2026 - Aso liberado, Dossie enviado
16/03/2026 - Pendente contrato assinado e mobilização da empresa.
20/03/2026 - Contrato assinado
01/04/2026 - Mobilização empresa aprovada,
02/04/2026 -  Docs Fernanda postados para analise.
07/04/2026 - Mobilização aprovada</t>
  </si>
  <si>
    <t>12/03/2026 - Chamado aberto
12/03/2026 - Aso solicitado, treinamento enviado para realização
20/03/2026 - Aso liberado
23/03/2026 - Pendente treinamento
27/03/2026 - Treinamento concluído, dossie enviado ao cliente
30/03/2026 - Documentos postados pelo cliente.
31/03/2026 - Mobilização concluída</t>
  </si>
  <si>
    <t>13/03/2026 - Chamado aberto
13/03/2026 - Aso solicitado
17/03/2026 - Treinamento solicitado
23/03/2026 - Aso recebido
31/03/2026 - Mobilização cancelada, conforme solicitado por Tulio</t>
  </si>
  <si>
    <t>13/03/2026 - Chamado aberto
13/03/2026 - Aso solicitado, treinamento enviado para realização
15/03/2026 - Treinamento concluídos
20/03/2026 - Aso liberado
23/03/2026 - Documentos anexados para analise.
25/03/2026 - Documentos aprovados, pendente integração.
07/04/2026 - Mobilização concluída.</t>
  </si>
  <si>
    <t>RENATO RODRIGUES DA SILVA</t>
  </si>
  <si>
    <t xml:space="preserve">13/03/2026 - Chamado aberto
13/03/2026 - Treinamento enviado para realização
16/03/2026 - Treinamento concluído
17/03/2026 - Documentos enviado para analise
19/03/2026 - Pendencia no aso, riscos. Repostado para analise
20/03/2026 - Documentos aprovados, pendente integração.
20/03/2026 - Integração agendada para 24/03 a 26/03.
27/03/2026 - Integração postada para analise.
27/03/2026 - Mobilização concluída.
</t>
  </si>
  <si>
    <t>FERNANDO MUNIZ DE MENEZES</t>
  </si>
  <si>
    <t>CURRAIS NOVOS RN</t>
  </si>
  <si>
    <t>AURA-CT03</t>
  </si>
  <si>
    <t xml:space="preserve">16/03/2026 - Chamado aberto
16/03/2026 - Dados solicitado ao cliente para o processo de elaboração dos programas legais e mobilização inicial da empresa.
17/03/2026 - Treinamento enviado para realização
18/03/2026 - E-mail enviado novamente para o cliente cobrando os dados para elaboração dos programas legais .Ainda não sabemos como é o processo de mobilização no projeto, porém foi enviado os treinamentos para realização, profissional sem Notebook. Pendente Aso, pois o Aso é de acordo com o PCMSO que ainda não temos.
19/03/2026 - Carta de subcontratação e alguns documentos enviados ao cliente, porém conforme retorno do cliente a mobilização será postada pela PHD. O acesso o cliente irá criar e nos enviar.
19/03/2026 - Reunião agendada com o cliente 20/03 as 09h00 para tratar sobre a mobilização.
20/03/2026 - Pendente cadastro do PJ no sistema de mobilização.
23/03/2026 - Treinamento concluído
23/03/2026 - Subcontratação realizada, curriculo do Fernando cadastrado para analise.
25/03/2026 - Curriculo aprovado
30/06/2026 - Integração de 16h agendada nos dias 31/03 e 01/04
30/03/2026 - Ficha e OS assinada, documentos parcial enviado para aprovação
07/04/2026 - Seguro de vida liberado e postado para analise
09/04/2026  - Mobilização concluída
</t>
  </si>
  <si>
    <t>RENE ALEXANDRE MOTA SOUZA</t>
  </si>
  <si>
    <t>16/03/2026 - Chamado aberto
17/03/2026 - Treinamento enviado para realização
19/03/2026 - Treinamentos concluídos, documentos enviado para analise.
20/03/2026 - Integração agendada para 24/03 a 26/03.
24/03/2026 - Documentos aprovados, pendente integração.
27/03/2026 - Integração postada para analise.
27/03/2026 - Mobilização concluída.</t>
  </si>
  <si>
    <t>18/03/2026 - Chamado aberto
19/03/2026 - Treinamento solicitado, aso solicitado
26/03/2026 - Aso recebido, treinamento concluido
26/03/2026 - Documentos enviado para analise.
27/03/2026 - Documentos aprovados, pendente integração, agendada pro dia 31/03.
31/03/2026 - Integração realizada
01/04/2026 - Mobilização concluída</t>
  </si>
  <si>
    <t>GERD-CT23</t>
  </si>
  <si>
    <t xml:space="preserve">24/03/2026 - Chamado aberto para inicio da mobilização
24/03/2026 - A PHD Engenharia foi cadastrada no Banco doc, porém tem que ser feita pelo o cliente a subcontratação de  cada um.
25/03/2026 - Formulario preenchido para cadastro do PJ
25/03/2026 - Carta de subcontratação do PJ enviada para o cliente.
27/03/2026 -Exame agendado para 01/04
07/04/2026 - Subcontratação concluída
07/04/2026 - Pre cadastro realizado
08/04/2026 - Pre cadastro aprovado Gerdau, conclusão do cadastro e envio dos documentos para analise.
10/04/2026 - Documentos aprovados, pendente PIT. 
13/04/2026 - PIT agendado para 14/04 e 15/04
15/04/2026 - Mobilização concluída
</t>
  </si>
  <si>
    <t xml:space="preserve">24/03/2026 - Chamado aberto para inicio da mobilização
24/03/2026 - A PHD Engenharia foi cadastrada no Banco doc, porém tem que ser feita pelo o cliente a subcontratação de  cada um.
25/03/2026 - Carta de subcontratação do PJ enviada para o cliente.
26/03/2026 - Formulario preenchido para cadastro do PJ
09/04/2026 - Subcontratação concluída
09/04/2026 - Pre cadastro realizado
10/04/2026 - Pre cadastro aprovado Gerdau, conclusão do cadastro e envio dos documentos  para analise.
13/04/2026 - PIT agendado para 14/04 e 14/04
15/04/2026 - Mobilização concluída
</t>
  </si>
  <si>
    <t xml:space="preserve">24/03/2026 - Chamado aberto para inicio da mobilização
24/03/2026 - A PHD Engenharia foi cadastrada no Banco doc, porém tem que ser feita pelo o cliente a subcontratação de  cada um.
25/03/2026 - Formulario preenchido para cadastro do PJ
25/03/2026 - Carta de subcontratação do PJ enviada para o cliente.
08/04/2026 - Subcontratação concluída
08/04/2026 - Pre cadastro realizado
09/04/2026 - Pre cadastro aprovado Gerdau, conclusão do cadastro e envio dos documentos para analise.
13/04/2026 - Documento cancelado ASO O documento não apresenta os dados do médico responsável pelo PCMSO.
13/04/2026 - Adequaçãodo ASO solicitada para AVAL
14/04/2026 - Aso adequado recebido da AVAL, enviado para assinatura
16/04/2026 - Assinado por Eduardo e postado no Bancodoc
16/04/2026 - Identificado que o exame tava próximo ao vencimento, agendado para renovação para o dia 20/04
17/04/2026 - Aso aprovado
13/04/2026 - Pendente PIT
20/04/2026 - Não fez o exame
22/04/2026 - Exame reagendado pro dia 23/04
23/04/2026 - Exame realizado, liiberaado e postado
24/04/2026 - Novo aso aprovado
06/05/2026 -  Cancelado conforme alhinhado com Ronaldo, no Banco doc irá permanecer, pois ainda não tem previsão de realização do PIT.
</t>
  </si>
  <si>
    <t>GERD-CT21</t>
  </si>
  <si>
    <t>24/03/2026 - Chamado aberto para inicio da mobilização
25/03/2026 - Solicitado ao gestor Gerdau vinculação do contrato
25/03/2026 - recebido incrição estadual do Pietro. Formulario preenchido para cadastro do PJ
26/03/2026 - Transcrição de aso soliictada para AVAL
27/03/2026 - Clinica retornou o exame tava proximo ao vencimento  05/05
27/03/2026 -Exame agendado no portal da AVAL  para 01/04
01/04/2026 - A clinica Aval informa que não tem clinica credenciada na cidade  Tabagi
01/04/2026 - Soliictado para AVAL verificar nas cidades de telemeco Borba ou Castro
02/04/2026 - Retorno do cliente com a vinculação do contrato PHD no banco doc
08/04/2026 - Subcontratação concluída
08/04/2026 - Pre cadastro realizado
08/04/2026- Pendente exame
09/04/2026 - Pre cadastro aprovado Gerdau, conclusão do cadastro e envio dos documentos parcial para analise.
13/04/2026 - Aso liberado pela AVAL postado no portal
13/04/2026 - Pendente PIT
06/05/2026 -  Cancelado conforme alhinhado com Ronaldo, no Banco doc irá permanecer, pois ainda não tem previsão de realização do PIT.</t>
  </si>
  <si>
    <t>24/03/2026 - Chamado aberto para inicio da mobilização
25/03/2026 - Solictado ao gestor Gerdau vinculação do contrato
25/03/2026 - Formulario preenchido para cadastro do PJ
02/04/2026 - Retorno do cliente com a vinculação do contrato PHD no banco doc
09/04/2026 - Subcontratação concluída
09/04/2026 - Pre cadastro realizado
10/04/2026 - Pre cadastro aprovado Gerdau, conclusão do cadastro e envio dos documentos  para analise.
13/04/2026 - PIT agendado para 14/04 e 14/04
17/04/2026 - Mobilização concluída.</t>
  </si>
  <si>
    <t>São Gonçalo do Rio Abaixo/MG</t>
  </si>
  <si>
    <t>26/03/2026 - Chamado aberto
26/03/2026 - Treinamento solicitado, aso solicitado
31/03/2026 - Aso recebido, treinamentos concluidos
01/04/2026 - Documentos postados para analise
02/04/2026 - Mobilização cocnluída</t>
  </si>
  <si>
    <t xml:space="preserve">MATHEUS AUGUSTO BRAGA DE MORAIS </t>
  </si>
  <si>
    <t>APERAM</t>
  </si>
  <si>
    <t>Timoteo MG</t>
  </si>
  <si>
    <t>APER-CT01</t>
  </si>
  <si>
    <t xml:space="preserve">30/03/2026 - Chamado aberto
30/03/2026 - Pendente contrato assinado
01/04/2026 - Aso liberado
08/04/2026 - Pendente contrato assinado
15/04/2026 - Pendente contrato assinado
22/04/2026 - Pendente contrato assinado
29/04/2026 - Pendente contrato assinado
08/05/2026 - Contrato assinado
11/05/2026 - Pendente cliente sobre a mobilização
14/05/2026 - Pendente cliente sobre a mobilização
20/05/2026 - Pendente cliente sobre a mobilização
02/06/2026 - Cancelado momentaneamente por pendência de informações. Assim que forem disponibilizadas, o processo será retomado.
</t>
  </si>
  <si>
    <t>MARCIO WALDIR BORGES MUELLER JUNIOR</t>
  </si>
  <si>
    <t>30/03/2026 - Chamado aberto
30/03/2026 - Treinamento solicitado, aso solicitado
09/04/2026 - Cancelado conforme solicitado por Marcio.</t>
  </si>
  <si>
    <t>02/04/2026 - Chamado aberto
02/04/2026 -  PIT agendado, documentos postados para analise.
07/04/2026 - Mobilizaçaõ concluída</t>
  </si>
  <si>
    <t>06/04/2026 - Chamado aberto
06/04/2026 - Aso solicitado, treinamento enviado para realização
07/04/2026 - Treinamento concluído
10/04/2026 - Aso liberado, Dossie enviado
13/04/2026  -Mobilização cocnluída</t>
  </si>
  <si>
    <t>URBELANDIA MG</t>
  </si>
  <si>
    <t>ADMB-CT20</t>
  </si>
  <si>
    <t>06/04/2026 - Chamado aberto
06/04/2026 - Aso solicitado, treinamento enviado para realização
07/04/2026 - Aso liberado
07/04/2026 - Dossie enviado ao cliente
10/04/2026 - Integração realizada no cliente
13/04/2026 - Mobilização concluída</t>
  </si>
  <si>
    <t>06/04/2026 - Chamado aberto
06/04/2026 - Aso solicitado, treinamento enviado para realização
13/04/2026 - Mobilização cocnluída</t>
  </si>
  <si>
    <t>06/04/2026 - Chamado aberto
06/04/2026 - Aso solicitado, treinamento enviado para realização
10/04/2026 - Treinamento concluído
13/04/2026 - Aso liberado
14/04/2026 - Dossie enviado ao cliente
15/04/2026 - Postado pelo o cliente no SGC
15/04/2026 - Pendencia no RG, vencido de 2005, mobilizaçãoo cancelada no SGC
29/04/2026 - Etitulo enviado ao cliente
29/04/2026 - Postado pelo o cliente no SGC
01/05/2026 - Aprovado
05/05/2026 - Crachá liberado</t>
  </si>
  <si>
    <t>06/04/2026 - Chamado aberto
06/04/2026 - Aso solicitado, treinamento enviado para realização
13/04/2026 - Mobilização concluída</t>
  </si>
  <si>
    <t>06/04/2026 - Chamado aberto
06/04/2026 - Aso solicitado, treinamento enviado para realização
10/04/2026 - Postado para analise
13/04/2026 - Pendencia na NR06 e lista da PAE
16/04/2026 - Mobilização concluída</t>
  </si>
  <si>
    <t>SEIDI YAMAMOTO ALEIXO</t>
  </si>
  <si>
    <t>06/04/2026 - Chamado aberto
09/04/2026 - Postado documentos para analise
13/04/2026 - Pendente intregação, agendada para 14/04 a 16/04
17/04/2026 - MOBILIZAÇÃO CONCLUÍDA</t>
  </si>
  <si>
    <t>CCAP-CT17</t>
  </si>
  <si>
    <t>08/04/2026 - Informação da mobilização
08/04/2026 - Aso solicitado
08/04/2026 - Identificado que não tinha a função no portal de mobilização
08/04/2026 - Solicitado inclusão nos programas para AVAL
10/04/2026 - Programas legias recebidos e enviados com as inclusão de função
10/04/2026 - Aso recebido
13/04/2026 - Aguardando inclusão das funções no portal de mobilização
14/04/2026 - Função inclusa, dossie postado
16/04/2026 - Mobilização concluída</t>
  </si>
  <si>
    <t>08/04/2026 - Informação da mobilização
08/04/2026 - Aso solicitado
08/04/2026 - Identificado que não tinha a função no portal de mobilização
08/04/2026 - Solicitado inclusão nos programas para AVAL
10/04/2026 - Programas legias recebidos e enviados com as inclusão de função
10/04/2026 - Aso recebido
13/04/2026 - Aguardando inclusão das funções no portal de mobilização
14/04/2026 - Função inclusa, dossie postado
15/04/2026 - Pendencia na OS, pendencia no aso que foi feito após a admissão, comp de resid
17/04/2026 - Comp de resid recebido e postado para analise
21/04/2026-  Documentos aprovados
22/04/2026 - Integração realizada no cliente
23/04/2026 - Mobilização concluída.</t>
  </si>
  <si>
    <t>22/04/2026 - Chamado aberto para inicio da mobilização
22/04/2026 - Solicitado cadastro de posto para Aval, para transcrição do ASO
22/04/2026 - Formulário preenchido para cadastro do PJ, em analise GERDAU
22/04/2026 - Carta de subcontratação do PJ enviada para o cliente gestor Gerdau.
22/04/2026 - Posto criado, aso solicitado para AVAL
23/04/2026 - Cadastro empresa PJ aprovado, Contrato enviado pelo Bancodoc para o PJ assinar
24/04/2026 - Contrato assinado pelo Juridico  Gerdau
27/04/2026 - Subcontratação concluída pelo Gestor Gerdau
27/04/2026 - Pre cadastro do profisisonal realizado no Bancodoc
28/04/2026 - Pre cadastro aprovado, cadastro concluido , documentos anexados para analise, pendente PIT
29/04/2026 - Documentos aprovados, Agenda do PIT Liderança só abre na segunda as 13h00
04/05/2026 - PIT agendado para 05 e 06
07/05/2026 - Mobilização conculuída</t>
  </si>
  <si>
    <t>GILNEY JOSE BAGNOLI</t>
  </si>
  <si>
    <t>MARCIO JUNIOR</t>
  </si>
  <si>
    <t xml:space="preserve">22/04/2026 - Chamado aberto para inicio da mobilização
28/04/2026 - Integração de 28/04 a 30/04
04/05/2026 - Documentos de seguranção assinados
04/05/2026 - Postados para analise
05/05/2026 - Cancelado conforme solicitado por Marcio
</t>
  </si>
  <si>
    <t>23/04/2026 - Chamado aberto
23/04/2026 - Curriculo aguardando avaliação da Aura.
23/04/2026 - Solicitação de posto criado para aval, transcrição de aso solicitado
29/04/2026 - Aso recebido da AVAL
29/04/2026 - Curriculo não aprovado pala Aura, enviado para analise novamente
04/05/2026 - Curriculo não aprovado pala Aura
26/05/2026 - Cnacelado conforme solicitado por Diogo</t>
  </si>
  <si>
    <t>23/04/2026 - Informação da mobilização
23/04/2026 - Aso solicitado a Aval
23/04/2026 -  Pre cadastro feito no banco doc
24/04/2026 - Aso recebido
30/04/2026 - Pre cadastro aprovado no banco doc
30/04/2026 - Cadastro concluido, documentos anexados, PIT agendado para 04/05 
05/05/2026 - Mobilização concluída</t>
  </si>
  <si>
    <t xml:space="preserve">23/04/2026 - Informação da mobilização
23/04/2026 - Aso solicitado a Aval
23/04/2026 - Erro no banco doc, não foi possivel realizar o cadastro, chamado aberto
29/04/2026 - Treinamento concluido
15/05/2026 - Cancelado por enquanto conforme alhinhado com Paulo
</t>
  </si>
  <si>
    <t>GUATEMALLA</t>
  </si>
  <si>
    <t>AURA-CT02</t>
  </si>
  <si>
    <t>23/04/2026 - Chamado aberto
24/04/2026 - Mobilização na guatemala, e-mail enviado ao cliente
29/04/2026 - Aso recebido da AVAL, Dossie enviado
30/04/2026 - Integração agendada 05/05
06/05/2026 - Mobilização concluída</t>
  </si>
  <si>
    <t>LUIZ HENRIQUE FERNANDES BRANDAO</t>
  </si>
  <si>
    <t>ANA REGINA</t>
  </si>
  <si>
    <t>23/04/2026 - Chamado aberto
24/04/2026 - Mobilização na guatemala, e-mail enviado ao cliente
29/04/2026 - Treinamento concluido, Dossie enviado
30/04/2026 - Integração agendada 05/05
06/05/2026 - Mobilização concluída</t>
  </si>
  <si>
    <t>WANDERSON MATHEUS SILVA</t>
  </si>
  <si>
    <t>04/05/2026 - Informação da mobilização
04/05/2026 - Treinamento agendado
04/05/2026 - Formulário preenchido para cadastro a empresa do PJ
07/05/2026 - Subcontratação concluída
07/05/2026 - Cadastro feito no banco doc, documentos parcial enviado
07/05/2026 - Integração agendada na terça 12/05 cliente
11/05/2026 - Pendencia nos treinamentos e ficha de EPI, para mudar o nome da empresa e colocar do PJ
11/05/2026 - Solicitado a adequação para Aval
12/05/2026 - Integração realizada no cliente
12/05/2026 - Treinamento finalizado
12/05/2026 - Retorno da Aval que não seria possivel realizar a alteração
13/05/2026 - Recebido da aval e postado
14/05/2026 - Mobilização concluída</t>
  </si>
  <si>
    <t>GERD-CT25</t>
  </si>
  <si>
    <t>22/04/2026 - Chamado aberto para inicio da mobilização
22/04/2026 - Solicitação de subcontratação enviada para o gestor Gerdau. O profissional ainda não fez exame, não tem data de admissão.
28/04/2026 - Subcontratação Concluída da PHD
28/04/2026 - Aso liberado, Mobilização ativada no banco doc ( Já trabalhou na Gerdau como Sócio Cotista)
04/05/2026 - Admissão, documentos anexados
05/05/2026 - Pendente CTPS, ainda não está disponivel
06/05/2026 - CTPS recebida e postada
07/05/2026 - Mobilização concluída</t>
  </si>
  <si>
    <t>06/05/2026 - Informação daa mobilização
06/05/2026 -  Formulário preenchido para cadastro a empresa do PJ
07/05/2026 - Contrato recebido para assinatura do responsavel legal
11/05/2026 - Conclusão do cadastro da empresa, pré cadastro realizado
12/05/2026 - Pre cadastro aprovado, pendente subcontratação da empresa.
15/05/2026 - Cancelado por enquanto conforme alhinhado com Paulo</t>
  </si>
  <si>
    <t>Mina de  Agua Limpa</t>
  </si>
  <si>
    <t xml:space="preserve">19/05/2026 - Chamado de mobilização
19/05/2026 - Aso solicitado a clinica AVAL
20/05/2026 - Cliente informou que precisa de PRO de RAC08, Aval não faz esse treinamento
20/05/2026 - Aguardando agenda na GN da PRO
21/05/2026 - GN informou que PRO somente na semana do dia 25
26/05/2026 - Aso liberado, PRO liberado enviado ao cliente
29/05/2026 - Mobilização concluida
</t>
  </si>
  <si>
    <t>YITALON APARECIDO MIRANDA DE BRITO</t>
  </si>
  <si>
    <t>TULIO RAFAEL</t>
  </si>
  <si>
    <t>21/05/2026 - Chamado aberto de mobilização
21/05/2026 - Treinamento solicitado
26/05/2026 - Treinamento concluido, dossie enviado ao cliente
28/05/2026 - Postado no SGC pelo o cliente
03/06/2026 - Mobilização concluída</t>
  </si>
  <si>
    <t>21/05/2026 - Chamado aberto de mobilização
21/05/2026 - Pendente aditivo de contrato
27/05/2026 - Data do aditivo alterado no SGC, dossie postado MCL20260329967
28/05/2026 - Mobilização concluida</t>
  </si>
  <si>
    <t xml:space="preserve">22/05/2026 - Informação da mobilização
22/05/2026 - Aso solicitado para AVAL
26/05/2026 - Aso recebido, Dossie enviado
29/05/2026 -  Solicitado pelo cliente contrato de trabalho
29/05/2026 - Solicitado contrato de trabalho ao DP
08/06/2026 - Contrato Recebido e enviado, mobilização concluida
</t>
  </si>
  <si>
    <t>22/05/2026 - Informação da mobilização
22/05/2026 - Aso solicitado para AVAL
22/05/2026 - Treinamento enviado para realização
29/05/2026 - Retorno da clinica que o profssional terá que fazer exame
29/05/2026 - Conclusão dos treinamentos
29/05/2026 - Exame agendado pra 02/06
01/06/2026 - A AVAL não enviou a guia do exame
03/06/2026 - Exame realizado
09/06/2026 - Aso liberado, Dossiê enviado ao cliente
09/06/2026 - Postado no SGC, em analise
11/06/2026 - Chamado aberto de mobilização.
12/06/2026 - Mobilização concluída</t>
  </si>
  <si>
    <t>ANDRE LUIZ DE CAMPOS</t>
  </si>
  <si>
    <t>ACELEN</t>
  </si>
  <si>
    <t>MATARIPE</t>
  </si>
  <si>
    <t>CCAP-CT19</t>
  </si>
  <si>
    <t xml:space="preserve">01/06/2026 - Informação da mobilização
03/06/2026 - Treinamentos solicitado
11/06/2026 - Cadastro liberado da empresa pelo o cliente 
12/06/2026 - Postado declaração de cumprimento legal
12/06/2026 - Pendente os treinamentos e declaração de transporte 
19/06/2026 - declaração de trsnporte recfebida do DP, enviada ao cliente
19/06/2026 - Treinamento concluído
22/06/2026 - Enviado para assinatura, assinado pelo profissional
25/06/2026 - Certificado enviado ao cliente
01/07/2026 - Retorno de pendencia nos certificados de NR18 e NR06
02/07/2026 - Treinamentos adequados pela AVAL, Enviado para assinatura
07/07/2026 - Certificado recebido da AVAL assinatura digital
08/07/2026 - Certificado enviado ao cliente
13/07/2026 - Documentos aprovados
</t>
  </si>
  <si>
    <t>MICHEL CRUZ DOS SANTOS</t>
  </si>
  <si>
    <t>IVANO CRUZ</t>
  </si>
  <si>
    <t>CCAP-CT20</t>
  </si>
  <si>
    <t>01/06/2026 - Informação da mobilização
03/06/2026 - Treinamentos solicitado
08/06/2026 - Treinamento concluído, pendente liberação da AVAl certificados no nome da empresa do PJ
11/06/2026 - Cadastro liberado da empresa pelo o cliente 
12/06/2026 - Postado declaração de cumprimento legal
12/06/2026 - Certificado liberado pela AVAL, enviado para assinatura
12/06/2026 - Pendente os treinamentos e declaração de transporte 
15/06/2026 - Treinamento assinado
16/06/2026  - Enviado ao cliente
19/06/2026 - declaração de transporte recebida do DP, enviada ao cliente
24/06/2026 - Solicitado adequação na NR18
25/06/2026 - Adequado e enviado
01/07/2026 - Solicitado retorno da mobilização, o cliente informou que faltou postar o contrato social
03/07/2026 - Mobilização concluída</t>
  </si>
  <si>
    <t>MARCOS GREY SOARES CHAVES</t>
  </si>
  <si>
    <t>FOZ DO IGUACU</t>
  </si>
  <si>
    <t xml:space="preserve">01/06/2026 - Informação da mobilização
03/06/2026 - Treinamentos solicitado
09/06/2026 - Documentos enviado ao cliente
</t>
  </si>
  <si>
    <t>03/06/2026 - Informação da mobilização
03/06/2026 - Exame agendado para 09/06
03/06/2026 - Programas legais em atualização pela AVAL
08/06/2026 - Programas legais em atualização pela AVAL
10/06/2026 - Programas legais recebido da AVAL e enviado ao cliente
11/06/2026 - ASO liberado pela AVAL, Dossie enviado ao cliente
11/06/2026 - Chamado aberto de mobilização.
16/06/2026 - Programas aprovados, documentos postados do profissional
17/06/2026 - Cancelado conforme solicitado por Paulo</t>
  </si>
  <si>
    <t>ATLANTIC NICKEL</t>
  </si>
  <si>
    <t>ITABIGÁ-BA</t>
  </si>
  <si>
    <t>ATNI-CT01</t>
  </si>
  <si>
    <t>10/06/2026 - Cadastro feito no portal
11/06/2026 - Exame agendado para 12/6
12/06/2026 - Aso liberado, postado no portal
16/06/2026 - Ambietação agendada dia 23/06
25/06/2026 - Integração concluída
02/07/2026 - Evidencias recebida dos certificados para postar no portal. postadas
06/07/2026 - retorno do cliente para solicitar aprovação do gestor
06/07/2026 - Gestor aprovou
08/07/2026 - Documentos aprovados, Mobilização concluida</t>
  </si>
  <si>
    <t xml:space="preserve">10/06/2026 - Cadastro feito no portal
11/06/2026 - Exame agendado para 12/6
12/06/2026 - Aso liberado, postado no portal
16/06/2026 - Ambietação agendada dia 23/06
25/06/2026 - Integraçaõ concluída
02/07/2026 - Evidencias recebida dos certificados para postar no portal. postadas
06/07/2026 - retorno do cliente para solicitar aprovação do gestor
06/07/2026 - Gestor aprovou
08/07/2026 - Data corrigida da CNH
13/07/2026 -  CNH aprovada, mobilização concluída
</t>
  </si>
  <si>
    <t>RAMON MARTINS MEDEIROS</t>
  </si>
  <si>
    <t>11/06/2026 - Exame agendado para 12/6.
11/06/2026 - Carta de subcontratação enviada para ATN para assinatura do Gestor
16/06/2026 - Carta assinada, Cadastro feito da empresa
17/06/2026 - Cadastro do profissional feito
25/06/2026 - Integração concluída
02/07/2026 - Evidencias recebida dos certificados para postar no portal. postadas
06/07/2026 - retorno do cliente para solicitar aprovação do gestor
06/07/2026 - Gestor aprovou
08/07/2026 - Documentos aprovados, Mobilização concluida</t>
  </si>
  <si>
    <t>11/06/2026 - Exame agendado para 12/6.
11/06/2026 - Cadastro feito no portal
17/06/2026 - Aso liberado e postado
17/06/2026 - Ambientação agendada dia 23/06
29/06/2026 - Profissional chegou no cleinte
03/07/2026 - Integração concluída
09/07/2026 - Evidencias recebidas e postadas
10/07/2026 - Pendente conclusão de treinamento
15/07/2026 - Treinamento PSG039 concluido, pendente checklist
16/07/2026 - Mobilização concluida</t>
  </si>
  <si>
    <t>11/06/2026 - Exame agendado para 12/6.
11/06/2026 - Cadastro feito no portal
12/06/2026 - Aso liberado, postado no portal
16/06/2026 - Ambietação agendada dia 23/06
01/07/2026 - Cancelado conforme informado por Fabio</t>
  </si>
  <si>
    <t xml:space="preserve">11/06/2026 - Exame agendado para 15/6.
11/06/2026 - Cadastro feito no portal
11/06/2026 - Exame agendado no dia 17/06
17/06/2026 - Aso liberado e postado
17/06/2026 - Ambientação agendada dia 23/06
26/06/2026 - Integração não realizada, conforme solicitado pelo cliente
08/07/2026 - Integração reagendada para 14, 15 e 16/07 
17/07/2026 - Evidencia recebida da integração para anexo no portal
21/07/2026 - Aprovação do gestor, mobilização concluída
</t>
  </si>
  <si>
    <t>ANGELA MARIA LOPES CAMPOS</t>
  </si>
  <si>
    <t xml:space="preserve">17/06/2026 - Chamado aberto
25/06/2026 - Aso solicitado a AVAL
29/06/2026 - Aso recebido
30/06/2026 - Dossie enviado
30/06/2026 - Retorno com pendencia no aso
01/07/2026 - ASO retificado pela AVAL, postado pelo cliente
02/07/2026 - Mobilização concluida
</t>
  </si>
  <si>
    <t>RAIMUNDO DIAS DA SILVA FILHO</t>
  </si>
  <si>
    <t>24/06/2026 - Informação da mobilização
24/06/2026 - Carta de subcontratação enviada
25/06/2026 - Retorno do cliente, carta enviada para o gestor assinar ATN
26/06/2026 - Carta assinada, sub realizada pelo cliente
30/06/2026 - Documentos postados
01/07/2026 - Retorno do cliente, pendente planilha
01/07/2026 - Planilha enviada
03/07/2026 - Integração agendada para 06/07 a 08/07
14/07/2026 - Evidencias recebidas do cliente para postagem
16/07/2026 - Mobilização concluído</t>
  </si>
  <si>
    <t>CARLOS HENRIQUE PIMENTA DE VASCONCELOS</t>
  </si>
  <si>
    <t>25/06/2026 - Chamado aberto
01/07/2026 - Pendente seguro de vida
06/07/2026 - Pendente seguro de vida
09/07/2029 - Seguro liberado e postado
11/07/2026 - Integração agendada para 14/07 e 15/07
16/07/2026 - Mobilização concluida</t>
  </si>
  <si>
    <t>02/07/2026 - Chamado aberto
02/07/2026 - Aso solicitado para AVAL
03/07/2026 - Pre cadastro feito, em triagem no cliente.
03/07/2026 - Solicitado agendamento do exame no portal da AVAL
06/07/2026 - Exame agendado para 08/07
07/07/2026 - Pre cadastro aprovado, documentos parcial postados
09/07/2026 - Pendencia no cartão de vacina
20/07/2026 - Cartão de vacina recebido, pendente uma vacina e anexado
22/07/2026 - Cartão de vacina recebido e postado
29/07/2026 - Mobilização concluida</t>
  </si>
  <si>
    <t>07/07/2026 - Chamado aberto
07/07/2026 -  Aso solicitado
07/07/2026 - Solicitado adequação nos certificados
08/07/2026 - Aso liberado
09/07/2026 - Certificados recebidos da AVAL, dossie enviado
10/07/2026 - Postado pelo o cliente
15/07/2026 - Retorno do cliente, pendencia na ficha de EPI
18/07/2026 - MObilização concluida</t>
  </si>
  <si>
    <t>08/07/2026 - Chamado abeto
09/07/2026 - Mobilização concluída</t>
  </si>
  <si>
    <t>VALE-CT05</t>
  </si>
  <si>
    <t>13/07/2026 - Exame agendado para 15/07
15/07/2026 - Exame realizado
17/07/2026 - Exame liberado, pendente subcontratação da PHD
20/07/2026 - Postagem dos documentos
21/07/2026 - Mobilizaçaõ concluida
08/09/2026 - MEV20260009088 VEICULO</t>
  </si>
  <si>
    <t>14/07/2026 - Chamado aberto
14/07/2026 - Aso solicitado a clinica AVAL
14/07/2026 - Treinamento enviado para o profissional realizar
15/07/2026 - Documentos enviado ao cliente
28/07/2026 - Mobilização concluída</t>
  </si>
  <si>
    <t>20/07/2026 - Chamado aberto de mobilização
20/07/2026 - Dossie enviado ao cliente
27/07/2026 - Integração agendada para 28 e 29/07
29/07/2026 - Mobilização concluída</t>
  </si>
  <si>
    <t>28/07/2026 - informação da mobilização
28/07/2026 - Aso agendado para 05/08
05/08/2026 - Exame realizado
07/08/2026 -  Aso liberado
07/08/2026 - Postado, Solicitação de Colaboradores (ID MCL20261576519
10/08/2026 - Mobilizaçaõ concluída</t>
  </si>
  <si>
    <t>VALE BASE METALS</t>
  </si>
  <si>
    <t>28/07/2026 - Informação da mobilização
28/07/2026 - treinamento enviado para realização
28/07/2026 - Aso agendado para 04/08
04/08/2026 - Treinamento concluído
07/08/2026 - Aso liberado
07/08/2026 - Enviado ao cliente dossie
10/08/2026 - Data altearada do contrato no SGC
12/08/2026 - Pendencia no PGR, alterar CNPJ na ART
13/08/2026 - Programas legais aprovaados
13/08/2026 - Postados Solicitação de Colaboradores (ID MCL20261589784
17/08/2026 - Mobilização concluída</t>
  </si>
  <si>
    <t>28/07/2026 - Informação da mobilização
28/07/2026 - treinamento enviado para realização
28/07/2026 - Aso agendado para 30/07
04/08/2026 - Treinamento concluída, aso liberado
04/08/2026 - Solicitação de Colaboradores (ID MCL20261568286
05/08/2026 - Mobilização concluída</t>
  </si>
  <si>
    <t>28/07/2026 - Informação da mobilização
28/07/2026 - Aso agendado para 30/07 MCL20261550590</t>
  </si>
  <si>
    <t>29/07/2026 - Informação da mobilização
29/07/2026 - Exame agendado para 31/07
31/07/2026 - Exame realizado
04/08/2026 - Aso liberado
04/08/2026 - Solicitação de Colaboradores (ID MCL20261567916
05/08/2026 - Mobilização concluída</t>
  </si>
  <si>
    <t xml:space="preserve">31/07/2026 - Informação da mobilização
31/07/2026 - Aso agendado para 10/08
05/08/2026 - Treinamento concluído
06/08/2026 - Solicitado programas da Assessoria
10/08/2026 - Porgramas recebido e postado
11/08/2026 - Exame realizado
11/08/2026 - pendencia pra excluir o antigo
12/08/2026 - Aso liberado
12/08/2026 - programas repostados
13/08/2026 - Pendencia solicitado para retirar a LOGO
14/08/2026 - Programas adequados repostados
14/08/2026 - Programas aprovados, Docs postados ID MCL20261593198
15/08/2026 - Mobilização concluída
</t>
  </si>
  <si>
    <t>04/08/2026 - Informação da mobilização
04/08/2026 - Treinamento enviado para realização
04/08/2026 - Aso agendado para 06/08
10/08/2026 - Treinamento concluído
10/08/2026 - Aso liberado pela AVAL
10/08/2026 - Data do contrato foi alterada no SGC, programas legais postados
12/08/2026 - Pendencia no PGR solicitado alterar  o CNPJ da ART
13/08/2026 - PGR adequado, repostado e aprovado
13/08/2026 - Postado MCL20261589156
17/08/2026 - Mobilização concluída</t>
  </si>
  <si>
    <t>04/08/2026 - Informação da mobilização
04/08/2026 - Treinamento enviado para realização
04/08/2026 - Aso agendado para 06/08
10/08/2026 - Aso liberado pela AVAL
10/08/2026 - Data do contrato foi alterada no SGC, programas legais postados
11/08/2026 - Treinamento concluído
12/08/2026 - Pendencia no PGR solicitado alterar  o CNPJ da ART
13/08/2026 - PGR adequado, repostado e aprovado
13/08/2026 - Postado MCL20261589156
17/08/2026 - Mobilização concluída</t>
  </si>
  <si>
    <t>05/08/2026 - Informação da mobilização
06/08/2026 - Dossie enviado ao cliente
11/08/2026 - Realizando integração no cliente
12/08/2026 - Mobilização concluída</t>
  </si>
  <si>
    <t>10/08/2026 - Chamado aberto
10/08/2026 - Aso solicitado a clinica
10/08/2026 - Envio para realização da NR06
11/08/2026 - treinamento concluído
12/08/2026 - Aso liberado pela aval, dossiê do profissional  eniado ao cliente
13/08/2026 - Recebido acesso ao portal para postarmos os documentos de mobilização.
13/08/2026 - Postados para analise.
27/07/2026 - Crachá liberado</t>
  </si>
  <si>
    <t>Em andamento</t>
  </si>
  <si>
    <t>11/08/2026 - Chamado aberto
11/08/2026 - Solicitado criação do posto para AVAL
11/08/2026 - Carta de subcontratação enviada
12/08/2026 - Exame agendado para dia 14/08
13/08/2026 - Gestor assinou Carta de subcontratação
17/08/2026 - Aso liberado e postado
21/08/2026 - Integração agendada no cliente para dia 24, 25 e 26/08/2026</t>
  </si>
  <si>
    <t>11/08/2026 - Chamado aberto
12/08/2026 - Exame agendado para 17/08
12/08/2026 - Pre cadastro realizado no sistema PMDRIVER
12/08/2026 - Enviado treinamento para realização.
13/08/2026 - Cadastro feito na PM DRIVE
17/08/2026 - Exame realizado, aso liberado
17/08/2026 - Conclusão dos treinamentos NR06 E NR18
21/08/2026 - Integração agendada no cliente para dia 24, 25 e 26/08/2026</t>
  </si>
  <si>
    <t>ASCENTY</t>
  </si>
  <si>
    <t>Sumaré-SP</t>
  </si>
  <si>
    <t>ASCE-CT02</t>
  </si>
  <si>
    <t>11/08/2026 - Chamado aberto
11/08/2026 - Exame agendado no portal pendente retorno da AVAL
13/08/2026 - Retorno da clinica do agendamento para dia 14/08
19/08/2026 - Aso liberado
19/08/2026 - Dossie enviado
20/09/2026 - Mobilizaçao concluída</t>
  </si>
  <si>
    <t>MAURO VIEIRA FILHO</t>
  </si>
  <si>
    <t>11/08/2026 - Chamado aberto
13/08/2026 - Enviado treinamento para realização 
13/08/2026 - Solicitado parametrização para agendar exame.
14/08/2026 - Exame realizado
18/08/2026 - Aso liberado
19/08/2026 - Dossie enviado
20/09/2026 - Mobilizaçao concluída</t>
  </si>
  <si>
    <t>11/08/2026 - Chamado aberto
12/08/2026 - Enviado treinamento para realização 
12/08/2026 - Solicitado parametrização para agendar exame.
19/08/2026 - Aso liberado
19/08/2026 - Dossie enviado
20/09/2026 - Mobilizaçao concluída</t>
  </si>
  <si>
    <t>CIVM-CT02</t>
  </si>
  <si>
    <t>13/08/2026 - Chamado aberto, documentos enviado
14/08/2026 - Pendente mobilizaçaõ da empresa
21/08/2026 - Mobilização empresa concluída
20/08/2026 - Subcontratação aprovada
21/08/2026 - Documentos postados
24/08/2026 - Mobilizaçaõ concluída</t>
  </si>
  <si>
    <t>ivano.cruz@phdengenharia.eng.br</t>
  </si>
  <si>
    <t xml:space="preserve">18/08/2026 - Chamado aberto
18/08/2026 - Aso solicitado para AVAL
18/08/2026 - Pre cadastro feito
21/08/2026 - Aso liberado pela Aval
21/08/2026 - Postado para analise
27/08/2026 - Mobilizaçaõ concluída
</t>
  </si>
  <si>
    <t>WELLINGTON DA SILVA DUTRA</t>
  </si>
  <si>
    <t xml:space="preserve">19/08/2026 - Chamado de mobilização
19/08/2026 -  Carta de subcontratação enviada
19/08/2026 - Subcontratação concluída, documentos postados
19/08/2026 - Pendente integração no cliente
20/08/2026 - Conforme informado por Tulio não será posssivel o profissional realizar o introdutorio nos dias 24 a 26/08
28/08/2026 - Introdutório agendado nos dias 01, 02 e 03/09/2026 </t>
  </si>
  <si>
    <t>26/08/2026 -Informação da mobilização
26/08/2026 -  Carta de subcontratação enviada ao cliente
26/08/2026 - Subcontratação concluída
26/08/2026 - Aso agendado para 31/08
28/08/2026 - Documentos parcial postados
31/08/2026 - Exame realizado.
03/09/2026 - Aso recebido da AVAL
04/09/2026 - Postado no portal</t>
  </si>
  <si>
    <t>TEREME</t>
  </si>
  <si>
    <t>TERE-CT02</t>
  </si>
  <si>
    <t>27/08/2026 - Informação da mobilização
27/08/2026 - Aso solicitado
28/08/2026 - Aso recebido
28/08/2026 - Dossie enviado ao cliente</t>
  </si>
  <si>
    <t>27/08/2026 - Treinamento enviado para realização
27/08/2026 - Exame agendado para 02/09
02/09/2026 - Exame realizado
04/09/2026 - Aso liberado</t>
  </si>
  <si>
    <t>03/09/2026 - Treinamento enviado para realização
03/09/2026 - Exame agendado para 08/09
04/09/2026 - Treinamento concluido</t>
  </si>
  <si>
    <t xml:space="preserve">04/09/2026 - Chamado de mobilização
04/09/2026 - Aguardando subcontratação da vale
08/09/2026 - Subcontratação realizada pela VALE
08/09/2026 - Declaração de cumprimento legal postada ( Solicitação de Mobilização de Contrato (ID MCT20260023978)
</t>
  </si>
  <si>
    <t>MOBILIZAÇÃO DE EMPRESAS</t>
  </si>
  <si>
    <t>E-MAIL NOVO CONTRATO</t>
  </si>
  <si>
    <t>CONTATO COM O CLIENTE (DOC.)</t>
  </si>
  <si>
    <t>3 - ENVIO ANEXO 06</t>
  </si>
  <si>
    <t>ANEXO VI</t>
  </si>
  <si>
    <t>4 - SOLICITAÇÃO PROGRAMAS LEGAIS PARA A CLÍNICA</t>
  </si>
  <si>
    <t>5 - ENVIO DOS PROGRAMAS LEGAIS PARA O CLIENTE</t>
  </si>
  <si>
    <t>6 - POSTAGEM PELO CLIENTE</t>
  </si>
  <si>
    <t>7 - APROVAÇÃO</t>
  </si>
  <si>
    <t>STATUS</t>
  </si>
  <si>
    <t>CLIENTE</t>
  </si>
  <si>
    <t>Abertura Forms</t>
  </si>
  <si>
    <t>Solic. Doc Cliente</t>
  </si>
  <si>
    <t>Envio Anexo 06</t>
  </si>
  <si>
    <t>Solic. Prog. Legal</t>
  </si>
  <si>
    <t>Envio Prog. Legal</t>
  </si>
  <si>
    <t>EMPRESA PHD MOBILIZADA</t>
  </si>
  <si>
    <t>CLIENTE FINAL</t>
  </si>
  <si>
    <t>Nº DO CONTRATO 
CLIENTE X CLIENTE FINAL</t>
  </si>
  <si>
    <t>DATA PREV - CONTR</t>
  </si>
  <si>
    <t>DATA REAL - CONTR</t>
  </si>
  <si>
    <t>DIAS ATRASO - CONTR</t>
  </si>
  <si>
    <t>DATA PREV - EMAIL</t>
  </si>
  <si>
    <t>DATA REAL -EMAIL</t>
  </si>
  <si>
    <t>DIAS ATRASO - EMAIL</t>
  </si>
  <si>
    <t>DATA PREV - DOC CLIENTE</t>
  </si>
  <si>
    <t>DATA REAL - DOC CLIENTE</t>
  </si>
  <si>
    <t>DIAS ATRASO - DOC CLIENTE</t>
  </si>
  <si>
    <t>DATA PREV - ANEXO 06</t>
  </si>
  <si>
    <t>DATA REAL - ANEXO 06</t>
  </si>
  <si>
    <t>DIAS ATRASO - ANEXO 06</t>
  </si>
  <si>
    <t>DATA PREV - SOLIC. PROG LEGAIS</t>
  </si>
  <si>
    <t>DATA REAL - SOLIC. PROG LEGAIS</t>
  </si>
  <si>
    <t>DIAS ATRASO  - SOLIC. PROG LEGAIS</t>
  </si>
  <si>
    <t>DATA PREV - ENVIO</t>
  </si>
  <si>
    <t>DATA REAL - ENVIO</t>
  </si>
  <si>
    <t>DIAS ATRASO - ENVIO</t>
  </si>
  <si>
    <t>DATA PREV - APROVAÇÃO</t>
  </si>
  <si>
    <t>DATA REAL - APROVAÇÃO</t>
  </si>
  <si>
    <t>DIAS ATRASO - APROVAÇÃO</t>
  </si>
  <si>
    <t xml:space="preserve">TERRABEL </t>
  </si>
  <si>
    <t>Programas Postados em 13/10/2022, em avaliação. Consulta em 24.10, programas em avalição. Apresentado pendência na ART em 26.10.2022, solicitado correção.</t>
  </si>
  <si>
    <t>COEDRA - MUTUCA</t>
  </si>
  <si>
    <t>Aguardando aprovação VALE do Anexo 6, previsto para 24/10/2022. Anexo 06 não liberado até 26.10.2022</t>
  </si>
  <si>
    <t>COEDRA - VARGEM GRANDE quartizito</t>
  </si>
  <si>
    <t>CARDAN - OURO BRANCO</t>
  </si>
  <si>
    <t xml:space="preserve">Programas postados em 19/10/2022 no portal bancodoc, em avaliação. </t>
  </si>
  <si>
    <t>BRG-CORREGO FEIJÃO</t>
  </si>
  <si>
    <t>Programas enviados em 13/10/2022. Pendenciados em 20/10/2022, corrigidos e reenviados em 21/10/2022. Pedenciados em 21/10, corrigidos e reenviados em 24.10.2022. Pendenciados em 24.10.2022, corrigidos e enviado em 25.10.2022. Programas aguardando liberação do Anexo 6, previsão de postagem 07.11.2022. Documentos aguardando liberação da subcontratação para serem postados.</t>
  </si>
  <si>
    <t xml:space="preserve">VALE VERDE </t>
  </si>
  <si>
    <t>Programas legais enviados em 19/10/2022, aguardando aprovação due diligence VALE. Porgramas postados em 26.10.2022, em avaliação.Programas aprovados em 31/10/2022.</t>
  </si>
  <si>
    <t xml:space="preserve">PONTAL </t>
  </si>
  <si>
    <t>Solicitado ao Comercial minuta contratual Pontal x PHD Engenharia. Solicitado nesta data, 24.10., os programas legais PHD Engenharia. Programas legais enviados em 26.10.2022.Aguardando aprovação do Anexo 6 para postagem dos programas, 04.11.2022.</t>
  </si>
  <si>
    <t>BRG PONTE DE ARAME</t>
  </si>
  <si>
    <t>GERAES CONSTRUTORA</t>
  </si>
  <si>
    <t>DEGRAUS - MINA DO PICO</t>
  </si>
  <si>
    <t>Solictado em 20/10/2022 as infomrações do contrato para elaboração dos programas legais, a Degraus aguardando assinatura da OS para disponibilizar as infomrações e darmos início na mobilização. Postagem dos programas em 13.01.2023.</t>
  </si>
  <si>
    <t>GRUPO CMP - MINA CAPANEMA</t>
  </si>
  <si>
    <t>Solicitado documentação para elaboração dos programas legais, 30/11/2022.</t>
  </si>
  <si>
    <t xml:space="preserve">IMC SASTE </t>
  </si>
  <si>
    <t>MINA DO PICO</t>
  </si>
  <si>
    <t>IMCS-CT01</t>
  </si>
  <si>
    <t>Solicitado documentação para elaboração dos programas legais, 30/11/2022. Anexo 06 pré aprovado, será enviado a VALE em 13.01.2023. Aguardando aprovação Anexo 6, 19.01.2023. Rita posicional em 08/05/2023 que a documentação do anexo 6 foi aprovado em 05/05/2023. Feito contato com a Rita hoje 16/05/2023 que me posicionou que cobrou a responsável da Vale sobre a liberação da PHD, pq retificaram o anexo 06 conforme os documentos e a Vale não atualizou o documento. Programas legais e Anexo 6 foi barrado pela Vale, foi solicitadas as alterações nos programas legais para envio a Rita prosseguir como envio novamente para aprovação (18/05/2023). Enviado programas legais ajustado como solicitado em 19/05/2023. Com os novos programas enviados na semana passada, foi repostado novamente e esta em aprovação ainda, segundo conversado com Rita hoje 22/05/2023. Aprovado mobilização em 24/05/2023.</t>
  </si>
  <si>
    <t>Solicitado documentação para elaboração dos programas legais, 30/11/2022. Aprovado em 18/01/2023.</t>
  </si>
  <si>
    <t>VALE VERDE - MINA BRUCUTÚ</t>
  </si>
  <si>
    <t>Solicitado documentação para elaboração dos programas legais, 30/11/2022. Aguardando aprovação de subcontratação, contrato enviado em 11.01.2023 para início do processo subcontratação.</t>
  </si>
  <si>
    <t>Letícia</t>
  </si>
  <si>
    <t>SIGDO KOOPERS - MINA CAPANEMA</t>
  </si>
  <si>
    <t>Solicitado documentação para elaboração dos programas legais, 30/11/2022, contudo, documentos somente serão enviados após assinatura do contrato. Informações recebidas em 20.01.2023. Anexo 6, bem como programas legais enviados em 24.01.2023. Feito contato com o responsável Ivalte em 08/05/2023 referente ao status da mobilização da PHD, o mesmo retorno que está aguardando a assinatura do gestor da Vale que está pendente. Ivalte informou hoje que os programas ainda está em aprovação pela fiscalização (30/06/2023). (11/07/2023 - No momento a PHD não está mobilizada, pois o cliente não deu segmento na postagem da documentação, precisaremos elaborar um novo PCMSO/PGR baseado em um novo contrato ou aditivo que o comercial irá nos repassar, aguardando retorno do Daniel). (25/08/2023 - Aguardando e-mail do Ronaldo Machado para dar sequência na mobilização).</t>
  </si>
  <si>
    <t>ALFA - ALUMAR (São Luís)</t>
  </si>
  <si>
    <t>ALFA - GERDAU (MIguel Burnier)</t>
  </si>
  <si>
    <t>COMPLEXO PARAOPEBA</t>
  </si>
  <si>
    <t>IMCS-CT02</t>
  </si>
  <si>
    <t>Conforme conversado hoje 08/05/2023 por telefone com a Adriana,informou que a documentação foi enviada para aprovação e está aguardando retorno, ainda sem posicionamento. Conversei com a Adriana hoje 16/05/2023 que me informou que cobrou da Vale hoje o retorno da postagem, ainda em processo de aprovação. Em contato com a Adriana hoje 22/05/2023, me informou que ainda está aguardando o Anexo 06 ser assinado e aprovado.</t>
  </si>
  <si>
    <t xml:space="preserve">TRÊS CORAÇÕES </t>
  </si>
  <si>
    <t xml:space="preserve">CONSTRUCAP </t>
  </si>
  <si>
    <t>MINA CAPANEMA</t>
  </si>
  <si>
    <t>QUEBEC ENERGIA</t>
  </si>
  <si>
    <t>COEDRA VGR (Canteiro/Descaract)</t>
  </si>
  <si>
    <t>A COEDRA está aguardando reunião de OS com a VALE para repassar as informações do contrato, pois, ainda não estão disponíveis, 22/03/2023. Conversei com a Graciele por telefone em 08/05/2023, onde me pontuou que está aguardando o retorno do envio da documentação que foi para aprovação, o prazo para retorno é de 48 horas, esse prazo irá se encerrar e irá cobrar um retorno para dar prosseguimento no processo. Mobilizado em 11/05/2023.</t>
  </si>
  <si>
    <t>COEDRA VGR Eng (Canteiro/Descaract)</t>
  </si>
  <si>
    <t>A COEDRA está aguardando reunião de OS com a VALE para repassar as informações do contrato, pois, ainda não estão disponíveis, 22/03/2023. Conversei com a Larissa hoje que me posicionou que está postando a subcontratação hoje (22/05/2023). Aguardando disponibilização do comercial do aditivo solicitado para envio a Coedra.</t>
  </si>
  <si>
    <t>CEMINAS ASSESSORIA</t>
  </si>
  <si>
    <t>Feito contato com a Andreza hoje 08/05/2023 para saber referente ao andamento da mobilização, Conforme nosso contato favor incluir no contrato Vale/Ceminas o número do contrato 5900101989, e considerar a vigência do contrato na página 7 até 13/09/2024. Em contato com a Andreza hoje 16/05/2023 a mesma disse que está em processo de aprovação do PGR e PCMSO Ceminas, e após a aprovação dos nossos programas vão iniciar a mobilização da PHD. Em contato com a Andreza hoje 22/05/2023, a mesma me informou que os programas legais da CEMINAS está em processo de aprovação ainda, para que seja postado os nosso programas para aprovação. Em conversa com a Andreza hoje por telefone a mesma me informou que a mobilização está parada pois o contrato não foi retornado para eles assinado (15/06/2023). (07/07/2023 - Os programas retornaram, foram reajustados e já enviados a Ceminas novamente). (11/07/2023 - Conforme contato com a Andreza, os programas legais foram postados em 10/07/2023).(14/07/2023 - Readequação no PGR solicitado pela Andreza, os documentos foram enviados novamente para analise). (19/07/2023 - Falta a aprovação do PCMSO para inclusão dos colaboradores no SGC). (24/07/2023 - No aguardo da análise do PCMSO). (31/07/2023 - Readequação do PCMSO realizada de acordo com solicitação da Andreza e já enviado para a mesma nesta data).</t>
  </si>
  <si>
    <t>CEMINAS ENGENHARIA</t>
  </si>
  <si>
    <t>Feito contato com a Andreza hoje 08/05/2023 para saber referente ao andamento da mobilização, Conforme nosso contato favor incluir no contrato Vale/Ceminas o número do contrato 5900101989, e considerar a vigência do contrato na página 7 até 13/09/2024. Em contato com a Andreza hoje 16/05/2023 a mesma disse que está em processo de aprovação do PGR e PCMSO Ceminas, e após a aprovação dos nossos programas vão iniciar a mobilização da PHD. Em contato com a Andreza hoje 22/05/2023, a mesma me informou que os programas legais da CEMINAS está em processo de aprovação ainda, para que seja postado os nosso programas para aprovação. Em conversa com a Andreza hoje por telefone a mesma me informou que a mobilização está parada pois o contrato não foi retornado para eles assinado (15/06/2023). (07/07/2023 - Os programas retornaram, foram reajustados e já enviados a Ceminas novamente). (11/07/2023 - Conforme contato com a Andreza, os programas legais foram postados em 10/07/2023). (14/07/2023 - Readequação no PGR solicitado pela Andreza, os documentos foram enviados novamente para analise).(19/07/2023 - Falta a aprovação do PCMSO para inclusão dos colaboradores no SGC).(24/07/2023 - No aguardo da análise do PCMSO). (02/08/2023 - Solicitei a Andreza uma posição referente a mobilização da PHD Engenharia, sem retorno até o momento). ( (08/08/2023 - Solicitei a Andreza uma posição referente a mobilização da PHD Engenharia, sem retorno até o momento). ( (25/08/2023 - Solicitei a Andreza uma posição referente a mobilização da PHD Engenharia, sem retorno até o momento).  (28/08/2023 - Solicitei a Andreza uma posição referente a mobilização da PHD Engenharia, sem retorno até o momento). (31/08/2023 - Solicitei a Andreza uma posição referente a mobilização da PHD Engenharia, sem retorno até o momento. Solicitei apoio para o Pedro Morais).  (01/09/2023 - Aguardando retorno do Pedro Morais referente a reunião com a Ceminas).</t>
  </si>
  <si>
    <t xml:space="preserve">TERRABEL CIANITA </t>
  </si>
  <si>
    <t>Conversei com a Keli por telefone hoje 08/05/2023, que me pontuou que conversou com a Bia, a documentação foi enviada mas ainda não teve um retorno referente a aprovação, perguntei sobre alguma pendência de documentação mas a mesma me infomrou que não há, só aguardar referente ao envio da documentação para dar prosseguimento. Liberação e Aprovação da Mobilização, colaborador já irá pegar os crachás.</t>
  </si>
  <si>
    <t>NÓBREGA E PIMENTA</t>
  </si>
  <si>
    <t>Estão aguardando OS para iniciar mobilização, repassado pelo João Mota em 23/05/2023. (13/07/2023 - Conforme contato com o João Lúcio, os documentos foram postados na data de hoje).</t>
  </si>
  <si>
    <t>ECJ - MINA DE FÁBRICA</t>
  </si>
  <si>
    <t>CCAP-CT09</t>
  </si>
  <si>
    <t>CARAJÁS</t>
  </si>
  <si>
    <t>MARABÁ</t>
  </si>
  <si>
    <t>SALU-CT02</t>
  </si>
  <si>
    <t xml:space="preserve">SALUM </t>
  </si>
  <si>
    <t>TERRABEL</t>
  </si>
  <si>
    <t>10/07/2023 - Aguardando a aprovação da subcontratação (PHD), os documentos solicitados foram retificados sexta feira 07/07/2023, com as correções solicitadas pela Vale.</t>
  </si>
  <si>
    <t>VALE VERDE - GONGO SOCO</t>
  </si>
  <si>
    <t>11/07/2023 - Conforme contato com a Flávia os documentos estão em analise, aguardando aprovação. (13/07/2023 - Enviamos para a Flávia a declaração de FGTS atualizada, conforme solicitado pela mesma). (19/07/2023 - Conforme e-mail do Ricardo Mafra, o mesmo está em contato com o comercial da PHD Engenharia, aguardando o envio da Proposta Comercial para elaboração do contrato).(25/07/2023 - Aguardando assinatura do contrato pela Vale Verde). (27/07/2023 - Contrato assinado). (01/08/2023 - A Natália informou que o contrato da PHD foi recebido em 01/08, o processo de subcontratação foi iniciado nesta data e se encontra em aprovação. Somente após os programas legais estarem postados e aprovados no SGC será possível realizar a mobilização do colaborador). (04/08/2023 - Foi solicitado pelo cliente readequação dos programas legais).</t>
  </si>
  <si>
    <t>ENGEMEC</t>
  </si>
  <si>
    <t>10/07/2023 - Conforme contato com o Diogo da Engemec, a carta de solicitação de subcontratação está em processo de assinatura, após serão postados os programas legais da PHD. (18/07/2023 - Diogo entrou em contato para tirar dúvidas em relação aos procedimentos e documentações da PHD Assessoria).</t>
  </si>
  <si>
    <t>ISOMONTE</t>
  </si>
  <si>
    <t>BRG - BRUMADINHO</t>
  </si>
  <si>
    <t xml:space="preserve">PHD ASSESSORIA </t>
  </si>
  <si>
    <t>(25/07/2023 - Programas legais enviados, aguardando aprovação do contrato. )(10/08/2023 - Retorno da Valdenia da EMPA "O contrato continua em análise. Tão logo retorne eu lhe informo para darmos continuidade na mobilização." (21/08/2023 - Pendência contratual, responsável setor comercial.)(31/08/2023 - Programas legais em analise).</t>
  </si>
  <si>
    <t>MILPLAN TOMÉ AÇU</t>
  </si>
  <si>
    <t>CONSÓRCIO ARAGUAIA</t>
  </si>
  <si>
    <t>VEREDA ENGENHARIA</t>
  </si>
  <si>
    <t>08/08/2023 - Aguardando assinatura do contrato para iniciarmos o processo de mobilização.</t>
  </si>
  <si>
    <t>M.ROSCOE</t>
  </si>
  <si>
    <t>ARCELOMITTAL</t>
  </si>
  <si>
    <t>Barra Mansa/RJ</t>
  </si>
  <si>
    <t>MROS-CT01</t>
  </si>
  <si>
    <t>28/12/2023 - Conforme contato com a Rita, permanece em analise, estão de recesso.</t>
  </si>
  <si>
    <t>MINA DE CONCEIÇÃO</t>
  </si>
  <si>
    <t>CRETA ENGENHARIA</t>
  </si>
  <si>
    <t>ANGLO AMERICAN</t>
  </si>
  <si>
    <t>07/12/2023 - Pendências nos programas legais.
19/12/2023 - Pendências nos programas legais.
29/12/2023 - Aguardando ações da Creta para aprovação dos programas legais.
29/12/2023 - Ações enviadas ao cliente.
03/01/2023 - Programas legais retificados devido os dados da PHD.
11/01/2024 - Aguardando retorno da Daniele referente a aprovação.
21/03/2024 - E-mail "Novo Contrato" recebido em 20/10/2023. Contrato assinado em 08/11/2023.</t>
  </si>
  <si>
    <t>ATKINSRÉALIS - SNC LAVALIN</t>
  </si>
  <si>
    <t>20/12/2023 - Pendência nos programas legais por falta de informação pelo cliente.
22/12/2023 - Pendência nos programas legais por parte da Salubritá.
28/12/2023 - Documentos em análise pela Anglo American.
03/01/2023 - PGR reprovado pela Anglo American.
04/01/2023 - Enviado novamente ao cliente para analise.
09/01/2024 - Em analise.</t>
  </si>
  <si>
    <t xml:space="preserve">PAULINIA </t>
  </si>
  <si>
    <t>22/12/2023 - Até o momento aguardando posicionamento do cliente referente os dados para elaboração dos programas legais. Ressalto que os colaboradores estão sendo mobilizados através dos programas legais da PHD Assessoria.
29/12/2023 - Aguardando posição do Henrique referente a Ordem de Compra do Projeto, para assim anexarmos os dados no programas legais. Ressalto que os programas legais já estão prontos desde o dia 26/12/2023 e paralisados na Salubritá por falta da informação acima, o cliente está cobrando os programas específicos da obra.
03/01/2024 - Não recebemos os dados do cliente, portanto os programas legais foram encaminhados sem a informações. Ressalto que existe também pendência referente o comercial e o cliente, por falta de resposta do cliente.
11/01/2024 - Aguardo retorno referente a postagem.</t>
  </si>
  <si>
    <t xml:space="preserve">BACIA - MINA DE FÁBRICA </t>
  </si>
  <si>
    <t>JUNDIAÍ</t>
  </si>
  <si>
    <t>04/01/2024 - Inicialmente os colaboradores seriam mobilizados com os programas legais e ASO da Sede, porém no nomento estão solicitando os programas legais baseados na obra.
05/01/2024 - A Mirtes tentou contato com a Cinthia da Construcap solicitando o modelo dos programas legais para termos como base na elaboração, mas sem sucesso. Ressalto que também existe pendência referente o comercial e o cliente, por falta de resposta do cliente.</t>
  </si>
  <si>
    <t>09/01/2024 - Aguardando postagem dos programas legais.
11/01/2024 - Aguardando o retorno da Sayonara referente a postagem. 
12/01/2024 - Os programas legais retornaram com pendências. Em processo de readequação com a Salubritá.</t>
  </si>
  <si>
    <t>12/12/2023 - Está pendente assinatura do contrato.
10/01/2024 - PGR aprovado, retornou com pendências no PCMSO.
12/01/2024 - PCMSO permanece em analise.</t>
  </si>
  <si>
    <t>20/12/2023 - Aguardando retorno dos dados para elaboração dos programas legais.</t>
  </si>
  <si>
    <t>MILPLAN ENGENHARIA</t>
  </si>
  <si>
    <t>S11D - MILPLAN - Canaã dos Carajás</t>
  </si>
  <si>
    <t>Está pendente assinatura do contrato
09/01/2024 - RECEBIMENTO DO CONTRATO ASINADO
18/01/2024 - em processo de subcontratação , prazo de 7 dias para conclusão. Só depois inicia o processo de mobilização da empresa
26/01/2024 - Aguardando retorno vale na conclusão da subcontratação
05/02/2024 - No aguardo da carta de subcontratação assinada para mobilização no SGC
06/02/2024 - conclusão da subcontração, cliente retornou o PGR/PCMSO para realizar adequações
07/02/2024- PGR/PCMSO revisado e enviado para o cliente
13/02/2024 - postado no SGC</t>
  </si>
  <si>
    <t>15/01/2024 - Contrato em processo de assinatura junto ao comercial.
16/01/2024 - Aguardando retorno do cliente.
18/01/2024 - Entrei em contato com o Eduardo Ferreira, estou aguardando retorno.
24/01/2024 - Encaminhei o contrato assinado e solicitei uma posição da subcontratação.
30/01/2024 - Processo de subcontração em andamento.
01/02/2024 - Retorno do Eduardo da CIMCOP "A documentação da empresa está em avaliação por parte da Vale, ainda não foi finalizada."
06/02/2024 - Processo de subcontratação em andamento, após será realizada a postagem dos programas legais para início no processo de mobilização da empresa.</t>
  </si>
  <si>
    <t>15/01/2024 - Contrato em processo de assinatura junto ao comercial.
16/01/2024 - Aguardando retorno do cliente.
18/01/2024 - Entrei em contato com o Eduardo Ferreira, estou aguardando retorno.
24/01/2024 - Encaminhei o contrato assinado e solicitei uma posição da subcontratação.
30/01/2024 - Processo de subcontração em andamento
01/02/2024 - Retorno do Eduardo da CIMCOP "A documentação da empresa está em avaliação por parte da Vale, ainda não foi finalizada."
06/02/2024 - Processo de subcontratação em andamento, após será realizada a postagem dos programas legais para início no processo de mobilização da empresa.</t>
  </si>
  <si>
    <t xml:space="preserve">PAREX </t>
  </si>
  <si>
    <t>COMPLEXO MINERADOR DE CARAJÁS</t>
  </si>
  <si>
    <t xml:space="preserve">Está pendente assinatura do contrato
10/01/2024 - RECEBIMENTO DO CONTRATO ASSINADO
10/01/2024-enviou do anexo 6
18/01/2024 - AGUARDANDO FINALIZAÇÃO DA SUBCONTRATAÇÃO
19/01/2024 - Subcontratação aprovada
22/01/2024 - postagem dos programas legais
26/01/2023 - aguardando aprovação do cliente vale
29/01/2024- pendencia no PGR, solicitei adequação para a clinica
31/01/2024 - conclusão da mobilização
</t>
  </si>
  <si>
    <t xml:space="preserve">S11D </t>
  </si>
  <si>
    <t>PARE-CT06</t>
  </si>
  <si>
    <t>Está pendente assinatura do contrato
10/01/2024-RECEBIMENTO DO CONTRATO ASSINADO
11/01/2024 - enviou do anexo 6
18/01/2024- AGUARDANDO FINALIZAÇÃO DA SUBCONTRATAÇÃO
26/01/2024 - Aguardando retorno vale na conclusão da subcontratação
02/02/2024-o cliente informou que está aguardando retorno da vale na conclusão da subcontratação
15/02/2024-aguardando carta de subcontratação assinada pela vale
19/02/2024-aguardando aprovação da subcontratação pela vale
20/02/2024-subcontratação negada pelo o cliente vale, o processo estava sendo feito em um outro contrato da Parex no S11D
21/02/2024 - será feito um adito para troca de objeto, concluindo será iniciado novamente o processo de subcontratação 
26/02/2024 - Aguardando aditivo do contrato com mudança de objeto
29/02/2024 - Aguardando aditivo do contrato assinado
11/03/2024 Aditivo recebido assinado e enviado para o cliente
13/03/2024-aguardando aprovação de subcontratação  pela vale
15/03/2024-aguardando aprovação de subcontratação  pela vale
18/03/2024-aguardando aprovação de subcontratação  pela vale
20/03/2024-aguardando aprovação de subcontratação  pela vale
22/03/2024-aguardando aprovação de subcontratação  pela vale
26/03/2024-aguardando aprovação de subcontratação  pela vale
27/03/2024-aguardando aprovação de subcontratação  pela vale
01/04/2024-aguardando aprovação de subcontratação  pela vale
02/04/2024 - subcontratação concluida
02/04/2024 - aguardando cadastro no SGC, para postagem dos programas legais
05/04/2024 - aguardando cadastro no SGC, para postagem dos programas legais
08/04/2024 - aguardando cadastro no SGC, para postagem dos programas legais
09/04/2024 - aguardando cadastro no SGC, para postagem dos programas legais
11/04/2024 - aguardando cadastro no SGC, para postagem dos programas legais
15/04/2024 - aguardando cadastro no SGC, para postagem dos programas legais
16/04/2024 - cadastro no SGC concluido, postagem dos programas legais
17/04/2024 - postagem dos programas legais no SGC
19/04/2024 - retorno do cliente com pendencia no PCMSO
19/04/2024 - PCMSO Atualizado e enviado para o cliente, postado novamente no SGC para aprovação
19/04/2024 - Aprovação</t>
  </si>
  <si>
    <t>ITABIRA</t>
  </si>
  <si>
    <t>22/01/2024 - Conforme contato com o comercial, a proposta ainda está em analise.
30/01/2024 - Processo de subcontração em andamento.
02/02/2024 - Previsão de conclusão e liberação dos programas legais pela salubritá 06/02/2024.
06/02/2024 - Processo de subcontratação em andamento, após será realizada a postagem dos programas legais para início no processo de mobilização da empresa.
07/02/2024 - Corrigindo a informação acima, o processo de subcontratação e mobilização não foram iniciados por falta do contrato assinado entre ambas as partes. Ressalto que para que o cliente inicie o processo é necessário realizar a postagem do contrato entre a PHD e IMC Saste no SGC Vale, logo inicia o processo de subcontratação e mobilização da empresa.
15/02/2024 - Permanece com a pendência contratual. 
15/02/2024 - Programas legais em processo de elaboração, entrega em atraso pela Salubritá.
21/02/2024 - Processo de subcontratação em andamento.
22/02/2024 - Processo de subcontratação em andamento.
28/02/2024 - Processo de subcontratação em andamento. 
04/03/2024 - Prazo para analise dos documentos de subcontratação finalizado em 01/03/2024. Aguardando retorno da Valdirene da IMC referente aprovação, logo serão postados os programas legais.
07/03/2024 - Programas legais retornaram com pendência.
08/03/2024 - Programas legais readequados enviado para o cliente.
11/03/2024 - Conforme contato com a Valdirene da IMC Saste, os programas legais foram postados novamente.</t>
  </si>
  <si>
    <t>30/01/2024 - Processo de subcontratação em andamento.
02/02/2024 - Previsão de conclusão e liberação dos programas legais pela salubritá 08/02/2024.
05/02/2024 - Processo de subcontratação em andamento, após será realizada a postagem dos programas legais para início no processo de mobilização da empresa.
28/02/2024 - Solicitei status da mobilização para a Tamyres da Salum, aguardando retorno.
01/03/2024 - A Tamyres da Salum informou que não havia postados os programas legais readequados. Em acompanhamento.
14/03/2024 - Conforme contato com a Tamyres da Salum, ela me informou que está com alta demanda de mobilização da Salum, por este motivo não conseguiu finalizar a mobilização da PHD Assessoria. No mesmo contato a mesma informa que o Túlio está ciente da situação e que isso não irá interferir na transição da Beatriz para PHD Assessoria.</t>
  </si>
  <si>
    <t>JOÃO MONLEVADE</t>
  </si>
  <si>
    <t>CCAP-CT10</t>
  </si>
  <si>
    <t xml:space="preserve">22/01/2024 - Em contato com a Construcap para analise dos treinamentos que deverão ser realizados.
23/01/2024 - Permaneço aguardando contato do Eder da Construcap.
24/01/2024 - Tentei contato com o Eder via WhatsApp e ligação, mas sem sucesso. Solicitei apoio para o Eduardo Eler. 
26/01/2024 - Recebi retorno do cliente com as informações solicitadas.
02/02/2024 - Aguardando informações contratuais entre PHD x Construcap (Vigência) para acrescentar nos programas legais que estão em processo de elaboração.
06/02/2024 - Processo de subcontratação em andamento, após será realizada a postagem dos programas legais para início no processo de mobilização da empresa.
15/02/2024 - Aguardando vigência do contrato entre PHD x Construcap para liberação dos programas legais.
19/02/2024 - Pendência contratual resolvida com o comercial, portanto podemos finalizar os documentos para mobilização.
20/02/2024 - Aguardando liberação dos programas legais pela Salubritá.
21/02/2024 - Programas legais enviados ao cliente.
22/02/2024 - Aguardando retorno do Otoniel da Construcap referente o recebimento do documentos.
01/03/2024 - Programas legais retornaram com pendência hoje. Em processo de readequação.
11/03/2024 - Ficamos aguardando 6 dias úteis o retorno do cliente com as informações necessárias para o processo de readequação. A justificativa do cliente para a morosidade no retorno é falta de um profissional interno. 
Informações enviadas pelo cliente hoje as 15:34.
26/03/2024 - O cliente não me retorna referente o status da mobilização da empresa. Solicitei apoio para Carolline.
</t>
  </si>
  <si>
    <t>30/01/2024 - Processo de subcontratação em andamento.
02/02/2024 - Previsão de conclusão e liberação dos programas legais pela salubritá 08/02/2024.
05/02/2024 - Processo de subcontratação em andamento, após será realizada a postagem dos programas legais para início no processo de mobilização da empresa.
15/02/2024 - Programas legais em processo de elaboração, entrega em atraso pela Salubritá.</t>
  </si>
  <si>
    <t>22/02/2024 - Processo de subcontratação em andamento.
28/02/2024 - Processo de subcontratação em andamento. 
04/03/2024 - Prazo para analise dos documentos de subcontratação finalizado em 01/03/2024. Aguardando retorno da Valdirene da IMC referente aprovação, logo serão postados os programas legais.
11/03/2024 - Conforme contato com a Valdirene da IMC Saste, o processo de subcontratação ainda está em andamento. Quando aprovado, serão postados os programas legais para analise da Vale.
19/03/2024 - Subcontratação aprovada, os programas legais serão postados até amanhã pelo cliente.
25/03/2024 - Pendência nos programas legais, em processo de readequação.
26/03/2024 - Documentos readequados e enviado para o cliente.</t>
  </si>
  <si>
    <t>04/03/2024 - Subcontratação em andamento.</t>
  </si>
  <si>
    <t>GOIAS/GO</t>
  </si>
  <si>
    <t>EMPA-CT02</t>
  </si>
  <si>
    <t>05/03/2024 - email recebido do novo contrato
06/03/2024 - contato com o cliente
07/03/2024 - solicitei o dados para a elaboração dos prgramas legais para o cliente
08/03/2024 - retorno do cliente, eles ainda estão em processo de mobilização da empresa, ainda não tem programas legais estão em processo de elaboração
12/03/2024 - Dados recebidos do cliente, faltando informações do cliente final
12/03/2024 - solicitação enviado para elaboração dos programas legais
13/03/2024 - Dados recebidos do cliente com as informaçõeds do cliente final, enviado para elaboração do programas legais
14/03/2024 - envio do anexo 6, falta o contrato assinado.
15/03/2024 -  Programas elaborados, faltando as informações do número do contrato e vigência de contrato  PHD X EMPA
18/03/2024 - Aguardando contrato assinado
21/03/2024 - Aguardando contrato assinado
25/03/2024 - Aguardando contrato assinado
26/03/2024 - contrato assinado
27/03/2024 - subcontratação postada, aguardando aprovação
01/04/2024 - subcontratação postada, aguardando aprovação
03/04/2024 - aguardando aprovação
04/04/2024 - aguardando aprovação
05/04/2024 - subcontratação retornou com pedência pelo cliente final, devido ter dois CNPJ na minuta da PHD
08/04/2024  documentação de subcontratação enviada para aprovação novamente
09/04/2024 - aguardando aprovação da subcontratação
10/04/2024 - aguardando aprovação da subcontratação
11/04/2024 - aguardando aprovação da subcontratação
15/04/2024 - aguardando aprovação da subcontratação
16/04/2024 - aguardando aprovação da subcontratação
17/04/2024 - aguardando aprovação da subcontratação
19/04/2024 - aguardando aprovação da subcontratação
22/04/2024 - Subcontratação aprovada, aguardando carta assinada para postagem dos programas
22/04/2024 - Aguardando carta assinada para postagem dos programas
23/04/2024 -Postagem da mobilização da empresa
24/04/2024 - Aguardando aprovação
25/04/2024 - pendência no PGR, solicitado readaquação 
26/04/2024 - PGR enviado para o cliente com a correção
26/04/2024 - Mobilização aprovada</t>
  </si>
  <si>
    <t>18/03/2024 - Conforme contato com a Alinne do comercial PHD, o contrato está aguardando definições internas da IMC. 
19/03/2024 - Aguardando informações completas do cliente para solicitação dos programas legais para a Salubritá.
25/03/2024 - Os programas legais não foram liberados por falta de informações contratuais entre a PHD x Cliente.
26/03/2024 - Dados contratuais liberados pela Alinne do comercial PHD.
30/04/2024 - Conforme contato com a Ana da IMC Saste a subcontratação está em andamento.
08/05/2024 - Processo de subcontratação em andamento, conforme contato com a Ana na data citada.
09/05/2024 - PGR retornou com pendência (assinatura validada).</t>
  </si>
  <si>
    <t xml:space="preserve">18/03/2024 - Conforme contato com a Alinne do comercial PHD, o contrato está aguardando definições internas da IMC. 
19/03/2024 - Aguardando informações completas do cliente para solicitação dos programas legais para a Salubritá.
25/03/2024 - Os programas legais não foram liberados por falta de informações contratuais entre a PHD x Cliente.
26/03/2024 - Dados contratuais liberados pela Alinne do comercial PHD.
30/04/2024 - Conforme contato com a Ana da IMC Saste a subcontratação está em andamento.
08/05/2024 - Processo de subcontratação em andamento, conforme contato com a Ana na data citada.
27/05/2024 - Estou acompanhando com a Ana da IMC diariamente, o processo permanece no processo de subcontratação.
31/05/2024 - Processo de subcontratação ainda em andamento.
05/06/2024 - Questionei a Ana da IMC Saste a demora no processo de subcontratação e mobilização da empresa, faz praticamente 1 mês que estamos nesse processo. Aguardando posicionamento da Vale.
07/06/2024 - Subcontratação aprovada.
10/06/2024 - Os programas legais foram postados pela IMC Saste.
12/06/2024 - Conforme contato com o Paulo, o mesmo me informou que o colaborador foi bloqueado de acessar a obra. Ressalto que na semana passado deixei claro para a Ana da IMC que o processo estava demorando e questionei a mesma o que estava acontecendo.
Na data citada 11/06, questionei novamente a Ana e ela me informou que solicitaram prioridade para o Gestor da Vale e que conseguiram mais 7 dias de acesso do colaborador como visitante.
13/06/2024 - Conforme contato com o Paulo Paiva, informei que os programas legais foram enviados em 28/03/2024 e que foram postados em 10/06, considerando a dificuldade do entendimento da IMC sobre os dois CNPJ PHD e processo de subcontratação demorardo (30 dias).
14/06/2024 - Mobilização concluída.
</t>
  </si>
  <si>
    <t xml:space="preserve"> paulo.paiva@phdengenharia.eng.br</t>
  </si>
  <si>
    <t>TERE-CT01</t>
  </si>
  <si>
    <t>18/03/2024 - Conforme contato com a Alinne do comercial PHD, eles receberam a minuta por parte da Tereme e encaminharam para o jurídico para análise. 
25/03/2024 - Os programas legais não foram liberados por falta de informações contratuais entre a PHD x Cliente.
10/04/2024 - Contrato assinado. Aguardando a subcontratação por parte do cliente.
16/04/2024 - A Marilia informou que a subcontratação ainda não foi iniciada e que iriam solicitar uma prioridade para a situação. Ressalto que sem a subcontratação não é possível realizar a postagem da colaboradora no Bancodoc.</t>
  </si>
  <si>
    <t>RONDONÓPOLIS/MT</t>
  </si>
  <si>
    <t>CCAP-CT11</t>
  </si>
  <si>
    <t>01/04/2024 - e-mail recebido com informações do novo contrato 
02/04/2024 - email enviado para o cliente solicitando dados
03/04/2024 - Aguardado dados do cliente
08/04/2024 - Dados recebidos do cliente, solicitação de elaboração dos programas, faltando as informações de vigência do contrato e número
09/04/2024 - anexo 6 enviado, porém pendente contrato assinado
10/04/2024 - aguardando elaboração  dos programas legais e contrato assinado
12/04/2024 - programas legais prontos, aguardando vigencia e número do contrato para liberação.Aguardando contrato assinado
15/04/2024 - programas legais prontos, aguardando vigencia e número do contrato para liberação.Aguardando contrato assinado
17/04/2024 - programas legais prontos, aguardando vigencia e número do contrato para liberação.Aguardando contrato assinado
19/04/2024 - programas legais prontos, aguardando vigencia e número do contrato para liberação.Aguardando contrato assinado
22/04/2024- programas legais recebido - Enviado para o cliente,Aguardando contrato assinado
24/04/2024 - Aguardando contrato assinado
26/04/2024 - Aguardando contrato assinado
29/04/2024 - Aguardando contrato assinado
02/05/2024 - Aguardando contrato assinado
06/05/2024 - Aguardando contrato assinado
08/05/2024 - Aguardando contrato assinado
09/05/2024 - Aguardando contrato assinado
10/05/2024 - Aguardando contrato assinado
13/05/2024 - Aguardando contrato assinado
15/05/2024 - Aguardando contrato assinado
20/05/2024 - Aguardando contrato assinado
22/05/2024 - Aguardando contrato assinado
24/05/2024 - Aguardando contrato assinado
28/05/2024 - Aguardando contrato assinado
31/05/2024 - Aguardando contrato assinado
11/06/2024-o cliente informou que o cadastro da empresa na rumo foi feito dia 02/05, e está aguardando aprovação
12/06-Aprovação</t>
  </si>
  <si>
    <t>CURRAIS NOVOS/RN</t>
  </si>
  <si>
    <t>PARE-CT07</t>
  </si>
  <si>
    <t>03/04/2024 - e-mail recebido com informações do novo contrato 
04/04/2024 - Dados solicitado ao cliente
08/04/2024 - aguardando dados do cliente
10/04/2024 - Dados recebidos do cliente, solicitação de elaboração dos programas, faltando as informações de vigência do contrato e número
10/04/2024 - anexo 6 enviado, porém pendente contrato assinado
12/04/2024 - aguardando elaboração  dos programas legais e contrato assinado
15/04/2024 - aguardando elaboração  dos programas legais e contrato assinado
19/04/2024 - Programas legais recebido da salubritá
22/04/2024 - enviou dos programas legais para o cliente
24/04/2024 - Aguardando contrato assinado
26/04/2024 -Postado,pendente contrato assinado
29/04/2024 - Aguardando contrato assinado
02/05/2024 - Aguardando contrato assinado
06/05/2024 - Aguardando contrato assinado
07/05/2024- contrato assinado enviado para o cliente
08/05/2024-conclusão da mobilização</t>
  </si>
  <si>
    <t>17/04/2024 - A subcontratação e mobilização seguem paralisadas por falta do contrato entre PHD x Salum.
26/04/2024 - Pendência contratual entre PHD x Salum.</t>
  </si>
  <si>
    <t>TERR-CT07</t>
  </si>
  <si>
    <t>24/04/2024 - Conforme contato com a Alinne, o contrato está em alinhamento.
08/05/2024 - O cliente ainda não iniciou o processo de subcontratação.
10/05/2024 - Conforme alinhamento do Túlio com o cliente, inicialmente será priorizada a mobilização somente do CNPJ: 30.860.911/0001-50 da PHD Engenharia, em um segundo momento iremos entrar com o CNPJ da PHD Assessoria.
21/05/2024 - Contrato assinado.
28/05/2024 - O cliente não retornar os meus e-mails, ligações e mensagens, situação repassada ao Paulo e Túlio.
03/06/2024 - O cliente não iniciou o processo de subcontratação e mobilização devido pendência contratual entrea Terrabel x Vale.
13/06/2024 - Subcontratação ainda em andamento.
15/07/2024 - Mobilização aprovada.</t>
  </si>
  <si>
    <t>24/04/2024 - Conforme contato com a Alinne, o contrato está em alinhamento.
08/05/2024 - O cliente ainda não iniciou o processo de subcontratação.
14/05/2024 - Conforme alinhamento do Túlio com o cliente, será priorizada a mobilização da PHD Engenharia junto a Terrabel, portanto está mobilização da PHD Assessoria está paralisada. 
Irei dar baixa como mobilização cancelada, e em um momento futuro quando o processo for iniciado ativo novamente, no intuito de não interferir nos indicadores do setor de mobilização.</t>
  </si>
  <si>
    <t>MINA CAUÊ</t>
  </si>
  <si>
    <t>SALU-CT07</t>
  </si>
  <si>
    <t>ATRIUM</t>
  </si>
  <si>
    <t>CCR Aeroportos</t>
  </si>
  <si>
    <t>FOZ DO IGUAÇU/PR</t>
  </si>
  <si>
    <t>ATRI-CT01</t>
  </si>
  <si>
    <t>12/04/2024- e-mail recebido com informações do contrato
15/04/2024 - contato com o cliente, solicitação de dados
18/04/2024 - Dados recebido do cliente
26/04/2024 - Envio dos programas legais
10/05/2024 - Aguardando contrato assinado
13/05/2024 - Aguardando contrato assinado
15/05/2024-status atualizado para conclusão da mobilização em conversa com o cliente, ele me informou que lá no projeto não se faz necessario mobilização da empresa, apenas enviou dos programas legais</t>
  </si>
  <si>
    <t>ATERPA</t>
  </si>
  <si>
    <t>ATER-CT01</t>
  </si>
  <si>
    <t>24/04/2024 - Conforme contato com a Alinne, o contrato está em elaboração por parte da Aterpa.
17/05/2024 - Conforme alinhado nos últimos 6 meses com a Diretoria PHD, todos os novos contratos iriam possuir os dois CNPJ pertencentes pela PHD, porém em alguns caso não está sendo possivel devido o cliente.
No caso da Aterpa enviei os todos os documentos pertinentes aos dois CNPJ para o cliente, mas no momento em que o contrato foi assinado constava somente um CNPJ, sendo este o da PHD Assessoria, portanto a mobilização entre PHD Engenharia x Aterpa está sendo cancelada.</t>
  </si>
  <si>
    <t>LUCAS BATISTA</t>
  </si>
  <si>
    <t>lucas.batista@phdengenharia.eng.br</t>
  </si>
  <si>
    <t>24/04/2024 - Conforme contato com a Alinne, o contrato está em elaboração por parte da Aterpa. 
29/05/2024 - Mobilização paralisada por falta do contrato entre PHD x Aterpa.
04/06/2024 - Contrato assinado.
10/06/2024 - Programas legais postados pelo cliente.
11/06/2024 - Os programas legais retornaram com pendências, inclusive pendência na ART onde foi necessário a Salubritá acionar o CREA.
17/06/2024 - Programas legais readequados e enviados novamente para o cliente.
17/06/2024 - Os programas retornaram novamente com pendências.
18/06/2024 - Pendências solucionadas e mobilização aprovada/concluída.</t>
  </si>
  <si>
    <t>SÃO GONÇALO DO RIO ABAIXO</t>
  </si>
  <si>
    <t>30/04/2024 - Kick off hoje para alinhamento das informações. Até o momento não temos nenhum contato para iniciar o processo.
07/05/2024 - Todos os documentos foram enviados para o cliente, Anexo 6 e os programas legais.
08/05/2024 - Contrato assinado.
09/05/2024 - Aguardando posicionamento do cliente referente o recebimentos dos documentos.
13/05/2024 - Dificuldade de contato com o cliente, tentativa de contato com 6 pessoas referente a mobilização, a cada momento passam o processo para um.
20/05/2024 - Recebi o contato da Marcely da Vale Verde referente a subcontratação, foi solicitado o reenvio dos documentos.
22/05/2024 - Processo de subcontratação em análise pela Vale. Foi necessário cancelar o processo anterior devido a postagem equivocado por parte o cliente referente aos dois CNPJ.
23/05/2024 - Subcontratação aprovada, aguardando a postagem dos programas legais.</t>
  </si>
  <si>
    <t>30/04/2024 - Kick off hoje para alinhamento das informações. Até o momento não temos nenhum contato para iniciar o processo.
30/04/2024 - Kick off hoje para alinhamento das informações. Até o momento não temos nenhum contato para iniciar o processo.
07/05/2024 - Todos os documentos foram enviados para o cliente, Anexo 6 e os programas legais.
08/05/2024 - Contrato assinado.
09/05/2024 - Aguardando posicionamento do cliente referente o recebimentos dos documentos.
13/05/2024 - 13/05/2024 - Dificuldade de contato com o cliente, tentativa de contato com 6 pessoas referente a mobilização, a cada momento passam o processo para um.
20/05/2024 - Recebi o contato da Marcely da Vale Verde referente a subcontratação, foi solicitado o reenvio dos documentos.
22/05/2024 - Processo de subcontratação em análise pela Vale. Foi necessário cancelar o processo anterior devido a postagem equivocado por parte o cliente referente aos dois CNPJ.
23/05/2024 - Subcontratação aprovada, aguardando a postagem dos programas legais.</t>
  </si>
  <si>
    <t>4519638434 / PEP: IA-1411-0264.111M.1</t>
  </si>
  <si>
    <t xml:space="preserve">17/05/2024-Anexo 06 já enviado anteriormente pela Leticia
17/05/2024-envio dos programas legais
20/05/2024-retorno no cliente com carta para preenchimento e assinatura, postagem do PGR
21/05/2024-carta enviada assinada
22/05/2024-pendencia no PGR, solicitado readequação para salubrita
24/05/2024-PGR aprovado, aguardandoavaliação do PCMSO
27/05/2024-pendencia no PCMSO, solicitado readequação para salubrita
28/05/2024-Enviou do PCMSO com a correção solicitada
29/05/2024-pendencia no PCMSO, solicitado readequação para salubrita
04/06/2024-enviado PCMSO para o cliente, pendencia novamente enviado para salubrita
06/06/2024 retorno da salubrita com PCMSO corrigido enviado para o cliente
12/06/2024-foi enviado o certificado de regularidade do médico referente ao CRM do Rio
13/06/2024- PCMSO aprovado com resalva, devido ao CRM do médico do RJ
</t>
  </si>
  <si>
    <t>MINA DE ÁGUAS CLARAS</t>
  </si>
  <si>
    <t>TERR-CT08</t>
  </si>
  <si>
    <t xml:space="preserve">03/05/2024 - Aguardando retorno do cliente para iniciar o processo.
03/05/2024 - Pendência dos exames devido falta dos programas legais, aguardando os dados contratuais para elaboração dos programas legais.
06/05/2024 - Soliciitei apoio do Túlio e do Paulo devido dificuldade de comunicação com o cliente.
08/05/2024 - Sem posicionamento do cliente com as informações para elaboração dos programas legais.
09/05/2024 - O Túlio e o Paulo estão aguardando um posicionamento do cliente referente as informações contratuais entre Terrabel x Vale.
10/05/2024 - Permaneço sem as informações contratuais para elaboração dos programas legais.
13/05/2024 - Informações contratuais recebidas. Envio realizado pelo Túlio.
13/05/2024 - Programas legais em processo de elaboração.
21/05/2024 - Contrato assinado e anexo 6 enviado para o cliente.
03/06/2024 - O cliente não iniciou o processo de subcontratação e mobilização, devido pendência contratual entre a Terrabel x Vale.
18/06/2024 - Em uma nova conversa em 18/06 com o Victor da Terrabel, ele informa que as tratativas contratuais entre Terrabel x Vale não tiveram nenhum avanço e que não existe uma previsão para solucionar. Mobilização paralisada.
26/06/2024 - Na data citada, a Keli da Terrabel assumiu o processo de mobilização, portanto o processo será iniciado pelo cliente a partir de 26/06, ficando paralisado por 57 dias devido pendências contratuais da Terrabel x Vale.
12/07/2024 - Subcontratação em análise pela Vale.
25/07/2024- Enviado e-mail para cliente solicitando o status da subcontratação.
31/07/2024 - Subcontratação em análise pela Vale.
16/08/2024 - Subcontratação e mobilização aprovada.
04/09/2024 - Conforme conversa com a Kallen da Terrabel, ela me informou que a Vale pediu para que fosse preenchido um forms referente a mobilização da empresa. Após preenchimento, a Vale terá o prazo de 2 dias para retornar.
06/09/2024 - Conforme contato novamente com a Kallen, questionei o e-mail dela enviado para a Larissa referente a postagem dos programas legais nesse momento sendo que estavamos no processo de mobilização já da Polyane. A mesma alega que o processo da Vale mudou e que irá tirar dúvidas com a Larissa da Terrabel. 
Tentei contato com a Larissa da Terrabel, mas a ligação caiu na caixa postal, sendo assim deixei uma mensagem para ela para assim que possível me retornar.
06/09/2024 - Conforme contato com a Larissa, ela me informou que houve uma falha de comunicação entre a Terrabel e que esqueceram de fazer a postagem dos programas legais, portanto o processo da Polyane foi cancelado para retornarem na mobilização da empresa e fazerem de forma correta. Postagem dos programas legais realizada.
09/09/2024 - Conforme contato com a Kallen, os programas legais foram recusados pela Vale, portanto foi solicitado por ela o preenchimento da Declaração de Cumprimento Legal para substituição dos programas legais da PHD Assessoria.
11/09/2024 - A Larissa me informou que a Declaração de Cumprimento Legal foi recusada pela Vale, sendo assim ela postou novamente os programas legais da PHD Assessoria.
Na ligação ela me informou que acha que agora o processo dará certo. Prazo de análise 3 dias úteis.
16/09/2024 - Conforme contato com a Larissa, os programas legais permanecem em análise.
17/09/2024 - Conforme contato com a Larissa, os programas legais permanecem em análise e o prazo para conclusão é de 7 dias úteis, foi citada a prioridade já solicitada para a Vale.
Informei ao Lucas Ferraz que está inviável o processo de mobilização e as tratativas com a Kallen e a Larissa, considerando o tempo e os erros de postagem da Terrabel.
</t>
  </si>
  <si>
    <t>03/05/2024 - Aguardando retorno do cliente para iniciar o processo.
03/05/2024 - Pendência dos exames devido falta dos programas legais, aguardando os dados contratuais para elaboração dos programas legais.
06/05/2024 - Soliciitei apoio do Túlio e do Paulo devido dificuldade de comunicação com o cliente.
08/05/2024 - Sem posicionamento do cliente com as informações para elaboração dos programas legais.
09/05/2024 - O Túlio e o Paulo estão aguardando um posicionamento do cliente referente as informações contratuais entre Terrabel x Vale.
10/05/2024 - Permaneço sem as informações contratuais para elaboração dos programas legais.
13/05/2024 - Informações contratuais recebidas. Envio realizado pelo Túlio.
13/05/2024 - Programas legais em processo de elaboração.
21/05/2024 - Contrato assinado e anexo 6 enviado para o cliente.
03/06/2024 - O cliente não iniciou o processo de subcontratação e mobilização, devido pendência contratual entre a Terrabel x Vale.
18/06/2024 - Em uma nova conversa em 18/06 com o Victor da Terrabel, ele informa que as tratativas contratuais entre Terrabel x Vale não tiveram nenhum avanço e que não existe uma previsão para solucionar. Mobilização paralisada.
26/06/2024 - Na data citada, a Keli da Terrabel assumiu o processo de mobilização, portanto o processo será iniciado pelo cliente a partir de 26/06, ficando paralisado por 57 dias devido pendências contratuais da Terrabel x Vale.
12/07/2024 - Subcontratação em análise pela Vale.
25/07/2024- Enviado e-mail para cliente solicitando o status da subcontratação.
31/07/2024 - Subcontratação em análise pela Vale.</t>
  </si>
  <si>
    <t>CARDAN</t>
  </si>
  <si>
    <t>CARD-CT09</t>
  </si>
  <si>
    <t>15/05/2024 - O cliente informou que entrou com a subcontratação, sem nenhum envio da documentação da PHD por parte do setor de mobilização e comercial. Anexo 6 enviado.
20/05/2024 - O Henrique da Cardan se precipitou para a subcontratação da empresa antes da conferência da minuta pelo comercial da PHD, subcontratando o CNPJ equivocado da PHD. A questão citada está sendo solucionada entre o comercial e o cliente.
28/05/2024 - Subcontratação e mobilização paralisadas pelo motivo acima. Conforme contato com o comercial, eles estão aguardando o contato e retorno do Henrique da Cardan, mas até o momento sem nenhum retorno.
29/05/2024 - Considerando a falta de retorno do Henrique da Cardan, irei enviar o Anexo 6 com os dados da PHD Assessoria.
03/06/2024 - Mobilização paralisada até que a pendência contratual entre o comercial PHD e Cardan seja solucionada.</t>
  </si>
  <si>
    <t>PEDRO MORAIS</t>
  </si>
  <si>
    <t>SÃO LUIS</t>
  </si>
  <si>
    <t>24/06/2024-E-mail recebido com informações do contrato
24/06/2024-contato com o cliente
25/06/2024-e-mail enviado solicitando dados ao cliente
26/06-aguardando dados do cliente
27/06-anexo 06 enviado
02/07/2024 - retorno do cliente
02/07/2024 - solicitação dos programas legais para salubritar
05/07/2024 - Programas legais recebido da salubritar
08/07/2024 - Programas legais enviado para o cliente
10/07/2024 - Programas legais aprovados, não existe postagem no sistema, apenas um cadastro da empresa
11/12/2024 - tranferencia do contrato ALCO-CT01-CROS para ALCO-CT02-GERE</t>
  </si>
  <si>
    <t>TECNOSONDA</t>
  </si>
  <si>
    <t>TECN-CT02</t>
  </si>
  <si>
    <t>26/07/2024 - informação passadas pelo o cliente aprovação da mobilização 15/07</t>
  </si>
  <si>
    <t>21/06/2024 - Recebemos a informação do CLIENTE que iremos atuar com a PHD Soluções em Engenharia Ltda no projeto.
21/06/2024 - Conforme alinhado pessoalmente com o Pedro Morais, realmente iremos atuar com a PHD Soluções em Engenharia Ltda. Até o momento sem nenhuma formalização por e-mail da gerência ou direção responsável.
05/07/2024 - O comercial não está ciente de nenhum processo de aditivo entre a PHD Soluções em Engenharia Ltda.
08/07/2024 - Aguardando posicionamento do Paulo Paiva em relação as tratativas do aditivo entre PHD Soluções em Engenharia x Salum, o mesmo informou que ainda está em negociação.
12/07/2024 - Aguardando posicionamento do Paulo Paiva em relação as tratativas do aditivo entre PHD Soluções em Engenharia x Salum, o mesmo informou que ainda está em negociação.
15/07/2024 - Aditivo enviado pela Salum, porém com o valor equivocado.</t>
  </si>
  <si>
    <t>02/07/2024  -E-mail recebido com informações do contrato
02/07/2024 - contato com o cliente
02/07/2024 - e-mail enviado solicitando dados ao cliente
03/07/2024  - aguardando dados do cliente
08/07/2024  - solicitação de elaboração dos programas legais para salubrita
09/07/2024 - Anexo 6 enviado
12/07/2024 - envio dos programas legais para o cliente
12/07/2024 - retorno do cliente, pendencia na subcontratação,contrato com informação de dois CNPJ’s
17/07/2024 - contrato PHD X NOBREGA assinado
17/07/2024 - aguardando aprovação do cliente final na subcontratação
23/07/2024 - Subcontratação aprovada
24/07/2024 - mobilização da empresa postada e aprovada</t>
  </si>
  <si>
    <t>09/07/2024 - Aguardando posicionamento da CG em relação aos programas legais da Sede da PHD, eles informaram que talvez não seja necessário a emissão de programas com base na obra.
12/07/2024 - Os programas legais da Sede serão reaproveitados para mobilização na CG, considerando que as atividades do projeto não são realizadas em Minas da Vale.
22/07/2024 - informado pelo o cliente que quando mobilizarmos o primeiro profissional, na PHD Assessoria, será iniciado o processo de mobilização da PHD Engenharia.
22/07/2024 - O cliente informou que a postagem será feita após a primeira mobilização da PHD Assessoria.
29/07/2024 - Postagem da mobilização.
31/07/2024 - Aguardando análise vale.
02/08/2024 - Aguardando análise vale.
05/08/2024 - Conclusão da mobilização.</t>
  </si>
  <si>
    <t>09/07/2024 - Aguardando posicionamento da CG em relação aos programas legais da Sede da PHD, eles informaram que talvez não seja necessário a emissão de programas com base na obra.
12/07/2024 - Os programas legais da Sede serão reaproveitados para mobilização na CG, considerando que as atividades do projeto não são realizadas em Minas da Vale.
22/07/2024 - Solicitação de readequação no PCMSO, solicitado á salubritar
22/07/2024 - PCMSO adequado e enviado para o Cliente
22/07/2024 - Mobilização concluida</t>
  </si>
  <si>
    <t xml:space="preserve">SIGDO KOOPERS </t>
  </si>
  <si>
    <t>SIGD-CT03</t>
  </si>
  <si>
    <t xml:space="preserve">12/06/2024 - Na data citada, o cliente se recusou a passar as informações contratuais, alegando que as tratativas para assinatura do contrato ainda estavam no jurídico da SK.
28/06/2024 - Aditivo assinado e enviado para o cliente. Aguardando contato do Wasley referente ao contato de mobilização.
15/07/2024 - Programa Legais enviado ao cliente.
25/07/2024 - Retorno do cliente informando que os Programas Legais estão em avaliação.
24/07/2024 - Postagem dos programais legais
30/07/2024 - aprovação, mobilização concluida
</t>
  </si>
  <si>
    <t>20/08/2024 - Subcontratação ainda em andamento, o José Junior me informou que irá me atualizar sobre o processo hoje até o fim do dia.
21/08/2024 - Permaneço sem o contato do José Junior referente a subcontratação da PHD.</t>
  </si>
  <si>
    <t>ECP ENGENHARIA</t>
  </si>
  <si>
    <t>SÃO JOSÉ DA VARGINHA</t>
  </si>
  <si>
    <t>ECPE-CT01</t>
  </si>
  <si>
    <t>20/08/2024 - O contrato entre a ECP x Vale ainda não está assinado, portanto o processo permanece paralisado.
02/09/2024 - O contrato entre a ECP x Vale ainda não está assinado, portanto o processo permanece paralisado.
17/09/2024 - O contrato entre a ECP x Vale ainda não está assinado, portanto o processo permanece paralisado.
21/10/2024 - Conforme retorno do Lucas Ferraz na data de hoje, o contrato será encerrado devido falta da assinatura do contrato entre ECP x Vale.</t>
  </si>
  <si>
    <t>marcio.junior@phdengenharia.eng.br</t>
  </si>
  <si>
    <t>NILPLAN ENGENHARIA</t>
  </si>
  <si>
    <t>NILP-CT01</t>
  </si>
  <si>
    <t>02/08/2024 - Informações do novo contrato
07/08/2024 - Previsão de reunião de kick off em 14/08
12/08/2024 - aguardando dados cliente
20/08/2024 - dados recebido do cliente para solicitação dos programas legais
20/08/2024 - programas legais solicitado a salubritar
28/08/2024 - Programas legais recebido da salubritar e enviado ao cliente, pendente contrato assinado
03/09/2024 - Pendente contrato assinado
11/09/2024 - Pendente contrato assinado
13/09/2024 - Pendente contrato assinado
18/09/2024 - Pendente contrato assinado
25/09/2024 - Pendente contrato assinado
01/10/2024 - Postado ,a Nilplan fez um contrato em particular para iniciar o processo de mobilização, Thales ciente. (Pendente contrato formal assinado)
02/10/2024 - aporvação da mobilização na arcelormittal</t>
  </si>
  <si>
    <t>PORTO FRANCO/MA</t>
  </si>
  <si>
    <t>ADMB-CT13</t>
  </si>
  <si>
    <t>21/08/2024 - Informações do novo contrato
21/08/2024 - enviou do anexo 6 para o cliente
22/08/2024 - programas legais solicitado a salubritar
06/09/2024 - programas legais recebido da salubritar e enviado para o cliente
06/09/2024 - PGR cadastrado no sistema
09/09/2024 - PCMSO cadastro no sistema, concluida mobilização</t>
  </si>
  <si>
    <t>wantuil.oliveira@phdnegenharia.eng.br</t>
  </si>
  <si>
    <t>CARD-CT11</t>
  </si>
  <si>
    <t>11/09/2024 - Pendente somente a assinatura do contrato.</t>
  </si>
  <si>
    <t>MARANHÃO/MA</t>
  </si>
  <si>
    <t>PHDL-CT01</t>
  </si>
  <si>
    <t xml:space="preserve">26/08/2024 - Informações do contrato via e-mail
28/08/2024 - Reunião de kickoff
30/08/2024 - dados solicitado ao cliente
02/09/2024 - Programas legais solicitado a salubritar
03/09/2024 - anexo 6 enviado
11/09/2024 - Programas legais recebido da salubritar e enviado ao cliente
16/09/2024 - Retorno do cliente, solicitando readequaçõa nos programas legais
16/09/2024 - Programas legais enviado para o cliente corrigido
23/09/2024 - postagem dos programas legais
25/09/2024 - retorno do cliente para readequação nos programas legais
26/09/2024 - Programas legais readequado e enviado para o cliente
26/09/2024 - aprovado mobilização concluida
</t>
  </si>
  <si>
    <t>CONSÓRCIO BALI-PAINEIRA</t>
  </si>
  <si>
    <t>CONGONHAS/MG</t>
  </si>
  <si>
    <t>BALI-CT01</t>
  </si>
  <si>
    <t xml:space="preserve">23/07/2024 - Informações do novo contrato.
01/08/2024 - Reunião de kick off.
06/08/2024 - Aguardando retorno do cliente sobre o resposánvel por mobilização.
12/08/2024 - Aguardando o retorno do cliente referente ao processo de mobilização.
14/08/2024 - Conversei  com o Marco Aurélio da Bali, ele me informo que iria verificar e que me retorna no dia 16/08.
20/08/2024 - Solicitei novo posicionamento para o Marco Aurélio da Bali, mas sem sucesso. Enviei o contrato assinado para ele e pedi novamente que verificasse como será o processo de mobilização. Previsão de retorno dada por ele: 22/08.
23/08/2024 - Sem nenhum retorno do Marco Aurélio, solicitei apoio do Lucas Ferraz.
28/08/2024 - Seguimos sem nenhum retorno do clientem portanto o processo de mobilização está paralisado.
05/09/2024 - Conforme contato com o Lucas Ferraz hoje (05/09), não é necessário documentação específica para mobilizarmos a empresa, portanto irei dar baixa no processo como concluído. No processo de mobilização do colaborador será necessário apresentarmos somente o vínculo do colaborador com a PHD.
</t>
  </si>
  <si>
    <t>BARÃO DE COCAIS</t>
  </si>
  <si>
    <t>RIO PIRACICABA</t>
  </si>
  <si>
    <t>5500115177 – 5900118971</t>
  </si>
  <si>
    <t>28/10/2024 - Cliente sinalizou pendência nos programas. Direcionado para a clinica e enviado o arquivo atualizado nesta data.
29/10/2024 - Cliente sinalizou nova divergência nos programas.Direcionado para a clinica e enviado o arquivo atualizado nesta data.
04/11/2024 - Contrato Mobilizado.</t>
  </si>
  <si>
    <t xml:space="preserve"> lucas.ferraz@phdengenharia.eng.br</t>
  </si>
  <si>
    <t xml:space="preserve">NOVA LIMA </t>
  </si>
  <si>
    <t xml:space="preserve">5500092289 - 5900095372 </t>
  </si>
  <si>
    <t>03/10/2024 - Aguardando o contrato entre a IMC Saste x Vale.
23/10/2024 - Conforme contato com o Lucas Ferraz, o contrato entre IMC Saste x Vale está assinado.
24/10/2024 - Solicitei novamente para a Ana Rosa da IMC Saste as informações contratuais entre IMC X Vale. Sem as informações não conseguimos dar inicio no processo de mobilização.
25/10/2024 - Recebemos a informação do Christian da IMC que a Ana Rosa não pertence mais a equipe IMC, portanto foi nos encaminhado um novo contato para mobilização, sendo a Poliana. 
O anexo 6 foi reencaminhado para a Poliana na data citada. Foi solicitado também os dados contratuais entre a IMC x Vale para elaborarmos os programas legais baseados na obra, estamos no aguardo do retorno.
30/10/2024 - Cliente ainda não enviou as informações do contrato para elaboração dos programas legais. Estamos cobrando via Watzaap e E-mail.
01/11/2024 -Cliente enviou a informação faltante por e-mail.
01/11/2024 - Solicitado para a clinica AVAL a criação dos programas legais.
11/11/2024 - Clinica enviou os progrmas com local divergente do informado
11/11/2024 - Clinica solicitou espefificação das Minas que serão abrangidas, solicitação feita ao cliente e encaminhada para a clinica nesta data.
14/11/2024 - Programas legais enviados para o cliente nesta data
30/11/2024 - Programas aprovados</t>
  </si>
  <si>
    <t xml:space="preserve">Ouro Branco </t>
  </si>
  <si>
    <t>04/11/2024 - Contato feito com o cliente e solicitado as informações necessárias para a elaboração dos progrmas legais.
07/11/2024 - Cliente retorna com o agendamento dostreinamentos.
08/11/2024 - Cliente direciona para outro responsavel enviar as informações para elaboração dos programas legais.
11/11/2024 - Recebidas as informações faltantes  do cliente.
11/11/2024 - Solicitado a clinica a elaboração dos programas legais. Prazo de 07 dias
27/11/2024 - programas liberados 
28/11/2024 - programas salvos na pasta, para o cliente Gerdau não há postagem de programas, precisamos deles para emitir os ASOs.</t>
  </si>
  <si>
    <t>ANGLO GOLD</t>
  </si>
  <si>
    <t>CIMC-CT09</t>
  </si>
  <si>
    <t>097/261/2024</t>
  </si>
  <si>
    <t xml:space="preserve">31/10/2024 - Informações do contrato via e-mail
04/11/2024 - Conforme alinhado com Leonardo, aguardar o kickoff para entrar em contato com o cliente
08/11/2024 - Retorno do Leo , reunião de kickoff agendada para 11/11/2024
11/11/2024 - Contato com o cliente
12/11/2024 - dados recebido do cliente
13/11/2024 - solicitado para aval elabração dos programas legais
13/11/2024 - envio do anexo 6
14/11/2024 - pendente contrato assinado
22/11/2024 - contrato assinado, enviado para o cliente
25/11/2024 - programas legais recebido da clinica Aval e enviado ao cliente.
29/11/2024 - Aguardo conclusão da subcontratação para processo de mobilização
02/12/2024 - processo de subcontratação em analise
10/12/2024 - processo de subcontratação em analise
17/12/2024 - Retorno do cliente informando que a a PHD não foi aprovada para exercer atividades dentro do site de obras. Dessa forma, eles cancelaram o processo de mobilização da empresa.
18/12/2024 - informação repassada para o Leonardo
10/01/2025 - cancelado, confirmado por Leo via whats
</t>
  </si>
  <si>
    <t>NÓBREGA PIMENTA</t>
  </si>
  <si>
    <t>PONTAL</t>
  </si>
  <si>
    <t>Programas reenviados em 19/19/2022, Programas aprovados, aguardando atualização do crachá. (Eduardo Eller).</t>
  </si>
  <si>
    <t xml:space="preserve">02/07/2024  - Informação via chamado do profissional que será mobilizado pela PHD Engenharia
14/11/2024 - solicitado para aval elabração dos programas legais
14/11/2024 - anexo 06 enviado
18/11/2024 - mobilização e programas legais foi paralisado , conforme informado por Wantuil.
29/11/2024 - mobilização cancelada conforme informado por Wantuil via whats
</t>
  </si>
  <si>
    <t>Poços de Caldas</t>
  </si>
  <si>
    <t>5500116749 / 5900121089</t>
  </si>
  <si>
    <t>22/11/2024 - E-mail de novo contrato
22/11/2024 - Contato inicial com o cliente para solicitar o contato do responsável pela mobilização.
25/11/2024 - Aguardando retorno do cliente
26/11/2024 - Cliente retorna com as informações do contrato
26/11/2024 - Anexo 06 enviado para cliente iniciar a subcontratação
26/11/2024 - Programas legais solicitado para a clinica.
09/12/2024 - Programas legais enviados para o cliente
18/12/2024 -Programas legais reprovados pela Vale.
19/12/2024 - Direcionado para a clinica AVAL realizar a correção.
23/12/2024 - programas corrigidos enviados para o cliente
27/12/2024 - programas reprovados pela segunda vez - Direcionado para correção da Aval
30/12/2024 - Programas revisados enviados para o cliente
02/01/2024 - Programas aprovados.</t>
  </si>
  <si>
    <t xml:space="preserve">GERDAU </t>
  </si>
  <si>
    <t>Pindamonhangaba</t>
  </si>
  <si>
    <t>GERD-CT09</t>
  </si>
  <si>
    <t xml:space="preserve">29/11/2024 - No final do dia recebemos a informação da necessidade da mobilização, pois no e-mail constava que não precisava de mobilização.
29/11/2024 - Enviado e-mail para tentativa de contato e informações sobre a mobilização.
02/12/2024 - Subcontratação da PHD Assessoria pela PHD Engenharia, pois os profissionais a serem mobilizados são da PHD Assessoria e o contrato foi firmado com a Engenharia.
12/12/2024 - Gerdau não precisa postar os programas legais para mobilizar a empresa, os programas legais seão necessários para realização do ASO.
</t>
  </si>
  <si>
    <t>JHSF</t>
  </si>
  <si>
    <t xml:space="preserve">10/12/2024- e-mail recebido com informações do contrato
10/12/2024 - Contato com o cliente
16/12/2024 - retorno do cliente
16/12/2024 - Solicitação de dados ao cliente para elaboração dos programas legais
17/12/2024 - Anexo 6 enviado
18/12/2024 - aguardando dados do cliente para elaboração dos programas legais
23/12/2024 - Enviado a certidão simplificada que estava pendente.
02/01/2025 - dados recebido do cliente e solicitado para aval elabração dos programas legais
10/01/2025 - programas legais recebido da Aval
13/01/2025 - solicitado para Aval readequação nos programas legais pelo o Felipe
14/01/2025 - correção enviada pela Aval, validada por Felipe para seguir com envio ao cliente. Programas enviada para o cliente
14/01/2025 - programas validados pelo o cliente
</t>
  </si>
  <si>
    <t>Maracanaú - CE</t>
  </si>
  <si>
    <t>19/12/2024 - Contrato foi firmado em 30/04/2024, porém, não foi sinalizado a necessidade de mobilização.
19/12/2024 - Chamado de mobilização foi aberto no final do dia 18/12.
19/12/2024 - Necessário Subcontratação da PHD Assessoria pela PHD Engenharia, pois os profissionais a serem mobilizados são da PHD Assessoria e o contrato foi firmado com a Engenharia.
19/12/2024 - contato feito com o cliente.
19/12/2024 - Iniciada as tratativas no bancodoc.
19/12/2024 - Programas legais solicitados.
20/12/2024 - feita a subcontratação da PHd Engenharia na unidade cearense 
20/12/2024 - Aguardando Pedro Nery assinar o termo de subcontratação para inicar a subcontrataçaõ da PHD Assessoria.
27/12/2024 - Subcontratação finalizada no bancodoc.
26/12/2024 - Como os programas nao são enviados, podemos considerar a mobilização da empresa finalizada</t>
  </si>
  <si>
    <t xml:space="preserve">Ar Clean </t>
  </si>
  <si>
    <t>AWS</t>
  </si>
  <si>
    <t>23/12/2024 - e-mail enviado para o comercial informar qual CNPJ deve ser usado.
26/12/2024- Direcio
10/01/2025 - conforme retorno do Eduardo não será necessario mobilização</t>
  </si>
  <si>
    <t>14/01/2025 - E-mail recebido com informações do contrato
15/01/2025 - E-mail enviado solicitando dados do cliente
16/01/2025 - Retorno do cliente, informando que as informações estarão na minuta que esta sendo elaborada
16/01/2025 - Anexo 6 enviado para o cliente
17/01/2025 - Dados recebido do cliente,enviado para Felipe solicitar programas legais
17/01/2025 - Solicitado elaboração dos programas para Aval
23/01/2025 - Envio dos programas legais para o cliente
29/01/2025 - Aguardando contrato assinado pra processo de mobilização
04/02/2025 - Aguardando contrato assinado pra processo de mobilização
10/02/2025 - Aguardando contrato assinado pra processo de mobilização
17/02/2025 - Aguardando contrato assinado pra processo de mobilização
25/02/2025 - Aguardando contrato assinado pra processo de mobilização
27/02/2025 - Aguardando contrato assinado pra processo de mobilização
07/03/2025 - Contrato assinado, aguardando aprovação da subcontratação para o processo de mobilização
13/03/2025 - Subcontratação aprovada, Programas postados no SGC, em analise
15/03/2025 - Conclusão da mobilização</t>
  </si>
  <si>
    <t>URBIA</t>
  </si>
  <si>
    <t>16/01/2025 - e-mail recebido com informações do contrato
16/01/2025 - e-mail enviado solicitando dados do cliente
17/01/2025 - Dados recebido do cliente, enviado para Felipe solicitar programas legais
17/01/2025 - Anexo 6 enviado para o cliente
17/01/2025 - solicitado elaboração dos programas para Aval
28/01/2025 - Programas legais enviado para o cliente, pendente contrato assinado
30/01/2025 - aguardando retorno do cliente referente ao status da mobilização, pendente contrato assinado
04/02/2025 - aguardando retorno do cliente referente ao status da mobilização, pendente contrato assinado
17/02/2025 - aguardando retorno do cliente referente ao status da mobilização, pendente contrato assinado
25/02/2025 - Informação recebida via whats do cliente, infromando que os programas foram postados dia 28/01 e aprovados 25/02.</t>
  </si>
  <si>
    <t>CKTR</t>
  </si>
  <si>
    <t>Brumadinho -MG</t>
  </si>
  <si>
    <t>CKTR-CT01</t>
  </si>
  <si>
    <t>14/01/2025 - solicitado os programas legais
15/01/2025 -Anexo 06 enviado 
Contrato cancelado</t>
  </si>
  <si>
    <t xml:space="preserve">14/01/2025 - solicitado os programas legais
15/01/2025 -Anexo 06 enviado 
Contrato cancelado, conforme sinalizado pelo gestor do contrato </t>
  </si>
  <si>
    <t>Contagem - MG</t>
  </si>
  <si>
    <t>21/01/2025 - enviado e-mail para gestor informar qual empresa será mobilizada
22/01/2025 - enviado e-mail para cliente - Aguardando retorno sobre o responsavel pela mobilização.
24/01/2025 - Feito contato por Watsapp com o cliente, aguardando retorno
29/01/2025 -29/01/2025 - Gestor informou que  kick off ainda não foi realizado para sabermos se haverá mobilização.
31/01/2025 -  kick off realizado.
31/01/2025 - Enviado e-mail para o cliente - solicitado informações para elaboração dos programas legais.
04/02/2025 -retorno do cliente com parte dos dados solicitados.
05/02/2025 - Programas legais solicitados.
11/02/2025 - Anexo 06 enviado.
14/02/2025 - Pendente dados para finalização dos programas legais(número do contrato), cliente não enviou.
19/02/2025 - Coordenador Lucas informou que o contrato está paralisado, ainda não foi assinado.
21/02/2025 - Recebemos a informação de que o contrato foi cancelado</t>
  </si>
  <si>
    <t>21/01/2025 - enviado e-mail para gestor informar qual empresa será mobilizada
22/01/2025 - enviado e-mail para cliente
29/01/2025 - Gestor informou que  kick off ainda não foi realizado para sabermos se haverá mobilização.
31/01/2025 -  kick off realizado.
11/02/2025 - Anexo 06 enviado.
14/02/2025 - Pendente dados para finalização dos programas legais(número do contrato), cliente não enviou.
19/02/2025 - Coordenador Lucas informou que o contrato está paralisado, ainda não foi assinado
21/02/2025 - Recebemos a informação de que o contrato foi cancelado</t>
  </si>
  <si>
    <t>Jundiaí - SP</t>
  </si>
  <si>
    <t xml:space="preserve">22/01/2025 -E-mail recebido com informações do contrato
24/01/2025 - Aguardando kick off para iniciar o processo
28/01/2025 - Kick off agendado 31/01
03/02/2025 - Contato com o cliente
04/02/2024 - Dados solicitado ao cliente,para elaboração dos programas legais
18/02/2025 - Dados recebidos do cliente
18/02/2025 - Solicitaçao de elaboração dos programas legais para aval
19/02/2025 - Reunião de mobilizaçao com o cliente
19/02/2025 - Informaçao do cliente que não é necessario o envio do anexo 6
21/02/2025 - Programas legais recebido da clinica Aval
25/02/2025 - Programas legais recebido do Felipe e enviado para o cliente
25/02/2025 - Programas em analise pelo o cliente
06/03/2025 - Solicitação de readequação do cliente no PCMSO(RISCOS)
07/03/2025 - Recebido da Aval e enviado ao cliente
12/03/2025 - Pendencia nos programas nos dados do cliente final. Solicitado readequação para clinica Aval
14/03/2025 - Recebido da Aval,enviado para o cliente
17/03/2025 - Pendencia nos programas
18/03/2025 - Solicitado readequação para clinica aval
19/03/2025 - Programas atualizados e enviado para o cliente
20/03/2025 - PCMSO aprovado
</t>
  </si>
  <si>
    <t xml:space="preserve">23/01/2025 - Informações do novo contrato
23/01/2025- Solicitação de dados para elaboração dos programas legais, envio do anexo 6
28/01/2025 - Dados recebidos do cliente, enviado para Felipe solicitar programas legais
29/01/2025 - Programas legais solicitado pra clinica aval
29/01/2025 - Anexo 6 enviado
07/02/2025 - Programas legais recebido da aval e enviado para o cliente
10/02/2025 - Postagem dos programas
12/02/2025 - Aguardando analise
17/02/2025 - Solicitação de adequação nos programas Legais - Riscos/dados da contratante
18/02/2025 - Programas legais readequados e enviados
19/02/2025 - Pendencia no PCMSO contratante sendo a construcap e o correto e a Arclean, aso sem assinatura
20/02/2025 - Corrigido e enviado novamente
24/02/2025 - Programas legais aprovados
</t>
  </si>
  <si>
    <t>Goiasa</t>
  </si>
  <si>
    <t xml:space="preserve">13/02/2025 - Informações do novo contrato
17/02/2025 - kick off 
17/02/2025 - Conforme informado por Leo, será agendado uma reunião de mobilização
20/02/2025 - contato do cliente passado por LEO
21/02/2025 - Conforme o cliente nos passou os dados para elaboração dos programas serão fornecidos após a aprovação do pedido de compra, nesse caso não tem como iniciar o processo .
24/02/2025 - Dados recebido do cliente, solicitado para clinica Aval elaboração dos programas legais
26/02/2025 - Acesso criado para processo de mobilização ( VERTECH )
27/02/2025 - Anexado CNPJ e alteração contratual
06/03/2025 - CNPJ rejeitado devido ao pedido de compra entre a Goiasa e PHD ser da Engenharia, informação repassada para o Leo 
06/03/2025 - Programas legais recebido da Aval
10/03/2025 - Em processo de alteração do CNPJ no pedido de compra
17/03/2025 - Em processo de alteração do CNPJ no pedido de compra
21/03/2025 - Pedido de compra atualizado com CNPJ da Assessoria
21/03/2025 - Programas legais postado no sistema VERTECH
31/03/2025 - Conforme informação da Goiasa, não será utilizado os programas, progrmas retirado do sistema nesse caso a mobilização fica concluida no dia do cadastro 21/03
</t>
  </si>
  <si>
    <t>18/02/2025 - Chamado aberto no bancodoc para cadastro da nova unidade de Divinopolis.
18/02/2025 - Aguardando correção da ordem de compra que veio com os dados errados.
18/02/2025 - Informação de subcontratação repassada para o gestor
19/02/2025 -  unidade de Divinopolis liberada no bancodoc.
19/02/2025 -  Informação de cadastro no bancodoc repassadas para o fornecedor. Ressalto que a mobilização do fornecedor no bancodoc deve ser feita por ele mesmo.
19/02/2025 - Enviado e-mail para o gestor Gerdau  realizar a vinculação do contrato no bancodoc.
19/02/2025 - Ordem de ccompra corrigida
20/02/2025- Vinculação feita no bancodc
20/02/2025 - Recebida por e-mail a informação de que será necessário mobilizar 02 pessoas  da Assessoria.
20/02/2025 - Iniciada a  Subcontratação da PHD Assessoria pela PHD Soluções em Engenharia, pois os profissionais são da Assessoria
20/02/2025 - Carta de subcontratção enviada para Armando assinar.
20/02/2025 - Programas legais solicitados.
20/02/2025 - Enviado a Carta de subcontratação para o cliente realizar a subcontratação da PHD Assessoria
21/02/2025 -  Subcontratação da Assessoria finalizada no bancodoc</t>
  </si>
  <si>
    <t>ISAC HORTA</t>
  </si>
  <si>
    <t>isac.horta@phdengenharia.eng.br</t>
  </si>
  <si>
    <t>São Gonçalo do Rio Abaixo-MG</t>
  </si>
  <si>
    <t>ATER-CT02</t>
  </si>
  <si>
    <t xml:space="preserve">24/02/2025 - Enviado e-mail para o cliente, solicitando os dados para elaboração do programas legais.
25/02/2025 - Enviado Anexo 06
25/02/2025 - Aguardando dados do cliente para elaboração dos programas legais.
07/03/2025 - Aval liberou os programas legais.
07/03/2025 - Aguardando Felipe conferir os programas legais, para envio ao cliente 
10/03/2025 - Programas legais enviados.
12/03/2025 - Aguardando retorno do cliente
14/03/2025 - Cliente informou que o contrato ainda não foi assinado. Programas legais serão postados somente após o contrato ser assinado.
26/03/2025 - Contrato assinado.
08/04/2025- Programas legais reprovados - direcionado para Felipe verificar junto a clinica.
14/04/2025 - Programas legais enviado para o cliente.
15/04/2025 - Cliente retorna informando que o nome do getor vale mudou.
17/04/2025 - Programas legais atualizados e enviados para o cleinte.
28/04/2025 - Mobilização cancelada, o cliente informou que não será necessario mobilização, pois o profisisonal é socio cotista e será transferido
</t>
  </si>
  <si>
    <t>ARCELORMITTAL</t>
  </si>
  <si>
    <t xml:space="preserve">21/03/2025 - Enviado e-mail para o gestor, perguntando sobre qual empresa será mobilizada e se já podemos iniciar contato com o cliente.
24/03/2025 - Enviado e-mail para o cliente, solicitando os dados para elaboração dos programas legais.
25/03/2025 - Cliente ficou de verificar se será necessário a mobilização do profissional da PHD.
26/03/2025 - Aguardando retorno do cliente.
02/04/2025 - Gestor informou que essa mobilização não é prioridade.
02/04/2025 - Aguardando retorno  dele.
16/04/2025- Cliente pediu para seguir com a mobilização. Programas legais solicitados.
23/04/2025 - Programas legais enviados para o cliente
06/05/2025 - Conforme informação do cliente não será mais necessario o processo de mobilizaçao
</t>
  </si>
  <si>
    <t>20/03/2025 -E-mail recebido com informações do contrato
25/03/2025 - Contato com o cliente
31/03/2025 - Postagem dos documentos aguardando analise
04/04/2025 - Documentos em analise
09/04/2025 - Documentos em analise
10/04/2025 - Mobilizaçao concluida</t>
  </si>
  <si>
    <t xml:space="preserve">ELEVAÇÃO </t>
  </si>
  <si>
    <t xml:space="preserve">VALE </t>
  </si>
  <si>
    <t xml:space="preserve">24/03/2025 - Aberto chamado para a mobilização de 4 profissionais.
25/03/2025 - Pendente o e-mail de novo contrato
25/03/2025 - Pendente contrato assinado. 
25/03/2025 - Solicitado para o coordenador o contato dos responsavéis pelo contrato, para termos as informações para elaboração dos programas legais.
26/03/2025 - Cliente retornou com parte das informações.Informações direcioandas para Felipe solicitar os programas legais para a Aval.
27/03/2025 - Cliente disse que CNPJ mudou, aguardando a confrimação do cliente para pedir os programas legais com os dados corretos.
27/03/2025 - PGR enviado na parte da tarde, direcionado para Felipe solicitar a Aval.
27/03/2025 - Anexo 06 enviado.
04/04/2025 - Pendente a informação sobre o endereço da OBRA, necessário o envio por parte do cliente. Aguardando retorno.
08/04/2025 - Programas legais pendentes.
09/04/2025 - Programas legais liberados pela AVAL e enviado para o cliente.
23/04/2025 - Contrato assinado.
30/04/2025 -Mobilização concluida
</t>
  </si>
  <si>
    <t>PLANCCOR</t>
  </si>
  <si>
    <t>COAMO</t>
  </si>
  <si>
    <t>Dourados-MS</t>
  </si>
  <si>
    <t>PCOR-CT01</t>
  </si>
  <si>
    <t>26/03/2025 - Informações do novo contrato
28/03/2025 - E-mail para o cliente solicitando dados para o inicio do processo de mobilização
28/03/2025 - Terá a reunião de kick off 
01/04/2025 - Aguardando retorno do cliente
04/04/2025 - E-mail o gestor informando que estou aguardando o retorno do cliente(enviado e-mail e contato  pelo o whats)
07/04/2025 -  Aguardando retorno do cliente 
07/05/2025 - Cliente retornou pedindo os programas da PHD,enviamos o da sede foi aprovado.</t>
  </si>
  <si>
    <t>Congonhas-MG</t>
  </si>
  <si>
    <t>28/03/2025 - Enviado e-mail para o cliente.
Kick off ainda não foi realizado
02/04/2025 - cliente não retornou
04/04/2025 - Cliente informou que não será necessário a apresentação de programas legais especificos para a Obra.
Será enviado o da sede, juntamente com o ASO.
10/04/2025 - Programas legais da SEDE enviados.</t>
  </si>
  <si>
    <t xml:space="preserve">07/04/2025 - Informações do novo contrato
07/04/2025 - Enviado e-mail para o gestor, perguntando sobre qual empresa será mobilizada e se já podemos iniciar contato com o cliente.
08/04/2025 - Enviado e-mail para o cliente, solicitando os dados para elaboração dos programas legais.
10/04/2025 - Aguardando retorno do cliente
11/04/2025 - Informações recebida do cliente
11/04/2025 - Solicitado programas legais pra Felipe
14/04/2025 - Programas solicitados para Aval
14/04/2025 - Envio do anexo 6
14/05/2025 -Retorno do cliente , como não será mobilizado profissional, não tem necessidade de mobilizar a PHD
</t>
  </si>
  <si>
    <t>Bemisa</t>
  </si>
  <si>
    <t>Antônio Dias</t>
  </si>
  <si>
    <t>08/04/2025 - Enviado e-mail para gestor informar qual empresa será mobilizada e se já podemos inciar contato com o cliente -&gt;aguardando retorno.
08/04/2025 - Gestor informou que vamos aguardar a reunião de kick off  
14/04/2025 - Solicitado os programas legais para o Felipe.
23/04/2025 - Programas legais e documentos enviados 
25/04/2025 - Programas legais aprovados</t>
  </si>
  <si>
    <t>08/04/2025 - Enviado e-mail para gestor informar qual empresa será mobilizada e se já podemos inciar contato com o cliente -&gt;aguardando retorno.
08/04/2025 - Gestor informou que vamos aguardar a reunião de kick off  
14/04/2025 - Solicitado os programas leagis para o Felipe.
23/04/2025 - Programas legais e documentos enviados.
25/04/2025 - Programas legais aprovados</t>
  </si>
  <si>
    <t xml:space="preserve">22/04/2025 - E-mail "Novo Contrato" 
28/04/2025 - Conforme informaçao do cliente, os programas legais do contratao ainda está sendo elaborado
28/04/2025 - Pendente número do contrato e gestor para elaboração dos programas legais
29/04/2025 - Programas legais solicitado para aval, porém pendente número do contrato e gestor
13/05/2025 - Contrato assinado
13/05/2025 - Retorno do cliente que ainda não tem as informaçoes( número do contrato e gestor)
17/05/2025 - Informaçaoes recebida do cliente para elaboração dos programas
29/05/2025 - Programas recebido da Aval, pendente assinatura
04/06/2025 - Programas legais assinados e enviado para o cliente
09/06/2025 - Aguardando retorno do cliente sobre a analise dos programas legais.
12/06/2025 - Aguardando retorno do cliente sobre a analise dos programas legais.
13/06/2025 - Retorno do cliente com pendencia nos programas legais, solicitado adequação para AVAL
16/06/2025 - Programas corrigidos recebidos da aval
18/06/2025 - Programas corrigidos enviado pro cliente
23/06/2025 - Aguardando retorno do cliente sobre a anaise dos programas
30/06/2025 - Aguardando retorno do cliente sobre a anaise dos programas
04/07/2025 - Aguardando retorno do cliente sobre a anaise dos programas
08/07/2025 - PGR aprovado, PCMSO postado, em analise
11/07/2025 - Aguardando retorno do cliente sobre a analise do PCMSO
16/07/2025 - Retorno do cliente que PCMSO foi aprovado
</t>
  </si>
  <si>
    <t>Mara Rosa - GO</t>
  </si>
  <si>
    <t>09/05/2025 - E-mail "Novo Contrato" 
13/05/2025 - Reunião de kick off
13/05/2025 - Contato com o cliente via e-mail
14/05/2025 - Retorno do cliente com dados para elaboraçao dos programas legais
14/05/2025 - Solicitado elaboraçao dos programas legais
14/05/2025 - Envio do CNPJ  
22/05/2025 - Programas legais recebido da Aval e enviado para o cliente
26/05/2025 - Pendente contrato assinado
11/06/2025 - Contrato assinado, enviado para o cliente para processo de subcontratação da empresa
13/06/2025 - Inicio do processo de subcontratação
17/06/2025 - Subcontratação Aprovada
18/06/2025 - Cadastro da empresa no SGC
19/06/2025 - Empresa aprovada no SGC, Programas legais postados
20/06/2025 - Programas legais aprovados</t>
  </si>
  <si>
    <t>09/05/2025 - E-mail "Novo Contrato" 
13/05/2025 -  E-mail enviado para o cliente 
15/05/2025 - Retorno do cliente com email da pessoa responsavel pela mobilização
19/05/2025 - Dados recebido do cliente para elaboração dos programas
19/05/2025 - Solicitado elaboraçao dos programas legais para Felipe
21/05/2025 - Felipe solicitou programas para aval
30/05/2025 - recebido da Aval
02/06/2025 - Programas legais enviados pro cliente
11/06/2025 - Contrato assinado, enviado para o cliente para processo de subcontratação da empresa
26/06/2025 - Retorno do cliente com pendencia nos programas legais
27/06/2025 - Programas readequado e assinado pelo  o Armando
03/07/2025 - Enviado para o cliente pelo o Felipe
04/07/2025 - Retorno do cliente que a mobilização foi concluida</t>
  </si>
  <si>
    <t>Cajamar - SP</t>
  </si>
  <si>
    <t xml:space="preserve">13/05/2025 - E-mail "Novo Contrato" 
15/05/2025 -  E-mail enviado para o cliente 
15/05/2025 - E-mail para o cliente solicitando os dados para elaboração dos programas legais 
20/05/2025 - E-mail para o cliente solicitando os dados para elaboração dos programas legais 
22/05/2025 - E-mail para o cliente solicitando os dados para elaboração dos programas legais 
26/05/2025 - E-mail para o cliente solicitando os dados para elaboração dos programas legais 
26/05/2025 - Dados recebidos do cliente, solicitando programas legais pra Felipe
27/05/2025 - Programas solicitado para aval por Felipe
09/06/2025 - Programas recebidos da aval, enviado para assinatura do Armando
11/06/2025 - Programas legais assinado recebido e enviado ao cliente
</t>
  </si>
  <si>
    <t>Barcarena-PA</t>
  </si>
  <si>
    <t xml:space="preserve">14/07/2025 - E-mail "Novo Contrato" 
15/07/2025 - Reunião de kick off
17/07/2025 - Anexo 6 enviado,solicitado dados para elaboração dos programas legais
21/07/2025 - Dados recebido do cliente e solicitado, elaboração dos programas para aval
28/07/2025 - Programas recebidos da clinica Aval, enviado ao cliente
28/07/2025 - Postados documentos
31/07/2025 - Solicitado plano de saude
01/08/2025 - Aprovados documentos pela Hydro
</t>
  </si>
  <si>
    <t xml:space="preserve">16/07/2025 - E-mail "Novo Contrato" 
16/07/2025 - Reunião de kick off
16/07/2025 - Solicitado dados para elaboração dos programas legais
21/07/2025 - Dados recebido do cliente e solicitado, elaboração dos programas para aval
28/07/2025 - Programas recebidos da clinica Aval
30/07/2025 - Contrato assinado, cadastro feito na plataforma de mobilização
31/07/2025 - Reunião de mobilização sobre a postagem dos docs
31/07/2025 - Postados programas legais
04/08/2025 - Pendencia nos programas legais
05/08/2025 - Readequado e recebido da clinica
06/08/2025 - Assinado e postado para analise
08/08/2025 - Documentos aprovados
</t>
  </si>
  <si>
    <t>Itabira/MG</t>
  </si>
  <si>
    <t xml:space="preserve">16/07/2025 - E-mail "Novo Contrato" 
16/07/2025 - Reunião de kick off
17/07/2025 - Anexo 6 enviado,solicitado dados para elaboração dos programas legais
21/07/2025 - Dados recebido do cliente e solicitado elaboração dos programas para aval
28/07/2025 - Programas recebidos da clinica Aval,  enviado ao cliente
28/07/2025 - Solicitado pelo cliente separar ART do PGR
29/07/2025 - Enviado ART e PGR separado
30/07/2025 - Solicitado pelo cliente adequação nos programas legais
30/07/2025 - Solicitado adequação para clinica aval
01/08/2025 - Programas corrigidos e enviado ao cliente
04/08/2025 - Retorno do Cliente solicitando readequação, local da obra e vigencia dos programas
05/08/2025 - Readequado e recebido da clinica
06/08/2025 - Assinado e enviado para o cliente
07/08/2025 - Postagem dos programas legais pelo o cliente
08/08/2025 - Retorno do cliente com pendencia, solicitado adequação pra Aval
12/08/2025 - Recebido da Aval novamente com pendencia
13/08/2025 - Readequado,enviado pro cliente
13/08/2025 - Documentos aprovados
</t>
  </si>
  <si>
    <t>Wantuil.oliveira@phdnegenharia.eng.br</t>
  </si>
  <si>
    <t>07/08/2025 - Informações do novo contrato
07/08/2025 - Enviado e-mail para o cliente, solicitando os dados para elaboração dos programas legais.
08/08/2025 - Anexo enviado
11/08/2025 - Dados recebido do cliente, solicitado elaboração dos programas legais
19/08/2025 - Programas recebido da Aval
20/08/2025 - Programas assinados e enviado ao cliente
25/08/2025 - Pendente contrato assinado
02/09/2025 - Pendente contrato assinado
04/09/2025 - Mobilização concluida com ficha cadastral interna</t>
  </si>
  <si>
    <t>28/08/2025 - Informações do novo contrato
01/09/2025 - Enviado e-mail para o cliente, solicitando os dados para elaboração dos programas legais.
03/09/2025 - Dados recebido, elaboração solicitada para aval
11/09/2025 - Programas legais recebido da clinica Aval, Enviado ao cliente
25/09/2025 - Contrato assinado
05/11/2025 - Programas aprovados</t>
  </si>
  <si>
    <t xml:space="preserve">28/08/2025 - Informações do novo contrato
08/09/2025 - Enviado e-mail para o cliente, solicitando os dados para elaboração dos programas legais.
16/09/2025 - Dados recebidos do cliente, solicitado elaboração dos programas
22/09/2025 - Programas legais recebidos da AVAL
23/09/2025 - Programas assinados e enviado ao cliente
25/09/2025 - Contrato assinado, inicio do processo de subcontratação da empresa
30/09/2025 - Sbcontratação aprovada, Programas postados no SGC
01/10/2025 - Mobilização concluída.
</t>
  </si>
  <si>
    <t>28/08/2025 - Informações do novo contrato
04/09/2025 - Enviado e-mail para o cliente, solicitando os dados para elaboração dos programas legais.
11/09/2025 - Dados recebidos do cliente, solicitado elaboração dos programas
17/09/2025 - Programas legais recebido da clinica Aval, Enviado ao cliente
17/09/2025 - Programas aprovados, mobilização concluída</t>
  </si>
  <si>
    <t>Marabá - PA</t>
  </si>
  <si>
    <t>17/09/2025 - Informações do novo contrato
17/09/2025 - Contato com o cliente
19/09/2025 - Plataforma disponivel para anexo dos documentos da empresa(Não foi feito programas especificos, aso conforme sede)
19/09/2025 - Documentos anexados no portal
25/09/2025 - Documentos Aprovados</t>
  </si>
  <si>
    <t>Ipojuca - PE</t>
  </si>
  <si>
    <t>15/10/2025 - Informações do novo contrato
16/10/2025 - Contato com o cliente
17/10/2025 - Envio do anexo 6 e programas legais da sede para analise
20/10/2025 - Não será necessário mobilização da empresa ,conforme informação do cliente, por ser uma mobilização rápida será feito apenas mobilização de funcionários</t>
  </si>
  <si>
    <t>15/10/2025 - Informações do novo contrato
16/10/2025 - Contato com o cliente, solciitado os dados
17/10/2025 - Dados recebidos, solicitado elaboração dos programas legais
20/10/2025 - Programas legais em processo de elaboração.
24/10/2025 - Programas recebido da aval e enviado ao cliente
05/11/2025 - Mobilização concluída</t>
  </si>
  <si>
    <t>13/10/2025 - Informações do novo contrato
13/10/2025 - Aguardando informações do cliente
20/10/2025 - Aguardando informações do cliente
28/10/2025 - Aguardando informações do cliente
07/11/2025 - Dados recebido do cliente, enviado para aval para elaboração dos programas
14/11/2025 - Programas recebido da aval
17/11/2025 - Programa enviado ao cliente
24/11/2025 - Retorno do cliente com pendencia no PCMSO, solicitado adequação para aval
26/11/2025 - PCMSO corrigido recebido da clinica
27/11/2025 - PCMSO Enviado ao cliente 
01/12/2025 - Programas aprovados</t>
  </si>
  <si>
    <t>06/11/2025 - Informações da mobilização kick off
07/11/2025 - Contato com o cliente
10/11/2025 - Dados recebidos do cliente
10/11/2025 - Programas solicitado elaboração
21/11/2025 - Programas legais recebido da clinica
24/11/2025 - Programas legais assinado e enviado ao cliente
05/01/2026 - Contrato assinado
13/01/2026 - Programas postado pelo o cliente
16/01/2026 - Programas aprovados</t>
  </si>
  <si>
    <t>Sapucaia do Sul - RS</t>
  </si>
  <si>
    <t>14/11/2025 - Chamado aberto de mobilização #267
14/11/2025 - Chamado aberto no bancodoc para cadastro da nova unidade de GAB - Usina Riograndense
14/11/2025 - Unidade de GAB - Usina Riograndense liberada no bancodoc.
14/11/2025 - Solicitado vinculação do contrato no bancodoc para o gestor
14/11/2025 - Pendente informações para elaboração dos programas legais
19/11/2025 - Dados recebidos, pendente CNPJ, solicitado elaboração programação legais
24/11/2025 - CNPJ recebido do cliente e enviado para clinica
24/11/2025 - Inicio da elaboração dos programas</t>
  </si>
  <si>
    <t>Rio de Janeiro-RJ</t>
  </si>
  <si>
    <t>14/11/2025 - Informação da mobilização
14/11/2025 - Chamado aberto no bancodoc para cadastro da nova unidade de GAB - Usina Cosigua
14/11/2025 - Unidade de GAB - Usina Cosigua liberada no bancodoc.
14/11/2025 - Solicitado vinculação do contrato no bancodoc para o gestor
14/11/2025 - Programas legais em processo de elaboração</t>
  </si>
  <si>
    <t>Garulhos-SP</t>
  </si>
  <si>
    <t>14/11/2025 - Informação da mobilização
14/11/2025 - Chamado aberto no bancodoc para cadastro da nova unidade de GAB - Unidade Cumbica
14/11/2025 - Unidade de GAB - Unidade Cumbica liberada no bancodoc.
14/11/2025 - Solicitado vinculação do contrato no bancodoc para o gestor
14/11/2025 - Aguardando dados para elaboração dos programas legais em processo de elaboração
19/11/2025 - Dados recebidos, solicitado elaboração programas legais
26/11/2025 - Programas legais recebido da aval
27/11/2025 - Programas postados no SGC</t>
  </si>
  <si>
    <t xml:space="preserve">24/11/2025 - Informação da mobilização
24/11/2025 - Dados recebidos do cliente, solicitado elaboração dos programas legais
02/12/2025 - Programas legais recebidos da aval, enviado ao cliente
04/12/2025 - Retorno do cliente programas legais com pendencia
04/12/2025 - Solicitado adequação para aval
09/12/2025 - Programas recebido da aval
09/12/2025 - Programas enviado ao cliente
09/12/2025 - Postado no SGCpara analise
09/12/2025 - Mobilização concluída
</t>
  </si>
  <si>
    <t xml:space="preserve">02/12/2025 - Informações da mobilização kick off
03/12/2025 - E-mail para cliente solicitando dados para elaborar programas legais
03/12/2025 - Dados recebido do cliente
03/12/2025 - Soliciado elaboração dos programas legais para Felipe
04/12/2025 - E-mail enviado para clinica solicitando elaboração dos programas
12/12/2025 - Programas legais recebido da clinica aval, postado no sistema de mobilização
16/12/2025 - Conclusão da postagem de todos os documentos da empresa postado no sistema
17/12/2025 - Retorno com pendencia
18/12/2025 - Será necessário a subcontratação da Assessoria. Cadastro excluido
18/12/2025 - Solicitado a Subcontatação para o cliente ( Realizar cadastro no sistema novamente pela Assessoria)
09/01/2026 - Subcontração da Assessoria cadastra no sistema
09/01/2026 - Documentos da Assessoria anexados no sistema para análise
12/01/2026 - Retorno com pendencia na PAE, elaborada e assinada por engenheiro de segurança
12/01/2026 - Solicitado elaboração para AVal
13/01/2026 - Orçamento recebido, em processo de elaboração
20/01/2026 - PAE recebida e postada
21/01/2026- Aprovado
</t>
  </si>
  <si>
    <t>10/12/2025 - Informações da mobilização kick off
10/12/2025 - E-mail para cliente solicitando dados para elaborar programas legais
12/12/2025 - Dados recebido do cliente
12/12/2025 - E-mail enviado para clinica solicitando elaboração dos programas legais
15/12/2025 - ART recebida e enviada para pagamento
16/12/2025 - ART paga, comp enviado para aval
17/12/2025 - Programas legais recebido da aval e postado no SGC
18/12/2025 - Retorno com pedencia, solicitado adequação para aval
18/12/2025 - Documentos enviados para subcontratação da Assessoria
19/12/2025 - Programas adequados recebido da aval,postados no SGC para analise
19/12/2025 - Mobilização concluída</t>
  </si>
  <si>
    <t xml:space="preserve">16/12/2025 - Informações da mobilização kick off
18/12/2025 - Contrato assinado
18/12/2025 - Solicitado para aval elaboração dos programas legais
18/12/2025 - Documentos enviados para subcontratação da Assessoria
22/12/2025 - Contrato cadastrado no SGC.
22/12/2025 - Programas legais recebidos Aval
22/12/2025 - Solicitado adequação
26/12/2025 - Programas recebido e postados
26/12/2025 - Pedencia vale
30/12/2025 - Programas adequados e postados
05/01/2026 - Retorno vale com pedencia, solicitado adequação para Aval
06/01/2026 - Recebido e postado nO SGC
07/01/2026 - Programas aprovados
</t>
  </si>
  <si>
    <t>12/01/2026 - Informação da mobilização
12/01/2026 - E-mail para cliente
13/01/2026 - Retorno do cliente ,pendente contrato asinado
15/01/2026 - Aguardando contrato assinado, pendente dados do cliente para elaborar programas legais
15/01/2026 - Contrato assinado, liberação do acesso para anexo de docs
19/01/2026 - Dados recebidos, programas solicitado elaboração pra clinica Aval
23/01/2026 - Programas legais recebido da Aval e postado para analise.
27/01/2026 - Mobilização concluída</t>
  </si>
  <si>
    <t>30/01/2026 - Kickoff, e-mail solicitando dados ao cliente
30/01/2026 - Na reunião a Gisele Vale informou que a subcontratação é um pouco morosa e leva por volta de 20 Dias
02/02/2026 - E-mail enviado novamente solicitando dados ao cliente 
02/02/2026 - Aguardando dados do cliente para elaboração dos programas legais
03/02/2026 - Mensagem enviada no whats para Gisele, retorno que os dados seria enviado no dia seguinte
04/02/2026 - E-mail enviado novamente solicitando dados ao cliente
04/02/2026 - Dados recebido da Vale para elaboração dos programas legais, solicitado para Aval
05/02/2026 - Boleto recebido da ART e enviado para pagamento
05/02/2026 - E-mail recebebido da Vale com Forms para preenchimento de Subcontratação. O Fornecedor deverá enviar as informações via Vale Forms pelo link: https://forms.office.com/r/ppBzs9Zmgq
Após o cadastro no SGC que é realizado pelo Núcleo de Mobilização.
06/02/2026 - Programas legais recebidos da Aval
10/02/2026 - Pendente cadastro no SGC que é realizado pelo Núcleo de Mobilização (VALE)
12/02/2026 - Cadastro do contrato no SGC pela VALE
12/02/2026 - Programas legais postados no SGC para analise MCT20260003731
12/02/2026 - Programas legais aprovados</t>
  </si>
  <si>
    <t>BRTECH</t>
  </si>
  <si>
    <t>ronaldo.machado@phdengenharia</t>
  </si>
  <si>
    <t>30/01/2026 - Kickoff, e-mail solicitando dados ao cliente
02/02/2026 - Aguardando dados do cliente para elaboração dos programas legais
04/02/2026 - Dados recebido da Vale para elaboração dos programas legais
06/02/2026 - Pendente programas legais 
10/02/2026 - Pendente programas legais/Pendente cadastro no SGC que é realizado pelo Núcleo de Mobilização (VALE)
12/02/2026 - Contrato cadastrado pela VALE no SGC
12/02/2026 - FORMS preenchido para Vale para processo de subcontratação
12/02/2026 - Coutinho da BRTECH, ligou com duvidas sobre o endereço da obra, pois na minuta estava o endereço de Marabá e eu enviei o endereço da obra de Canaã. Então ele que ia dar segmento na elaboração dos programas legais.
13/02/2026 - Pendente processo de subcontratação no SGC.
13/02/2026 - Subcontratação concluída
19/02/2026 - Programas legais recebidos
19/02/2026 - Programas legais sem a função do profissional que será mobilizado, grau de risco divergente, solicitado adequação para BRTECH
19/02/2026 - Chamado aberto 613
23/02/2026 - Programas recebidos, PCMSO sem a função sem a função do profissional que será mobilizado
23/02/2026 - Programas legais postados para analise no SGC MCT20260004468
26/02/2026 - Pendencia no PGR, necessário ser assinado por Engenheiro. PCMSO Aprovado.
27/02/2026 - PGR recebido corrigido e anexado para analise.
27/02/2026 - Mobilização concluída</t>
  </si>
  <si>
    <t>10/02/2026 - Cadastro realizado pelo o cliente no portal de mobilização
10/02/2026 - Programas legais em processo de elaboração
11/02/2026 - Programas legais recebido e postado para analise
11/02/2026 - Programas Legais postados no sistema para analise.
19/02/2026 - Pendencia nos Programas legais, solicitado adequação para AVAL
24/02/2026 - Adequação recebida da AVAL
24/02/2026 - Reenviado para aprovação novamente
27/02/2026 - Pendencia nos Programas legais, solicitado adequação para AVAL
02/03/2026 - Boleto enviado para pagamento
05/03/2026 - Recebido da AVAL e repostados para analise
09/03/2026 - Retorno com pendencia, repostado para analise
10/03/2026 - PGR aprovado , Pendencia no PCMSO
11/03/2026 - PCMSO recebido da AVAL e posatdo para analise.
11/03/2026 - Mobilizaçaõ concluída</t>
  </si>
  <si>
    <t>Rondinopolis MT</t>
  </si>
  <si>
    <t>11/02/2026 - Informações da mobilização kick off
11/02/2026  - Solicitado para aval elaboração dos programas legais
13/02/2026 - Boleto ART enviado para pagamento
20/02/2026 - Programas legais recebido da Aval, enviado ao cliente
20/02/2026 - Retorno do PCMSO , aprovado
25/02/2026 - Concluido, retorno do cliente</t>
  </si>
  <si>
    <t>AURIVERDE</t>
  </si>
  <si>
    <t>AURI-CT01</t>
  </si>
  <si>
    <t>11/02/2026 - E-mail recebida com informações do contrato
12/02/2026 -  E-mail enviado para o cliente solicitando dados para elaborar programas legais 
20/02/2026 - Kick off realizado
20/02/2026 -  E-mail reenviado para o cliente solicitando dados para elaborar programas legais 
25/02/2026 - Conforme retorno do cliente(Wanderlei) Não será necessário envio de documentos.</t>
  </si>
  <si>
    <t xml:space="preserve">12/02/2026 - E-mail recebida com informações do contrato
12/02/2026 -  E-mail enviado para o cliente solicitando dados para elaborar programas legais 
20/02/2026 -  E-mail reenviado para o cliente solicitando dados para elaborar programas legais 
23/02/2026 - Dados recebidos do cliente , solicitado eleboração dos programas para AVAL
23/02/2026 - Anexo 6 enviado
24/02/2026 Contrato assinado
26/02/2026 - Boleto ART enviado para pagamento
02/03/2026 - Programas legais recebido da AVAL
02/03/2026 - Enviado para assinatura
04/03/2026 - Programas legais enviado ao cliente
05/03/2026 - Retorno do cliente solicitado adequação, solicitado a AVAL
09/03/2026 - Programas adequados recebidos da AVAL
10/03/2026 - Pendencia indetificada pela PHD, solicitada adequação
10/03/2026 - Programas atualizados, enviado ao cliente
11/03/2026 - Retorno do cliente para incluir uma assinatura no PCMSO ( Gestor IMC)
12/03/2026 - PCMSO adequado e enviado
16/03/2026 - Postado para analise no cliente VALE ( SGC)
16/03/2026 - Pendencia nos programas legais
18/03/2026 - Recebido da AVAL, enviado para o cliente e postado
18/03/2026 -  Mobilização concluída.
</t>
  </si>
  <si>
    <t>24/02/2026 - Informações da mobilização
24/02/2026 - Solicitado eleboração dos programas legais
26/02/2026 - Boleto ART enviado para pagamento
02/03/2026 - Programas legais recebido da AVAL
03/03/2026 - Enviado para assinatura
04/03/2026 - Programas legais enviado ao cliente
05/03/2026 - Retorno do cliente solicitado adequação, solicitado a AVAL
09/03/2026 - Programas adequados recebidos da AVAL
09/03/2026 - Programas adequados recebidos da AVAL
10/03/2026 - Pendencia idetificada pela PHD, solicitada adequação
10/03/2026 - Programas atualizados, enviado ao cliente
11/03/2026 - Retorno do cliente para incluir uma assinatura no PCMSO ( Gestor IMC)
12/03/2026 - PCMSO adequado e enviado
16/03/2026 - Postado para analise no cliente VALE ( SGC)
19/03/2026 - Retorno do cliente que teria que ser contrato separado para os CNPJS da PHD
19/03/2026 - IMC enviou um formulario para preenchimento e tentar subcontratar a Engenharia
20/03/2026 - Formulario enviado ao cliente
30/03/2026 - Subcontratação realizada
30/03/2026 - Programas legais postados
31/03/2026 - Mobilização concluída</t>
  </si>
  <si>
    <t>julio.cesar@phdengenharia.eng.br</t>
  </si>
  <si>
    <t>Mina de Gongo</t>
  </si>
  <si>
    <t xml:space="preserve">27/02/2026 - Informações da mobilização kick off
27/02/2026 -  E-mail enviado para o cliente solicitando dados para elaborar programas legais 
02/03/2026 - Dados recebidos do cliente para elaboração dos programas legais
03/03/2026 - Solicitado eleboração dos programas legais para AVAL
03/03/2026 - Anexo 6 enviado ao cliente
09/03/2026 - Programas legais recebido da AVAL, enviado para assinatura
11/03/2026 - Assinado, enviado ao cliente
13/03/2026 - Pendente contrato assinado
20/03/2026 - Contrato assinado
23/03/2026 - Subcontratação enviada para analise.
26/03/2026 - Subcontratação aprovada, programas postados
27/03/2026 - Pedencia nos programas, solicitado adequação para AVAL
31/03/2026 - Programas legais recebido da Aval e enviado ao cliente
01/04/2026 - Mobilização concluída
</t>
  </si>
  <si>
    <t>CURRAIS NOVOS-RS</t>
  </si>
  <si>
    <t>17/03/2026 - Informação da mobilização, e-mail enviado a cliente solicitando dados para elaboração dos programas legais
18/03/2026 - E-mail enviado novamente para o cliente cobrando os dados para elaboração dos programas legais
20/03/2026 - Conforme informação do cliente não será necessário PGR/PCMSO, somente do PJ.</t>
  </si>
  <si>
    <t>17/03/2026 - Reunião inicial da mobilização
17/03/2026 - Conforme informação do cliente e simples a mobilização, inicio contrato assinado, após será possivel fazer o cadastro do profissional.
08/04/2026 - Pendente contrato assinado
15/04/2026 - Pendente contrato assinado
22/04/2026 - Pendente contrato assinado
29/04/2026 - Pendente contrato assinado
08/05/2026 - Contrato assinado</t>
  </si>
  <si>
    <t xml:space="preserve">27/02/2026 - Informações da mobilização kick off
27/02/2026 -  E-mail enviado para o cliente solicitando dados para elaborar programas legais 
02/03/2026 - Dados recebidos do cliente para elaboração dos programas legais
03/03/2026 - Solicitado eleboração dos programas legais para AVAL
03/03/2026 - Anexo 6 enviado ao cliente
09/03/2026 - Programas legais recebido da AVAL, enviado para assinatura
11/03/2026 - Assinado, enviado ao cliente
13/03/2026 - Pendente contrato assinado
20/03/2026 - Contrato assinado
23/03/2026 - Subcontratação enviada para analise.
31/03/2026 - Subcontratação aprovada.
31/03/2026 - Pendencia nos programas, solicitado adequação para AVAL
01/04/2026 - Programas legais adequados pela Aval e enviado ao cliente.
02/04/2026 - Postado no SGC, em analise.
06/04/2026 - Pendencia nos programas, solicitado adequação para AVAL
08/04/2026 - Programas legais adequados pela Aval e enviado ao cliente.
10/04/2026 - retorno pendencia no PCMSO, solicitado adequação para AVAL
13/04/2026 - Recebido da AVAL
14/04/2026 - Assinado e enviado ao cliente
17/04/2026 - Programas legais aprovados
</t>
  </si>
  <si>
    <t>SUPERUS</t>
  </si>
  <si>
    <t>SUPE-CT01</t>
  </si>
  <si>
    <t xml:space="preserve">11/05 2026 -  Informações da mobilização kick off
12/05/2026 - Dados solicitados ao cliente para elaboração dos programas legias, anexo 6 enviado
12/05/2026 - Cliente enviou informações parcial, pendente NR para elaborar os programas, Dirceu Eng de SSMA está externo
13/05/2026 - Recebido do cliente as informações pendente, solicitado elaboração dos programas para Aval
15/05/2026 - Boleto ART enviado para pagamento
18/05/2026 - Boleto ART pago
19/05/2026 - Programas legias liberado pela Aval, enviado ao cliente
29/05/2026 - Pendente contrato assinado
05/06/2026 - Pendente contrato assinado
12/06/2026 - Pendente contrato assinado
03/07/2026 - Não terá mobilização, conforme informado por Douglas Superus.
</t>
  </si>
  <si>
    <t>SÃO PAULO-SP</t>
  </si>
  <si>
    <t>ENGF-CT05</t>
  </si>
  <si>
    <t>22/05/2026 - Conforme informado por Ivano aguardar a reunião inicial</t>
  </si>
  <si>
    <t>19/05 2026 -  Informações da mobilização kick off
20/05/2026 - Dados solicitados ao cliente para elaboração dos programas legias
22/05/2026 - Dados recebido imcompletos
25/05/2026 - Informações pendente recebidas, solicitado elaboração dos programas legais
26/05/2026 - Boleto ART enviado para pagamento
28/05/2026 - Programas legais recebido da AVAL
29/05/2026 - Validado pelo Felipe, enviado ao cliente
01/06/2026 - Conforme retorno do Eder construcap, aprovado.</t>
  </si>
  <si>
    <t xml:space="preserve">08/06 2026 -  Informações da mobilização
09/06/2026 -  kick off, cliente ficou de enviar um e-mail com as informações para mobilização.
10/06/2026 - Dados recebidos do cliente
10/06/2026 - Solicitado elaboração dos programas para AVAL
11/06/2026 - Boleto ART enviado para pagamento
12/06/2026 - Programas legais recebido da AVAL e postados no portal para analise
16/06/2026 - Pendencia na apolice e PCMSO CRM do médico tem que ser da Bahia, solicitado para AVAL
18/06/2026 - PCMSO recebido da AVAL
22/06/2026 - PCMSO postado e aprovado
</t>
  </si>
  <si>
    <t>MATARIPE/BA</t>
  </si>
  <si>
    <t>28/05/2026 - Informação da mobilização
28/05/2026 - E-mail enviado ao cliente
02/06/2026 - Dados recebido do cliente, solicitado elaboração dos programas legais
09/06/2026 - Programas legais recebido da AVAL, enviado ao cliente
11/06/2026 - Pendencia nos programas legais, solicitado adequação para AVAL
12/06/2026 - Programas adequados e enviados para cliente
16/06/20266 - Mobilização concluída</t>
  </si>
  <si>
    <t>VITORIA ES</t>
  </si>
  <si>
    <t>08/07/2026 - Informação da mobilização
08/07/2026 - Anexo 7 enviado ao cliente
08/07/2029 - Solicitado programas legais para AVAL
08/07/2029 - Boleto enviado para pagamento
09/07/2029 - Boleto pago
13/07/2026 - Programas legais recebido da AVAL
13/07/2026 - Solicitação de Mobilização de Contrato (ID MCT20260018262)
15/07/2026 - PGR aprovado, PCMSO pendencia na vigencia, solicitado adequação para AVAL
17/07/2026 - PCMSO recebido da aval e postado
17/07/2026 -  Aprovado</t>
  </si>
  <si>
    <t>08/07/2026 - Informação da mobilização
08/07/2026 - Anexo 7 enviado ao cliente
08/07/2029 - Boleto enviado para pagamento
15/07/2026 - Pendente aprovação da Engenharia para subcontratação da Assessoria
17/07/2026 - Aprovação da PHD Engenharia
20/07/2026 - Subcontratação concluída, declaração postada e aprovada</t>
  </si>
  <si>
    <t>VERSA</t>
  </si>
  <si>
    <t>28/07/2029 - Aprovado por Eduardo o veiculo da Versa
29/07/2029 - Anexo 6 enviado ao cliente
31/07/2026 - Concluído</t>
  </si>
  <si>
    <t>Julio.cesar@phdengenharia.eng.br</t>
  </si>
  <si>
    <t>27/07/2026 - Informação da mobilização
29/07/2026 - Dados recebido do cliente
29/07/2026 - Solicitado elaboraçaõ dos programas legais
29/07/2026 - Anexo 6 enviado
03/08/2026 - Boleto da ART recebido da AVAL para pagamento
05/08/2026 - Boleto ART pago
06/08/2026 - Programas recebido da AVAL
07/08/2026 - Programas enviado ao cliente
10/08/2026 - Pendente contrato assinado
12/08/2026 - Contrato aassinado
20/08/2026 - Subcontratação aprovada
21/08/2026 - Mobilização concluída</t>
  </si>
  <si>
    <t>SUMARÉ-SP</t>
  </si>
  <si>
    <t>ASC-CT02</t>
  </si>
  <si>
    <t xml:space="preserve">06/08/2026 - Informação da mobilização
07/08/2026- Dados recebido do cliente
07/08/2026 - Solicitado elaboração dos programas legais AVAL
12/08/2026 - Boleto da ART recebido da AVAL para pagamento
17/08/2026 - Boleto ART pago, programas recebidos da AVAL
18/06/2026 - Programas validados PErla, enviado ao cliente
20/08/2026 - Mobilização concluído
</t>
  </si>
  <si>
    <t>17/08/2026 - Informaçaõ da mobilização
17/08/2026 - Dados solicitados para elaborar programas legais
18/08/2026 - Anexo 6 enviado ao cliente
18/08/2026 - Dados recebidos do cliente
19/08/2026 - Solicitado elaboração para AVAL
21/08/2026 - Programas recebido da AVAL
25/08/2026 - Programas Legais enviado 
28/08/2026 - Pendente contrato assinado
02/09/2026 - Contrato assinado</t>
  </si>
  <si>
    <t>DESCALVADO/SP</t>
  </si>
  <si>
    <t>ADMB-CT27</t>
  </si>
  <si>
    <t>18/06/2026 - Informação da mobilização
18/06/2026 - Solicitado programas legais para AVAL
21/06/2026 - Programas legais recebido
21/06/2026 - Enviado para o cliente
26/06/2026 - Programas aprovados</t>
  </si>
  <si>
    <t>APUCARANA/ PR</t>
  </si>
  <si>
    <t>ADMB-CT28</t>
  </si>
  <si>
    <t>18/06/2026 - Informação da mobilização
18/06/2026 - Solicitado programas legais para AVAL
21/06/2026 - Programas legais recebido
21/06/2026 - Enviado para o cliente
21/06/2026 - Programas aprovados</t>
  </si>
  <si>
    <t>CANOAS/RS</t>
  </si>
  <si>
    <t>ADMB-CT29</t>
  </si>
  <si>
    <t xml:space="preserve">25/08/2026 - Informação da mobilização
25/08/2026 - Contato com o cliente
26/08/2026 - Dados recebidos
26/08/2026 - Solicitado programas legais para AVAL
28/07/2026 - Boleto ART recbido, enviado para pagamento
02/09/2026 - Boleto ART pagi
04/09/2026 - Programas recebido da AVAL
</t>
  </si>
  <si>
    <t>2 - RECEBIMENTO DO CRACHÁ</t>
  </si>
  <si>
    <t xml:space="preserve">3 - ENTREGA DO CRACHÁ PARA O CLIENTE </t>
  </si>
  <si>
    <t>4 - ENVIO DO PROTOCOLO DE ENTREGA CRACHÁ</t>
  </si>
  <si>
    <t>5 - DESMOBIIZAÇÃO FINALIZADA PELO CLIENTE</t>
  </si>
  <si>
    <t>STATUS PROCESSO DESMOBILIZAÇÃO</t>
  </si>
  <si>
    <t>CRACHÁ DEVOLVIDO NA SEDE/FILIAL</t>
  </si>
  <si>
    <t xml:space="preserve">DATA DE DEVOLUÇÃO </t>
  </si>
  <si>
    <t xml:space="preserve">COLABORADOR </t>
  </si>
  <si>
    <t>CHAMADO</t>
  </si>
  <si>
    <t>RECEB. CRACHÁ</t>
  </si>
  <si>
    <t>ENTREGA CRACHÁ</t>
  </si>
  <si>
    <t>PROTOCOLO CRACHÁ</t>
  </si>
  <si>
    <t>LIBERAÇÃO</t>
  </si>
  <si>
    <t>Tempo Mobilização PHD</t>
  </si>
  <si>
    <t>LOCAL DA 
OBRA</t>
  </si>
  <si>
    <t>COD. CT</t>
  </si>
  <si>
    <t>COD. PHD</t>
  </si>
  <si>
    <t>DIAS ATRASO - FORMS</t>
  </si>
  <si>
    <t>DATA PREV - ENTR. CRACHÁ</t>
  </si>
  <si>
    <t>DATA REAL - ENTR. CRACHÁ</t>
  </si>
  <si>
    <t>DATA PREV - envio do protocolo</t>
  </si>
  <si>
    <t>DATA REAL - Envio do protocolo</t>
  </si>
  <si>
    <t>DIAS ATRASO - envio do protocolo</t>
  </si>
  <si>
    <t>DATA PREV DESBMOBILIZAÇÃO</t>
  </si>
  <si>
    <t>DATA REAL DESBMOBILIZAÇÃO</t>
  </si>
  <si>
    <t>DIAS ATRASO DESMOBILIZAÇÃO</t>
  </si>
  <si>
    <t>CORRÉGO DO FEIJÃO</t>
  </si>
  <si>
    <t>MARIANA</t>
  </si>
  <si>
    <t>11/01/2024 - Crachá devolvido pelo colaborador na obra.</t>
  </si>
  <si>
    <t>YASNAIA DE SOUZA FERREIRA</t>
  </si>
  <si>
    <t>19/01/2024 - Confirmei com o Leonardo se poderia iniciar a desmobilização da Yasnaia.</t>
  </si>
  <si>
    <t>Não</t>
  </si>
  <si>
    <t>JOAO ANTONIO DUQUE BAHIA</t>
  </si>
  <si>
    <t>SIGNO KOPPERS</t>
  </si>
  <si>
    <t>02/02/2024 - Conforme contato com o colaborador, o crachá foi devolvido para o Ronaldo Machado.
21/03/2024 - O ex colaborador não realizou o exame demissional, portanto não é possível seguir com a desmobilização.
09/05/2024 - O Pedro Morais informou que o cracha foi recebido por ele, porém é necessário procurar.</t>
  </si>
  <si>
    <t xml:space="preserve">MINA DO PICO </t>
  </si>
  <si>
    <t>29/02/2024 - Aguardando devoluação do crachá para iniciar o processo.
11/03/2024 - O colaborador deixou o crachá no ADM PHD. Considerando que estou aguardando outro crachá de outro colaborador irei devolver ambos para o cliente em 14/03/2024.</t>
  </si>
  <si>
    <t>GIOVANE LOPES DIAS</t>
  </si>
  <si>
    <t>07/02/2024 - Até a data de hoje, o colaborador informou que não teve disponibilidade para realizar o ASO demissional, sem o ASO não é necessário finalizarmos a desmobilização. O colaborador ficou de realizar o exame demissional no dia 19/02/2024.</t>
  </si>
  <si>
    <t>TRÊS CORAÇÕES</t>
  </si>
  <si>
    <t>THALES DE SOUZA VIANA</t>
  </si>
  <si>
    <t>07/02/2024 - Conforme contato com o cliente, a Natalia informou que o colaborador pode descartar o crachá.</t>
  </si>
  <si>
    <t>PAULINIA</t>
  </si>
  <si>
    <t xml:space="preserve">06/02/2024 - O colaborador informou que o crachá está com ele na Bahia, portanto solicitei o mesmo que aguarde um posicionamento meu para envio do crachá.
28/02/2024 - Solicitei o colaborador que envie o crachá para a Sede da PHD.
18/06/2024 - O colaborador permanece mobilizado pois não devolveu o crachá.
</t>
  </si>
  <si>
    <t>JOSE GERALDO DA SILVA JUNIOR</t>
  </si>
  <si>
    <t>Sim</t>
  </si>
  <si>
    <t>13/03/2024 - O colaborador não encontrou o crachá e enviou o BO.</t>
  </si>
  <si>
    <t>19/03/2024 - O crachá é compartilhado com o da Construcap, portanto ambos foram devolvidos na mesma data pela Construcap.</t>
  </si>
  <si>
    <t>BERNARDO MUZZI MELGACO</t>
  </si>
  <si>
    <t>TERR-CT02</t>
  </si>
  <si>
    <t>21/05/2024 - Crachá devolvido pelo colaborador na obra e desmobilização finalizada pelo próprio cliente.</t>
  </si>
  <si>
    <t>02/05/2024-crachá foi entregue para a Aywme na obra
09/05/2024-Aywme envtregou crachá ao cliente
20/05/2024-postado pelo o cliente, desmobilização concluida</t>
  </si>
  <si>
    <t xml:space="preserve">15/05/2024-Crachá recebido, enviado ao cliente para processo de desmobilização
15/05/2024-não possui chamado
16/05/2024-declaração de transferencia enviado ao cliente
17/05/2024-postado desmobilização
23/05/2024-conclusão da desmobilização
</t>
  </si>
  <si>
    <t>DANIEL ALVES LARANJO</t>
  </si>
  <si>
    <t>09/05/2024- não possui chamado
09/05/2024-Crachá entregue ao cliente
09/05/2024-enviou de declaração de transferencia para processo de desmobilização
09/05/2024-desmobilização concluida</t>
  </si>
  <si>
    <t>RICARDO PATRIK NUNES NASCIMENTO</t>
  </si>
  <si>
    <t>21/05/2024- chamado recebido
23/05/2024-crachá entregue ao cliente
28/05/2024-aguardando realização de exame demissional
30/05/2024- atraso devido o profissional não ter realizado o exame demissional
05/06/2024-o cliente conseguiu realizar a desmobilização com uma declaração feita por eles
06/06/2024-desmobilização concluida</t>
  </si>
  <si>
    <t>03/06/2024-recebimento do crachá, envio da declaração ao cliente
10/06/2024-conclusão da desmobilização</t>
  </si>
  <si>
    <t>JANAINA PEDROZA DAMASCENO</t>
  </si>
  <si>
    <t>20/06/2024 - O crachá foi deixado com a Rosilaine na obra e a desmobilização já concluída.</t>
  </si>
  <si>
    <t>11/07/2024- desmobilização em andamento, protocolo MCL20240966437
14/07/2024 - desmobilizçaõ concluida</t>
  </si>
  <si>
    <t>ENGM-CT01</t>
  </si>
  <si>
    <t>17/07/2024 - Crachá devolvido na obra pelo colaborador. Devolução realizada pela Jaqueline.</t>
  </si>
  <si>
    <t>15/07/2024 -Crachá entregue para o Cliente
16/07/2024 - envio de declaração de desmobilização
17/07/2024 - postagem no SCG pelo o cliente de Desm - solicitação de desmobilização: MCL20240976709
19/07/2024 - conclusão da desmobilização</t>
  </si>
  <si>
    <t>11/07/2024 -  envio de declaração de desmobilização
12/07/2024 -Crachá entregue para o Cliente
16/07/2024 - aguardando postagem da desmob no SGC
18/07/2024 - Postagem da desmobilização no SGC MCL20240981284
22/07/2024 - Recebemos a informação da conclusão da desmobilização ( 20/07/2024 )</t>
  </si>
  <si>
    <t>15/07/2024 - Não recebi o protocolo de devolução pel Vale, será necessário que eu compareça no prédio da Vale novamente para solucionar a pendênia. Previsão 19/07/2024.
23/07/2024 - Retorno do cliente com protocolo de desmobilização 
25/07/2024 - desmobilização concluida</t>
  </si>
  <si>
    <t>GOIAS</t>
  </si>
  <si>
    <t>23/07/2024 - BO e declaração de tranferencia para o cliente para processo de desmobilização
24/07/2024 - Retorno do cliente com protocolo de desmobilização: MCL20240990810
25/07/2024 - desmobilização concluida</t>
  </si>
  <si>
    <t>23/07/2024 - Retorno do cliente com protocolo de desmobilização 
25/07/2024 - desmobilização concluida</t>
  </si>
  <si>
    <t>JANAINA MADUREIRA GOSLING</t>
  </si>
  <si>
    <t>30/07/2024 - Desmobilização concluida</t>
  </si>
  <si>
    <t>MARCO ANTONIO DE ALMEIDA SILVA</t>
  </si>
  <si>
    <t>GISELLE DE MOURA THOMAZ</t>
  </si>
  <si>
    <t>SAMUEL EDSON MOREIRA DIAS DE SOUZA</t>
  </si>
  <si>
    <t>MINA  DE CAPANEMA</t>
  </si>
  <si>
    <t>CCAP-CT02</t>
  </si>
  <si>
    <t>Desmobilização realizada pelo cliente, não tive conhecimento do processo.</t>
  </si>
  <si>
    <t>ANDERSON ESPIRITO SANTOS ALVES</t>
  </si>
  <si>
    <t>25/08/2024 - Recebi o crachá pela Mirtes no dia 25/08/2024.</t>
  </si>
  <si>
    <t>BEATRIZ CAMPOS SILVEIRA</t>
  </si>
  <si>
    <t>MANOEL LUIZ FERNANDES DA SILVA JUNIOR</t>
  </si>
  <si>
    <t>08/10/2024 - crachá entregue por Aldo para Nayra da Nobrega</t>
  </si>
  <si>
    <t>Mina de Fábrica</t>
  </si>
  <si>
    <t>01/11/2024 - Crachá devolvido para VALE
01/11/2024 - Desmobilização postada pelo cliente MCL20241193310</t>
  </si>
  <si>
    <t>Construcap</t>
  </si>
  <si>
    <t>CAPANEMA</t>
  </si>
  <si>
    <t>05/11 - Crachá entregue na PHD
06/11 - Crachá entregue na VALE
07/11 - Protocolo enviado ao cliente.</t>
  </si>
  <si>
    <t>07/11/2024 - Crachá entregue na PHD
08/11/2024 - Crachá devolvido na VALE
11/11/2024 - Protocolo enviado ao cliente.</t>
  </si>
  <si>
    <t>Sigdo Koppers</t>
  </si>
  <si>
    <t>13/11/2024 - Aguardando devolução do crachá na sede da PHD
14/11/2024 - Crachá devolvido na PHD
14/11/2024 -Crachá devolovido na VALE
14/11/2024 - Proctolo de devolução enviado para o cliente seguir com desmobilização.
15/11/2024 - Mobilização postada MCL20241218666
26/11/2024 - Desmobilização concluída</t>
  </si>
  <si>
    <t xml:space="preserve">
14/11/2024 - Crachá devolvido na PHD
14/11/2024 -Crachá devolovido na VALE
14/11/2024 - Protocolo de devolução enviado para o cliente seguir com desmobilização.
14/11/2024 - Mobilização postada MCL20241217443</t>
  </si>
  <si>
    <t>Mina de águas Claras</t>
  </si>
  <si>
    <t>19/11 - Chamado de desmobilização aberto
19/11- Aguardando devolução do crachá
28/11/2024 - Crachá devolvido na PHD
29/11/2024 - Crachá devolvido na VALE
29/11/2024 - Solicitação de desmobilização enviada para o cliente.
29/11/2024 - Desmobilização postada pelo cliente MCL20241245102</t>
  </si>
  <si>
    <t>TALYS AUGUSTO GENEROSO MORAIS</t>
  </si>
  <si>
    <t xml:space="preserve">04/12/2024 - Crachá devolvido na Phd
06/12/2024 - Crachá devolvido na VALE
06/12/2024 - Agurdando envio do protocolo de devolução do crachá, pela VALE
09/12/2024 - Solicitação para desmobilização enviado para o cliente.
</t>
  </si>
  <si>
    <t>04/12/2024 - crachá entrega para o cliente
10/12/2024 - declaração de tranferencia enviado, protocolo de desmobilização MCL20241263610.
11/12/2024 - desmobilização concluida</t>
  </si>
  <si>
    <t>PETRUS MARIO GUTIERREZ</t>
  </si>
  <si>
    <t>18/12/2024 - Crachá devolvido 
19/12/2024 - Confrome retorno do clinete a desmobilização foi concluida</t>
  </si>
  <si>
    <t>RODONOPOLIS</t>
  </si>
  <si>
    <t>03/01/2025 - BO recebido do profissional para o prcoesso de desmobilização, enviado para o cliente junto a declaração</t>
  </si>
  <si>
    <t>NILPLAN</t>
  </si>
  <si>
    <t>07/01/2025 - Crachá foi devolvido pelo oThales no cliente para a Carla
07/01/2025 - declaração enviado para o cliente
23/01/2025 - inofrmação repassada pelo o cliente, que não é necessário envio de declaração apenas entregar o crachá para concluisão da desmobilização.</t>
  </si>
  <si>
    <t>15/01/2025- Crachá devolvido na sede
17/01/2025 - Crachá devolvido na VALE
17/01/2025 - Protocolo enviado para o cliente.
17/01/2025 - Desmobilização postada MCL20250030885</t>
  </si>
  <si>
    <t>20/01/2025 - Não tem crachá nesse contrato
20/01/2025 - declaração enviado para o cliente
25/01/2025 - Desmobilização concluida</t>
  </si>
  <si>
    <t xml:space="preserve">22/01 - Devolução de crachá naALE
22/01 -Envio de protocolo de devolução  e ASO para desmobilização.
23/01/2025 - Desmobilização postada pelo cliente MCL20250041070
03/02/2025 - Desmobilziação reprovada - ASO divergente do PCMSO da salubrita - Necessário Transcerver os programas legais com os dados da nova clinica.
03/02/2025 - Solicitada a transcrição para a AVAL.
10/02/2025 - Programas reprovados- enviados para Aval corrigir.
13/02/2025 - Programas corrigidos, agauardando assinatura do Armando.
14/02/2025 - Programas reenviados para o cliente.
20/02/2025 - Programas reprovados pelo cliente.
28/02/2025 - Necessário apresentar LTCAD.
06/03/2025 - Não tem ninguém na obra, não tem como realizar a medição.
10/03/2025 - Verificado com e empresa se podemos usar o LTCAD já realizado na empresa PHD Engenharia.
14/03/2025 - Programas legais atualizados e enviados para o cliente postar os programas novamente.
08/04/2025 - Desmobilização conluida, conforme retorno da Vale Verde </t>
  </si>
  <si>
    <t>JOSE GERALDO PAMPLONA DE SOUZA</t>
  </si>
  <si>
    <t>13/02/2025 - Crachá devolvida na Vale.</t>
  </si>
  <si>
    <t>18/02/2025 - recebido BO para processo de desmobilizaçaõ
19/02/2025 - declaração e BO enviado para o cliente</t>
  </si>
  <si>
    <t>18/03/2025 - crachá devolvido na VALE
19/03/2025 - protocolo de devolução e declaração enviados para o cliente seguri com a desmobilização.
20/03/2025 - Desmobilização postada pelo cliente_MCL20250149933
31/03/2025 - Desmobilização concluída.</t>
  </si>
  <si>
    <t>21/03/2025 - Crachá entregue no cliente
24/03/2025 - Declaraçao de transferencia enviada
26/03/2025 - Desmobilização concluida</t>
  </si>
  <si>
    <t>Complexo minerador de Carajás</t>
  </si>
  <si>
    <t>28/03/2025 - Crachá entregue no cliente
28/03/2025 - Declaraçao de transferencia enviada</t>
  </si>
  <si>
    <t>03/06/2025 - Crachá entregue na VALE (Ed. Concórdia)
03/06/2025 - Declaraçao de transferencia enviada por e-mail</t>
  </si>
  <si>
    <t>30/05/2025 - Declaraçao de transferencia enviada</t>
  </si>
  <si>
    <t>04/06/2025 - Enviado comprovante de devolução de crachá e declaração de transferência para Aline Pereira por e-mail</t>
  </si>
  <si>
    <t>06/06/2025 - Aguarda comprovante de devolução de crachá devolvido hoje</t>
  </si>
  <si>
    <t>GUSTAVO BICALHO NOGUEIRA MARQUES</t>
  </si>
  <si>
    <t>30/07/2025 - Declaração e protocolo de devolução enviado ao cliente</t>
  </si>
  <si>
    <t>31/07/2025 - Declaração enviado ao cliente, crachá entregue na obra</t>
  </si>
  <si>
    <t>21/10/2025 - Informação que o crachá foi devolvido no cliente para Carol
22/10/2025 - Declaração enviada ao cliente</t>
  </si>
  <si>
    <t>FORMATO</t>
  </si>
  <si>
    <t>NOME COMPLETO</t>
  </si>
  <si>
    <t>NOME</t>
  </si>
  <si>
    <t>M/F</t>
  </si>
  <si>
    <t>DATA ADMISSÃO</t>
  </si>
  <si>
    <t>TIPO ADMISSÃO</t>
  </si>
  <si>
    <t>DATA ADMISSÃO2</t>
  </si>
  <si>
    <t>CPF</t>
  </si>
  <si>
    <t>IDENTIDADE</t>
  </si>
  <si>
    <t>DATA NASCIMENTO</t>
  </si>
  <si>
    <t>IDADE</t>
  </si>
  <si>
    <t>RANGE IDADE</t>
  </si>
  <si>
    <t>GERAÇÃO</t>
  </si>
  <si>
    <t>TELEFONE</t>
  </si>
  <si>
    <t>email (PHD)</t>
  </si>
  <si>
    <t>DATA DEMISSÃO</t>
  </si>
  <si>
    <t>TIPO DESLIGAMENTO</t>
  </si>
  <si>
    <t>CARGO</t>
  </si>
  <si>
    <t>TIPO FOPGA</t>
  </si>
  <si>
    <t>NATURALIDADE</t>
  </si>
  <si>
    <t>CIDADE RESIDENCIA</t>
  </si>
  <si>
    <t>UF</t>
  </si>
  <si>
    <t>Liderança/Equipe</t>
  </si>
  <si>
    <t>ÁREA</t>
  </si>
  <si>
    <t>LOCAL DE TRABALHO</t>
  </si>
  <si>
    <t>CIDADE ATUAÇÃO</t>
  </si>
  <si>
    <t>ESTADO ATUAÇÃO</t>
  </si>
  <si>
    <t>Inativo</t>
  </si>
  <si>
    <t>FABIO MATOS DA CUNHA PEIXOTO</t>
  </si>
  <si>
    <t>M</t>
  </si>
  <si>
    <t>MATUES UTSCH</t>
  </si>
  <si>
    <t>AUGUSTO FERREIRA FELIX</t>
  </si>
  <si>
    <t>ANA PAULA NUNES DE BRITO</t>
  </si>
  <si>
    <t>F</t>
  </si>
  <si>
    <t>DANIEL RODRIGUES COELHO LIMA DE LEMOS</t>
  </si>
  <si>
    <t>CLAUDIO RAMOS DE OLIVEIRA</t>
  </si>
  <si>
    <t>PEDRO NEVES NUNES</t>
  </si>
  <si>
    <t>NATANAEL</t>
  </si>
  <si>
    <t>JEFFERSON WHINDERSON</t>
  </si>
  <si>
    <t>KRISLEY RODRIGUES</t>
  </si>
  <si>
    <t>CLOVIS NAZARE SILVA JUNIO</t>
  </si>
  <si>
    <t>41-50</t>
  </si>
  <si>
    <t>Ger Y</t>
  </si>
  <si>
    <t>SANTO ANDRÉ</t>
  </si>
  <si>
    <t>SP</t>
  </si>
  <si>
    <t>JOAO FILIPE MAGALHAES COSTA</t>
  </si>
  <si>
    <t>36-40</t>
  </si>
  <si>
    <t>CANDEIAS</t>
  </si>
  <si>
    <t>BA</t>
  </si>
  <si>
    <t>JOAO OSVALDO MARTINS JUNIOR</t>
  </si>
  <si>
    <t>LUIZ PAULO OLIVEIRA SCAGLIONI</t>
  </si>
  <si>
    <t>26-30</t>
  </si>
  <si>
    <t>BELO HORIZONTE</t>
  </si>
  <si>
    <t>MG</t>
  </si>
  <si>
    <t>ANTONIO BAHIA DE AGUIAR NETO</t>
  </si>
  <si>
    <t>CAMAÇARI</t>
  </si>
  <si>
    <t>BRENO MORAIS RESENDE</t>
  </si>
  <si>
    <t>Ger Z</t>
  </si>
  <si>
    <t>ITABIRITO</t>
  </si>
  <si>
    <t>EDUARDO RODRIGUES DE ARAUJO</t>
  </si>
  <si>
    <t>31-35</t>
  </si>
  <si>
    <t>CONTAGEM</t>
  </si>
  <si>
    <t>GUILHERME TADEU ARAUJO FERREIRA</t>
  </si>
  <si>
    <t>JEFERSON CESAR BARBOSA</t>
  </si>
  <si>
    <t>MARCO THULIO MARTINO SOARES</t>
  </si>
  <si>
    <t>NEIDMAR GERALDO RODRIGUES DA SILVA</t>
  </si>
  <si>
    <t>OURO PRETO</t>
  </si>
  <si>
    <t>RENAN FILLIPI DE MORAIS CARNEIRO</t>
  </si>
  <si>
    <t>REYKARD CANUTO DE LIMA</t>
  </si>
  <si>
    <t>JABOATÃO DOS GUARARAPES</t>
  </si>
  <si>
    <t>PE</t>
  </si>
  <si>
    <t>WALBERTH RIBEIRO FERREIRA</t>
  </si>
  <si>
    <t>RIBEIRAO VERMELHO</t>
  </si>
  <si>
    <t>FATIMA DE CASSIA PEDROSA</t>
  </si>
  <si>
    <t>ITAUNA</t>
  </si>
  <si>
    <t xml:space="preserve">MG </t>
  </si>
  <si>
    <t>FABIO HENRIQUE DOS SANTOS</t>
  </si>
  <si>
    <t>Ger X</t>
  </si>
  <si>
    <t>VOLTA REDONDA</t>
  </si>
  <si>
    <t>RJ</t>
  </si>
  <si>
    <t>CLAUDIO ANTONIO PACHECO SA</t>
  </si>
  <si>
    <t>claudio.pacheco@phdengenharia.eng.br</t>
  </si>
  <si>
    <t>THALISSON GUILHERME DA MATA</t>
  </si>
  <si>
    <t>thalison.braz@phdengenharia.eng.br</t>
  </si>
  <si>
    <t>CONSELHEIRO LAFAIETE</t>
  </si>
  <si>
    <t>RAPHAELA MORAES DE MOURA</t>
  </si>
  <si>
    <t>raphaela.moraes@phdengenharia.eng.br</t>
  </si>
  <si>
    <t>SALVADOR</t>
  </si>
  <si>
    <t>IGOR FRANCISCO ROSA</t>
  </si>
  <si>
    <t>igor.rosa@phdengenharia.eng.br</t>
  </si>
  <si>
    <t>CAETÉ</t>
  </si>
  <si>
    <t>RICARDO ROMANELLI DOS SANROS</t>
  </si>
  <si>
    <t>ricardo.romanelli@phdengenharia.eng.br</t>
  </si>
  <si>
    <t>IBIRITÉ</t>
  </si>
  <si>
    <t>JOICE ALVES SENA</t>
  </si>
  <si>
    <t>joice.sena@phdengenharia.eng.br</t>
  </si>
  <si>
    <t>TATIANE DE FREITAS DUPRAT</t>
  </si>
  <si>
    <t>tatiane.freitas@phdengenharia.eng.br</t>
  </si>
  <si>
    <t>BETIM</t>
  </si>
  <si>
    <t>DANILO CAMPOS PEDROZA  DE SOUSA</t>
  </si>
  <si>
    <t>danilo.souza@phdengenharia.eng.br</t>
  </si>
  <si>
    <t>ALYCE FLAVIA SANTOS XAVIER</t>
  </si>
  <si>
    <t>alyce.xavier@phdengenharia.eng.br</t>
  </si>
  <si>
    <t>ADRIANO FERREIRA DE ALMEIDA</t>
  </si>
  <si>
    <t>adriano.almeida@phdengenharia.eng.br</t>
  </si>
  <si>
    <t>IPATINGA</t>
  </si>
  <si>
    <t>AUGUSTO CESAR CARNEIRO</t>
  </si>
  <si>
    <t>augusto.carneiro@phdengenharia.eng.br</t>
  </si>
  <si>
    <t>PINDAMONHANGABA</t>
  </si>
  <si>
    <t>DEIVID JOHSON FREITAS DUARTE</t>
  </si>
  <si>
    <t>DEIVID JHONSON</t>
  </si>
  <si>
    <t>deivid.duarte@phdengenharia.eng.br</t>
  </si>
  <si>
    <t>SUPERVISOR DE PLANEJAMENTO</t>
  </si>
  <si>
    <t>PARAUAPEBAS</t>
  </si>
  <si>
    <t>PA</t>
  </si>
  <si>
    <t>JOAO PEDRO FERREIRA DE MIRANDA</t>
  </si>
  <si>
    <t>21-25</t>
  </si>
  <si>
    <t>joao.miranda@phdengenharia.eng.br</t>
  </si>
  <si>
    <t>JUNIOR MARTINS DOS SANTOS</t>
  </si>
  <si>
    <t>junior.martins@phdengenharia.eng.br</t>
  </si>
  <si>
    <t>HERMOGENES DENIPOTI BELJAK</t>
  </si>
  <si>
    <t>hermogenes.denipoti@phdengenharia.eng.br</t>
  </si>
  <si>
    <t>RECIFE</t>
  </si>
  <si>
    <t>ANTONIO AUGUSTO DOS SANTOS</t>
  </si>
  <si>
    <t>antonio.santos@phdengenharia.eng.br</t>
  </si>
  <si>
    <t>DANILO CAMPOS PEDROZA DE SOUSA</t>
  </si>
  <si>
    <t>GABRIEL MACHADO BORGES MAYRINK</t>
  </si>
  <si>
    <t>gabriel.mayrink@phdengenharia.eng.br</t>
  </si>
  <si>
    <t>AUGUSTO BARROS BASTOS DE PAULA</t>
  </si>
  <si>
    <t>augusto.barros@phdengenharia.eng.br</t>
  </si>
  <si>
    <t>BARBARA GUIMARAES REIS</t>
  </si>
  <si>
    <t>barbara.reis@phdengenharia.eng.br</t>
  </si>
  <si>
    <t>EDUARDO COELHO DE SOUSA</t>
  </si>
  <si>
    <t>eduardo.coelho@phdengenharia.eng.br</t>
  </si>
  <si>
    <t>MATHEUS JUNIO FARIA SILVA</t>
  </si>
  <si>
    <t>matheus.silva@phdengenharia.eng.br</t>
  </si>
  <si>
    <t>OURO BRANCO</t>
  </si>
  <si>
    <t>GUILHERME HENRIQUE VIANA RODRIGUES</t>
  </si>
  <si>
    <t>guilherme.rodrigues@phdengenharia.com.br</t>
  </si>
  <si>
    <t>AMANDA FRAGA OSIAS</t>
  </si>
  <si>
    <t>amanda.osias@phdengenharia.eng.br</t>
  </si>
  <si>
    <t>VINICIUS SILVA SANTOS</t>
  </si>
  <si>
    <t>UIDSON SILVA DOS SANTOS</t>
  </si>
  <si>
    <t>uidson.silva@phdengenharia.eng.br</t>
  </si>
  <si>
    <t>CAUCAIA</t>
  </si>
  <si>
    <t>CE</t>
  </si>
  <si>
    <t>BRENDON DE CASSIO MENDES SILVA</t>
  </si>
  <si>
    <t>BRENDON SILVA</t>
  </si>
  <si>
    <t>Brendon.silva@phdengenharia.eng.br</t>
  </si>
  <si>
    <t>Montes Claros</t>
  </si>
  <si>
    <t>ANA FAVIA MORAIS CYRILLO</t>
  </si>
  <si>
    <t>ANA MORAIS</t>
  </si>
  <si>
    <t>ana.morais@phdengenharia.eng.br</t>
  </si>
  <si>
    <t>SANTA BÁRBARA</t>
  </si>
  <si>
    <t>DIEGO ANTONIO SOARES GODOI</t>
  </si>
  <si>
    <t>DIEGO SOARES</t>
  </si>
  <si>
    <t>diego.soares@phdengenharia.eng.br</t>
  </si>
  <si>
    <t>ENGENHEIRO PLANEJAMENTO JUNIOR</t>
  </si>
  <si>
    <t>CLT</t>
  </si>
  <si>
    <t>JOAO LUCAS MADEIRA GRIJO</t>
  </si>
  <si>
    <t>JOAO MADEIRA</t>
  </si>
  <si>
    <t>joao.madeira@phdengenharia.eng.br</t>
  </si>
  <si>
    <t>TECNICO DE PLANEJAMENTO PLENO</t>
  </si>
  <si>
    <t>PHDE</t>
  </si>
  <si>
    <t>VANESSA CRISTINA BRAGA</t>
  </si>
  <si>
    <t>VANESSA BRAGA</t>
  </si>
  <si>
    <t>vanessa.braga@phdengenharia.eng.br</t>
  </si>
  <si>
    <t>TECNICO DE PLANEJAMENTO</t>
  </si>
  <si>
    <t>MARCOS PAULO DE ANDRADE DOS SANTOS</t>
  </si>
  <si>
    <t>MARCOS SANTOS</t>
  </si>
  <si>
    <t>marcos.santos@phdengenharia.eng.br</t>
  </si>
  <si>
    <t>ITABORAI</t>
  </si>
  <si>
    <t>SOCIO COTISTA</t>
  </si>
  <si>
    <t>EVELYN DOS SANTOS PEREIRA</t>
  </si>
  <si>
    <t>EVELYN PEREIRA</t>
  </si>
  <si>
    <t>evelyn.pereira@phdengenharia.eng.br</t>
  </si>
  <si>
    <t>ENGENHEIRO DE PLANEJAMENTO JUNIOR</t>
  </si>
  <si>
    <t>PHDA</t>
  </si>
  <si>
    <t>SETE LAGOAS</t>
  </si>
  <si>
    <t>JOSEMBERGUE LINHARES DA SILVA</t>
  </si>
  <si>
    <t>JOSEMBERGUE SILVA</t>
  </si>
  <si>
    <t>josembergue.silva@phdengenharia.eng.br</t>
  </si>
  <si>
    <t>ENGENHEIRO DE PLANEJAMENTO</t>
  </si>
  <si>
    <t>FORTALEZA</t>
  </si>
  <si>
    <t>DEIVID DUARTE</t>
  </si>
  <si>
    <t>CLAUDINEIA APARECIDA DE OLIVEIRA</t>
  </si>
  <si>
    <t>CLAUDINEIA SANTOS</t>
  </si>
  <si>
    <t>claudineia.santos@phdengenharia.eng.br</t>
  </si>
  <si>
    <t>CONSULTOR DE GESTÃO E PLANEJAMENTO</t>
  </si>
  <si>
    <t>ALEXANDRE RODRIGUES ROCHA</t>
  </si>
  <si>
    <t>ALEXANDRE ROCHA</t>
  </si>
  <si>
    <t>alexandre.rocha@phdengenharia.eng.br</t>
  </si>
  <si>
    <t>ESTAGIARIO DE QUALIDADE</t>
  </si>
  <si>
    <t>FABIANO LUCAS BARROS CARNEIRO</t>
  </si>
  <si>
    <t>FABIANO CARNEIRO</t>
  </si>
  <si>
    <t>fabiano.carneiro@phdengenharia.eng.br</t>
  </si>
  <si>
    <t>ENGENHEIRO PLANJAMENTO JUNIOR</t>
  </si>
  <si>
    <t>PALOMA GONCALVES VILELA</t>
  </si>
  <si>
    <t>PALOMA VILELA</t>
  </si>
  <si>
    <t>paloma.vilela@phdengenharia.eng.br</t>
  </si>
  <si>
    <t>ANALISTA DE MARKETING</t>
  </si>
  <si>
    <t>HELIO CLARO DE OLIVEIRA JUNIOR</t>
  </si>
  <si>
    <t>HELIO JUNIOR</t>
  </si>
  <si>
    <t>helio.junior@phdengenharia.eng.br</t>
  </si>
  <si>
    <t>CONSULTOR DE GESTÃO E PLANEJAMENTO II</t>
  </si>
  <si>
    <t>THIAGO DOMINGOS BONIFACIO</t>
  </si>
  <si>
    <t>THIAGO BONIFACIO</t>
  </si>
  <si>
    <t>thiago.bonifacio@phdengenharia.eng.br</t>
  </si>
  <si>
    <t>CONSULTOR DE GESTÃO E PLANEJAMENTO I</t>
  </si>
  <si>
    <t>LARISSA FERREIRA ALVES</t>
  </si>
  <si>
    <t>LARISSA ALVES</t>
  </si>
  <si>
    <t>larissa.alves@phdengenharia.eng.br</t>
  </si>
  <si>
    <t>BRUNO ANDRADE DOS SANTOS</t>
  </si>
  <si>
    <t>BRUNO SANTOS</t>
  </si>
  <si>
    <t>bruno.santos@phdengenharia.eng.br</t>
  </si>
  <si>
    <t>TECNICO DE PLANEJAMENTO II</t>
  </si>
  <si>
    <t>BRUMADINHO</t>
  </si>
  <si>
    <t>GIANNE FRANCISCO DIAS</t>
  </si>
  <si>
    <t>GIANNE DIAS</t>
  </si>
  <si>
    <t>gianne.dias@phdengenharia.eng.br</t>
  </si>
  <si>
    <t>BARROSO</t>
  </si>
  <si>
    <t>MARINA BOTTY MADALENA</t>
  </si>
  <si>
    <t>MARINA BOTTY</t>
  </si>
  <si>
    <t>marina.botty@phdengenharia.eng.br</t>
  </si>
  <si>
    <t>CONSULTOR DE GESTÃO E PLANEJAMENTO IV</t>
  </si>
  <si>
    <t>RAIMUNDO FILIPINHO MONTEIRO</t>
  </si>
  <si>
    <t>RAIMUNDO MONTEIRO</t>
  </si>
  <si>
    <t>raimundo.monteiro@phdengenharia.eng.br</t>
  </si>
  <si>
    <t>TECNICO DE PLANEJAMENTO V</t>
  </si>
  <si>
    <t>NOVA IORQUE</t>
  </si>
  <si>
    <t>PEDRO PAULO AGUIAR ALVIM LEOCADIO LIMA</t>
  </si>
  <si>
    <t>PEDRO LIMA</t>
  </si>
  <si>
    <t>pedro.lima@phdengenharia.eng.br</t>
  </si>
  <si>
    <t>IGARAPÉ</t>
  </si>
  <si>
    <t>ANA MARIA PINHEIRO DE SOUZA</t>
  </si>
  <si>
    <t>ANA SOUZA</t>
  </si>
  <si>
    <t>ana.souza@phdengenharia.eng.br</t>
  </si>
  <si>
    <t>MAURICIO DE SOUSA SANTOS</t>
  </si>
  <si>
    <t>MAURICIO SANTOS</t>
  </si>
  <si>
    <t>mauricio.santos@phdengenharia.eng.br</t>
  </si>
  <si>
    <t>COORDENADOR ADMINISTRATIVO</t>
  </si>
  <si>
    <t>RAFAEL THARLES RODRIGUES</t>
  </si>
  <si>
    <t>RAFAEL RODRIGUES</t>
  </si>
  <si>
    <t>rafael.rodrigues@phdengenharia.eng.br</t>
  </si>
  <si>
    <t>TECNICO DE PLANEJAMENTO III</t>
  </si>
  <si>
    <t>CONGONHAS</t>
  </si>
  <si>
    <t>ANDIARA DE AQUINO REIS</t>
  </si>
  <si>
    <t>ANDIARA REIS</t>
  </si>
  <si>
    <t>andiara.reis@phdengenharia.eng.br</t>
  </si>
  <si>
    <t>PEDIDO</t>
  </si>
  <si>
    <t>CONSULTOR DE GESTÃO E PLANEJAMENTO DE PROJETOS CAPITAL</t>
  </si>
  <si>
    <t>SABARÁ</t>
  </si>
  <si>
    <t>RICARDO NIKOLLAS DE ANDRADE CAVALCANTE</t>
  </si>
  <si>
    <t>RICARDO CAVALCANTE</t>
  </si>
  <si>
    <t>ricardo.cavalcante@phdengenharia.eng.br</t>
  </si>
  <si>
    <t xml:space="preserve">CONSULTOR DE GESTÃO E PLANEJAMENTO </t>
  </si>
  <si>
    <t>CARLOS RODRIGO TAVARES DA CUNHA</t>
  </si>
  <si>
    <t>CARLOS CUNHA</t>
  </si>
  <si>
    <t>carlos.cunha@phdengenharia.eng.br</t>
  </si>
  <si>
    <t>NILSON PAULO DE OLIVEIRA</t>
  </si>
  <si>
    <t>NILSON OLIVEIRA</t>
  </si>
  <si>
    <t>51+</t>
  </si>
  <si>
    <t>nilson.oliveira@phdengenharia.eng.br</t>
  </si>
  <si>
    <t>COORDENADOR DE PLANEJAMENTO III</t>
  </si>
  <si>
    <t>JONATAS SILVA OLIVEIRA</t>
  </si>
  <si>
    <t>JONATAS OLIVEIRA</t>
  </si>
  <si>
    <t>jonatas.oliveira@phdengenharia.eng.br</t>
  </si>
  <si>
    <t>DIVINÓPOLIS</t>
  </si>
  <si>
    <t>FELIPE COSTANZI</t>
  </si>
  <si>
    <t>424.714.058-27</t>
  </si>
  <si>
    <t>13 98866-0616</t>
  </si>
  <si>
    <t>felipe.costanzi@phdengenharia.eng.br</t>
  </si>
  <si>
    <t>Equipe</t>
  </si>
  <si>
    <t>Operação</t>
  </si>
  <si>
    <t>OBRA</t>
  </si>
  <si>
    <t>Almas</t>
  </si>
  <si>
    <t>Tocantis</t>
  </si>
  <si>
    <t>Leonardo Drumond</t>
  </si>
  <si>
    <t>Diogo Soares</t>
  </si>
  <si>
    <t>SARA LOPES FONSECA</t>
  </si>
  <si>
    <t>SARA LOPES</t>
  </si>
  <si>
    <t>sara.lopes@phdengenharia.eng</t>
  </si>
  <si>
    <t>ANALISTA DE RECURSOS HUMANOS</t>
  </si>
  <si>
    <t>GUSTAVO SANTOS SOUZA</t>
  </si>
  <si>
    <t>GUSTAVO SOUZA</t>
  </si>
  <si>
    <t>445.012.768-43</t>
  </si>
  <si>
    <t>gustavo.souza@phdengenharia.eng.br</t>
  </si>
  <si>
    <t>RIO DE JANEIRO</t>
  </si>
  <si>
    <t>LUCAS GUIMARAES OLIVEIRA</t>
  </si>
  <si>
    <t>LUCAS OLIVEIRA</t>
  </si>
  <si>
    <t>lucas.oliveira@phdengenharia.eng.br</t>
  </si>
  <si>
    <t>ESTAGIARIO</t>
  </si>
  <si>
    <t>ANA ROSA DOMINGUES</t>
  </si>
  <si>
    <t>ANA DOMINGUES</t>
  </si>
  <si>
    <t>ana.domingues@phdengenharia.eng.br</t>
  </si>
  <si>
    <t>COORDENADORA DE MARKETING</t>
  </si>
  <si>
    <t>GIOVANNA MARIA DUARTE GUIMARAES</t>
  </si>
  <si>
    <t>GIOVANNA GUIMARAES</t>
  </si>
  <si>
    <t>146.959.326-28</t>
  </si>
  <si>
    <t>giovanna.guimaraes@phdengenharia.eng.br</t>
  </si>
  <si>
    <t>ANALISTA DE MARKETING I</t>
  </si>
  <si>
    <t>LUCAS SOUZA BRAZ</t>
  </si>
  <si>
    <t>LUCAS BRAS</t>
  </si>
  <si>
    <t>lucas.braz@phdengenharia.eng.br</t>
  </si>
  <si>
    <t>CONSULTOR DE GESTÃO E PLANEJAMENTO 0</t>
  </si>
  <si>
    <t>TAYNARA SUELLY JANUARIO GONCALVES</t>
  </si>
  <si>
    <t>TAYNARA GONCALVES</t>
  </si>
  <si>
    <t>taynara.goncalves@phdengenharia.eng.br</t>
  </si>
  <si>
    <t>DAYANE HELENA DE MENDONCA</t>
  </si>
  <si>
    <t>DAYANE MENDONCA</t>
  </si>
  <si>
    <t>dayane.mendonca@phdengenharia.eng.br</t>
  </si>
  <si>
    <t>KEYTE DAIANA RAMIRES NONATO</t>
  </si>
  <si>
    <t>KEYTE RAMIRES</t>
  </si>
  <si>
    <t>keyte.ramires@phdengenharia.eng.br</t>
  </si>
  <si>
    <t>ANALISTA COMERCIAL4</t>
  </si>
  <si>
    <t>RODRIGO MEIRELES NAVES</t>
  </si>
  <si>
    <t>RODRIGO NAVES</t>
  </si>
  <si>
    <t>rodrigo.naves@phdengenharia.eng.br</t>
  </si>
  <si>
    <t>CONSULTOR BIM 0</t>
  </si>
  <si>
    <t>LUIZ FERNANDO BRANDAO DE LIMA</t>
  </si>
  <si>
    <t>LUIZ BRANDAO</t>
  </si>
  <si>
    <t>luiz.lima@phdengenharia.eng.br</t>
  </si>
  <si>
    <t>CUBATÃO</t>
  </si>
  <si>
    <t>EDUARDO GUIMARAES MAIA</t>
  </si>
  <si>
    <t>EDUARDO MAIA</t>
  </si>
  <si>
    <t>013.114.156-29</t>
  </si>
  <si>
    <t>eduardo.maia@phdengenharia.eng.br</t>
  </si>
  <si>
    <t>LUCAS LAEL DA SILVA VALIM</t>
  </si>
  <si>
    <t>LUCAS LAEL</t>
  </si>
  <si>
    <t>016.402.726-23</t>
  </si>
  <si>
    <t>lucas.lael@phdengenharia.eng.br</t>
  </si>
  <si>
    <t>ANALISTA DE MARKETING (DESIGNER) / PLENO</t>
  </si>
  <si>
    <t>ALDAIR ELIAS DA SILVA</t>
  </si>
  <si>
    <t>ALDAIR ELIAS</t>
  </si>
  <si>
    <t>141.695.748-00</t>
  </si>
  <si>
    <t>aldair.silva@phdengenharia.eng.br</t>
  </si>
  <si>
    <t>GERENTE COMERCIAL III</t>
  </si>
  <si>
    <t>SÃO PAULO</t>
  </si>
  <si>
    <t>FILIPE DE MELO SANTOS</t>
  </si>
  <si>
    <t>FILIPE SANTOS</t>
  </si>
  <si>
    <t>filipe.santos@phdengenharia.eng.br</t>
  </si>
  <si>
    <t>CONSULTOR DE GESTÃO E PLANEJAMENTO V</t>
  </si>
  <si>
    <t>FLAVIO DE ASSIS CAMPOS ARAUJO</t>
  </si>
  <si>
    <t>FLAVIO DE ASSIS</t>
  </si>
  <si>
    <t>015.177.843-44</t>
  </si>
  <si>
    <t>flavio.campos@phdengenharia.eng.br</t>
  </si>
  <si>
    <t>CANAÃ DOS CARAJÁS</t>
  </si>
  <si>
    <t>JOAB RAMOS RODRIGUES</t>
  </si>
  <si>
    <t>JOAB RAMOS</t>
  </si>
  <si>
    <t>023.059.832-39</t>
  </si>
  <si>
    <t>joab.rodrigues@phdengenharia.eng.br</t>
  </si>
  <si>
    <t>GIOVANE DIAS</t>
  </si>
  <si>
    <t>giovane.dias@phdengenharia.eng.br</t>
  </si>
  <si>
    <t>CONSULTOR DE GESTÃO E PLANEJAMENTO III</t>
  </si>
  <si>
    <t>SÃO GONÇALO</t>
  </si>
  <si>
    <t>WALTER DA CUNHA MENDES NETO</t>
  </si>
  <si>
    <t>WALTER NETO</t>
  </si>
  <si>
    <t>walter.neto@phdengenharia.eng.br</t>
  </si>
  <si>
    <t>BARBACENA</t>
  </si>
  <si>
    <t>JOAO BAHIA</t>
  </si>
  <si>
    <t>joao.bahia@phdengenharia.eng.br</t>
  </si>
  <si>
    <t>THALES DE SOUZA</t>
  </si>
  <si>
    <t>124.917.067-25</t>
  </si>
  <si>
    <t>thales.viana@phdengenharia.eng.br</t>
  </si>
  <si>
    <t>BAHIA</t>
  </si>
  <si>
    <t>JOSE JUNIOR</t>
  </si>
  <si>
    <t>jose.junior@phdengenharia.eng.br</t>
  </si>
  <si>
    <t>PARA DE MINAS</t>
  </si>
  <si>
    <t>VINICIUS DA SILVA SOUSA</t>
  </si>
  <si>
    <t>VINICIUS SOUSA</t>
  </si>
  <si>
    <t>151.313.417-52</t>
  </si>
  <si>
    <t>vinicius.sousa@phdengenharia.eng.br</t>
  </si>
  <si>
    <t>FLAVIO SOUSA PAULA</t>
  </si>
  <si>
    <t>FLAVIO PAULA</t>
  </si>
  <si>
    <t>097.862.566-89</t>
  </si>
  <si>
    <t>flavio.paula@phdengenharia.eng.br</t>
  </si>
  <si>
    <t>ESPECIALISTA DE PLANEJAMENTO III</t>
  </si>
  <si>
    <t>RENATO PINHEIRO SANCHES</t>
  </si>
  <si>
    <t>RENATO SANCHES</t>
  </si>
  <si>
    <t>108.816.168-50</t>
  </si>
  <si>
    <t>renato.sanches@phdengenharia.eng.br</t>
  </si>
  <si>
    <t>CONSULTOR SÊNIOR DE GESTÃO E PLANEJAMENTO I</t>
  </si>
  <si>
    <t>ARAÇATUBA</t>
  </si>
  <si>
    <t>matheus.pera@phdengenharia.eng.br</t>
  </si>
  <si>
    <t xml:space="preserve">CONSULTOR DE PLANEJAMENTO SENIOR </t>
  </si>
  <si>
    <t>SÃO JOÃO DELLREY</t>
  </si>
  <si>
    <t>YASNAIA FERREIRA</t>
  </si>
  <si>
    <t>yasnaia.ferreira@phdengenharia.eng.br</t>
  </si>
  <si>
    <t>NOVA ERA</t>
  </si>
  <si>
    <t>PAULO EDUARDO GOMES ANTUNES</t>
  </si>
  <si>
    <t>PAULO ANTUNES</t>
  </si>
  <si>
    <t>079.281.387-19</t>
  </si>
  <si>
    <t>98 98153-4283</t>
  </si>
  <si>
    <t>paulo.antunes@phdengenharia.eng.br</t>
  </si>
  <si>
    <t>WILLIAM PRATES SOUZA</t>
  </si>
  <si>
    <t>WILLIAM PRATES</t>
  </si>
  <si>
    <t>31 97114-5015</t>
  </si>
  <si>
    <t>william.prates@phdengenharia.eng.br</t>
  </si>
  <si>
    <t>ANALISTA DE DADOS</t>
  </si>
  <si>
    <t>IVAN GIANIZELLA DE ARAUJO</t>
  </si>
  <si>
    <t>IVAN ARAUJO</t>
  </si>
  <si>
    <t>31 99665-8361</t>
  </si>
  <si>
    <t>ivan.araujo@phdengenharia.eng.br</t>
  </si>
  <si>
    <t>GERENTE DE PMO</t>
  </si>
  <si>
    <t>EMERSON MALHEIRO ISRAEL</t>
  </si>
  <si>
    <t>EMERSON ISRAEL</t>
  </si>
  <si>
    <t>31 98394-0285</t>
  </si>
  <si>
    <t>emerson.israel@phdengenharia.eng.br</t>
  </si>
  <si>
    <t>SUPERVISOR PLANEJAMENTO</t>
  </si>
  <si>
    <t>FERNANDO ANTONIO GRANJO MONDADORI</t>
  </si>
  <si>
    <t>FERNANDO MONDADORI</t>
  </si>
  <si>
    <t>fernando.mondadori@phdengenharia.eng.br</t>
  </si>
  <si>
    <t>CAMPINAS</t>
  </si>
  <si>
    <t>GILBERTO SANTANA CARDOSO JUNIOR</t>
  </si>
  <si>
    <t>GILBERTO JUNIOR</t>
  </si>
  <si>
    <t>064.730.019-21</t>
  </si>
  <si>
    <t>41 99931-2921</t>
  </si>
  <si>
    <t>gilberto.junior@phdengenharia.eng.br</t>
  </si>
  <si>
    <t>CURITBA</t>
  </si>
  <si>
    <t>PR</t>
  </si>
  <si>
    <t>BERNARDO MUZZI</t>
  </si>
  <si>
    <t>31 99192-7100</t>
  </si>
  <si>
    <t>bernardo.melgaco@phdengenharia.eng.br</t>
  </si>
  <si>
    <t xml:space="preserve">RENASCENCIA </t>
  </si>
  <si>
    <t>VINICIUS DIAS LOPES</t>
  </si>
  <si>
    <t>VINICIUS LOPES</t>
  </si>
  <si>
    <t>37 99915-8846</t>
  </si>
  <si>
    <t>vinicius.lopes@phdengenharia.eng.br</t>
  </si>
  <si>
    <t>IGOR LUIZ FERREIRA WANDERLEY</t>
  </si>
  <si>
    <t>IGOR LUIZ</t>
  </si>
  <si>
    <t>124.347.937-03</t>
  </si>
  <si>
    <t>21 99873-2738</t>
  </si>
  <si>
    <t>igor.wanderley@phdengenharia.eng.br</t>
  </si>
  <si>
    <t>TECNICO DE PLANEJAMENTO IV</t>
  </si>
  <si>
    <t>BRUNO SOARES MAYER</t>
  </si>
  <si>
    <t>BRUNO MAYER</t>
  </si>
  <si>
    <t>061.529.266-61</t>
  </si>
  <si>
    <t>31 98627-7486</t>
  </si>
  <si>
    <t>bruno.mayer@phdengenharia.eng.br</t>
  </si>
  <si>
    <t>JANAINA DAMASCENO</t>
  </si>
  <si>
    <t>31 97201-8206</t>
  </si>
  <si>
    <t>janaina.damasceno@phdengenharia.eng.br</t>
  </si>
  <si>
    <t>CARLOS AUGUSTO FIGUEIREDO LIMA</t>
  </si>
  <si>
    <t>CARLOS LIMA</t>
  </si>
  <si>
    <t>050.967.276-02</t>
  </si>
  <si>
    <t>31 99831-5101</t>
  </si>
  <si>
    <t>carlos.lima@phdengenharia.eng.br</t>
  </si>
  <si>
    <t xml:space="preserve">CONSULTOR DE GESTÃO E PLANEJAMENTO III </t>
  </si>
  <si>
    <t>RAPOSOS</t>
  </si>
  <si>
    <t>RICARDO NUNES</t>
  </si>
  <si>
    <t>98 99195-1243</t>
  </si>
  <si>
    <t>ricardo.nunes@phdengenharia.eng.br</t>
  </si>
  <si>
    <t>RODRIGO ALVES RODRIGUES</t>
  </si>
  <si>
    <t>RODRIGO RODRIGUES</t>
  </si>
  <si>
    <t>093.382.327-43</t>
  </si>
  <si>
    <t>27 99885-2139</t>
  </si>
  <si>
    <t>rodrigo.rodrigues@phdengenharia.eng.br</t>
  </si>
  <si>
    <t>LINHARES</t>
  </si>
  <si>
    <t>ES</t>
  </si>
  <si>
    <t>LETICIA MARIA VENANCIO REZENDE</t>
  </si>
  <si>
    <t>LETICIA REZENDE</t>
  </si>
  <si>
    <t>31 99505-3739</t>
  </si>
  <si>
    <t>leticia.rezende@phdengenharia.eng.br</t>
  </si>
  <si>
    <t>FERNANDO BATISTA SOUZA</t>
  </si>
  <si>
    <t>FERNANDO SOUZA</t>
  </si>
  <si>
    <t>068.093.276-30</t>
  </si>
  <si>
    <t>31 99426-9761</t>
  </si>
  <si>
    <t>fernando.souza@phdengenharia.eng.br</t>
  </si>
  <si>
    <t>ANALISTA DE FACILITIES I</t>
  </si>
  <si>
    <t>ANDRE CARNEIRO BARBOSA</t>
  </si>
  <si>
    <t>ANDRE BARBOSA</t>
  </si>
  <si>
    <t>964.427.275-72</t>
  </si>
  <si>
    <t>71 99143-1937</t>
  </si>
  <si>
    <t>andre.barbosa@phdengenharia.eng.br</t>
  </si>
  <si>
    <t>ANDERSON ALVES</t>
  </si>
  <si>
    <t>53 99949-5818</t>
  </si>
  <si>
    <t>anderson.alves@phdengenharia.eng.br</t>
  </si>
  <si>
    <t>COORDENADOR DE PLANEJAMENTO I</t>
  </si>
  <si>
    <t>SÃO JOSÉ DO NORTE</t>
  </si>
  <si>
    <t>RS</t>
  </si>
  <si>
    <t>MARCO SILVA</t>
  </si>
  <si>
    <t>000.192.777-92</t>
  </si>
  <si>
    <t>94 98806-6957</t>
  </si>
  <si>
    <t>marco.silva@phdengenharia.eng.br</t>
  </si>
  <si>
    <t>CONSULTOR SÊNIOR DE GESTÃO E PLANEJAMENTO</t>
  </si>
  <si>
    <t>RIO GRANDE DO NORTE</t>
  </si>
  <si>
    <t>RN</t>
  </si>
  <si>
    <t>GISELLE THOMAZ</t>
  </si>
  <si>
    <t>31 99418-7005</t>
  </si>
  <si>
    <t>giselle.thomaz@phdengenharia.eng.br</t>
  </si>
  <si>
    <t>SAMARA APARECIDA FIDELES</t>
  </si>
  <si>
    <t>SAMARA APARECIDA</t>
  </si>
  <si>
    <t>117.416.146-94</t>
  </si>
  <si>
    <t>31 98554-2460</t>
  </si>
  <si>
    <t>samara.fideles@phdengenharia.eng.br</t>
  </si>
  <si>
    <t>CRISTIANO OTONI</t>
  </si>
  <si>
    <t>SAMUEL SOUZA</t>
  </si>
  <si>
    <t>31 99266-0623</t>
  </si>
  <si>
    <t>samuel.souza@phdengenharia.eng.br</t>
  </si>
  <si>
    <t>COORDENADOR DE PLANEJAMENTO IV</t>
  </si>
  <si>
    <t>JORGE ALTAIR CORREA DA SILVA</t>
  </si>
  <si>
    <t>JORGE SILVA</t>
  </si>
  <si>
    <t>781.496.737-68</t>
  </si>
  <si>
    <t>67 99805-7930</t>
  </si>
  <si>
    <t>jorge.silva@phdengenharia.eng.br</t>
  </si>
  <si>
    <t>NATAL</t>
  </si>
  <si>
    <t>DANIEL LARANJO</t>
  </si>
  <si>
    <t>31 99178-3886</t>
  </si>
  <si>
    <t>daniel.laranjo@phdengenharia.eng.br</t>
  </si>
  <si>
    <t>PORTO ALEGRE</t>
  </si>
  <si>
    <t>JANAINA GOSLING</t>
  </si>
  <si>
    <t>121.296.736-43</t>
  </si>
  <si>
    <t>31 98878-9483</t>
  </si>
  <si>
    <t>janaina.gosling@phdengenharia.eng.br</t>
  </si>
  <si>
    <t>CONSULTOR TÉCNICO DE PLANEJAMENTO IV</t>
  </si>
  <si>
    <t>SILVIA MARIA DA SILVA</t>
  </si>
  <si>
    <t>SILVIA MARIA</t>
  </si>
  <si>
    <t>31 98786-8091</t>
  </si>
  <si>
    <t>silvia.maria@phdengenharia.eng.br</t>
  </si>
  <si>
    <t>ANALISTA DE RECURSOS HUMANOS II</t>
  </si>
  <si>
    <t>THALES VINICIUS VIDAL COELHO</t>
  </si>
  <si>
    <t>THALES COELHO</t>
  </si>
  <si>
    <t>31 98988-4421</t>
  </si>
  <si>
    <t>thales.coelho@phdengenharia.eng.br</t>
  </si>
  <si>
    <t>TIMOTEO</t>
  </si>
  <si>
    <t>JOCIMARA DE JESUS SANTANA</t>
  </si>
  <si>
    <t>JOCIMARA SANTANA</t>
  </si>
  <si>
    <t>006.171.972-29</t>
  </si>
  <si>
    <t>31 97231-9202</t>
  </si>
  <si>
    <t>jocimara.santana@phdengenharia.eng.br</t>
  </si>
  <si>
    <t>YASMIM DO CARMO SANTOS</t>
  </si>
  <si>
    <t>YASMIM SANTOS</t>
  </si>
  <si>
    <t>104.586.176-60</t>
  </si>
  <si>
    <t>31 97501-0636</t>
  </si>
  <si>
    <t>yasmim.santos@phdengenharia.eng.br</t>
  </si>
  <si>
    <t>ANALISTA FINANCEIRO II</t>
  </si>
  <si>
    <t>HEMERSON FERNANDO COELHO SOUZA</t>
  </si>
  <si>
    <t>HEMERSON SOUZA</t>
  </si>
  <si>
    <t>079.588.889-96</t>
  </si>
  <si>
    <t>49 98869-6948</t>
  </si>
  <si>
    <t>hemerson.souza@phdengenharia.eng.br</t>
  </si>
  <si>
    <t>COORDENADOR DE GESTÃO E PLANEJAMENTO</t>
  </si>
  <si>
    <t>MATO GROSSO DO SUL</t>
  </si>
  <si>
    <t>MT</t>
  </si>
  <si>
    <t>VITOR DA SILVA RODRIGUES</t>
  </si>
  <si>
    <t>VITOR RODRIGUES</t>
  </si>
  <si>
    <t>039.449.272-22</t>
  </si>
  <si>
    <t>94 99301-4959</t>
  </si>
  <si>
    <t>vitor.rodrigues@phdengenharia.eng.br</t>
  </si>
  <si>
    <t>NATAN SACRAMENTO SOUZA</t>
  </si>
  <si>
    <t>NATAN SACRAMENTO</t>
  </si>
  <si>
    <t>059.977.526-23</t>
  </si>
  <si>
    <t>32 99918-0818</t>
  </si>
  <si>
    <t>natan.souza@phdengenharia.eng.br</t>
  </si>
  <si>
    <t>ANDRELANDIA</t>
  </si>
  <si>
    <t>MANOEL JUNIOR</t>
  </si>
  <si>
    <t>521.355.192-00</t>
  </si>
  <si>
    <t>91 98136-0575</t>
  </si>
  <si>
    <t>manoel.junior@phdengenharia.eng.br</t>
  </si>
  <si>
    <t>BELÉM</t>
  </si>
  <si>
    <t>PAOLA CANDIDA DA SILVA</t>
  </si>
  <si>
    <t>PAOLA SILVA</t>
  </si>
  <si>
    <t>31 98504-4246</t>
  </si>
  <si>
    <t>paola.silva@phdengenharia.eng.br</t>
  </si>
  <si>
    <t>SARZEDO</t>
  </si>
  <si>
    <t>BEATRIZ SILVEIRA</t>
  </si>
  <si>
    <t>31 99173-9090</t>
  </si>
  <si>
    <t>beatriz.silveira@phdengenharia.eng.br</t>
  </si>
  <si>
    <t>LUIZ SANTOS</t>
  </si>
  <si>
    <t>383.644.348-10</t>
  </si>
  <si>
    <t>12 99209-5013</t>
  </si>
  <si>
    <t>luiz.lopes@phdengenharia.eng.br</t>
  </si>
  <si>
    <t>CONSULTOR DE PLANEJAMENTO SR 0</t>
  </si>
  <si>
    <t>CAMPOS DO JORDÃO</t>
  </si>
  <si>
    <t>MATHEUS HENRIQUE CANUTO DORNELES</t>
  </si>
  <si>
    <t>MATHEUS DORNELES</t>
  </si>
  <si>
    <t>050.055.651-24</t>
  </si>
  <si>
    <t>67 99937-7966</t>
  </si>
  <si>
    <t>matheus.dorneles@phdengenharia.eng.br</t>
  </si>
  <si>
    <t>CONSULTOR BIM</t>
  </si>
  <si>
    <t>PEDRO HENRIQUE PAIVA ABRANTES</t>
  </si>
  <si>
    <t>PEDRO PAIVA</t>
  </si>
  <si>
    <t>105.273.196-19</t>
  </si>
  <si>
    <t>31 99868-2745</t>
  </si>
  <si>
    <t>pedro.paiva@phdengenharia.eng.br</t>
  </si>
  <si>
    <t xml:space="preserve">GERENTE COMERCIAL I </t>
  </si>
  <si>
    <t>IZABELA RODRIGUES E ALVARENGA VINAUD</t>
  </si>
  <si>
    <t>IZABELA VINAUD</t>
  </si>
  <si>
    <t>089.391.276-09</t>
  </si>
  <si>
    <t>31 99906-5574</t>
  </si>
  <si>
    <t>izabela.alvarenga@phdengenharia.eng.br</t>
  </si>
  <si>
    <t>ANALISTA DE MARKETING II</t>
  </si>
  <si>
    <t>PETRUS MARIO</t>
  </si>
  <si>
    <t>422.599.878-93</t>
  </si>
  <si>
    <t>31 98114-0812</t>
  </si>
  <si>
    <t>petrus.gutierrez@phdengenharia.eng.br</t>
  </si>
  <si>
    <t>CONSULTOR LEAN III</t>
  </si>
  <si>
    <t>SUELLEN CRISTINE GOMES DOS SANTOS</t>
  </si>
  <si>
    <t>SUELLEN SANTOS</t>
  </si>
  <si>
    <t>110.947.056-83</t>
  </si>
  <si>
    <t>31 99117-4491</t>
  </si>
  <si>
    <t>suellen.santos@phdengenharia.eng.br</t>
  </si>
  <si>
    <t>RECEPCIONISTA I</t>
  </si>
  <si>
    <t>PEDRO HENRIQUE DE FARIA TEIXEIRA</t>
  </si>
  <si>
    <t>PEDRO TEIXEIRA</t>
  </si>
  <si>
    <t>31 99528-5592</t>
  </si>
  <si>
    <t>pedro.teixeira@phdengenharia.eng.br</t>
  </si>
  <si>
    <t>ANALISTA DE DEPARTAMENTO PESSOAL III</t>
  </si>
  <si>
    <t>TIAGO SOUSA DE OLIVEIRA</t>
  </si>
  <si>
    <t>TIAGO OLIVEIRA</t>
  </si>
  <si>
    <t>076.706.146-25</t>
  </si>
  <si>
    <t>32 98821-5400</t>
  </si>
  <si>
    <t>tiago.oliveira@phdengenharia.eng.br</t>
  </si>
  <si>
    <t>CONSULTOR DE GESTÃO E PLANEJAMENTO III</t>
  </si>
  <si>
    <t>JUIZ DE FORA</t>
  </si>
  <si>
    <t>MARLO SOUZA DUARTE</t>
  </si>
  <si>
    <t>MARLO DUARTE</t>
  </si>
  <si>
    <t>060.477.556-31</t>
  </si>
  <si>
    <t xml:space="preserve"> 31 98419-7827</t>
  </si>
  <si>
    <t>marlo.duarte@phdengenharia.eng.br</t>
  </si>
  <si>
    <t>JONATHAN VINICIUS DA MOTA</t>
  </si>
  <si>
    <t>JONATHAN MOTA</t>
  </si>
  <si>
    <t>095.340.046-85</t>
  </si>
  <si>
    <t>31 98569-9235</t>
  </si>
  <si>
    <t>jonathan.mota@phdengenharia.eng.br</t>
  </si>
  <si>
    <t>CINDY EVELYN MARTINS SANTOS</t>
  </si>
  <si>
    <t>CINDY SANTOS</t>
  </si>
  <si>
    <t>31 98593-6990</t>
  </si>
  <si>
    <t>cindy.santos@phdengenharia.eng.br</t>
  </si>
  <si>
    <t>ANALISTA RH IV</t>
  </si>
  <si>
    <t>SILVEIRA</t>
  </si>
  <si>
    <t>ALISSON RIBEIRO DE ARAUJO</t>
  </si>
  <si>
    <t>ALISSON ARAUJO</t>
  </si>
  <si>
    <t>411.050.218-74</t>
  </si>
  <si>
    <t>19 99642-0222</t>
  </si>
  <si>
    <t>alisson.araujo@phdengenharia.eng.br</t>
  </si>
  <si>
    <t>ARTHUR ROCHA DE ALMEIDA PRADO</t>
  </si>
  <si>
    <t>31 98587-9536</t>
  </si>
  <si>
    <t>ENGENHEIRO DE PLANEJAMENTO JUNIOR I</t>
  </si>
  <si>
    <t>Liderança</t>
  </si>
  <si>
    <t>IAGO FONSECA DE MEIRELLES</t>
  </si>
  <si>
    <t>IAGO MEIRELLES</t>
  </si>
  <si>
    <t>060.040.545-18</t>
  </si>
  <si>
    <t>71 99386-7312</t>
  </si>
  <si>
    <t>iago.meirelles@phdengenharia.eng.br</t>
  </si>
  <si>
    <t>CAMILA DA COSTA BARBOSA</t>
  </si>
  <si>
    <t>CAMILA BARBOSA</t>
  </si>
  <si>
    <t>camila.barbosa@phdengenharia.eng.br</t>
  </si>
  <si>
    <t>CONSULTORA DE GESTÃO E PLANEJAMENTO I</t>
  </si>
  <si>
    <t>TAIS APARECIDA DE PAULA</t>
  </si>
  <si>
    <t>TAIS PAULA</t>
  </si>
  <si>
    <t>131.150.436-27</t>
  </si>
  <si>
    <t>31 99480-6463</t>
  </si>
  <si>
    <t>tais.paula@phdengenharia.eng.br</t>
  </si>
  <si>
    <t>ERIK RODRIGUES SALOMAO</t>
  </si>
  <si>
    <t>ERIK SALOMAO</t>
  </si>
  <si>
    <t>133.659.846-82</t>
  </si>
  <si>
    <t>31 99075-8088</t>
  </si>
  <si>
    <t>erik.salomao@phdengenharia.eng.br</t>
  </si>
  <si>
    <t>EMPRESA</t>
  </si>
  <si>
    <t>CONSULTOR BIM I</t>
  </si>
  <si>
    <t>JOSE SOUZA</t>
  </si>
  <si>
    <t>088.328.576-26</t>
  </si>
  <si>
    <t>32 99194-8982</t>
  </si>
  <si>
    <t>jose.pamplona@phdengenharia.eng.br</t>
  </si>
  <si>
    <t>CARANDAI</t>
  </si>
  <si>
    <t>LUIS FRAGA</t>
  </si>
  <si>
    <t>021.338.517-12</t>
  </si>
  <si>
    <t>31 99443-0411</t>
  </si>
  <si>
    <t>luis.fraga@phdengenharia.eng.br</t>
  </si>
  <si>
    <t>NILTON FERREIRA NUNES</t>
  </si>
  <si>
    <t>NILTON NUNES</t>
  </si>
  <si>
    <t>046.511.076-21</t>
  </si>
  <si>
    <t>31 99460-6956</t>
  </si>
  <si>
    <t>nilton.nunes@phdengenharia.eng.br</t>
  </si>
  <si>
    <t>CONSULTOR BIM II</t>
  </si>
  <si>
    <t>THALLES SILVEIRA</t>
  </si>
  <si>
    <t>903.319.823-15</t>
  </si>
  <si>
    <t>85 99965-1082</t>
  </si>
  <si>
    <t>thalles.silveira@phdengenharia.eng.br</t>
  </si>
  <si>
    <t>HEAD DE PLANEJAMENTO AWP I</t>
  </si>
  <si>
    <t>FORTALEZA/CE</t>
  </si>
  <si>
    <t>DANIEL DE AZEVEDO</t>
  </si>
  <si>
    <t>014.504.496-38</t>
  </si>
  <si>
    <t>31 99254-2525</t>
  </si>
  <si>
    <t>daniel.azevedo@phdengenharia.eng.br</t>
  </si>
  <si>
    <t>GERENTE DE PESSOAS E CULTURA II</t>
  </si>
  <si>
    <t>DIEGO PERES</t>
  </si>
  <si>
    <t>118.120.767-38</t>
  </si>
  <si>
    <t>21-99641-0981</t>
  </si>
  <si>
    <t>diego.peres@phdengenharia.eng.br</t>
  </si>
  <si>
    <t>TECNICO DE PLANEJAMENTO E MEDICAO III</t>
  </si>
  <si>
    <t>HENRIQUE LUCIO SILVA</t>
  </si>
  <si>
    <t>HENRIQUE SILVA</t>
  </si>
  <si>
    <t>31 99192-7906</t>
  </si>
  <si>
    <t>henrique.silva@phdengenharia.eng.br</t>
  </si>
  <si>
    <t>COORDENADOR COMERCIAL II</t>
  </si>
  <si>
    <t>BRENDO HENRIQUE LOPES</t>
  </si>
  <si>
    <t>BRENDO LOPES</t>
  </si>
  <si>
    <t>0</t>
  </si>
  <si>
    <t>brendo.lopes@phdengenharia.eng.br</t>
  </si>
  <si>
    <t>Transferência</t>
  </si>
  <si>
    <t>CONSULTOR BIM PLENO</t>
  </si>
  <si>
    <t>DANIEL SOUSA</t>
  </si>
  <si>
    <t>daniel.sousa@phdengenharia.eng.br</t>
  </si>
  <si>
    <t>LUCAS EDUARDO NORBERTO BARROSO</t>
  </si>
  <si>
    <t>LUCAS BARROSO</t>
  </si>
  <si>
    <t>137.017.886-77</t>
  </si>
  <si>
    <t>lucas.barroso@phdengenharia.eng.br</t>
  </si>
  <si>
    <t>LUCIO SILVA</t>
  </si>
  <si>
    <t>353.332.192-49</t>
  </si>
  <si>
    <t>91 98463-2769</t>
  </si>
  <si>
    <t>lucio.silva@phdengenharia.eng.br</t>
  </si>
  <si>
    <t>Belém/PA</t>
  </si>
  <si>
    <t>ANANINDEUA</t>
  </si>
  <si>
    <t>MARLON JUNIO DE OLIVEIRA</t>
  </si>
  <si>
    <t>MARLON JUNIO</t>
  </si>
  <si>
    <t>117.712.456-46</t>
  </si>
  <si>
    <t>31 99647-9667</t>
  </si>
  <si>
    <t>marlon.oliveira@phdengenharia.eng.br</t>
  </si>
  <si>
    <t>ANALISTA FINANCEIRO I</t>
  </si>
  <si>
    <t>WARLEY NOGUEIRA</t>
  </si>
  <si>
    <t>119.350.506-21</t>
  </si>
  <si>
    <t>31 99142-6841</t>
  </si>
  <si>
    <t>warley.nogueira@phdengenharia.eng.br</t>
  </si>
  <si>
    <t>Coronel Fabriciano/Mg</t>
  </si>
  <si>
    <t>Santana do paraiso</t>
  </si>
  <si>
    <t xml:space="preserve">CAROLLINE SENEM </t>
  </si>
  <si>
    <t>TRANSFERÊNCIA</t>
  </si>
  <si>
    <t xml:space="preserve">31 99315-5395 </t>
  </si>
  <si>
    <t>carolline.senem@phdengenharia.eng.br</t>
  </si>
  <si>
    <t>LENNON MICHAEL MOREIRA SANTOS</t>
  </si>
  <si>
    <t>LENNON SANTOS</t>
  </si>
  <si>
    <t>lennon.santos@phdengenharia.eng.br</t>
  </si>
  <si>
    <t>ESPECIALISTA PMO</t>
  </si>
  <si>
    <t>Inovação</t>
  </si>
  <si>
    <t>SEDE</t>
  </si>
  <si>
    <t>Belo Horizonte</t>
  </si>
  <si>
    <t>Minas Gerais</t>
  </si>
  <si>
    <t>André Guimaraes</t>
  </si>
  <si>
    <t>Andre Guimaraes</t>
  </si>
  <si>
    <t>RAFAEL NUNES VASCONCELOS</t>
  </si>
  <si>
    <t>RAFAEL VASCONCELOS</t>
  </si>
  <si>
    <t>075.097.216-52</t>
  </si>
  <si>
    <t>31 98829-2224</t>
  </si>
  <si>
    <t>rafael.vasconcelos@phdengenharia.eng.br</t>
  </si>
  <si>
    <t>MARIANA LELIS OLIVEIRA</t>
  </si>
  <si>
    <t>MARIANA OLIVEIRA</t>
  </si>
  <si>
    <t>f</t>
  </si>
  <si>
    <t>130.934.766-23</t>
  </si>
  <si>
    <t>31 99474-2627</t>
  </si>
  <si>
    <t>mariana.oliveira@phdengenharia.eng.br</t>
  </si>
  <si>
    <t>GUSTAVO VIANA DE MATOS BARBOSA</t>
  </si>
  <si>
    <t>GUSTAVO VIANA</t>
  </si>
  <si>
    <t>079.980.686-20</t>
  </si>
  <si>
    <t>31 99275-1360</t>
  </si>
  <si>
    <t>gustavo.barbosa@phdengenharia.eng.br</t>
  </si>
  <si>
    <t>ANALISTA COMERCIAL II</t>
  </si>
  <si>
    <t>GUSTAVO GUALBERTO DE SOUZA</t>
  </si>
  <si>
    <t>000.628.186-94</t>
  </si>
  <si>
    <t>24 99329-9006</t>
  </si>
  <si>
    <t>gustavo.gualberto@phdengenharia.eng.br</t>
  </si>
  <si>
    <t>IVONE APARECIDA FERREIRA DE SOUZA LACERDA</t>
  </si>
  <si>
    <t>IVONE LACERDA</t>
  </si>
  <si>
    <t>088.652.026-61</t>
  </si>
  <si>
    <t>31 99145-3909</t>
  </si>
  <si>
    <t>ivone.lacerda@phdengenharia.eng.br</t>
  </si>
  <si>
    <t>ANALISTA ADMINISTRATIVO</t>
  </si>
  <si>
    <t>FABIO KRELLING</t>
  </si>
  <si>
    <t>027.664.139-60</t>
  </si>
  <si>
    <t>27 99876-8598</t>
  </si>
  <si>
    <t>fabio.krelling@phdengenharia.eng.br</t>
  </si>
  <si>
    <t>HEAD DE GESTÃO E PLANEJAMENTO</t>
  </si>
  <si>
    <t>Joinville/SC</t>
  </si>
  <si>
    <t>MAXWENDER OLIVEIRA</t>
  </si>
  <si>
    <t>037.615.421-78</t>
  </si>
  <si>
    <t>24 99906-9474</t>
  </si>
  <si>
    <t>maxwender.oliveira@phdengenharia.eng.br</t>
  </si>
  <si>
    <t>MIRTES ADRIANE DA SILVA FERREIRA BALBINO</t>
  </si>
  <si>
    <t>MIRTES FERREIRA</t>
  </si>
  <si>
    <t>38 99138-7322</t>
  </si>
  <si>
    <t>mirtes.ferreira@phdengenharia.eng.br</t>
  </si>
  <si>
    <t>TECNICO DE SEGURANÇA DO TRABALHO II</t>
  </si>
  <si>
    <t>HANDERSON NEVES CARVALHO</t>
  </si>
  <si>
    <t>HANDERSON CARVALHO</t>
  </si>
  <si>
    <t>38 98837-2568</t>
  </si>
  <si>
    <t>handerson.carvalho@phdengenharia.eng.br</t>
  </si>
  <si>
    <t>REGINA JULIA DIAS MARTINS</t>
  </si>
  <si>
    <t>REGINA MARTINS</t>
  </si>
  <si>
    <t>071.257.176-08</t>
  </si>
  <si>
    <t>31 99377-5989</t>
  </si>
  <si>
    <t>regina.martins@phdengenharia.eng.br</t>
  </si>
  <si>
    <t>GUILHERME BRAGA</t>
  </si>
  <si>
    <t>31 99700-0856</t>
  </si>
  <si>
    <t>guilherme.braga@phdengenharia.eng.br</t>
  </si>
  <si>
    <t>FABRICIO SANTOS</t>
  </si>
  <si>
    <t>027.583.766-10</t>
  </si>
  <si>
    <t>27 99944-0321</t>
  </si>
  <si>
    <t>fabricio.santos@phdengenharia.eng.br</t>
  </si>
  <si>
    <t>VERONICA LORENA NETO MARCELINO</t>
  </si>
  <si>
    <t>VERONICA MARCELINO</t>
  </si>
  <si>
    <t>159.904.116-26</t>
  </si>
  <si>
    <t>31 8951-2939</t>
  </si>
  <si>
    <t>veronica.marcelino@phdengenharia.eng.br</t>
  </si>
  <si>
    <t>ASSISTENTE DE MARKETING I</t>
  </si>
  <si>
    <t>MURILO GOULART BARBOSA</t>
  </si>
  <si>
    <t>MURILO BARBOSA</t>
  </si>
  <si>
    <t>53 98444-2454</t>
  </si>
  <si>
    <t>murilo.barbosa@phdengenharia.eng.br</t>
  </si>
  <si>
    <t>RECREIO E FATIMA RIO GRANDE</t>
  </si>
  <si>
    <t>KATHLLENN DIAS CAMARGOS FERREIRA</t>
  </si>
  <si>
    <t>KATHLLENN FERREIRA</t>
  </si>
  <si>
    <t>REEMPREGO</t>
  </si>
  <si>
    <t>091.159.036-64</t>
  </si>
  <si>
    <t>MG-16.033.627</t>
  </si>
  <si>
    <t>31 98944-7702</t>
  </si>
  <si>
    <t>kathllenn.ferreira@phdengenharia.eng.br</t>
  </si>
  <si>
    <t>SALVADOR/BA</t>
  </si>
  <si>
    <t>FELIPE BAPTISTA</t>
  </si>
  <si>
    <t>035.760.771-62</t>
  </si>
  <si>
    <t>65 99985-2635</t>
  </si>
  <si>
    <t>felipe.baptista@phdengenharia.eng.br</t>
  </si>
  <si>
    <t>MATO GROSSO</t>
  </si>
  <si>
    <t>ERICK ARECO CACERES</t>
  </si>
  <si>
    <t>ERICK CACERES</t>
  </si>
  <si>
    <t>046.714.071-59</t>
  </si>
  <si>
    <t>67 99308-1892</t>
  </si>
  <si>
    <t>erick.caceres@phdengenharia.eng.br</t>
  </si>
  <si>
    <t>CAMPO GRANDE</t>
  </si>
  <si>
    <t>MS</t>
  </si>
  <si>
    <t>FABRICIA FREIRE</t>
  </si>
  <si>
    <t>31 97360-2786</t>
  </si>
  <si>
    <t>fabricia.freire@phdengenharia.eng.br</t>
  </si>
  <si>
    <t xml:space="preserve">MINAS NOVAS </t>
  </si>
  <si>
    <t>FRANCISCO EUSTAQUIO VIANA FILHO</t>
  </si>
  <si>
    <t>FRANCISCO FILHO</t>
  </si>
  <si>
    <t>062.837.796-70</t>
  </si>
  <si>
    <t>31 98285-2992</t>
  </si>
  <si>
    <t>francisco.viana@phdengenharia.eng.br</t>
  </si>
  <si>
    <t>CONSULTOR SÊNIOR DE GESTÃO E PLANEJAMENTO III</t>
  </si>
  <si>
    <t>VESPASIANO</t>
  </si>
  <si>
    <t>JENIVALDO ANDRADE DE OLIVEIRA</t>
  </si>
  <si>
    <t>JENIVALDO OLIVEIRA</t>
  </si>
  <si>
    <t>71 99190-8597</t>
  </si>
  <si>
    <t>jenivaldo.oliveira@phdengenharia.eng.br</t>
  </si>
  <si>
    <t>ESPECIALISTA DE GESTÃO DE PLANEJAMENTO II</t>
  </si>
  <si>
    <t>Juiz de Fora</t>
  </si>
  <si>
    <t>CASSIA SPECK</t>
  </si>
  <si>
    <t>93 98128-1557</t>
  </si>
  <si>
    <t>cassia.speck@phdengenharia.eng.br</t>
  </si>
  <si>
    <t>CONSULTOR LEAN IV</t>
  </si>
  <si>
    <t>SANTAREM</t>
  </si>
  <si>
    <t>EVANDRO CARLOS DOS SANTOS</t>
  </si>
  <si>
    <t>EVANDRO SANTOS</t>
  </si>
  <si>
    <t>214.890.412-49</t>
  </si>
  <si>
    <t>31 99970-7020</t>
  </si>
  <si>
    <t>evandro.santos@phdengenharia.eng.br</t>
  </si>
  <si>
    <t>ANALISTA DEPARTAMETNO PESSOAL IV</t>
  </si>
  <si>
    <t>24/02/2026 - Chamado aberto da mobilização
24/02/2026 - Aso solicitado, terá que realizar exame
24/02/2026 - Conforme informação do cliente não será necessário treinamentos</t>
  </si>
  <si>
    <t>ALDO SANTOS</t>
  </si>
  <si>
    <t>008.357.860-99</t>
  </si>
  <si>
    <t>51 99566-9187</t>
  </si>
  <si>
    <t>aldo.santos@phdengenharia.eng.br</t>
  </si>
  <si>
    <t>SANTA CRUZ DO SUL</t>
  </si>
  <si>
    <t>LUCAS QUINTAO</t>
  </si>
  <si>
    <t>015.600.906-42</t>
  </si>
  <si>
    <t>31 99260-1882</t>
  </si>
  <si>
    <t>lucas.penha@phdengenharia.eng.br</t>
  </si>
  <si>
    <t>CONSULTOR PLANEJAMENTO SR.</t>
  </si>
  <si>
    <t xml:space="preserve">SÃO LUIS </t>
  </si>
  <si>
    <t>MA</t>
  </si>
  <si>
    <t>056.914.991-65</t>
  </si>
  <si>
    <t>62 98239-7184</t>
  </si>
  <si>
    <t xml:space="preserve">COORDENADOR DE PLANEJAMENTO I </t>
  </si>
  <si>
    <t>COLIANS DO TOCANTIS/TO</t>
  </si>
  <si>
    <t>ANTONIO DIAS</t>
  </si>
  <si>
    <t>PAULA DE SOUZA PEREIRA</t>
  </si>
  <si>
    <t>PAULA PEREIRA</t>
  </si>
  <si>
    <t>062.882.736-94</t>
  </si>
  <si>
    <t>31 97132-8486</t>
  </si>
  <si>
    <t>paula.pereira@phdengenharia.eng.br</t>
  </si>
  <si>
    <t>CONSULTOR PLANEJAMENTO SENIOR</t>
  </si>
  <si>
    <t>CATAS ALTAS</t>
  </si>
  <si>
    <t>ARMANDO BARCANTE DE FIGUEIREDO</t>
  </si>
  <si>
    <t>ARMANDO FIGUEIREDO</t>
  </si>
  <si>
    <t>994.324.556-53</t>
  </si>
  <si>
    <t>31 99607-4694</t>
  </si>
  <si>
    <t>armando.figueiredo@phdengenharia.eng.br</t>
  </si>
  <si>
    <t>GERENTE FINANCEIRO</t>
  </si>
  <si>
    <t>LETICIA DOMINGUES</t>
  </si>
  <si>
    <t>100.678.576-04</t>
  </si>
  <si>
    <t>31 99777-5732</t>
  </si>
  <si>
    <t>leticia.domingues@phdengenharia.eng.br</t>
  </si>
  <si>
    <t>SÃO DOMINGOS DO PRATA</t>
  </si>
  <si>
    <t>AYWME MAYARA</t>
  </si>
  <si>
    <t>020.856.712-76</t>
  </si>
  <si>
    <t>94 99296-8667</t>
  </si>
  <si>
    <t>aywme.linhares@phdengenharia.eng.br</t>
  </si>
  <si>
    <t>CONSULTOR PLANEJAMENTO PLENO</t>
  </si>
  <si>
    <t>LUANNA FREITAS</t>
  </si>
  <si>
    <t>31 99192-4826</t>
  </si>
  <si>
    <t>luanna.freitas@phdengenharia.eng.br</t>
  </si>
  <si>
    <t>GUILHERME ROCHA</t>
  </si>
  <si>
    <t>064.309.576-40</t>
  </si>
  <si>
    <t>31 99356-5145</t>
  </si>
  <si>
    <t>guilherme.rocha@phdengenharia.eng.br</t>
  </si>
  <si>
    <t>GABRIEL SILVA BORGES TEIXEIRA</t>
  </si>
  <si>
    <t>GABRIEL TEIXEIRA</t>
  </si>
  <si>
    <t>142.325.776-61</t>
  </si>
  <si>
    <t>MG-20.663.264</t>
  </si>
  <si>
    <t>31 98693-5955</t>
  </si>
  <si>
    <t>gabriel.teixeira@phdengenharia.eng.br</t>
  </si>
  <si>
    <t>ANALISTA COMERCIAL</t>
  </si>
  <si>
    <t>IPATINGA/MG</t>
  </si>
  <si>
    <t>WERNER SOUSA</t>
  </si>
  <si>
    <t>67 99231-1150</t>
  </si>
  <si>
    <t>werner.sousa@phdengenharia.eng.br</t>
  </si>
  <si>
    <t>CONSULTOR DE PLANEJAMENTO</t>
  </si>
  <si>
    <t>MACEIO/AL</t>
  </si>
  <si>
    <t>MONICA SOUSA DUARTE</t>
  </si>
  <si>
    <t>MONICA DUARTE</t>
  </si>
  <si>
    <t>31 97127-5019</t>
  </si>
  <si>
    <t>monica.duarte@phdengenharia.eng.br</t>
  </si>
  <si>
    <t>TALYS MORAIS</t>
  </si>
  <si>
    <t>31 99934-1419</t>
  </si>
  <si>
    <t>talys.morais@phdengenharia.eng.br</t>
  </si>
  <si>
    <t>TECNICO DE PLANEJAMENTO I</t>
  </si>
  <si>
    <t>BRUNO RIBEIRO BARBOSA</t>
  </si>
  <si>
    <t>BRUNO BARBOSA</t>
  </si>
  <si>
    <t>110.625.836-39</t>
  </si>
  <si>
    <t>MG-16401723</t>
  </si>
  <si>
    <t xml:space="preserve"> 31 99338-6628</t>
  </si>
  <si>
    <t>bruno.barbosa@phdengenharia.eng.br</t>
  </si>
  <si>
    <t>ESPECIALISTA DE PLANEJAMENTO</t>
  </si>
  <si>
    <t>CNPJ</t>
  </si>
  <si>
    <t>DANIEL LEITE BITTENCOURT</t>
  </si>
  <si>
    <t>DANIEL LEITE</t>
  </si>
  <si>
    <t>794.778.446-91</t>
  </si>
  <si>
    <t>MG-4366163</t>
  </si>
  <si>
    <t>31 98478-1922</t>
  </si>
  <si>
    <t>daniel.bittencourt@phdengenharia.eng.br</t>
  </si>
  <si>
    <t>BELO HORIZONTE/MG</t>
  </si>
  <si>
    <t>CARLOS ALVES</t>
  </si>
  <si>
    <t>010.168.972-19</t>
  </si>
  <si>
    <t>5284281 SPTC GO</t>
  </si>
  <si>
    <t>94 98118-8898</t>
  </si>
  <si>
    <t>carlos.alves@phdengenharia.eng.br</t>
  </si>
  <si>
    <t>JOAO MARIO SANTANA DAVID CARVALHO</t>
  </si>
  <si>
    <t>JOAO CARVALHO</t>
  </si>
  <si>
    <t>066.429.915-67</t>
  </si>
  <si>
    <t>38 99164-6886</t>
  </si>
  <si>
    <t>joao.carvalho@phdengenharia.eng.br</t>
  </si>
  <si>
    <t>AUXILIAR DE PLANEJAMENTO I</t>
  </si>
  <si>
    <t>URANDI/BA</t>
  </si>
  <si>
    <t>PECANHA</t>
  </si>
  <si>
    <t>RODRIGO ASSIS ROCHA</t>
  </si>
  <si>
    <t>RODRIGO ROCHA</t>
  </si>
  <si>
    <t>975.894.706-00</t>
  </si>
  <si>
    <t>M-4315113</t>
  </si>
  <si>
    <t>31 99613-9636</t>
  </si>
  <si>
    <t>rodrigo.rocha@phdengenharia.eng.br</t>
  </si>
  <si>
    <t>CONSULTOR BIM SENIOR</t>
  </si>
  <si>
    <t>LUCIANA DE FATIMA FERREIRA</t>
  </si>
  <si>
    <t>LUCIANA FERREIRA</t>
  </si>
  <si>
    <t>792.065.576-53</t>
  </si>
  <si>
    <t>M-4.978.071</t>
  </si>
  <si>
    <t>31 99156 2564</t>
  </si>
  <si>
    <t>luciana.ferreira@phdengenharia.eng.br</t>
  </si>
  <si>
    <t>GERENTE DE RECURSOS HUMANOS 0</t>
  </si>
  <si>
    <t>CONSELHEIRO LAFAIETE/MG</t>
  </si>
  <si>
    <t>JULIA BRANDAO ROCHA</t>
  </si>
  <si>
    <t>JULIA BRANDAO</t>
  </si>
  <si>
    <t>31 99546-5505</t>
  </si>
  <si>
    <t>julia.brandao@phdengenharia.eng.br</t>
  </si>
  <si>
    <t>ESPECIALISTA DE PMO IV</t>
  </si>
  <si>
    <t>ELDER SARAIVA</t>
  </si>
  <si>
    <t>095.730.846-94</t>
  </si>
  <si>
    <t>MG15632296</t>
  </si>
  <si>
    <t>31 99798-8326</t>
  </si>
  <si>
    <t>elder.saraiva@phdengenharia.eng.br</t>
  </si>
  <si>
    <t>TOPOGRAFO SENIOR</t>
  </si>
  <si>
    <t>CRISTIANE LOBO</t>
  </si>
  <si>
    <t>31 98767-2823</t>
  </si>
  <si>
    <t>cristiane.lobo@phdengenharia.eng.br</t>
  </si>
  <si>
    <t>TECNICO DE PLANEJAMENTO/MEDICAO SR</t>
  </si>
  <si>
    <t>FELIPE ARAUJO</t>
  </si>
  <si>
    <t>026.539.641-71</t>
  </si>
  <si>
    <t>62 98500-2422</t>
  </si>
  <si>
    <t>felipe.araujo@phdengenharia.eng.br</t>
  </si>
  <si>
    <t>ANDERSON NONATO</t>
  </si>
  <si>
    <t>029.198.015-54</t>
  </si>
  <si>
    <t>73 8109-4540</t>
  </si>
  <si>
    <t>anderson.santos@phdengenharia.eng.br</t>
  </si>
  <si>
    <t xml:space="preserve">ESPECIALISTA  BIM  </t>
  </si>
  <si>
    <t>CANAVIEIRAS/BA</t>
  </si>
  <si>
    <t>GABRIEL FRANCISCO DOS SANTOS</t>
  </si>
  <si>
    <t>GABRIEL SANTOS</t>
  </si>
  <si>
    <t>421.016.988-97</t>
  </si>
  <si>
    <t>19 98894-0508</t>
  </si>
  <si>
    <t>gabriel.santos@phdengenharia.eng.br</t>
  </si>
  <si>
    <t>VINHEDO</t>
  </si>
  <si>
    <t>RUBENS SILVA</t>
  </si>
  <si>
    <t>095.725.696-51</t>
  </si>
  <si>
    <t>MG-16.298.204</t>
  </si>
  <si>
    <t>38 99937-6488</t>
  </si>
  <si>
    <t>rubens.silva@phdengenharia.eng.br</t>
  </si>
  <si>
    <t>ESPECIALISTA DE PLANEJAMENTO 0</t>
  </si>
  <si>
    <t>JANAUBA/MG</t>
  </si>
  <si>
    <t>TEIXEIRA DUARTE</t>
  </si>
  <si>
    <t>THIAGO CAMBRAIA</t>
  </si>
  <si>
    <t>31 99527-6676</t>
  </si>
  <si>
    <t>thiago.cambraia@phdengenharia.eng.br</t>
  </si>
  <si>
    <t>PAULO MORAES</t>
  </si>
  <si>
    <t>31 99571-1739</t>
  </si>
  <si>
    <t>paulo.moraes@phdengenharia.eng.br</t>
  </si>
  <si>
    <t>Administrativo</t>
  </si>
  <si>
    <t>Pedro Morais</t>
  </si>
  <si>
    <t>Jarbas Junior</t>
  </si>
  <si>
    <t>RENE SOUZA</t>
  </si>
  <si>
    <t>009.662.815-43</t>
  </si>
  <si>
    <t>73 98245-5115</t>
  </si>
  <si>
    <t>rene.souza@phdengenharia.eng.br</t>
  </si>
  <si>
    <t>GILNEY BAGNOLI</t>
  </si>
  <si>
    <t>190.331.128-41</t>
  </si>
  <si>
    <t>19 98196-9497</t>
  </si>
  <si>
    <t>gilney.bagnoli@phdengenharia.eng.br</t>
  </si>
  <si>
    <t>273.639.568-98</t>
  </si>
  <si>
    <t>61 99553-8355</t>
  </si>
  <si>
    <t>COORDENADOR DE PLANEJAMENTO VI</t>
  </si>
  <si>
    <t>SÃO JOSE DOS CAMPOS/SP</t>
  </si>
  <si>
    <t>GOIANIA</t>
  </si>
  <si>
    <t>GO</t>
  </si>
  <si>
    <t>RENATO SILVA</t>
  </si>
  <si>
    <t>411.154.358-84</t>
  </si>
  <si>
    <t>46.747.524-6</t>
  </si>
  <si>
    <t>19 99807-8436</t>
  </si>
  <si>
    <t>renato.silva@phdengenharia.eng.br</t>
  </si>
  <si>
    <t>SEIDI ALEIXO</t>
  </si>
  <si>
    <t>218.916.008-18</t>
  </si>
  <si>
    <t>11 97699-8790</t>
  </si>
  <si>
    <t>seidi.aleixo@phdengenharia.eng.br</t>
  </si>
  <si>
    <t>VALTECI LEANDRO DE OLIVEIRA</t>
  </si>
  <si>
    <t>VALTECI OLIVEIRA</t>
  </si>
  <si>
    <t>957.511.817-00</t>
  </si>
  <si>
    <t>339990934 SSP SP</t>
  </si>
  <si>
    <t>41 99827-8219</t>
  </si>
  <si>
    <t>valteci.oliveira@phdengenharia.eng.br</t>
  </si>
  <si>
    <t>DIANY SANTANA</t>
  </si>
  <si>
    <t>129.429.756-28</t>
  </si>
  <si>
    <t>31 99689-2719</t>
  </si>
  <si>
    <t>diany.santana@phdengenharia.eng.br</t>
  </si>
  <si>
    <t xml:space="preserve">IGARAPÉ </t>
  </si>
  <si>
    <t>ISAC RODRIGUES HORTA</t>
  </si>
  <si>
    <t>052.455.156-10</t>
  </si>
  <si>
    <t>31 98779-9785</t>
  </si>
  <si>
    <t>Head BIM 0</t>
  </si>
  <si>
    <t>LUCAS ANDRADE BATISTA</t>
  </si>
  <si>
    <t>100.578.736-07</t>
  </si>
  <si>
    <t>31 98861-4019</t>
  </si>
  <si>
    <t>GERENTE COMERCIAL</t>
  </si>
  <si>
    <t>Comercial</t>
  </si>
  <si>
    <t>Ativo</t>
  </si>
  <si>
    <t>ADAILTON ANDRADE</t>
  </si>
  <si>
    <t>75 99216-3934</t>
  </si>
  <si>
    <t>adailton.andrade@phdengenharia.eng.br</t>
  </si>
  <si>
    <t>CUIABA</t>
  </si>
  <si>
    <t>ALESSANDRA ANDRADE SOBRAL</t>
  </si>
  <si>
    <t>ALESSANDRA SOBRAL</t>
  </si>
  <si>
    <t>954.798.806-91</t>
  </si>
  <si>
    <t>MG-6360851</t>
  </si>
  <si>
    <t>31 99277-6803</t>
  </si>
  <si>
    <t>alessandra.sobral@phdengenharia.eng.br</t>
  </si>
  <si>
    <t>114.375.266-08</t>
  </si>
  <si>
    <t>MG18038961</t>
  </si>
  <si>
    <t>31 98929-0369</t>
  </si>
  <si>
    <t>aline.lage@phdengenharia.eng.br</t>
  </si>
  <si>
    <t>TECNICO PLANEJAMENTO MEDICAO SR</t>
  </si>
  <si>
    <t>ALINNE DE SOUZA OLIVEIRA</t>
  </si>
  <si>
    <t>ALINNE DE SOUZA</t>
  </si>
  <si>
    <t>113.090.356-79</t>
  </si>
  <si>
    <t>31 99466-8122</t>
  </si>
  <si>
    <t>alinne.oliveira@phdengenharia.eng.br</t>
  </si>
  <si>
    <t>ANALISTA FINANCEIRO</t>
  </si>
  <si>
    <t>Financeiro</t>
  </si>
  <si>
    <t>Mateus Corradi</t>
  </si>
  <si>
    <t>ANA CLAUDIA RODRIGUES DA COSTA</t>
  </si>
  <si>
    <t>ANA CLAUDIA</t>
  </si>
  <si>
    <t>105.725.946-23</t>
  </si>
  <si>
    <t>MG 16.778.520</t>
  </si>
  <si>
    <t>31 98825-1104</t>
  </si>
  <si>
    <t>anaclaudia.costa@phdengenharia.eng.br</t>
  </si>
  <si>
    <t xml:space="preserve">ANALISTA DE RH </t>
  </si>
  <si>
    <t>CONTAGEM/MG</t>
  </si>
  <si>
    <t>RH</t>
  </si>
  <si>
    <t>Luciana Ferreira</t>
  </si>
  <si>
    <t>ANA REGINA REZENDE CALDEIRA</t>
  </si>
  <si>
    <t>31 99958-6824</t>
  </si>
  <si>
    <t>ana.caldeira@phdengenharia.eng.br</t>
  </si>
  <si>
    <t xml:space="preserve">COORDENADORA DE MARKETING </t>
  </si>
  <si>
    <t>Marketing</t>
  </si>
  <si>
    <t>Lucas Batista</t>
  </si>
  <si>
    <t>Ana Regina</t>
  </si>
  <si>
    <t>ANDRE GOMES</t>
  </si>
  <si>
    <t>141.013.236-66</t>
  </si>
  <si>
    <t>31 993420407</t>
  </si>
  <si>
    <t>andre.gomes@phdengenharia.eng.br</t>
  </si>
  <si>
    <t>TECNICO PLANEJAMENTO MEDICAO</t>
  </si>
  <si>
    <t>Daniel Almeida</t>
  </si>
  <si>
    <t>ANDRE LUIZ COSTA GUIMARAES</t>
  </si>
  <si>
    <t>ANDRE GUIMARAES</t>
  </si>
  <si>
    <t>323.481.978-55</t>
  </si>
  <si>
    <t>11 96031-3925</t>
  </si>
  <si>
    <t>andre.guimaraes@phdengenharia.eng.br</t>
  </si>
  <si>
    <t>ANDREY SOUSA</t>
  </si>
  <si>
    <t>035.917.112-50</t>
  </si>
  <si>
    <t>62 98145-3470</t>
  </si>
  <si>
    <t>andrey.sousa@phdengenharia.eng.br</t>
  </si>
  <si>
    <t>CONSULTOR LEAN PL</t>
  </si>
  <si>
    <t>REDENÇÃO</t>
  </si>
  <si>
    <t>ANGELA MARIA</t>
  </si>
  <si>
    <t>052.963.786-36</t>
  </si>
  <si>
    <t>31 98633-0931</t>
  </si>
  <si>
    <t>angela.campos@phdengenharia.eng.br</t>
  </si>
  <si>
    <t>ARTHUR ANDRADE</t>
  </si>
  <si>
    <t>084.177.296-74</t>
  </si>
  <si>
    <t>15 99807-1903</t>
  </si>
  <si>
    <t>arthur.andrade@phdengenharia.eng.br</t>
  </si>
  <si>
    <t>CONSULTOR SENIOR DE GESTAO E PLANEJAMENTO III</t>
  </si>
  <si>
    <t>GUANHAES/MG</t>
  </si>
  <si>
    <t>Votorantim</t>
  </si>
  <si>
    <t>ARTUR JANUTH</t>
  </si>
  <si>
    <t>038.278.702-16</t>
  </si>
  <si>
    <t>34 99810-6206</t>
  </si>
  <si>
    <t>artur.januth@phdengenharia.eng.br</t>
  </si>
  <si>
    <t>RAUL SOARES</t>
  </si>
  <si>
    <t>31 99574-5750</t>
  </si>
  <si>
    <t>GERENTE DE PLANEJAMENTO II</t>
  </si>
  <si>
    <t>DANIEL CARLOS</t>
  </si>
  <si>
    <t>700.016.821-80</t>
  </si>
  <si>
    <t>99 99131-6216</t>
  </si>
  <si>
    <t>daniel.carlos@phdengenharia.eng.br</t>
  </si>
  <si>
    <t>DANIEL DOS SANTOS ALMEIDA</t>
  </si>
  <si>
    <t>DANIEL ALMEIDA</t>
  </si>
  <si>
    <t>31 99852-8434</t>
  </si>
  <si>
    <t>daniel.almeida@phdengenharia.eng.br</t>
  </si>
  <si>
    <t>COORDENADOR COMERCIAL</t>
  </si>
  <si>
    <t>Paraopeba</t>
  </si>
  <si>
    <t>DEIVIDY GOMES</t>
  </si>
  <si>
    <t>029.568.141-17</t>
  </si>
  <si>
    <t>62 98235-0567</t>
  </si>
  <si>
    <t>deividy.gomes@phdengenharia.eng.br</t>
  </si>
  <si>
    <t>NIQUELANDIA/GO</t>
  </si>
  <si>
    <t>386.821.788-69</t>
  </si>
  <si>
    <t>31 99135-2991</t>
  </si>
  <si>
    <t>GERENTE DE PLANEJAMENTO</t>
  </si>
  <si>
    <t>CUIABÁ</t>
  </si>
  <si>
    <t>DIEGO RODRIGUES</t>
  </si>
  <si>
    <t>074.036.006-06</t>
  </si>
  <si>
    <t>32 99969-7094</t>
  </si>
  <si>
    <t>diego.rodrigues@phdengenharia.eng.br</t>
  </si>
  <si>
    <t>Araxá</t>
  </si>
  <si>
    <t>Eduardo Eler</t>
  </si>
  <si>
    <t>Thales Padua</t>
  </si>
  <si>
    <t>31 99704-8202</t>
  </si>
  <si>
    <t>COORDENADOR DE PLANEJAMENTO</t>
  </si>
  <si>
    <t>EDIJANE MARQUES RODRIGUES</t>
  </si>
  <si>
    <t>EDIJANE MARQUES</t>
  </si>
  <si>
    <t>601.674.473-51</t>
  </si>
  <si>
    <t>94 98811-0599</t>
  </si>
  <si>
    <t>edijane.rodrigues@phdengenharia.eng.br</t>
  </si>
  <si>
    <t>ANALISTA ADMINISTRATIVO III</t>
  </si>
  <si>
    <t>27 99821-9099</t>
  </si>
  <si>
    <t>VITORIA</t>
  </si>
  <si>
    <t>COO OP</t>
  </si>
  <si>
    <t>EDUARDO FERREIRA</t>
  </si>
  <si>
    <t>31 97170-3644</t>
  </si>
  <si>
    <t>eduardo.ferreira@phdengenharia.eng.br</t>
  </si>
  <si>
    <t>COORDENADOR BIM</t>
  </si>
  <si>
    <t>FABIO DE JESUS OLIVEIRA</t>
  </si>
  <si>
    <t>FABIO OLIVEIRA</t>
  </si>
  <si>
    <t>71 99696-0968</t>
  </si>
  <si>
    <t>fabio.oliveira@phdengenharia.eng.br</t>
  </si>
  <si>
    <t xml:space="preserve">CONSULTOR DE PLANEJAMENTO SR </t>
  </si>
  <si>
    <t>FELIPE AUGUSTO DE SIQUEIRA</t>
  </si>
  <si>
    <t>FELIPE SIQUEIRA</t>
  </si>
  <si>
    <t>069.944.206-04</t>
  </si>
  <si>
    <t>31 99339-4714</t>
  </si>
  <si>
    <t>felipe.siqueira@phdengenharia.eng.br</t>
  </si>
  <si>
    <t>TECNICO SEGURANÇA DO TRABALHO SR</t>
  </si>
  <si>
    <t>FERNANDO BENTO SILVA</t>
  </si>
  <si>
    <t>FERNANDO BENTO</t>
  </si>
  <si>
    <t>136.994.896-47</t>
  </si>
  <si>
    <t>35 99265-9634</t>
  </si>
  <si>
    <t>fernando.silva@phdengenharia.eng.br</t>
  </si>
  <si>
    <t>FILIPHE CARVALHO DOS SANTOS</t>
  </si>
  <si>
    <t>FILIPHE SANTOS</t>
  </si>
  <si>
    <t>79 99825-9211</t>
  </si>
  <si>
    <t>filiphe.santos@phdengenharia.eng.br</t>
  </si>
  <si>
    <t>ARACAJU</t>
  </si>
  <si>
    <t>SE</t>
  </si>
  <si>
    <t>FRANCISCO JUNIOR</t>
  </si>
  <si>
    <t>087.334.356-50</t>
  </si>
  <si>
    <t>32 99976-8447</t>
  </si>
  <si>
    <t>francisco.junior@phdengenharia.eng.br</t>
  </si>
  <si>
    <t>CONSULTOR DE PLANEJAMENTO PL</t>
  </si>
  <si>
    <t>GABRIEL ABUD</t>
  </si>
  <si>
    <t>11 95078-4225</t>
  </si>
  <si>
    <t>gabriel.abud@phdengenharia.eng.br</t>
  </si>
  <si>
    <t>SÃO CAETANO DO SUL</t>
  </si>
  <si>
    <t>Sao Paulo</t>
  </si>
  <si>
    <t>Paulo Paiva</t>
  </si>
  <si>
    <t>Gabriel Abud</t>
  </si>
  <si>
    <t>GETULIO PEDROSA</t>
  </si>
  <si>
    <t>778.738.585-53</t>
  </si>
  <si>
    <t>71 98715-7476</t>
  </si>
  <si>
    <t>getulio.pedrosa@phdengenharia.eng.br</t>
  </si>
  <si>
    <t>GIOVANNA REIS BRAGA</t>
  </si>
  <si>
    <t>GIOVANNA BRAGA</t>
  </si>
  <si>
    <t>31 98807-4066</t>
  </si>
  <si>
    <t>giovanna.braga@phdengenharia.eng.br</t>
  </si>
  <si>
    <t>TECNICO PLANEJAMENTO MEDICAO PL</t>
  </si>
  <si>
    <t>GUILHERME SILVA</t>
  </si>
  <si>
    <t>161.945.776-81</t>
  </si>
  <si>
    <t>31 98564-4283</t>
  </si>
  <si>
    <t>guilherme.silva@phdengenharia.eng.br</t>
  </si>
  <si>
    <t>GUSTAVO MARQUES</t>
  </si>
  <si>
    <t>012.584.336-48</t>
  </si>
  <si>
    <t>gustavo.marques@phdengenharia.eng.br</t>
  </si>
  <si>
    <t xml:space="preserve">ESPECIALISTA BIM </t>
  </si>
  <si>
    <t>GUSTAVO LANA</t>
  </si>
  <si>
    <t>100.261.866-59</t>
  </si>
  <si>
    <t>33 99808-6393</t>
  </si>
  <si>
    <t>gustavo.lana@phdengenharia.eng.br</t>
  </si>
  <si>
    <t>CONSULTOR DE GESTAO E PLANEJAMENTO IV</t>
  </si>
  <si>
    <t>GUTEMBERG SILVA</t>
  </si>
  <si>
    <t>088.121.476-07</t>
  </si>
  <si>
    <t>31 99580-3397</t>
  </si>
  <si>
    <t>gutemberg.silva@phdengenharia.eng.br</t>
  </si>
  <si>
    <t>Rondonópolis</t>
  </si>
  <si>
    <t>Mato Grosso</t>
  </si>
  <si>
    <t>HUDSON VILELA</t>
  </si>
  <si>
    <t>31 99334-0897</t>
  </si>
  <si>
    <t>hudson.vilela@phdengenharia.eng.br</t>
  </si>
  <si>
    <t>Consultor Sênior de Gestão e Planejamento II</t>
  </si>
  <si>
    <t>Julio Cesar</t>
  </si>
  <si>
    <t>31 98878-3165</t>
  </si>
  <si>
    <t>IVAN SILVA</t>
  </si>
  <si>
    <t>79 99601-4784</t>
  </si>
  <si>
    <t>ivan.silva@phdengenharia.eng.br</t>
  </si>
  <si>
    <t>Consultor de Planejamento SR  SR</t>
  </si>
  <si>
    <t>IVANO ROBERTO SILVA DA CRUZ</t>
  </si>
  <si>
    <t>21 97221-1739</t>
  </si>
  <si>
    <t>HEAD DE QUALIDADE</t>
  </si>
  <si>
    <t>JADER CORREA</t>
  </si>
  <si>
    <t>31 97160-1754</t>
  </si>
  <si>
    <t>jader.correa@phdengenharia.eng.br</t>
  </si>
  <si>
    <t>ESPECIALISTA PLANEJAMENTO</t>
  </si>
  <si>
    <t>JAKELINE FELIX</t>
  </si>
  <si>
    <t>700.288.094-24</t>
  </si>
  <si>
    <t>84 99215-6301</t>
  </si>
  <si>
    <t>jakeline.felix@phdengenharia.eng.br</t>
  </si>
  <si>
    <t>CONSULTOR LEAN SR</t>
  </si>
  <si>
    <t>JARBAS DE MAGALHAES SILVA JUNIOR</t>
  </si>
  <si>
    <t>JARBAS JUNIOR</t>
  </si>
  <si>
    <t>31 98867-5785</t>
  </si>
  <si>
    <t>jarbas.junior@phdengenharia.eng.br</t>
  </si>
  <si>
    <t>COORDENADOR ADMINISTRATIVO II</t>
  </si>
  <si>
    <t>JEFERSON EXPEDITO</t>
  </si>
  <si>
    <t>120.409.886-70</t>
  </si>
  <si>
    <t>31 97256-1142</t>
  </si>
  <si>
    <t>jeferson.expedito@phdengenharia.eng.br</t>
  </si>
  <si>
    <t>Porto Franco</t>
  </si>
  <si>
    <t>Maranhao</t>
  </si>
  <si>
    <t>JEFFERSON MAGALHAES</t>
  </si>
  <si>
    <t>702.657.042-00</t>
  </si>
  <si>
    <t>94 99135-3773</t>
  </si>
  <si>
    <t>jefferson.magalhaes@phdengenharia.eng.br</t>
  </si>
  <si>
    <t>COROATÁ/MA</t>
  </si>
  <si>
    <t>JOSE ANTONIO RIBEIRO VARGAS</t>
  </si>
  <si>
    <t>JOSE VARGAS</t>
  </si>
  <si>
    <t>081.012.956-66</t>
  </si>
  <si>
    <t>31 99887-0988</t>
  </si>
  <si>
    <t>jose.vargas@phdengenharia.eng.br</t>
  </si>
  <si>
    <t>ESPECIALISTA BIM PL</t>
  </si>
  <si>
    <t>31 98527-4706</t>
  </si>
  <si>
    <t>KARINE VITORIA</t>
  </si>
  <si>
    <t>31 98520-9803</t>
  </si>
  <si>
    <t>karine.vitoria@phdengenharia.eng.br</t>
  </si>
  <si>
    <t>LEONARDO AUGUSTO OLIVEIRA DRUMOND</t>
  </si>
  <si>
    <t>31 98749-6719</t>
  </si>
  <si>
    <t>GERENTE PLENO</t>
  </si>
  <si>
    <t>LETICIA LORRAINE DO NASCIMENTO</t>
  </si>
  <si>
    <t>LETICIA NASCIMENTO</t>
  </si>
  <si>
    <t>31 97185-4924</t>
  </si>
  <si>
    <t>leticia.nascimento@phdengenharia.eng.br</t>
  </si>
  <si>
    <t>LUCAS ASSIS</t>
  </si>
  <si>
    <t>31 98010-7823</t>
  </si>
  <si>
    <t>lucas.assis@phdengenharia.eng.br</t>
  </si>
  <si>
    <t>31 99577-5878</t>
  </si>
  <si>
    <t xml:space="preserve">COORDENADOR DE PLANEJAMENTO </t>
  </si>
  <si>
    <t>LUCAS ZACARIAS</t>
  </si>
  <si>
    <t>112.780.186-46</t>
  </si>
  <si>
    <t>31 98812-0585</t>
  </si>
  <si>
    <t>lucas.zacarias@phdengenharia.eng.br</t>
  </si>
  <si>
    <t>Itabirito</t>
  </si>
  <si>
    <t>Tulio Morais</t>
  </si>
  <si>
    <t>LUIZ GUSTAVO</t>
  </si>
  <si>
    <t>CAMPOS DO JORDÃO/SP</t>
  </si>
  <si>
    <t>SAOJOAO DA BARRA</t>
  </si>
  <si>
    <t>LUIZ FERNANDES</t>
  </si>
  <si>
    <t>112.556.396-60</t>
  </si>
  <si>
    <t>31 97120-7978</t>
  </si>
  <si>
    <t>luiz.fernandes@phdengenharia.eng.br</t>
  </si>
  <si>
    <t>MATOSINHOS</t>
  </si>
  <si>
    <t>Jutiapa</t>
  </si>
  <si>
    <t>MAICON HENRIQUE VIEIRA MORAIS</t>
  </si>
  <si>
    <t>MAICON MORAIS</t>
  </si>
  <si>
    <t>100.576.616-93</t>
  </si>
  <si>
    <t>31 99673-9131</t>
  </si>
  <si>
    <t>maicon.morais@phdengenharia.eng.br</t>
  </si>
  <si>
    <t>ESPECIALISTA DE R&amp;S</t>
  </si>
  <si>
    <t>IBIRITE</t>
  </si>
  <si>
    <t>MARCELO FERRAZ</t>
  </si>
  <si>
    <t>911.378.376-91</t>
  </si>
  <si>
    <t>27 98847-6886</t>
  </si>
  <si>
    <t>marcelo.lima@phdengenharia.eng.br</t>
  </si>
  <si>
    <t>18 99717-9336</t>
  </si>
  <si>
    <t>ASSIS</t>
  </si>
  <si>
    <t>MARCOS FERRAIS</t>
  </si>
  <si>
    <t>34 99215-7502</t>
  </si>
  <si>
    <t>marcos.ferrais@phdengenharia.eng.br</t>
  </si>
  <si>
    <t>JAÍBA</t>
  </si>
  <si>
    <t>MARLENE FELIPE FERREIRA MOZER</t>
  </si>
  <si>
    <t>MARLENE MOZER</t>
  </si>
  <si>
    <t>31 98498-7999</t>
  </si>
  <si>
    <t>marlene.mozer@phdengenharia.eng.br</t>
  </si>
  <si>
    <t>AUXILIAR DE SERVIÇOS GERAIS</t>
  </si>
  <si>
    <t>OURO PRETO/MG</t>
  </si>
  <si>
    <t>MARLON MUELLER</t>
  </si>
  <si>
    <t>454.692.648-07</t>
  </si>
  <si>
    <t>18 99648-8991</t>
  </si>
  <si>
    <t>marlon.mueller@phdengenharia.eng.br</t>
  </si>
  <si>
    <t xml:space="preserve">ASSIS </t>
  </si>
  <si>
    <t>MATEUS FILIPE CORRADI DE MORAIS</t>
  </si>
  <si>
    <t>MATEUS CORRADI</t>
  </si>
  <si>
    <t>31 99557-8536</t>
  </si>
  <si>
    <t>mateus.corradi@phdengenharia.eng.br</t>
  </si>
  <si>
    <t>COORDENADOR FINANCEIRO II</t>
  </si>
  <si>
    <t>MATEUS ZICO</t>
  </si>
  <si>
    <t>122.921.036-99</t>
  </si>
  <si>
    <t>31 99234-3562</t>
  </si>
  <si>
    <t>mateus.cerejo@phdengenharia.eng.br</t>
  </si>
  <si>
    <t>MATHEUS HENRIQUE</t>
  </si>
  <si>
    <t>135.985.406-12</t>
  </si>
  <si>
    <t>31 99685-7337</t>
  </si>
  <si>
    <t>matheus.dias@phdengenharia.eng.br</t>
  </si>
  <si>
    <t>PEDRO LEOPOLDO</t>
  </si>
  <si>
    <t>MATHEUS SANTOS COSTA</t>
  </si>
  <si>
    <t>MATHEUS COSTA</t>
  </si>
  <si>
    <t>124.967.306-24</t>
  </si>
  <si>
    <t>31 99236-8678</t>
  </si>
  <si>
    <t>matheus.costa@phdengenharia.eng.br</t>
  </si>
  <si>
    <t>CONSULTOR BIM III</t>
  </si>
  <si>
    <t>SETE LAGOAS/MG</t>
  </si>
  <si>
    <t>MILENA CARIUS DA SILVA NEVES</t>
  </si>
  <si>
    <t>MILENA NEVES</t>
  </si>
  <si>
    <t>172.348.847-00</t>
  </si>
  <si>
    <t>24 99868-8620</t>
  </si>
  <si>
    <t>milena.neves@phdengenharia.eng.br</t>
  </si>
  <si>
    <t>ANALISTA DE DADOS PLENO</t>
  </si>
  <si>
    <t>43 98803-7672</t>
  </si>
  <si>
    <t>MARINGÁ</t>
  </si>
  <si>
    <t>31 98469-1402</t>
  </si>
  <si>
    <t>GERENTE DE PLANEJAMENTO I</t>
  </si>
  <si>
    <t>PAULO HENRIQUE</t>
  </si>
  <si>
    <t>35 99976-0065</t>
  </si>
  <si>
    <t>paulohenrique.costa@phdengenharia.eng.br</t>
  </si>
  <si>
    <t>CONSULTOR  PLANEJAMENTO</t>
  </si>
  <si>
    <t>CAMPO BELO</t>
  </si>
  <si>
    <t>PAULO ANASTACIO</t>
  </si>
  <si>
    <t>124.484.446-25</t>
  </si>
  <si>
    <t>31 99765-4691</t>
  </si>
  <si>
    <t>paulo.anastacio@phdengenharia.eng.br</t>
  </si>
  <si>
    <t>PAULO SERGIO</t>
  </si>
  <si>
    <t>937.961.962-68</t>
  </si>
  <si>
    <t>91 98045-7029</t>
  </si>
  <si>
    <t>paulo.junior@phdengenharia.eng.br</t>
  </si>
  <si>
    <t>BARCARENA</t>
  </si>
  <si>
    <t>DIRETORIA</t>
  </si>
  <si>
    <t>PEDRO HENRIQUE BOSCO NERY</t>
  </si>
  <si>
    <t>PEDRO NERY</t>
  </si>
  <si>
    <t>MG8365467</t>
  </si>
  <si>
    <t>31 99206-1892</t>
  </si>
  <si>
    <t>pedro.nery@phdengenharia.eng.br</t>
  </si>
  <si>
    <t xml:space="preserve">CEO </t>
  </si>
  <si>
    <t>Diretoria</t>
  </si>
  <si>
    <t>Sem Gerente</t>
  </si>
  <si>
    <t>PEDRO HENRIQUE BRAGA DE MORAIS</t>
  </si>
  <si>
    <t>31 98534-3331</t>
  </si>
  <si>
    <t>pedro.morais@phdengenharia.eng.br</t>
  </si>
  <si>
    <t>DIRETOR DE OPERAÇÕES V</t>
  </si>
  <si>
    <t>Pedro Nery</t>
  </si>
  <si>
    <t>PEDRO IVO</t>
  </si>
  <si>
    <t>37 99122-7019</t>
  </si>
  <si>
    <t>pedro.filho@phdengenharia.eng.br</t>
  </si>
  <si>
    <t>PIETRO ROSA</t>
  </si>
  <si>
    <t>442.655.418-79</t>
  </si>
  <si>
    <t>12 99799-6560</t>
  </si>
  <si>
    <t>pietro.rosa@phdengenharia.eng.br</t>
  </si>
  <si>
    <t>SÃO JOSÉ DOS CAMPOS</t>
  </si>
  <si>
    <t>POLYANE LANES</t>
  </si>
  <si>
    <t>31 98723-3628</t>
  </si>
  <si>
    <t>polyane.lanes@phdengenharia.eng.br</t>
  </si>
  <si>
    <t>CONSULTOR DE PLANEJAMENTO SR</t>
  </si>
  <si>
    <t>Santa Bárbara</t>
  </si>
  <si>
    <t>RHAVI VITAL ASSIS SOARES</t>
  </si>
  <si>
    <t>RHAVI SOARES</t>
  </si>
  <si>
    <t>142.832.106-33</t>
  </si>
  <si>
    <t>31 98522-6523</t>
  </si>
  <si>
    <t>rhavi.soares@phdengenharia.eng.br</t>
  </si>
  <si>
    <t>TECNICO PLANEJAMENTO MEDICAO I</t>
  </si>
  <si>
    <t>ROBERTO MEDEIROS</t>
  </si>
  <si>
    <t>024.275.696-40</t>
  </si>
  <si>
    <t>31 98821-7641</t>
  </si>
  <si>
    <t>roberto.medeiros@phdengenharia.eng.br</t>
  </si>
  <si>
    <t>Barão de Cocais</t>
  </si>
  <si>
    <t>RODOLPHO FONSECA</t>
  </si>
  <si>
    <t>98 99148-1602</t>
  </si>
  <si>
    <t>rodolpho.fonseca@phdengenharia.eng.br</t>
  </si>
  <si>
    <t>SÃO JOSE DE RIBAMAR</t>
  </si>
  <si>
    <t>Canaã dos Carajás</t>
  </si>
  <si>
    <t>Para</t>
  </si>
  <si>
    <t>RODRIGO BRANDOLT</t>
  </si>
  <si>
    <t>53 98454-5879</t>
  </si>
  <si>
    <t>rodrigo.brandolt@phdengenharia.eng.br</t>
  </si>
  <si>
    <t>RIO GRANDE DO SUL</t>
  </si>
  <si>
    <t>Ivano Cruz</t>
  </si>
  <si>
    <t>RODRIGO TEIXEIRA</t>
  </si>
  <si>
    <t>31 99577-9528</t>
  </si>
  <si>
    <t>rodrigo.teixeira@phdengenharia.eng.br</t>
  </si>
  <si>
    <t>PIONEIROS</t>
  </si>
  <si>
    <t>15 98157-5869</t>
  </si>
  <si>
    <t>COORDENADOR II</t>
  </si>
  <si>
    <t>SOROCABA</t>
  </si>
  <si>
    <t>ROSILAINE VAZ</t>
  </si>
  <si>
    <t>31 99277-7122</t>
  </si>
  <si>
    <t>rosilaine.vaz@phdengenharia.eng.br</t>
  </si>
  <si>
    <t>PEDIDO DEMISSAO</t>
  </si>
  <si>
    <t>34 99835-5294</t>
  </si>
  <si>
    <t>COORDENADOR PLANEJAMENTO III</t>
  </si>
  <si>
    <t>RESENDE</t>
  </si>
  <si>
    <t>TALLES GONCALVES</t>
  </si>
  <si>
    <t>31 98628-1140</t>
  </si>
  <si>
    <t>talles.goncalves@phdengenharia.eng.br</t>
  </si>
  <si>
    <t>CORONEL FABRICIANO</t>
  </si>
  <si>
    <t>TAMIRIS JULIANE DA SILVA MACHADO</t>
  </si>
  <si>
    <t>TAMIRIS MACHADO</t>
  </si>
  <si>
    <t>016.521.656-57</t>
  </si>
  <si>
    <t>31 9289-1579</t>
  </si>
  <si>
    <t>tamiris.machado@phdengenharia.eng.br</t>
  </si>
  <si>
    <t>ANALISTA DE RECURSOS HUMANOS IV</t>
  </si>
  <si>
    <t>31 98860-0506</t>
  </si>
  <si>
    <t>COORDENADOR PLANEJAMENTO</t>
  </si>
  <si>
    <t>MG19307325</t>
  </si>
  <si>
    <t>31 97160-9019</t>
  </si>
  <si>
    <t>VICTOR AGUIAR</t>
  </si>
  <si>
    <t>096.373.214-54</t>
  </si>
  <si>
    <t>81 99547-0465</t>
  </si>
  <si>
    <t>victor.aguiar@phdengenharia.eng.br</t>
  </si>
  <si>
    <t>Recife</t>
  </si>
  <si>
    <t>VICTOR MOTA</t>
  </si>
  <si>
    <t>120.204.676-23</t>
  </si>
  <si>
    <t>34 99129-9332</t>
  </si>
  <si>
    <t>victor.mota@phdengenharia.eng.br</t>
  </si>
  <si>
    <t>CONSULTOR PLANEJAMENTO V</t>
  </si>
  <si>
    <t>ARAXÁ</t>
  </si>
  <si>
    <t>VINICIUS ANDALECIO DA SILVA COSTA</t>
  </si>
  <si>
    <t>VINICIUS COSTA</t>
  </si>
  <si>
    <t>37 99139-9538</t>
  </si>
  <si>
    <t>vinicius.costa@phdengenharia.eng.br</t>
  </si>
  <si>
    <t>COORDENADOR DE PMO II</t>
  </si>
  <si>
    <t>PMO</t>
  </si>
  <si>
    <t>Vinicius Costa</t>
  </si>
  <si>
    <t>047.805.856-00</t>
  </si>
  <si>
    <t>31 98935-9395</t>
  </si>
  <si>
    <t>YAN SILVA</t>
  </si>
  <si>
    <t>11 97246-6518</t>
  </si>
  <si>
    <t>yan.silva@phdengenharia.eng.br</t>
  </si>
  <si>
    <t>SÃO BERNARDO DO CAMPO</t>
  </si>
  <si>
    <t>YAN MOREIRA</t>
  </si>
  <si>
    <t>32 99951-1680</t>
  </si>
  <si>
    <t>yan.moreira@phdengenharia.eng.br</t>
  </si>
  <si>
    <t>CONSULTOR DE PLANEJAMENTO II</t>
  </si>
  <si>
    <t>LAURA DE CASTRO SAMPAIO</t>
  </si>
  <si>
    <t>LAURA SAMPAIO</t>
  </si>
  <si>
    <t>127.260.066-12</t>
  </si>
  <si>
    <t>MG-18.435.501</t>
  </si>
  <si>
    <t>31 98321-8494</t>
  </si>
  <si>
    <t>laura.sampaio@phdengenharia.eng.br</t>
  </si>
  <si>
    <t>CONSULTOR BIM JR</t>
  </si>
  <si>
    <t>EMERSON SILVA</t>
  </si>
  <si>
    <t>052.303.704-08</t>
  </si>
  <si>
    <t>94 98802-1993</t>
  </si>
  <si>
    <t>emerson.silva@phdengenharia.eng.br</t>
  </si>
  <si>
    <t>CONSULTOR DE PLANEJAMENTO 0</t>
  </si>
  <si>
    <t>PALMARES/PE</t>
  </si>
  <si>
    <t>GOIATUBA</t>
  </si>
  <si>
    <t>PEDRO CHAVES</t>
  </si>
  <si>
    <t>051.669.013-20</t>
  </si>
  <si>
    <t>023027482002-8</t>
  </si>
  <si>
    <t>98 98491-8900</t>
  </si>
  <si>
    <t>pedro.chaves@phdengenharia.eng.br</t>
  </si>
  <si>
    <t>ACAILANDIA/MA</t>
  </si>
  <si>
    <t>RONEY ANDERSON</t>
  </si>
  <si>
    <t>MG-8.488.746</t>
  </si>
  <si>
    <t>31 99901-6994</t>
  </si>
  <si>
    <t>roney.silva@phdengenharia.eng.br</t>
  </si>
  <si>
    <t>FABIO CARDOSO</t>
  </si>
  <si>
    <t>097.061.496-94</t>
  </si>
  <si>
    <t>MG.10.070.923</t>
  </si>
  <si>
    <t>31 97151-1169</t>
  </si>
  <si>
    <t>fabio.santos@phdengenharia.eng.br</t>
  </si>
  <si>
    <t>ESPECIALISTA DE PLANEJAMENTO PLENO 0</t>
  </si>
  <si>
    <t xml:space="preserve">ITABIRA </t>
  </si>
  <si>
    <t>FERNANDA LOPES</t>
  </si>
  <si>
    <t>131.317.856-08</t>
  </si>
  <si>
    <t>MG-19.969.921</t>
  </si>
  <si>
    <t>32 98508-8051</t>
  </si>
  <si>
    <t>fernanda.ligorio@phdengenharia.eng.br</t>
  </si>
  <si>
    <t>INOCENCIA</t>
  </si>
  <si>
    <t>Ouro Preto</t>
  </si>
  <si>
    <t>THAIS CRISTINA PEREIRA DE OLIVEIRA</t>
  </si>
  <si>
    <t>THAIS CRISTINA</t>
  </si>
  <si>
    <t xml:space="preserve"> 020.506.236-90</t>
  </si>
  <si>
    <t>MG20078943</t>
  </si>
  <si>
    <t>31 99251-7799</t>
  </si>
  <si>
    <t>thais.oliveira@phdengenharia.eng.br</t>
  </si>
  <si>
    <t>MATEUS FREITAS</t>
  </si>
  <si>
    <t>101.687.216-00</t>
  </si>
  <si>
    <t>MG-16.975.162</t>
  </si>
  <si>
    <t>31 99200-8883</t>
  </si>
  <si>
    <t>mateus.souza@phdengenharia.eng.br</t>
  </si>
  <si>
    <t>CORONEL FABRICIANO/MG</t>
  </si>
  <si>
    <t>DIVINO SANTOS</t>
  </si>
  <si>
    <t>031.488.912-44</t>
  </si>
  <si>
    <t>63 98125-7403</t>
  </si>
  <si>
    <t>divino.santos@phdengenharia.eng.br</t>
  </si>
  <si>
    <t>ITAPORA/TO</t>
  </si>
  <si>
    <t>WASHINGTON MOREIRA MACIEL</t>
  </si>
  <si>
    <t>WASHINGTON MACIEL</t>
  </si>
  <si>
    <t>MG 16 441 965</t>
  </si>
  <si>
    <t>31 99400-0949</t>
  </si>
  <si>
    <t>washington.maciel@phdengenharia.eng.br</t>
  </si>
  <si>
    <t>ANALISTA DE DEPARTAMENTO PESSOAL</t>
  </si>
  <si>
    <t>ARTHUR BENEDITO</t>
  </si>
  <si>
    <t xml:space="preserve">103.213.206-03 </t>
  </si>
  <si>
    <t>MG 13.405.151</t>
  </si>
  <si>
    <t>31 98381-0204</t>
  </si>
  <si>
    <t>arthur.benedito@phdengenharia.eng.br</t>
  </si>
  <si>
    <t>RAFAEL DINIZ FLORENCIO</t>
  </si>
  <si>
    <t xml:space="preserve">RAFAEL FLORENCIO </t>
  </si>
  <si>
    <t xml:space="preserve"> 079.708.656-07 </t>
  </si>
  <si>
    <t>MG 15.0724-07</t>
  </si>
  <si>
    <t>31 99386-1733</t>
  </si>
  <si>
    <t>rafael.florencio@phdengenharia.eng.br</t>
  </si>
  <si>
    <t>MARIANA VENTURA SILVA</t>
  </si>
  <si>
    <t>MARIANA SILVA</t>
  </si>
  <si>
    <t>098.924.646-99</t>
  </si>
  <si>
    <t>MG-14.615.798</t>
  </si>
  <si>
    <t>31 99643-4912</t>
  </si>
  <si>
    <t>mariana.silva@phdengenharia.eng.br</t>
  </si>
  <si>
    <t>CONSULTOR BIM MASTER 0</t>
  </si>
  <si>
    <t>RAYKLEISON COSTA</t>
  </si>
  <si>
    <t>609.200.473-94</t>
  </si>
  <si>
    <t>94 99193 7327</t>
  </si>
  <si>
    <t>raykleison.costa@phdengenharia.eng.br</t>
  </si>
  <si>
    <t>São Manuel</t>
  </si>
  <si>
    <t>DIEGO ANTUNES</t>
  </si>
  <si>
    <t>072.312.924-02</t>
  </si>
  <si>
    <t>84 98831-6699</t>
  </si>
  <si>
    <t>diego.antunes@phdengenharia.eng.br</t>
  </si>
  <si>
    <t>TAINARA RODRIGUES</t>
  </si>
  <si>
    <t>103.167.336-95</t>
  </si>
  <si>
    <t xml:space="preserve">MG-19.524.070 </t>
  </si>
  <si>
    <t>31 98737-0158</t>
  </si>
  <si>
    <t>tainara.rodrigues@phdengenharia.eng.br</t>
  </si>
  <si>
    <t>ALEXANDER RODRIGUES</t>
  </si>
  <si>
    <t>036.966.041-27</t>
  </si>
  <si>
    <t>67 98211-0901</t>
  </si>
  <si>
    <t>alexander.rodrigues@phdengenharia.eng.br</t>
  </si>
  <si>
    <t>Campo Grande</t>
  </si>
  <si>
    <t>Mato Grosso do Sul</t>
  </si>
  <si>
    <t>THIAGO SILVA LETRO</t>
  </si>
  <si>
    <t>THIAGO LETRO</t>
  </si>
  <si>
    <t>066.477.426-11</t>
  </si>
  <si>
    <t>11618733 SSP MG</t>
  </si>
  <si>
    <t>31 98444-6511</t>
  </si>
  <si>
    <t>thiago.letro@phdengenharia.eng.br</t>
  </si>
  <si>
    <t>WARLEY CAMPOS</t>
  </si>
  <si>
    <t>MG16292091</t>
  </si>
  <si>
    <t>67 99887-2802</t>
  </si>
  <si>
    <t>warley.campos@phdengenharia.eng.br</t>
  </si>
  <si>
    <t xml:space="preserve">CONSULTOR DE PLANEJAMENTO </t>
  </si>
  <si>
    <t>ALESSANDRO PEREIRA MOREIRA</t>
  </si>
  <si>
    <t>118.311.237-89</t>
  </si>
  <si>
    <t>2156986 SPTC ES</t>
  </si>
  <si>
    <t>27 98132-2425</t>
  </si>
  <si>
    <t>COORDENADOR DE PLANEJAMENTOS</t>
  </si>
  <si>
    <t>DANIELA TEIXEIRA SEBRIAN</t>
  </si>
  <si>
    <t>DANIELA SEBRIAN</t>
  </si>
  <si>
    <t>052.573.006-05</t>
  </si>
  <si>
    <t>MG11417577</t>
  </si>
  <si>
    <t xml:space="preserve"> 31 98807-7888</t>
  </si>
  <si>
    <t>daniela.sebrian@phdengenharia.eng.br</t>
  </si>
  <si>
    <t xml:space="preserve">MAURICIO RODRIGUES DA SILVA </t>
  </si>
  <si>
    <t>MAURICIO SILVA</t>
  </si>
  <si>
    <t>055.786.366-08</t>
  </si>
  <si>
    <t>31 97304-7572</t>
  </si>
  <si>
    <t>mauricio.silva@phdengenharia.eng.br</t>
  </si>
  <si>
    <t>MATHEUS MORAIS</t>
  </si>
  <si>
    <t>156.877.656-03</t>
  </si>
  <si>
    <t>MG17636934</t>
  </si>
  <si>
    <t>31 98245-9192</t>
  </si>
  <si>
    <t>matheus.morais@phdengenharia.eng.br</t>
  </si>
  <si>
    <t>MYLENA ALVES ZOQBI</t>
  </si>
  <si>
    <t>MYLENA ZOQBI</t>
  </si>
  <si>
    <t>078.708.356-92</t>
  </si>
  <si>
    <t>MG16584270</t>
  </si>
  <si>
    <t>33 99140-4870</t>
  </si>
  <si>
    <t>mylena.zoqbi@phdengenharia.eng.br</t>
  </si>
  <si>
    <t>FERNANDO MENEZES</t>
  </si>
  <si>
    <t>005.915.395-43</t>
  </si>
  <si>
    <t>81 99548-7263</t>
  </si>
  <si>
    <t>fernando.menezes@phdengenharia.eng.br</t>
  </si>
  <si>
    <t>JOAO VICTOR SILVA MANGAS CATARINO</t>
  </si>
  <si>
    <t>JOAO CATARINO</t>
  </si>
  <si>
    <t>046.719.151-46</t>
  </si>
  <si>
    <t>67 99649-6900</t>
  </si>
  <si>
    <t>joao.catarino@phdengenharia.eng.br</t>
  </si>
  <si>
    <t>WANDERSON SILVA</t>
  </si>
  <si>
    <t>112.727.256-00</t>
  </si>
  <si>
    <t>31 98642-6988</t>
  </si>
  <si>
    <t>wanderson.silva@phdengenharia.eng.br</t>
  </si>
  <si>
    <t>Nilton Netto</t>
  </si>
  <si>
    <t>IGOR SILVA GUILHERME</t>
  </si>
  <si>
    <t>IGOR GUILHERME</t>
  </si>
  <si>
    <t>095.868.246-16</t>
  </si>
  <si>
    <t>MG17980218</t>
  </si>
  <si>
    <t>31 99410-4216</t>
  </si>
  <si>
    <t>igor.guilherme@phdengenharia.eng.br</t>
  </si>
  <si>
    <t>YITALON BRITO</t>
  </si>
  <si>
    <t>137.316.586-31</t>
  </si>
  <si>
    <t>MG17712974</t>
  </si>
  <si>
    <t>31 99921-6375</t>
  </si>
  <si>
    <t>yitalon.brito@phdengenharia.eng.br</t>
  </si>
  <si>
    <t xml:space="preserve">ALEXANDRE MOREIRA </t>
  </si>
  <si>
    <t>ALEXANDRE MOREIRA</t>
  </si>
  <si>
    <t>012.018.966-65</t>
  </si>
  <si>
    <t>MG10158672</t>
  </si>
  <si>
    <t>31 99304-4710</t>
  </si>
  <si>
    <t>alexandre.moreira@phdengenharia.eng.br</t>
  </si>
  <si>
    <t>RYAN MORAIS ARRAIS</t>
  </si>
  <si>
    <t xml:space="preserve">RYAN ARRAIS </t>
  </si>
  <si>
    <t>056.428.733-42</t>
  </si>
  <si>
    <t>98 98206-1008</t>
  </si>
  <si>
    <t>ryan.arrais@phdengenharia.eng.br</t>
  </si>
  <si>
    <t>São Paulo/SP</t>
  </si>
  <si>
    <t>MARCOS CHAVES</t>
  </si>
  <si>
    <t>932.672.746-72</t>
  </si>
  <si>
    <t>31 99681-5007</t>
  </si>
  <si>
    <t>marcos.chaves@phdengenharia.eng.br</t>
  </si>
  <si>
    <t>Foz do Iguaçu</t>
  </si>
  <si>
    <t>Paraná</t>
  </si>
  <si>
    <t>RAMON MEDEIROS</t>
  </si>
  <si>
    <t>081.073.616-01</t>
  </si>
  <si>
    <t>31 98240-8414</t>
  </si>
  <si>
    <t>ramon.medeiros@phdengenharia.eng.br</t>
  </si>
  <si>
    <t>Ipiaú</t>
  </si>
  <si>
    <t>Bahia</t>
  </si>
  <si>
    <t>Túlio Morais</t>
  </si>
  <si>
    <t>ANDRE CAMPOS</t>
  </si>
  <si>
    <t>301.270.148-61</t>
  </si>
  <si>
    <t>19 99777-0744</t>
  </si>
  <si>
    <t>andre.campos@phdengenharia.eng.br</t>
  </si>
  <si>
    <t>Marataípe</t>
  </si>
  <si>
    <t>MICHEL SANTOS</t>
  </si>
  <si>
    <t>000.716.625-70</t>
  </si>
  <si>
    <t xml:space="preserve">74 99110-9468
</t>
  </si>
  <si>
    <t>michel.santos@phdengenharia.eng.br</t>
  </si>
  <si>
    <t>CARLOS VASCONCELOS</t>
  </si>
  <si>
    <t>641.972.202-00</t>
  </si>
  <si>
    <t>98 99134-4900</t>
  </si>
  <si>
    <t>carlos.vasconcelos@phdengenharia.eng.br</t>
  </si>
  <si>
    <t xml:space="preserve">HENRIQUE DE OLIVEIRA SANTOS </t>
  </si>
  <si>
    <t>HENRIQUE SANTOS</t>
  </si>
  <si>
    <t>012.395.476-25</t>
  </si>
  <si>
    <t>MG8136250</t>
  </si>
  <si>
    <t>31 99237-0348</t>
  </si>
  <si>
    <t>henrique.santos@phdengenharia.eng.br</t>
  </si>
  <si>
    <t>RAIMUNDO FILHO</t>
  </si>
  <si>
    <t>007.895.642-03</t>
  </si>
  <si>
    <t>93 99124-6269</t>
  </si>
  <si>
    <t>raimundo.silva@phdengenharia.eng.br</t>
  </si>
  <si>
    <t>RENATA LUIZA COSTA</t>
  </si>
  <si>
    <t>RENATA COSTA</t>
  </si>
  <si>
    <t>968.903.556-87</t>
  </si>
  <si>
    <t>31 99922-6690</t>
  </si>
  <si>
    <t>renata.costa@phdengenharia.eng.br</t>
  </si>
  <si>
    <t>ROBERTO OLIVEIRA ESPINOSA</t>
  </si>
  <si>
    <t>ROBERTO ESPINOSA</t>
  </si>
  <si>
    <t>451.205.016-72</t>
  </si>
  <si>
    <t>31 99987-2405</t>
  </si>
  <si>
    <t>roberto.espinosa@phdengenharia.eng.br</t>
  </si>
  <si>
    <t>GERALDO DE OLIVEIRA</t>
  </si>
  <si>
    <t>GERALDO OLIVEIRA</t>
  </si>
  <si>
    <t>342.295.666-20</t>
  </si>
  <si>
    <t>48 99615-2828</t>
  </si>
  <si>
    <t>geraldo.oliveira@phdengenharia.eng.br</t>
  </si>
  <si>
    <t>FABRICIO FERNANDES ALVES DE SOUZA</t>
  </si>
  <si>
    <t>FABRICIO SOUZA</t>
  </si>
  <si>
    <t>084.702.856-96</t>
  </si>
  <si>
    <t>31 98708-1518</t>
  </si>
  <si>
    <t>fabricio.souza@phdengenharia.eng.br</t>
  </si>
  <si>
    <t>MAURO FILHO</t>
  </si>
  <si>
    <t>223.414.878-23</t>
  </si>
  <si>
    <t>15 99110-8393</t>
  </si>
  <si>
    <t>mauro.filho@phdengenharia.eng.br</t>
  </si>
  <si>
    <t xml:space="preserve">PERLA PASSOS ROSA </t>
  </si>
  <si>
    <t>PERLA ROSA</t>
  </si>
  <si>
    <t>029.841.166-07</t>
  </si>
  <si>
    <t>MG8486638</t>
  </si>
  <si>
    <t>31 98558-9314</t>
  </si>
  <si>
    <t>perla.passos@phdengenharia.eng.br</t>
  </si>
  <si>
    <t>WELLINGTON DUTRA</t>
  </si>
  <si>
    <t>020.966.192-54</t>
  </si>
  <si>
    <t>94 99107-1520</t>
  </si>
  <si>
    <t>wellington.dutra@phdengenharia.eng.br</t>
  </si>
  <si>
    <t>FABIO CESAR MARTINS</t>
  </si>
  <si>
    <t>FABIO MARTINS</t>
  </si>
  <si>
    <t>294.575.056-20</t>
  </si>
  <si>
    <t>31 99115-9301</t>
  </si>
  <si>
    <t>COD CT</t>
  </si>
  <si>
    <t>COD PHD</t>
  </si>
  <si>
    <t>COD PROD</t>
  </si>
  <si>
    <t>Status Comercial</t>
  </si>
  <si>
    <t>Cliente</t>
  </si>
  <si>
    <t>Setor Cliente PHD</t>
  </si>
  <si>
    <t>Cliente Final</t>
  </si>
  <si>
    <t>Setor Cliente Final</t>
  </si>
  <si>
    <t>Segmento</t>
  </si>
  <si>
    <t>Produto</t>
  </si>
  <si>
    <t>Prazo CT [m]</t>
  </si>
  <si>
    <t>Data Início Contrato</t>
  </si>
  <si>
    <t>Data Término Contrato</t>
  </si>
  <si>
    <t>Mina</t>
  </si>
  <si>
    <t>Cidade</t>
  </si>
  <si>
    <t>Estado</t>
  </si>
  <si>
    <t>Região</t>
  </si>
  <si>
    <t>Chave_Pro</t>
  </si>
  <si>
    <t>Chave_Pro_COD_PHD</t>
  </si>
  <si>
    <t>Construtor/Owner</t>
  </si>
  <si>
    <t>ALFA-CT05</t>
  </si>
  <si>
    <t>ALFA-CT05-BURN</t>
  </si>
  <si>
    <t>ALFA-CT05P</t>
  </si>
  <si>
    <t>CANCELADO</t>
  </si>
  <si>
    <t>ALFA ENGENHARIA</t>
  </si>
  <si>
    <t>Eletromecânica</t>
  </si>
  <si>
    <t>Indústria Metalúrgica/Siderúrgica</t>
  </si>
  <si>
    <t>PLAN</t>
  </si>
  <si>
    <t>Sudeste</t>
  </si>
  <si>
    <t>ALFA-CT05Paulo Paiva</t>
  </si>
  <si>
    <t>ALFA-CT05-BURNPaulo Paiva</t>
  </si>
  <si>
    <t>Construtor</t>
  </si>
  <si>
    <t>ALFA-CT07</t>
  </si>
  <si>
    <t>ALFA-CT07-ITAT</t>
  </si>
  <si>
    <t>ALFA-CT07L</t>
  </si>
  <si>
    <t>LPS</t>
  </si>
  <si>
    <t>ALUM-CT01</t>
  </si>
  <si>
    <t>ALUM-CT01-COCA</t>
  </si>
  <si>
    <t>ALUM-CT01P</t>
  </si>
  <si>
    <t>BRGC-CT03</t>
  </si>
  <si>
    <t>BRGC-CT03-FEIJ</t>
  </si>
  <si>
    <t>BRGC-CT03P</t>
  </si>
  <si>
    <t>BRG</t>
  </si>
  <si>
    <t xml:space="preserve">Construção Civil </t>
  </si>
  <si>
    <t>Mineração</t>
  </si>
  <si>
    <t>Mina do Córrego do Feijão</t>
  </si>
  <si>
    <t>Brumadinho</t>
  </si>
  <si>
    <t>BRGC-CT03Paulo Paiva</t>
  </si>
  <si>
    <t>BRGC-CT03-FEIJPaulo Paiva</t>
  </si>
  <si>
    <t>BRGC-CT04</t>
  </si>
  <si>
    <t>BRGC-CT04-ARAM</t>
  </si>
  <si>
    <t>BRGC-CT04P</t>
  </si>
  <si>
    <t>BRGC-CT04Paulo Paiva</t>
  </si>
  <si>
    <t>BRGC-CT04-ARAMPaulo Paiva</t>
  </si>
  <si>
    <t>CARD-CT09-ITAB</t>
  </si>
  <si>
    <t>CARD-CT09L</t>
  </si>
  <si>
    <t>Mina de Miguel Burnier</t>
  </si>
  <si>
    <t>Ouro Branco</t>
  </si>
  <si>
    <t>CARD-CT09Eduardo Eler</t>
  </si>
  <si>
    <t>CARD-CT09-ITABEduardo Eler</t>
  </si>
  <si>
    <t>CARD-CT10</t>
  </si>
  <si>
    <t>CARD-CT10-TREI</t>
  </si>
  <si>
    <t>CARD-CT10T</t>
  </si>
  <si>
    <t xml:space="preserve">Construção e Montagem </t>
  </si>
  <si>
    <t>TREIN</t>
  </si>
  <si>
    <t>N/A</t>
  </si>
  <si>
    <t>CARD-CT10Eduardo Eler</t>
  </si>
  <si>
    <t>CARD-CT10-TREIEduardo Eler</t>
  </si>
  <si>
    <t>COGE-CT01</t>
  </si>
  <si>
    <t>COGE_PICO</t>
  </si>
  <si>
    <t>COGE-CT01P</t>
  </si>
  <si>
    <t>DESA-CT01</t>
  </si>
  <si>
    <t>DESA_LIAS</t>
  </si>
  <si>
    <t>DESA-CT01P</t>
  </si>
  <si>
    <t>GCMP-CT02</t>
  </si>
  <si>
    <t>GCMP-CT02-CAPA</t>
  </si>
  <si>
    <t>GCMP-CT02P</t>
  </si>
  <si>
    <t>CMP - Grupo CMP</t>
  </si>
  <si>
    <t>Mina de Capanema</t>
  </si>
  <si>
    <t>GCMP-CT02Leonardo Drumond</t>
  </si>
  <si>
    <t>GCMP-CT02-CAPALeonardo Drumond</t>
  </si>
  <si>
    <t>INTE-CT01</t>
  </si>
  <si>
    <t>INTE-CT01-PLAN</t>
  </si>
  <si>
    <t>INTE-CT01P</t>
  </si>
  <si>
    <t>Lucas Assis</t>
  </si>
  <si>
    <t>INTECH</t>
  </si>
  <si>
    <t xml:space="preserve">Engenharia Civil </t>
  </si>
  <si>
    <t>FUNDAÇÃO RENOVA</t>
  </si>
  <si>
    <t>Mariana</t>
  </si>
  <si>
    <t>INTE-CT01Paulo Paiva</t>
  </si>
  <si>
    <t>INTE-CT01-PLANPaulo Paiva</t>
  </si>
  <si>
    <t>ITAP-CT01</t>
  </si>
  <si>
    <t>ITAP-CT01-SEDE</t>
  </si>
  <si>
    <t>ITAP-CT01P</t>
  </si>
  <si>
    <t>ITAPOÇOS</t>
  </si>
  <si>
    <t xml:space="preserve">Engenharia </t>
  </si>
  <si>
    <t>Itabira</t>
  </si>
  <si>
    <t>MILP-CT02</t>
  </si>
  <si>
    <t>MILP-CT02-ARAG</t>
  </si>
  <si>
    <t>MILP-CT02L</t>
  </si>
  <si>
    <t>HORIZONTE MINERALS</t>
  </si>
  <si>
    <t>Conceição do Araguaia</t>
  </si>
  <si>
    <t>Norte</t>
  </si>
  <si>
    <t>MILP-CT02Leonardo Drumond</t>
  </si>
  <si>
    <t>MILP-CT02-ARAGLeonardo Drumond</t>
  </si>
  <si>
    <t>MPTR-CT01</t>
  </si>
  <si>
    <t>MPTR-CT01-CEMI</t>
  </si>
  <si>
    <t>MPTR-CT01P</t>
  </si>
  <si>
    <t>MP TRAFOS</t>
  </si>
  <si>
    <t>Engenharia</t>
  </si>
  <si>
    <t xml:space="preserve">MP TRAFOS </t>
  </si>
  <si>
    <t>Energia</t>
  </si>
  <si>
    <t>Conceição do Mato Dentro</t>
  </si>
  <si>
    <t>NOBR-CT01</t>
  </si>
  <si>
    <t>NOBR-CT01-AGLP</t>
  </si>
  <si>
    <t>NOBR-CT01P</t>
  </si>
  <si>
    <t>Lucas Ferraz</t>
  </si>
  <si>
    <t>Mina de Água limpa</t>
  </si>
  <si>
    <t>Rio Piracicaba</t>
  </si>
  <si>
    <t>NOBR-CT01Paulo Paiva</t>
  </si>
  <si>
    <t>NOBR-CT01-AGLPPaulo Paiva</t>
  </si>
  <si>
    <t>QUEB-CT01</t>
  </si>
  <si>
    <t>QUEB-CT01-FOTO</t>
  </si>
  <si>
    <t>QUEB-CT01P</t>
  </si>
  <si>
    <t>QUEBEC</t>
  </si>
  <si>
    <t>ENEL ENERGIA</t>
  </si>
  <si>
    <t>São Gonçalo do Gurgueia</t>
  </si>
  <si>
    <t>Piaui</t>
  </si>
  <si>
    <t>Nordeste</t>
  </si>
  <si>
    <t>QUEB-CT01Paulo Paiva</t>
  </si>
  <si>
    <t>QUEB-CT01-FOTOPaulo Paiva</t>
  </si>
  <si>
    <t>SRVC-CT01</t>
  </si>
  <si>
    <t>SRVC_CEDR</t>
  </si>
  <si>
    <t>SRVC-CT01P</t>
  </si>
  <si>
    <t>TERR-CT02-CIAN</t>
  </si>
  <si>
    <t>TERR-CT02P</t>
  </si>
  <si>
    <t>Terraplanagem</t>
  </si>
  <si>
    <t>Mina do Pico</t>
  </si>
  <si>
    <t>TERR-CT02Paulo Paiva</t>
  </si>
  <si>
    <t>TERR-CT02-CIANPaulo Paiva</t>
  </si>
  <si>
    <t>VAVE-CT05</t>
  </si>
  <si>
    <t>VAVE-CT05-MENT</t>
  </si>
  <si>
    <t>VAVE-CT05T</t>
  </si>
  <si>
    <t>VAVE-CT06</t>
  </si>
  <si>
    <t>VAVE-CT06-GONG</t>
  </si>
  <si>
    <t>VAVE-CT06P</t>
  </si>
  <si>
    <t>Silas Moreira</t>
  </si>
  <si>
    <t>VAVE-CT06Leonardo Drumond</t>
  </si>
  <si>
    <t>VAVE-CT06-GONGLeonardo Drumond</t>
  </si>
  <si>
    <t>ALFA-CT01</t>
  </si>
  <si>
    <t>ALFA_ALCO</t>
  </si>
  <si>
    <t>ALFA-CT01P</t>
  </si>
  <si>
    <t>ENCERRADO</t>
  </si>
  <si>
    <t>ALFA-CT02</t>
  </si>
  <si>
    <t>ALFA_GOAU</t>
  </si>
  <si>
    <t>ALFA-CT02P</t>
  </si>
  <si>
    <t>ALFA-CT03</t>
  </si>
  <si>
    <t>ALFA-CT03-TMSP</t>
  </si>
  <si>
    <t>ALFA-CT03C</t>
  </si>
  <si>
    <t>CONS</t>
  </si>
  <si>
    <t>ALFA-CT04</t>
  </si>
  <si>
    <t>ALFA-CT04-TMSL</t>
  </si>
  <si>
    <t>ALFA-CT04P</t>
  </si>
  <si>
    <t>São Luís do Maranhão</t>
  </si>
  <si>
    <t>ALFA-CT04Paulo Paiva</t>
  </si>
  <si>
    <t>ALFA-CT04-TMSLPaulo Paiva</t>
  </si>
  <si>
    <t>BRGC-CT05</t>
  </si>
  <si>
    <t>BRGC_IML</t>
  </si>
  <si>
    <t>BRGC-CT05P</t>
  </si>
  <si>
    <t>BRGC-CT02</t>
  </si>
  <si>
    <t>BRGC_VIGA</t>
  </si>
  <si>
    <t>BRGC-CT02P</t>
  </si>
  <si>
    <t>CARD-CT02</t>
  </si>
  <si>
    <t>CARD_LAM</t>
  </si>
  <si>
    <t>CARD-CT02P</t>
  </si>
  <si>
    <t>CARD-CT03</t>
  </si>
  <si>
    <t>CARD_LPS</t>
  </si>
  <si>
    <t>CARD-CT03L</t>
  </si>
  <si>
    <t>CARD-CT03Sem Gerente</t>
  </si>
  <si>
    <t>CARD_LPSSem Gerente</t>
  </si>
  <si>
    <t>CARD-CT04</t>
  </si>
  <si>
    <t>CARD_TREI</t>
  </si>
  <si>
    <t>CARD-CT04T</t>
  </si>
  <si>
    <t>CIMC-CT01</t>
  </si>
  <si>
    <t>CIMC_APOIO</t>
  </si>
  <si>
    <t>CIMC-CT01P</t>
  </si>
  <si>
    <t>SOL DO CERRADO</t>
  </si>
  <si>
    <t>COED-CT01</t>
  </si>
  <si>
    <t>COED_BRUM</t>
  </si>
  <si>
    <t>COED-CT01P</t>
  </si>
  <si>
    <t>COED-CT03</t>
  </si>
  <si>
    <t>COED_VRGR</t>
  </si>
  <si>
    <t>COED-CT03P</t>
  </si>
  <si>
    <t>COEDRA</t>
  </si>
  <si>
    <t>COED-CT02</t>
  </si>
  <si>
    <t>COED-CT02-FORQ</t>
  </si>
  <si>
    <t>COED-CT02P</t>
  </si>
  <si>
    <t>COED-CT02Paulo Paiva</t>
  </si>
  <si>
    <t>COED-CT02-FORQPaulo Paiva</t>
  </si>
  <si>
    <t>COLA-CT01</t>
  </si>
  <si>
    <t>COLA_ADUT</t>
  </si>
  <si>
    <t>COLA-CT01L</t>
  </si>
  <si>
    <t>COLARES LINHARES</t>
  </si>
  <si>
    <t>COLA-CT02</t>
  </si>
  <si>
    <t>COLA-CT02T</t>
  </si>
  <si>
    <t>Infraestrutura</t>
  </si>
  <si>
    <t>DEGR-CT01</t>
  </si>
  <si>
    <t>DEGR_FABR</t>
  </si>
  <si>
    <t>DEGR-CT01P</t>
  </si>
  <si>
    <t>DEGR-CT03</t>
  </si>
  <si>
    <t>DEGR_PISO</t>
  </si>
  <si>
    <t>DEGR-CT03P</t>
  </si>
  <si>
    <t>DEGRAUS</t>
  </si>
  <si>
    <t>DEGR-CT03Sem Gerente</t>
  </si>
  <si>
    <t>DEGR_PISOSem Gerente</t>
  </si>
  <si>
    <t>GCMP-CT01</t>
  </si>
  <si>
    <t>GCMP_PTOC</t>
  </si>
  <si>
    <t>GCMP-CT01P</t>
  </si>
  <si>
    <t>HORI-CT01</t>
  </si>
  <si>
    <t>HORI_FAZE</t>
  </si>
  <si>
    <t>HORI-CT01P</t>
  </si>
  <si>
    <t>HORI-CT01Paulo Paiva</t>
  </si>
  <si>
    <t>HORI_FAZEPaulo Paiva</t>
  </si>
  <si>
    <t>HORI-CT02</t>
  </si>
  <si>
    <t>HORI-CT02-PQUR</t>
  </si>
  <si>
    <t>HORI-CT02P</t>
  </si>
  <si>
    <t>PONT-CT01</t>
  </si>
  <si>
    <t>PONT-CT01-MARA</t>
  </si>
  <si>
    <t>PONT-CT01P</t>
  </si>
  <si>
    <t>PONT-CT02</t>
  </si>
  <si>
    <t>PONT-CT02-MURO</t>
  </si>
  <si>
    <t>PONT-CT02P</t>
  </si>
  <si>
    <t>PONT-CT05</t>
  </si>
  <si>
    <t>PONT-CT05-TIMB</t>
  </si>
  <si>
    <t>PONT-CT05P</t>
  </si>
  <si>
    <t>PONT-CT05Sem Gerente</t>
  </si>
  <si>
    <t>PONT-CT05-TIMBSem Gerente</t>
  </si>
  <si>
    <t>REAL-CT01</t>
  </si>
  <si>
    <t>REAL_LIDE</t>
  </si>
  <si>
    <t>REAL-CT01P</t>
  </si>
  <si>
    <t>REAL-CT03</t>
  </si>
  <si>
    <t>REAL-CT03-TPRI</t>
  </si>
  <si>
    <t>REAL-CT03T</t>
  </si>
  <si>
    <t>REAL ESTRUTURAS</t>
  </si>
  <si>
    <t>REAL-CT04</t>
  </si>
  <si>
    <t>REAL-CT04-TLPS</t>
  </si>
  <si>
    <t>REAL-CT04T</t>
  </si>
  <si>
    <t>RIOS-CT01</t>
  </si>
  <si>
    <t>RIOS_ACES</t>
  </si>
  <si>
    <t>RIOS-CT01P</t>
  </si>
  <si>
    <t>RIOS-CT01Paulo Paiva</t>
  </si>
  <si>
    <t>RIOS_ACESPaulo Paiva</t>
  </si>
  <si>
    <t>RIOS-CT02</t>
  </si>
  <si>
    <t>RIOS_TERN</t>
  </si>
  <si>
    <t>RIOS-CT02P</t>
  </si>
  <si>
    <t>SALU-CT01</t>
  </si>
  <si>
    <t>SALU-CT01-VENE</t>
  </si>
  <si>
    <t>SALU-CT01P</t>
  </si>
  <si>
    <t>AURIZONA</t>
  </si>
  <si>
    <t>SALU-CT01Sem Gerente</t>
  </si>
  <si>
    <t>SALU-CT01-VENESem Gerente</t>
  </si>
  <si>
    <t>SANT-CT01</t>
  </si>
  <si>
    <t>SANT_TERR</t>
  </si>
  <si>
    <t>SANT-CT01P</t>
  </si>
  <si>
    <t>VAVE-CT04</t>
  </si>
  <si>
    <t>VAVE_TREI</t>
  </si>
  <si>
    <t>VAVE-CT04T</t>
  </si>
  <si>
    <t>VERU-CT01</t>
  </si>
  <si>
    <t>VERU_VRGR</t>
  </si>
  <si>
    <t>VERU-CT01P</t>
  </si>
  <si>
    <t>CCAP-CT05</t>
  </si>
  <si>
    <t>CCAP-CT05-DESC</t>
  </si>
  <si>
    <t>CCAP-CT05P</t>
  </si>
  <si>
    <t>FINALIZADO</t>
  </si>
  <si>
    <t>Mina de Conceição</t>
  </si>
  <si>
    <t>CCAP-CT05Leonardo Drumond</t>
  </si>
  <si>
    <t>CCAP-CT05-DESCLeonardo Drumond</t>
  </si>
  <si>
    <t>ALFA-CT06</t>
  </si>
  <si>
    <t>ALFA-CT06-ALUM</t>
  </si>
  <si>
    <t>ALFA-CT06P</t>
  </si>
  <si>
    <t>Ronaldo Machado</t>
  </si>
  <si>
    <t>ALUMAR</t>
  </si>
  <si>
    <t>ALFA-CT06Leonardo Drumond</t>
  </si>
  <si>
    <t>ALFA-CT06-ALUMLeonardo Drumond</t>
  </si>
  <si>
    <t>BRGC-CT01</t>
  </si>
  <si>
    <t>BRGC-CT01-BRUM</t>
  </si>
  <si>
    <t>BRGC-CT01P</t>
  </si>
  <si>
    <t>BRGC-CT01Paulo Paiva</t>
  </si>
  <si>
    <t>BRGC-CT01-BRUMPaulo Paiva</t>
  </si>
  <si>
    <t>CARD-CT01</t>
  </si>
  <si>
    <t>CARD-CT01-FUND</t>
  </si>
  <si>
    <t>CARD-CT01P</t>
  </si>
  <si>
    <t>RENOVA</t>
  </si>
  <si>
    <t>CARD-CT01Paulo Paiva</t>
  </si>
  <si>
    <t>CARD-CT01-FUNDPaulo Paiva</t>
  </si>
  <si>
    <t>CARD-CT05</t>
  </si>
  <si>
    <t>CARD-CT05-LPS</t>
  </si>
  <si>
    <t>CARD-CT05L</t>
  </si>
  <si>
    <t>CARD-CT05Paulo Paiva</t>
  </si>
  <si>
    <t>CARD-CT05-LPSPaulo Paiva</t>
  </si>
  <si>
    <t>CARD-CT07</t>
  </si>
  <si>
    <t>CARD-CT07-ANGR</t>
  </si>
  <si>
    <t>CARD-CT07L</t>
  </si>
  <si>
    <t>HOLTEC INTERNACIONAL</t>
  </si>
  <si>
    <t>Angra dos Reis</t>
  </si>
  <si>
    <t>Rio de Janeiro</t>
  </si>
  <si>
    <t>CARD-CT07Eduardo Eler</t>
  </si>
  <si>
    <t>CARD-CT07-ANGREduardo Eler</t>
  </si>
  <si>
    <t>CCAP-CT03</t>
  </si>
  <si>
    <t>CCAP-CT03-LPS</t>
  </si>
  <si>
    <t>CCAP-CT03L</t>
  </si>
  <si>
    <t>CCAP-CT03Leonardo Drumond</t>
  </si>
  <si>
    <t>CCAP-CT03-LPSLeonardo Drumond</t>
  </si>
  <si>
    <t>CCAP-CT04</t>
  </si>
  <si>
    <t>CCAP-CT04-PLAN</t>
  </si>
  <si>
    <t>CCAP-CT04P</t>
  </si>
  <si>
    <t>São Paulo</t>
  </si>
  <si>
    <t>CCAP-CT04Eduardo Eler</t>
  </si>
  <si>
    <t>CCAP-CT04-PLANEduardo Eler</t>
  </si>
  <si>
    <t>CCAP-CT06</t>
  </si>
  <si>
    <t>CCAP-CT06-APAU</t>
  </si>
  <si>
    <t>CCAP-CT06P</t>
  </si>
  <si>
    <t>Logística</t>
  </si>
  <si>
    <t>Paulínia</t>
  </si>
  <si>
    <t>CCAP-CT06Leonardo Drumond</t>
  </si>
  <si>
    <t>CCAP-CT06-APAULeonardo Drumond</t>
  </si>
  <si>
    <t>CCAP-CT07</t>
  </si>
  <si>
    <t>CCAP-CT07-AJUN</t>
  </si>
  <si>
    <t>CCAP-CT07P</t>
  </si>
  <si>
    <t>Jundiaí</t>
  </si>
  <si>
    <t>CCAP-CT07Leonardo Drumond</t>
  </si>
  <si>
    <t>CCAP-CT07-AJUNLeonardo Drumond</t>
  </si>
  <si>
    <t>CCAP-CT10-JMON</t>
  </si>
  <si>
    <t>CCAP-CT10L</t>
  </si>
  <si>
    <t>Rodrigo Rodrigues</t>
  </si>
  <si>
    <t>João Monlevade</t>
  </si>
  <si>
    <t>CCAP-CT10Eduardo Eler</t>
  </si>
  <si>
    <t>CCAP-CT10-JMONEduardo Eler</t>
  </si>
  <si>
    <t>COED-CT04</t>
  </si>
  <si>
    <t>COED-CT04-QUAR</t>
  </si>
  <si>
    <t>COED-CT04P</t>
  </si>
  <si>
    <t>Mina de Vargem Grande</t>
  </si>
  <si>
    <t>Nova Lima</t>
  </si>
  <si>
    <t>COED-CT04Paulo Paiva</t>
  </si>
  <si>
    <t>COED-CT04-QUARPaulo Paiva</t>
  </si>
  <si>
    <t>COED-CT05</t>
  </si>
  <si>
    <t>COED-CT05-MUTU</t>
  </si>
  <si>
    <t>COED-CT05P</t>
  </si>
  <si>
    <t>Mina de Mutuca</t>
  </si>
  <si>
    <t>COED-CT05Paulo Paiva</t>
  </si>
  <si>
    <t>COED-CT05-MUTUPaulo Paiva</t>
  </si>
  <si>
    <t>COED-CT06</t>
  </si>
  <si>
    <t>COED-CT06-TALU</t>
  </si>
  <si>
    <t>COED-CT06P</t>
  </si>
  <si>
    <t>COED-CT06Paulo Paiva</t>
  </si>
  <si>
    <t>COED-CT06-TALUPaulo Paiva</t>
  </si>
  <si>
    <t>COED-CT07</t>
  </si>
  <si>
    <t>COED-CT07-CANT</t>
  </si>
  <si>
    <t>COED-CT07P</t>
  </si>
  <si>
    <t>COED-CT07Paulo Paiva</t>
  </si>
  <si>
    <t>COED-CT07-CANTPaulo Paiva</t>
  </si>
  <si>
    <t>COED-CT08</t>
  </si>
  <si>
    <t>COED-CT08-BVGR</t>
  </si>
  <si>
    <t>COED-CT08P</t>
  </si>
  <si>
    <t>COED-CT08Paulo Paiva</t>
  </si>
  <si>
    <t>COED-CT08-BVGRPaulo Paiva</t>
  </si>
  <si>
    <t>COED-CT09</t>
  </si>
  <si>
    <t>COED-CT09-ACES</t>
  </si>
  <si>
    <t>COED-CT09P</t>
  </si>
  <si>
    <t>Mina de Fábrica Nova</t>
  </si>
  <si>
    <t>Congonhas</t>
  </si>
  <si>
    <t>COED-CT09Paulo Paiva</t>
  </si>
  <si>
    <t>COED-CT09-ACESPaulo Paiva</t>
  </si>
  <si>
    <t>CONE-CT01</t>
  </si>
  <si>
    <t>CONE-CT01-GEST</t>
  </si>
  <si>
    <t>CONE-CT01D</t>
  </si>
  <si>
    <t>CONEPP</t>
  </si>
  <si>
    <t>Gestão</t>
  </si>
  <si>
    <t>DADOS</t>
  </si>
  <si>
    <t>CONE-CT01Paulo Paiva</t>
  </si>
  <si>
    <t>CONE-CT01-GESTPaulo Paiva</t>
  </si>
  <si>
    <t>DEGR-CT02</t>
  </si>
  <si>
    <t>DEGR-CT02-GAMA</t>
  </si>
  <si>
    <t>DEGR-CT02P</t>
  </si>
  <si>
    <t>DEGR-CT02Paulo Paiva</t>
  </si>
  <si>
    <t>DEGR-CT02-GAMAPaulo Paiva</t>
  </si>
  <si>
    <t>EMPA-CT02-FICO</t>
  </si>
  <si>
    <t>EMPA-CT02P</t>
  </si>
  <si>
    <t>Mara Rosa</t>
  </si>
  <si>
    <t>Goias</t>
  </si>
  <si>
    <t>Centro-Oeste</t>
  </si>
  <si>
    <t>EMPA-CT02Eduardo Eler</t>
  </si>
  <si>
    <t>EMPA-CT02-FICOEduardo Eler</t>
  </si>
  <si>
    <t>ENGF-CT02</t>
  </si>
  <si>
    <t>ENGF-CT02-RDOR</t>
  </si>
  <si>
    <t>ENGF-CT02L</t>
  </si>
  <si>
    <t>REDE D'OR - SÃO LUIZ</t>
  </si>
  <si>
    <t>Saúde</t>
  </si>
  <si>
    <t>ENGF-CT02Eduardo Eler</t>
  </si>
  <si>
    <t>ENGF-CT02-RDOREduardo Eler</t>
  </si>
  <si>
    <t>ENGM-CT01-TANQ</t>
  </si>
  <si>
    <t>ENGM-CT01P</t>
  </si>
  <si>
    <t>São Gonçalo</t>
  </si>
  <si>
    <t>ENGM-CT01Leonardo Drumond</t>
  </si>
  <si>
    <t>ENGM-CT01-TANQLeonardo Drumond</t>
  </si>
  <si>
    <t>GERA-CT01</t>
  </si>
  <si>
    <t>GERA-CT01-ESCO</t>
  </si>
  <si>
    <t>GERA-CT01P</t>
  </si>
  <si>
    <t>Conselheiro Lafaiete</t>
  </si>
  <si>
    <t>GERA-CT01Paulo Paiva</t>
  </si>
  <si>
    <t>GERA-CT01-ESCOPaulo Paiva</t>
  </si>
  <si>
    <t>GNDC-CT01</t>
  </si>
  <si>
    <t>GNDC-CT01-LPS</t>
  </si>
  <si>
    <t>GNDC-CT01L</t>
  </si>
  <si>
    <t>GND</t>
  </si>
  <si>
    <t>FUNDAÇÃO SÃO FRANCISCO XAVIER</t>
  </si>
  <si>
    <t>GNDC-CT01Paulo Paiva</t>
  </si>
  <si>
    <t>GNDC-CT01-LPSPaulo Paiva</t>
  </si>
  <si>
    <t>GONT-CT01</t>
  </si>
  <si>
    <t>GONT-CT01-GEST</t>
  </si>
  <si>
    <t>GONT-CT01D</t>
  </si>
  <si>
    <t>GONTIJO</t>
  </si>
  <si>
    <t>GONTIJO FUNDAÇÕES</t>
  </si>
  <si>
    <t>GONT-CT01Paulo Paiva</t>
  </si>
  <si>
    <t>GONT-CT01-GESTPaulo Paiva</t>
  </si>
  <si>
    <t>GONT-CT02</t>
  </si>
  <si>
    <t>GONT-CT02-GEST</t>
  </si>
  <si>
    <t>GONT-CT02D</t>
  </si>
  <si>
    <t>GONT-CT02Paulo Paiva</t>
  </si>
  <si>
    <t>GONT-CT02-GESTPaulo Paiva</t>
  </si>
  <si>
    <t>IMCS-CT01-AVCB</t>
  </si>
  <si>
    <t>IMCS-CT01P</t>
  </si>
  <si>
    <t>IMCS-CT01Paulo Paiva</t>
  </si>
  <si>
    <t>IMCS-CT01-AVCBPaulo Paiva</t>
  </si>
  <si>
    <t>IMCS-CT02-AVCB</t>
  </si>
  <si>
    <t>IMCS-CT02P</t>
  </si>
  <si>
    <t>IMCS-CT02Paulo Paiva</t>
  </si>
  <si>
    <t>IMCS-CT02-AVCBPaulo Paiva</t>
  </si>
  <si>
    <t>IMCS-CT03</t>
  </si>
  <si>
    <t>IMCS-CT03-FLOC</t>
  </si>
  <si>
    <t>IMCS-CT03P</t>
  </si>
  <si>
    <t>Mina de Carajás</t>
  </si>
  <si>
    <t>Parauapebas</t>
  </si>
  <si>
    <t>IMCS-CT03Leonardo Drumond</t>
  </si>
  <si>
    <t>IMCS-CT03-FLOCLeonardo Drumond</t>
  </si>
  <si>
    <t>IMCS-CT04</t>
  </si>
  <si>
    <t>IMCS-CT04-MARA</t>
  </si>
  <si>
    <t>IMCS-CT04P</t>
  </si>
  <si>
    <t>Vale</t>
  </si>
  <si>
    <t>Marabá</t>
  </si>
  <si>
    <t>IMCS-CT04Leonardo Drumond</t>
  </si>
  <si>
    <t>IMCS-CT04-MARALeonardo Drumond</t>
  </si>
  <si>
    <t>IMPA-CT01</t>
  </si>
  <si>
    <t>IMPA-CT01-GEST</t>
  </si>
  <si>
    <t>IMPA-CT01D</t>
  </si>
  <si>
    <t>ÍMPAR CONSTRUTORA</t>
  </si>
  <si>
    <t>ÍMPAR</t>
  </si>
  <si>
    <t>IMPA-CT01Paulo Paiva</t>
  </si>
  <si>
    <t>IMPA-CT01-GESTPaulo Paiva</t>
  </si>
  <si>
    <t>IMPA-CT02</t>
  </si>
  <si>
    <t>IMPA-CT02-GUAR</t>
  </si>
  <si>
    <t>IMPA-CT02D</t>
  </si>
  <si>
    <t>IMPA-CT02Paulo Paiva</t>
  </si>
  <si>
    <t>IMPA-CT02-GUARPaulo Paiva</t>
  </si>
  <si>
    <t>INTE-CT02</t>
  </si>
  <si>
    <t>INTE-CT02-TALU</t>
  </si>
  <si>
    <t>INTE-CT02P</t>
  </si>
  <si>
    <t>Prefeitura Rio Piracicaba</t>
  </si>
  <si>
    <t>Prefeitura</t>
  </si>
  <si>
    <t>ISOM-CT01</t>
  </si>
  <si>
    <t>ISOM-CT01-FABR</t>
  </si>
  <si>
    <t>ISOM-CT01P</t>
  </si>
  <si>
    <t>Contagem</t>
  </si>
  <si>
    <t>ISOM-CT01Paulo Paiva</t>
  </si>
  <si>
    <t>ISOM-CT01-FABRPaulo Paiva</t>
  </si>
  <si>
    <t>MILP-CT01</t>
  </si>
  <si>
    <t>MILP-CT01-DUTO</t>
  </si>
  <si>
    <t>MILP-CT01L</t>
  </si>
  <si>
    <t>Tomé-Açu</t>
  </si>
  <si>
    <t>MILP-CT01Leonardo Drumond</t>
  </si>
  <si>
    <t>MILP-CT01-DUTOLeonardo Drumond</t>
  </si>
  <si>
    <t>MILP-CT05</t>
  </si>
  <si>
    <t>MILP-CT05-TREI</t>
  </si>
  <si>
    <t>MILP-CT05T</t>
  </si>
  <si>
    <t>MILP-CT05Eduardo Eler</t>
  </si>
  <si>
    <t>MILP-CT05-TREIEduardo Eler</t>
  </si>
  <si>
    <t>NOBR-CT03</t>
  </si>
  <si>
    <t>NOBR-CT03-DREN</t>
  </si>
  <si>
    <t>NOBR-CT03P</t>
  </si>
  <si>
    <t>São Gonçalo do Rio Abaixo</t>
  </si>
  <si>
    <t>NOBR-CT03Paulo Paiva</t>
  </si>
  <si>
    <t>NOBR-CT03-DRENPaulo Paiva</t>
  </si>
  <si>
    <t>NOBR-CT04</t>
  </si>
  <si>
    <t>NOBR-CT04-FICO</t>
  </si>
  <si>
    <t>NOBR-CT04P</t>
  </si>
  <si>
    <t>Crixás</t>
  </si>
  <si>
    <t>NOBR-CT04Paulo Paiva</t>
  </si>
  <si>
    <t>NOBR-CT04-FICOPaulo Paiva</t>
  </si>
  <si>
    <t>PARE-CT03</t>
  </si>
  <si>
    <t>PARE-CT03-TREI</t>
  </si>
  <si>
    <t>PARE-CT03T</t>
  </si>
  <si>
    <t>PONT-CT03</t>
  </si>
  <si>
    <t>PONT-CT03-ASFA</t>
  </si>
  <si>
    <t>PONT-CT03P</t>
  </si>
  <si>
    <t>PONTAL CONSTRUTORA</t>
  </si>
  <si>
    <t>PONT-CT03Paulo Paiva</t>
  </si>
  <si>
    <t>PONT-CT03-ASFAPaulo Paiva</t>
  </si>
  <si>
    <t>PONT-CT04</t>
  </si>
  <si>
    <t>PONT-CT04-BRUM</t>
  </si>
  <si>
    <t>PONT-CT04P</t>
  </si>
  <si>
    <t>PONT-CT04Paulo Paiva</t>
  </si>
  <si>
    <t>PONT-CT04-BRUMPaulo Paiva</t>
  </si>
  <si>
    <t>PONT-CT06</t>
  </si>
  <si>
    <t>PONT-CT06-BECJ</t>
  </si>
  <si>
    <t>PONT-CT06P</t>
  </si>
  <si>
    <t>PONT-CT06Paulo Paiva</t>
  </si>
  <si>
    <t>PONT-CT06-BECJPaulo Paiva</t>
  </si>
  <si>
    <t>QUEB-CT02</t>
  </si>
  <si>
    <t>QUEB-CT02-GEST</t>
  </si>
  <si>
    <t>QUEB-CT02D</t>
  </si>
  <si>
    <t>QUEB-CT02Paulo Paiva</t>
  </si>
  <si>
    <t>QUEB-CT02-GESTPaulo Paiva</t>
  </si>
  <si>
    <t>QUEB-CT03</t>
  </si>
  <si>
    <t>QUEB-CT03-ALMX</t>
  </si>
  <si>
    <t>QUEB-CT03D</t>
  </si>
  <si>
    <t>QUEB-CT03Paulo Paiva</t>
  </si>
  <si>
    <t>QUEB-CT03-ALMXPaulo Paiva</t>
  </si>
  <si>
    <t>RIOS-CT03</t>
  </si>
  <si>
    <t>RIOS-CT03-PADR</t>
  </si>
  <si>
    <t>RIOS-CT03P</t>
  </si>
  <si>
    <t>RIOSUL</t>
  </si>
  <si>
    <t>RIO SUL</t>
  </si>
  <si>
    <t>RIOS-CT03Paulo Paiva</t>
  </si>
  <si>
    <t>RIOS-CT03-PADRPaulo Paiva</t>
  </si>
  <si>
    <t>SALU-CT03</t>
  </si>
  <si>
    <t>SALU-CT03-TPRO</t>
  </si>
  <si>
    <t>SALU-CT03T</t>
  </si>
  <si>
    <t>SIGD-CT01</t>
  </si>
  <si>
    <t>SIGD-CT01-LPS</t>
  </si>
  <si>
    <t>SIGD-CT01P</t>
  </si>
  <si>
    <t>SIGDO KOPPERS</t>
  </si>
  <si>
    <t>SIGD-CT01Leonardo Drumond</t>
  </si>
  <si>
    <t>SIGD-CT01-LPSLeonardo Drumond</t>
  </si>
  <si>
    <t>SOLA-CT01</t>
  </si>
  <si>
    <t>SOLA-CT01-LPS</t>
  </si>
  <si>
    <t>SOLA-CT01L</t>
  </si>
  <si>
    <t>SOLAR DO CERRADO</t>
  </si>
  <si>
    <t>Jaíba</t>
  </si>
  <si>
    <t>SOLA-CT01Leonardo Drumond</t>
  </si>
  <si>
    <t>SOLA-CT01-LPSLeonardo Drumond</t>
  </si>
  <si>
    <t>TECN-CT01</t>
  </si>
  <si>
    <t>TECN-CT01-PTOS</t>
  </si>
  <si>
    <t>TECN-CT01P</t>
  </si>
  <si>
    <t>Civil e Montagem</t>
  </si>
  <si>
    <t>TECN-CT01Leonardo Drumond</t>
  </si>
  <si>
    <t>TECN-CT01-PTOSLeonardo Drumond</t>
  </si>
  <si>
    <t>TERR-CT01</t>
  </si>
  <si>
    <t>TERR-CT01-MARA</t>
  </si>
  <si>
    <t>TERR-CT01P</t>
  </si>
  <si>
    <t>TERR-CT01Paulo Paiva</t>
  </si>
  <si>
    <t>TERR-CT01-MARAPaulo Paiva</t>
  </si>
  <si>
    <t>TERR-CT04</t>
  </si>
  <si>
    <t>TERR-CT04-RETA</t>
  </si>
  <si>
    <t>TERR-CT04P</t>
  </si>
  <si>
    <t>Mina de Água Clara</t>
  </si>
  <si>
    <t>TERR-CT04Paulo Paiva</t>
  </si>
  <si>
    <t>TERR-CT04-RETAPaulo Paiva</t>
  </si>
  <si>
    <t>TERR-CT05</t>
  </si>
  <si>
    <t>TERR-CT05-GEST</t>
  </si>
  <si>
    <t>TERR-CT05P</t>
  </si>
  <si>
    <t>TERR-CT05Paulo Paiva</t>
  </si>
  <si>
    <t>TERR-CT05-GESTPaulo Paiva</t>
  </si>
  <si>
    <t>TERR-CT06</t>
  </si>
  <si>
    <t>TERR-CT06-K145</t>
  </si>
  <si>
    <t>TERR-CT06P</t>
  </si>
  <si>
    <t>Cachoeira do Campo</t>
  </si>
  <si>
    <t>TERR-CT06Paulo Paiva</t>
  </si>
  <si>
    <t>TERR-CT06-K145Paulo Paiva</t>
  </si>
  <si>
    <t>VAVE-CT02</t>
  </si>
  <si>
    <t>VAVE-CT02-CANG</t>
  </si>
  <si>
    <t>VAVE-CT02L</t>
  </si>
  <si>
    <t>VAVE-CT02Leonardo Drumond</t>
  </si>
  <si>
    <t>VAVE-CT02-CANGLeonardo Drumond</t>
  </si>
  <si>
    <t>VAVE-CT02-IPOE</t>
  </si>
  <si>
    <t>VAVE-CT02-IPOELeonardo Drumond</t>
  </si>
  <si>
    <t>VAVE-CT03</t>
  </si>
  <si>
    <t>VAVE-CT03-ACES</t>
  </si>
  <si>
    <t>VAVE-CT03P</t>
  </si>
  <si>
    <t>VAVE-CT03Leonardo Drumond</t>
  </si>
  <si>
    <t>VAVE-CT03-ACESLeonardo Drumond</t>
  </si>
  <si>
    <t>VERE-CT01</t>
  </si>
  <si>
    <t>VERE-CT01-VIDT</t>
  </si>
  <si>
    <t>VERE-CT01P</t>
  </si>
  <si>
    <t>MRS LOGÍSTICA</t>
  </si>
  <si>
    <t>VERE-CT01Paulo Paiva</t>
  </si>
  <si>
    <t>VERE-CT01-VIDTPaulo Paiva</t>
  </si>
  <si>
    <t>CARD-CT11-FILT</t>
  </si>
  <si>
    <t>CARD-CT11P</t>
  </si>
  <si>
    <t>Wantuil Oliveira</t>
  </si>
  <si>
    <t>CARD-CT11Leonardo Drumond</t>
  </si>
  <si>
    <t>CARD-CT11-FILTLeonardo Drumond</t>
  </si>
  <si>
    <t>ECPE-CT01-PLAN</t>
  </si>
  <si>
    <t>ECPE-CT01P</t>
  </si>
  <si>
    <t>São José da Varginha</t>
  </si>
  <si>
    <t>ECPE-CT01Paulo Paiva</t>
  </si>
  <si>
    <t>ECPE-CT01-PLANPaulo Paiva</t>
  </si>
  <si>
    <t>ALCO-CT01</t>
  </si>
  <si>
    <t>ALCO-CT01-CROS</t>
  </si>
  <si>
    <t>ALCO-CT01P</t>
  </si>
  <si>
    <t>Mineração / Metalurgia</t>
  </si>
  <si>
    <t>ALCO-CT01André Guimaraes</t>
  </si>
  <si>
    <t>ALCO-CT01-CROSAndré Guimaraes</t>
  </si>
  <si>
    <t>ATRI-CT01-AERO</t>
  </si>
  <si>
    <t>ATRI-CT01P</t>
  </si>
  <si>
    <t>CCR AEROPORTOS</t>
  </si>
  <si>
    <t>Aeroportuário</t>
  </si>
  <si>
    <t>Parana</t>
  </si>
  <si>
    <t>Sul</t>
  </si>
  <si>
    <t>ATRI-CT01Paulo Paiva</t>
  </si>
  <si>
    <t>ATRI-CT01-AEROPaulo Paiva</t>
  </si>
  <si>
    <t>BALI-CT01-PTOP</t>
  </si>
  <si>
    <t>BALI-CT01P</t>
  </si>
  <si>
    <t>BALI CONSTRUTORA</t>
  </si>
  <si>
    <t>Construção Civil e Montagem</t>
  </si>
  <si>
    <t>BALI-CT01Paulo Paiva</t>
  </si>
  <si>
    <t>BALI-CT01-PTOPPaulo Paiva</t>
  </si>
  <si>
    <t>INTT-CT01</t>
  </si>
  <si>
    <t>INTT-CT01-TREI</t>
  </si>
  <si>
    <t>INTT-CT01T</t>
  </si>
  <si>
    <t>INTERTECHNE</t>
  </si>
  <si>
    <t>INTT-CT01Paulo Paiva</t>
  </si>
  <si>
    <t>INTT-CT01-TREIPaulo Paiva</t>
  </si>
  <si>
    <t>TERR-CT03</t>
  </si>
  <si>
    <t>TERR-CT03-K158</t>
  </si>
  <si>
    <t>TERR-CT03P</t>
  </si>
  <si>
    <t>TERR-CT03Paulo Paiva</t>
  </si>
  <si>
    <t>TERR-CT03-K158Paulo Paiva</t>
  </si>
  <si>
    <t>CCAP-CT09-AGLO</t>
  </si>
  <si>
    <t>CCAP-CT09P</t>
  </si>
  <si>
    <t>CCAP-CT09Leonardo Drumond</t>
  </si>
  <si>
    <t>CCAP-CT09-AGLOLeonardo Drumond</t>
  </si>
  <si>
    <t>EMPA-CT01</t>
  </si>
  <si>
    <t>EMPA-CT01-CPGR</t>
  </si>
  <si>
    <t>EMPA-CT01P</t>
  </si>
  <si>
    <t>Mina de Alegria</t>
  </si>
  <si>
    <t>EMPA-CT01Paulo Paiva</t>
  </si>
  <si>
    <t>EMPA-CT01-CPGRPaulo Paiva</t>
  </si>
  <si>
    <t>ARCL-CT01</t>
  </si>
  <si>
    <t>ARCL-CT01-EXCE</t>
  </si>
  <si>
    <t>ARCL-CT01E</t>
  </si>
  <si>
    <t>Outros</t>
  </si>
  <si>
    <t>Ar condicionado industrial</t>
  </si>
  <si>
    <t>EXCE</t>
  </si>
  <si>
    <t>ARCL-CT01Eduardo Eler</t>
  </si>
  <si>
    <t>ARCL-CT01-EXCEEduardo Eler</t>
  </si>
  <si>
    <t>CCAP-CT02-CAPA</t>
  </si>
  <si>
    <t>CCAP-CT02P</t>
  </si>
  <si>
    <t>CCAP-CT02Leonardo Drumond</t>
  </si>
  <si>
    <t>CCAP-CT02-CAPALeonardo Drumond</t>
  </si>
  <si>
    <t>CCAP-CT02-TIMB</t>
  </si>
  <si>
    <t>CCAP-CT02-TIMBLeonardo Drumond</t>
  </si>
  <si>
    <t>SALU-CT07-MINE</t>
  </si>
  <si>
    <t>SALU-CT07P</t>
  </si>
  <si>
    <t>Marcio Junior</t>
  </si>
  <si>
    <t>SALU-CT07Paulo Paiva</t>
  </si>
  <si>
    <t>SALU-CT07-MINEPaulo Paiva</t>
  </si>
  <si>
    <t>IMCS-CT05</t>
  </si>
  <si>
    <t>IMCS-CT05-MARA</t>
  </si>
  <si>
    <t>IMCS-CT05P</t>
  </si>
  <si>
    <t>IMCS-CT05Leonardo Drumond</t>
  </si>
  <si>
    <t>IMCS-CT05-MARALeonardo Drumond</t>
  </si>
  <si>
    <t>SALU-CT02-MMB.</t>
  </si>
  <si>
    <t>SALU-CT02P</t>
  </si>
  <si>
    <t>SALU-CT02Paulo Paiva</t>
  </si>
  <si>
    <t>SALU-CT02-MMB.Paulo Paiva</t>
  </si>
  <si>
    <t>SALU-CT02-USIN</t>
  </si>
  <si>
    <t>SALU-CT02-USINPaulo Paiva</t>
  </si>
  <si>
    <t>ATRI-CT02-PLAN</t>
  </si>
  <si>
    <t>ATRI-CT02P</t>
  </si>
  <si>
    <t>São Roque</t>
  </si>
  <si>
    <t>ATRI-CT02Paulo Paiva</t>
  </si>
  <si>
    <t>ATRI-CT02-PLANPaulo Paiva</t>
  </si>
  <si>
    <t>CKTR-CT01-PLAN</t>
  </si>
  <si>
    <t>CKTR-CT01P</t>
  </si>
  <si>
    <t>Construção Civil</t>
  </si>
  <si>
    <t>CIMC-CT03</t>
  </si>
  <si>
    <t>CIMC-CT03-DESC</t>
  </si>
  <si>
    <t>CIMC-CT03P</t>
  </si>
  <si>
    <t>AngloGold Ashanti</t>
  </si>
  <si>
    <t>Mina de Serra Grande</t>
  </si>
  <si>
    <t>CIMC-CT03Leonardo Drumond</t>
  </si>
  <si>
    <t>CIMC-CT03-DESCLeonardo Drumond</t>
  </si>
  <si>
    <t>LBDE-CT01</t>
  </si>
  <si>
    <t>LBDE-CT01-EXCE</t>
  </si>
  <si>
    <t>LBDE-CT01E</t>
  </si>
  <si>
    <t>LBD</t>
  </si>
  <si>
    <t>LBD ENGENHARIA</t>
  </si>
  <si>
    <t>Arcos</t>
  </si>
  <si>
    <t>LBDE-CT01Eduardo Eler</t>
  </si>
  <si>
    <t>LBDE-CT01-EXCEEduardo Eler</t>
  </si>
  <si>
    <t>PIAT-CT01</t>
  </si>
  <si>
    <t>PIAT-CT01-MOBI</t>
  </si>
  <si>
    <t>PIAT-CT01L</t>
  </si>
  <si>
    <t>Construtora</t>
  </si>
  <si>
    <t>PIAT-CT01Eduardo Eler</t>
  </si>
  <si>
    <t>PIAT-CT01-MOBIEduardo Eler</t>
  </si>
  <si>
    <t>VAVE-CT07-PDER</t>
  </si>
  <si>
    <t>VAVE-CT07P</t>
  </si>
  <si>
    <t>VAVE-CT07Leonardo Drumond</t>
  </si>
  <si>
    <t>VAVE-CT07-PDERLeonardo Drumond</t>
  </si>
  <si>
    <t>TERE-CT01-TANQ</t>
  </si>
  <si>
    <t>TERE-CT01P</t>
  </si>
  <si>
    <t>TERE-CT01Paulo Paiva</t>
  </si>
  <si>
    <t>TERE-CT01-TANQPaulo Paiva</t>
  </si>
  <si>
    <t>PAIN-CT01-PLAN</t>
  </si>
  <si>
    <t>PAIN-CT01P</t>
  </si>
  <si>
    <t>Componentes Ferroviários</t>
  </si>
  <si>
    <t>PAIN-CT01Paulo Paiva</t>
  </si>
  <si>
    <t>PAIN-CT01-PLANPaulo Paiva</t>
  </si>
  <si>
    <t>ATKI-CT02</t>
  </si>
  <si>
    <t>ATKI-CT02-LPSA</t>
  </si>
  <si>
    <t>ATKI-CT02L</t>
  </si>
  <si>
    <t>ATKINSRÉALIS</t>
  </si>
  <si>
    <t>Mina de Minas-Rio</t>
  </si>
  <si>
    <t>ATKI-CT02Eduardo Eler</t>
  </si>
  <si>
    <t>ATKI-CT02-LPSAEduardo Eler</t>
  </si>
  <si>
    <t>SALU-COOR</t>
  </si>
  <si>
    <t>SALU-COORP</t>
  </si>
  <si>
    <t>Arthur Rocha</t>
  </si>
  <si>
    <t>SALU-COORPaulo Paiva</t>
  </si>
  <si>
    <t>PARE-CT07-BORB</t>
  </si>
  <si>
    <t>PARE-CT07L</t>
  </si>
  <si>
    <t>Currais Novos</t>
  </si>
  <si>
    <t>Rio Grande do Norte</t>
  </si>
  <si>
    <t>PARE-CT07Eduardo Eler</t>
  </si>
  <si>
    <t>PARE-CT07-BORBEduardo Eler</t>
  </si>
  <si>
    <t>TERR-CT07-P145</t>
  </si>
  <si>
    <t>TERR-CT07P</t>
  </si>
  <si>
    <t>TERR-CT07Paulo Paiva</t>
  </si>
  <si>
    <t>TERR-CT07-P145Paulo Paiva</t>
  </si>
  <si>
    <t>CCAP-CT13-JERI</t>
  </si>
  <si>
    <t>CCAP-CT13P</t>
  </si>
  <si>
    <t>Orgão Público</t>
  </si>
  <si>
    <t xml:space="preserve">Orgãos Públicos </t>
  </si>
  <si>
    <t>Jericoacoara</t>
  </si>
  <si>
    <t>Ceara</t>
  </si>
  <si>
    <t>CCAP-CT13Paulo Paiva</t>
  </si>
  <si>
    <t>CCAP-CT13-JERIPaulo Paiva</t>
  </si>
  <si>
    <t>PARE-CT06-OFIC</t>
  </si>
  <si>
    <t>PARE-CT06L</t>
  </si>
  <si>
    <t>Complexo S11D</t>
  </si>
  <si>
    <t>PARE-CT06Eduardo Eler</t>
  </si>
  <si>
    <t>PARE-CT06-OFICEduardo Eler</t>
  </si>
  <si>
    <t>SNCL-CT01-OC78</t>
  </si>
  <si>
    <t>SNCL-CT01P</t>
  </si>
  <si>
    <t>SIGD-CT03-BRIT</t>
  </si>
  <si>
    <t>SIGD-CT03P</t>
  </si>
  <si>
    <t>SIGD-CT03Paulo Paiva</t>
  </si>
  <si>
    <t>SIGD-CT03-BRITPaulo Paiva</t>
  </si>
  <si>
    <t>NOBR-CT05-PLAN</t>
  </si>
  <si>
    <t>NOBR-CT05P</t>
  </si>
  <si>
    <t>Diego Bernardes</t>
  </si>
  <si>
    <t>Ferrovia</t>
  </si>
  <si>
    <t>NOBR-CT05Leonardo Drumond</t>
  </si>
  <si>
    <t>NOBR-CT05-PLANLeonardo Drumond</t>
  </si>
  <si>
    <t>NIPL-CT01-LAMI</t>
  </si>
  <si>
    <t>NIPL-CT01L</t>
  </si>
  <si>
    <t>Barra Mansa</t>
  </si>
  <si>
    <t>NIPL-CT01Eduardo Eler</t>
  </si>
  <si>
    <t>NIPL-CT01-LAMIEduardo Eler</t>
  </si>
  <si>
    <t>MILP-CT04-TCLD</t>
  </si>
  <si>
    <t>MILP-CT04L</t>
  </si>
  <si>
    <t>MILP-CT04Eduardo Eler</t>
  </si>
  <si>
    <t>MILP-CT04-TCLDEduardo Eler</t>
  </si>
  <si>
    <t>MROS-CT01-LPSA</t>
  </si>
  <si>
    <t>MROS-CT01L</t>
  </si>
  <si>
    <t>MROS-CT01Eduardo Eler</t>
  </si>
  <si>
    <t>MROS-CT01-LPSAEduardo Eler</t>
  </si>
  <si>
    <t>SALU-CT10</t>
  </si>
  <si>
    <t>SALU-CT10-COOR</t>
  </si>
  <si>
    <t>SALU-CT10P</t>
  </si>
  <si>
    <t>-</t>
  </si>
  <si>
    <t>SALU-CT10Paulo Paiva</t>
  </si>
  <si>
    <t>SALU-CT10-COORPaulo Paiva</t>
  </si>
  <si>
    <t>SSPS-CT01</t>
  </si>
  <si>
    <t>SSPS-CT01-EXCE</t>
  </si>
  <si>
    <t>SSPS-CT01E</t>
  </si>
  <si>
    <t>SSP SERVICE</t>
  </si>
  <si>
    <t>Manutenção Industrial</t>
  </si>
  <si>
    <t>SSPS-CT01Eduardo Eler</t>
  </si>
  <si>
    <t>SSPS-CT01-EXCEEduardo Eler</t>
  </si>
  <si>
    <t>CCAP-CT14-LPSA</t>
  </si>
  <si>
    <t>CCAP-CT14L</t>
  </si>
  <si>
    <t>CCAP-CT14Eduardo Eler</t>
  </si>
  <si>
    <t>CCAP-CT14-LPSAEduardo Eler</t>
  </si>
  <si>
    <t>SALU-CT05-TIMB</t>
  </si>
  <si>
    <t>SALU-CT05P</t>
  </si>
  <si>
    <t>SALU-CT05Paulo Paiva</t>
  </si>
  <si>
    <t>SALU-CT05-TIMBPaulo Paiva</t>
  </si>
  <si>
    <t>TERR-CT08-RMAC</t>
  </si>
  <si>
    <t>TERR-CT08P</t>
  </si>
  <si>
    <t>TERR-CT08Paulo Paiva</t>
  </si>
  <si>
    <t>TERR-CT08-RMACPaulo Paiva</t>
  </si>
  <si>
    <t>ALCO-CT02-GERE</t>
  </si>
  <si>
    <t>ALCO-CT02G</t>
  </si>
  <si>
    <t>GEREN</t>
  </si>
  <si>
    <t>ALCO-CT02Leonardo Drumond</t>
  </si>
  <si>
    <t>ALCO-CT02-GERELeonardo Drumond</t>
  </si>
  <si>
    <t>Owner</t>
  </si>
  <si>
    <t>PCOR-CT01-PLAN</t>
  </si>
  <si>
    <t>PCOR-CT01P</t>
  </si>
  <si>
    <t>Cooperativa Agroindustrial</t>
  </si>
  <si>
    <t>Agronegócio</t>
  </si>
  <si>
    <t>Dourados</t>
  </si>
  <si>
    <t>PCOR-CT01Paulo Paiva</t>
  </si>
  <si>
    <t>PCOR-CT01-PLANPaulo Paiva</t>
  </si>
  <si>
    <t>PAIN-CT02-PLAN</t>
  </si>
  <si>
    <t>PAIN-CT02P</t>
  </si>
  <si>
    <t>PAIN-CT02Paulo Paiva</t>
  </si>
  <si>
    <t>PAIN-CT02-PLANPaulo Paiva</t>
  </si>
  <si>
    <t>IMCS-CT07-SEGR</t>
  </si>
  <si>
    <t>IMCS-CT07P</t>
  </si>
  <si>
    <t>IMCS-CT07Paulo Paiva</t>
  </si>
  <si>
    <t>IMCS-CT07-SEGRPaulo Paiva</t>
  </si>
  <si>
    <t>CIMC-CT02-CCMD</t>
  </si>
  <si>
    <t>CIMC-CT02L</t>
  </si>
  <si>
    <t>CIMC-CT02Eduardo Eler</t>
  </si>
  <si>
    <t>CIMC-CT02-CCMDEduardo Eler</t>
  </si>
  <si>
    <t>ENES-CT02-EXCE</t>
  </si>
  <si>
    <t>ENES-CT02E</t>
  </si>
  <si>
    <t>ENES-CT02Eduardo Eler</t>
  </si>
  <si>
    <t>ENES-CT02-EXCEEduardo Eler</t>
  </si>
  <si>
    <t>NEWG-CT01-PLAN</t>
  </si>
  <si>
    <t>NEWG-CT01P</t>
  </si>
  <si>
    <t>Sem Coordenador(GPP)</t>
  </si>
  <si>
    <t>Siderurgia/Metalurgia</t>
  </si>
  <si>
    <t>Mina de Serra Azul</t>
  </si>
  <si>
    <t>Itatiaiuçu</t>
  </si>
  <si>
    <t>NEWG-CT01Paulo Paiva</t>
  </si>
  <si>
    <t>NEWG-CT01-PLANPaulo Paiva</t>
  </si>
  <si>
    <t>ARCL-CT03-CGH7</t>
  </si>
  <si>
    <t>ARCL-CT03L</t>
  </si>
  <si>
    <t>Cajamar</t>
  </si>
  <si>
    <t>ARCL-CT03Eduardo Eler</t>
  </si>
  <si>
    <t>ARCL-CT03-CGH7Eduardo Eler</t>
  </si>
  <si>
    <t>TECN-CT02-MODE</t>
  </si>
  <si>
    <t>TECN-CT02P</t>
  </si>
  <si>
    <t>TECN-CT02Leonardo Drumond</t>
  </si>
  <si>
    <t>TECN-CT02-MODELeonardo Drumond</t>
  </si>
  <si>
    <t>CAPE-CT01-CROW</t>
  </si>
  <si>
    <t>CAPE-CT01P</t>
  </si>
  <si>
    <t>Coronel Xavier Chaves</t>
  </si>
  <si>
    <t>CAPE-CT01Paulo Paiva</t>
  </si>
  <si>
    <t>CAPE-CT01-CROWPaulo Paiva</t>
  </si>
  <si>
    <t>PARE-CT08-MINE</t>
  </si>
  <si>
    <t>PARE-CT08L</t>
  </si>
  <si>
    <t>Outro Branco</t>
  </si>
  <si>
    <t>PARE-CT08Eduardo Eler</t>
  </si>
  <si>
    <t>PARE-CT08-MINEEduardo Eler</t>
  </si>
  <si>
    <t>NEWG-CT02-JURO</t>
  </si>
  <si>
    <t>NEWG-CT02P</t>
  </si>
  <si>
    <t>Estaleiro</t>
  </si>
  <si>
    <t>Aracruz</t>
  </si>
  <si>
    <t>Espirito Santo</t>
  </si>
  <si>
    <t>NEWG-CT02Paulo Paiva</t>
  </si>
  <si>
    <t>NEWG-CT02-JUROPaulo Paiva</t>
  </si>
  <si>
    <t>CCAP-CT11-RUMO</t>
  </si>
  <si>
    <t>CCAP-CT11P</t>
  </si>
  <si>
    <t>RUMO LOGISTICA</t>
  </si>
  <si>
    <t>CCAP-CT11Leonardo Drumond</t>
  </si>
  <si>
    <t>CCAP-CT11-RUMOLeonardo Drumond</t>
  </si>
  <si>
    <t>ADMB-CT13-GEPF</t>
  </si>
  <si>
    <t>ADMB-CT13G</t>
  </si>
  <si>
    <t xml:space="preserve">Alimentação </t>
  </si>
  <si>
    <t>Industria Alimentícia</t>
  </si>
  <si>
    <t>ADMB-CT13Eduardo Eler</t>
  </si>
  <si>
    <t>ADMB-CT13-GEPFEduardo Eler</t>
  </si>
  <si>
    <t>EKTO-CT01-EXCE</t>
  </si>
  <si>
    <t>EKTO-CT01E</t>
  </si>
  <si>
    <t>EKTOR</t>
  </si>
  <si>
    <t>Engenharia e Consultoria</t>
  </si>
  <si>
    <t>São Vicente</t>
  </si>
  <si>
    <t>EKTO-CT01Eduardo Eler</t>
  </si>
  <si>
    <t>EKTO-CT01-EXCEEduardo Eler</t>
  </si>
  <si>
    <t>SALU-CT06-MARA</t>
  </si>
  <si>
    <t>SALU-CT06P</t>
  </si>
  <si>
    <t>SALU-CT06Paulo Paiva</t>
  </si>
  <si>
    <t>SALU-CT06-MARAPaulo Paiva</t>
  </si>
  <si>
    <t>ARCL-CT02-LPSA</t>
  </si>
  <si>
    <t>ARCL-CT02L</t>
  </si>
  <si>
    <t>ARCL-CT02Eduardo Eler</t>
  </si>
  <si>
    <t>ARCL-CT02-LPSAEduardo Eler</t>
  </si>
  <si>
    <t>CRET-CT03-PLAN</t>
  </si>
  <si>
    <t>CRET-CT03P</t>
  </si>
  <si>
    <t>São João da Barra</t>
  </si>
  <si>
    <t>CRET-CT03Paulo Paiva</t>
  </si>
  <si>
    <t>CRET-CT03-PLANPaulo Paiva</t>
  </si>
  <si>
    <t>IMCS-CT08-ABOB</t>
  </si>
  <si>
    <t>IMCS-CT08P</t>
  </si>
  <si>
    <t>Mina de Abóboras</t>
  </si>
  <si>
    <t>IMCS-CT08Paulo Paiva</t>
  </si>
  <si>
    <t>IMCS-CT08-ABOBPaulo Paiva</t>
  </si>
  <si>
    <t>CEMI-CT02-CAPA</t>
  </si>
  <si>
    <t>CEMI-CT02P</t>
  </si>
  <si>
    <t>Construção Elétrica</t>
  </si>
  <si>
    <t>CEMI-CT02Paulo Paiva</t>
  </si>
  <si>
    <t>CEMI-CT02-CAPAPaulo Paiva</t>
  </si>
  <si>
    <t>IMCS-CT06-GCIT</t>
  </si>
  <si>
    <t>IMCS-CT06P</t>
  </si>
  <si>
    <t>IMCS-CT06Leonardo Drumond</t>
  </si>
  <si>
    <t>IMCS-CT06-GCITLeonardo Drumond</t>
  </si>
  <si>
    <t>VAVE-CT01</t>
  </si>
  <si>
    <t>VAVE-CT01-VENT</t>
  </si>
  <si>
    <t>VAVE-CT01P</t>
  </si>
  <si>
    <t>VAVE-CT01Leonardo Drumond</t>
  </si>
  <si>
    <t>VAVE-CT01-VENTLeonardo Drumond</t>
  </si>
  <si>
    <t>CCAP-CT08</t>
  </si>
  <si>
    <t>CCAP-CT08-EXCS</t>
  </si>
  <si>
    <t>CCAP-CT08E</t>
  </si>
  <si>
    <t>CCAP-CT08Eduardo Eler</t>
  </si>
  <si>
    <t>CCAP-CT08-EXCSEduardo Eler</t>
  </si>
  <si>
    <t>CONO-CT02-EXCE</t>
  </si>
  <si>
    <t>CONO-CT02E</t>
  </si>
  <si>
    <t>Montagens Industriais</t>
  </si>
  <si>
    <t>Barcarena</t>
  </si>
  <si>
    <t>CONO-CT02Eduardo Eler</t>
  </si>
  <si>
    <t>CONO-CT02-EXCEEduardo Eler</t>
  </si>
  <si>
    <t>ELEV-CT01</t>
  </si>
  <si>
    <t>ELEV-CT01-EXCE</t>
  </si>
  <si>
    <t>ELEV-CT01E</t>
  </si>
  <si>
    <t>Curitiba</t>
  </si>
  <si>
    <t>ELEV-CT01Eduardo Eler</t>
  </si>
  <si>
    <t>ELEV-CT01-EXCEEduardo Eler</t>
  </si>
  <si>
    <t>ENGT-CT01-LPSA</t>
  </si>
  <si>
    <t>ENGT-CT01L</t>
  </si>
  <si>
    <t>Morro do Chapeu</t>
  </si>
  <si>
    <t>ENGT-CT01Eduardo Eler</t>
  </si>
  <si>
    <t>ENGT-CT01-LPSAEduardo Eler</t>
  </si>
  <si>
    <t>PARE-CT05-USIN</t>
  </si>
  <si>
    <t>PARE-CT05L</t>
  </si>
  <si>
    <t>PARE-CT05Eduardo Eler</t>
  </si>
  <si>
    <t>PARE-CT05-USINEduardo Eler</t>
  </si>
  <si>
    <t>PIAT-CT02-LPSA</t>
  </si>
  <si>
    <t>PIAT-CT02L</t>
  </si>
  <si>
    <t xml:space="preserve">PIATEC </t>
  </si>
  <si>
    <t>Portuário</t>
  </si>
  <si>
    <t>Ipojuca</t>
  </si>
  <si>
    <t>Pernambuco</t>
  </si>
  <si>
    <t>PIAT-CT02Eduardo Eler</t>
  </si>
  <si>
    <t>PIAT-CT02-LPSAEduardo Eler</t>
  </si>
  <si>
    <t>SINO-CT02</t>
  </si>
  <si>
    <t>SINO-CT02-LPSA</t>
  </si>
  <si>
    <t>SINO-CT02L</t>
  </si>
  <si>
    <t xml:space="preserve">Siderurgia </t>
  </si>
  <si>
    <t>SINO-CT02Eduardo Eler</t>
  </si>
  <si>
    <t>SINO-CT02-LPSAEduardo Eler</t>
  </si>
  <si>
    <t>EMPA-CT03-PLAN</t>
  </si>
  <si>
    <t>EMPA-CT03P</t>
  </si>
  <si>
    <t>Engenharia Civil</t>
  </si>
  <si>
    <t>EMPA-CT03Paulo Paiva</t>
  </si>
  <si>
    <t>EMPA-CT03-PLANPaulo Paiva</t>
  </si>
  <si>
    <t>SALU-CT04-DISP</t>
  </si>
  <si>
    <t>SALU-CT04P</t>
  </si>
  <si>
    <t>SALU-CT04Tulio Morais</t>
  </si>
  <si>
    <t>SALU-CT04-DISPTulio Morais</t>
  </si>
  <si>
    <t>ENGF-CT04-LNTR</t>
  </si>
  <si>
    <t>ENGF-CT04P</t>
  </si>
  <si>
    <t>Ribeirão Preto</t>
  </si>
  <si>
    <t>ENGF-CT04Tulio Morais</t>
  </si>
  <si>
    <t>ENGF-CT04-LNTRTulio Morais</t>
  </si>
  <si>
    <t>VALE-CT03-TPDT</t>
  </si>
  <si>
    <t>VALE-CT03G</t>
  </si>
  <si>
    <t>Vitória</t>
  </si>
  <si>
    <t>VALE-CT03Eduardo Eler</t>
  </si>
  <si>
    <t>VALE-CT03-TPDTEduardo Eler</t>
  </si>
  <si>
    <t>PARE-CT04-P1P3</t>
  </si>
  <si>
    <t>PARE-CT04L</t>
  </si>
  <si>
    <t>PARE-CT04Eduardo Eler</t>
  </si>
  <si>
    <t>PARE-CT04-P1P3Eduardo Eler</t>
  </si>
  <si>
    <t>ENGF-CT03-PLAN</t>
  </si>
  <si>
    <t>ENGF-CT03P</t>
  </si>
  <si>
    <t>ENGF-CT03Tulio Morais</t>
  </si>
  <si>
    <t>ENGF-CT03-PLANTulio Morais</t>
  </si>
  <si>
    <t>REFR-CT03</t>
  </si>
  <si>
    <t>REFR-CT03-EXCE</t>
  </si>
  <si>
    <t>REFR-CT03E</t>
  </si>
  <si>
    <t>Refratário</t>
  </si>
  <si>
    <t>Refratários</t>
  </si>
  <si>
    <t>REFR-CT03Eduardo Eler</t>
  </si>
  <si>
    <t>REFR-CT03-EXCEEduardo Eler</t>
  </si>
  <si>
    <t>ADMB-CT01-GERE</t>
  </si>
  <si>
    <t>ADMB-CT01G</t>
  </si>
  <si>
    <t>ATIVO</t>
  </si>
  <si>
    <t>Três Corações</t>
  </si>
  <si>
    <t>ADMB-CT01Leonardo Drumond</t>
  </si>
  <si>
    <t>ADMB-CT01-GERELeonardo Drumond</t>
  </si>
  <si>
    <t>ADMB-CT10-GRMS</t>
  </si>
  <si>
    <t>ADMB-CT10G</t>
  </si>
  <si>
    <t>ADMB-CT10Eduardo Eler</t>
  </si>
  <si>
    <t>ADMB-CT10-GRMSEduardo Eler</t>
  </si>
  <si>
    <t>ADMB-CT15</t>
  </si>
  <si>
    <t>ADMB-CT15-MAST</t>
  </si>
  <si>
    <t>ADMB-CT15G</t>
  </si>
  <si>
    <t>ADMB-CT16-PORT</t>
  </si>
  <si>
    <t>ADMB-CT16G</t>
  </si>
  <si>
    <t>ADMB-CT16Leonardo Drumond</t>
  </si>
  <si>
    <t>ADMB-CT16-PORTLeonardo Drumond</t>
  </si>
  <si>
    <t>ADMB-CT17-ROND</t>
  </si>
  <si>
    <t>ADMB-CT17G</t>
  </si>
  <si>
    <t>ADMB-CT17Eduardo Eler</t>
  </si>
  <si>
    <t>ADMB-CT17-RONDEduardo Eler</t>
  </si>
  <si>
    <t>ATER-CT04</t>
  </si>
  <si>
    <t>ATER-CT04-PLAN</t>
  </si>
  <si>
    <t>ATER-CT04P</t>
  </si>
  <si>
    <t>CCR</t>
  </si>
  <si>
    <t>ATER-CT04Diego Bernardes</t>
  </si>
  <si>
    <t>ATER-CT04-PLANDiego Bernardes</t>
  </si>
  <si>
    <t>AURA-CT01-GERE</t>
  </si>
  <si>
    <t>AURA-CT01G</t>
  </si>
  <si>
    <t>AURA-CT01Leonardo Drumond</t>
  </si>
  <si>
    <t>AURA-CT01-GERELeonardo Drumond</t>
  </si>
  <si>
    <t>BEMI-CT02-GERE</t>
  </si>
  <si>
    <t>BEMI-CT02G</t>
  </si>
  <si>
    <t>Mina de Horto Baratinha</t>
  </si>
  <si>
    <t>BEMI-CT02Paulo Paiva</t>
  </si>
  <si>
    <t>BEMI-CT02-GEREPaulo Paiva</t>
  </si>
  <si>
    <t>CCAP-CT15-PLAN</t>
  </si>
  <si>
    <t>CCAP-CT15P</t>
  </si>
  <si>
    <t>CCAP-CT15Paulo Paiva</t>
  </si>
  <si>
    <t>CCAP-CT15-PLANPaulo Paiva</t>
  </si>
  <si>
    <t>CGCO-CT01-PLAN</t>
  </si>
  <si>
    <t>CGCO-CT01P</t>
  </si>
  <si>
    <t>Lavras</t>
  </si>
  <si>
    <t>CGCO-CT01Paulo Paiva</t>
  </si>
  <si>
    <t>CGCO-CT01-PLANPaulo Paiva</t>
  </si>
  <si>
    <t>CRET-CT01-TANQ</t>
  </si>
  <si>
    <t>CRET-CT01P</t>
  </si>
  <si>
    <t>CRET-CT01Tulio Morais</t>
  </si>
  <si>
    <t>CRET-CT01-TANQTulio Morais</t>
  </si>
  <si>
    <t>ELEV-CT02-PLAN</t>
  </si>
  <si>
    <t>ELEV-CT02P</t>
  </si>
  <si>
    <t>ELEV-CT02Diego Bernardes</t>
  </si>
  <si>
    <t>ELEV-CT02-PLANDiego Bernardes</t>
  </si>
  <si>
    <t>FIDE-CT02-PDER</t>
  </si>
  <si>
    <t>FIDE-CT02P</t>
  </si>
  <si>
    <t>FIDE-CT02Paulo Paiva</t>
  </si>
  <si>
    <t>FIDE-CT02-PDERPaulo Paiva</t>
  </si>
  <si>
    <t>GCES-CT01-PLAN</t>
  </si>
  <si>
    <t>GCES-CT01P</t>
  </si>
  <si>
    <t>GCES-CT01Paulo Paiva</t>
  </si>
  <si>
    <t>GCES-CT01-PLANPaulo Paiva</t>
  </si>
  <si>
    <t>GERD-CT14-PIND</t>
  </si>
  <si>
    <t>GERD-CT14G</t>
  </si>
  <si>
    <t>GERD-CT14Paulo Paiva</t>
  </si>
  <si>
    <t>GERD-CT14-PINDPaulo Paiva</t>
  </si>
  <si>
    <t>GOIA-CT01-GERE</t>
  </si>
  <si>
    <t>GOIA-CT01G</t>
  </si>
  <si>
    <t>Alessandro Moreira</t>
  </si>
  <si>
    <t>Energia / Alimentação</t>
  </si>
  <si>
    <t>Goiatuba</t>
  </si>
  <si>
    <t>GOIA-CT01Diego Bernardes</t>
  </si>
  <si>
    <t>GOIA-CT01-GEREDiego Bernardes</t>
  </si>
  <si>
    <t>GOIA-CT02-GERE</t>
  </si>
  <si>
    <t>GOIA-CT02G</t>
  </si>
  <si>
    <t>GOIA-CT02Diego Bernardes</t>
  </si>
  <si>
    <t>GOIA-CT02-GEREDiego Bernardes</t>
  </si>
  <si>
    <t>NEXA-CT03-GERE</t>
  </si>
  <si>
    <t>NEXA-CT03G</t>
  </si>
  <si>
    <t>NEXA RESOURCES</t>
  </si>
  <si>
    <t>Aripuanã</t>
  </si>
  <si>
    <t>NEXA-CT03Paulo Paiva</t>
  </si>
  <si>
    <t>NEXA-CT03-GEREPaulo Paiva</t>
  </si>
  <si>
    <t>PAVI-CT01-PLAN</t>
  </si>
  <si>
    <t>PAVI-CT01P</t>
  </si>
  <si>
    <t>PAVI-CT01Diego Bernardes</t>
  </si>
  <si>
    <t>PAVI-CT01-PLANDiego Bernardes</t>
  </si>
  <si>
    <t>SALU-CT08-TAMA</t>
  </si>
  <si>
    <t>SALU-CT08P</t>
  </si>
  <si>
    <t>SALU-CT08Paulo Paiva</t>
  </si>
  <si>
    <t>SALU-CT08-TAMAPaulo Paiva</t>
  </si>
  <si>
    <t>SALU-CT09-COBR</t>
  </si>
  <si>
    <t>SALU-CT09P</t>
  </si>
  <si>
    <t>Mina de Água Limpa</t>
  </si>
  <si>
    <t>SALU-CT09Paulo Paiva</t>
  </si>
  <si>
    <t>SALU-CT09-COBRPaulo Paiva</t>
  </si>
  <si>
    <t>SALU-CT11-DTOR</t>
  </si>
  <si>
    <t>SALU-CT11P</t>
  </si>
  <si>
    <t>Antônio Pereira</t>
  </si>
  <si>
    <t>SALU-CT11Paulo Paiva</t>
  </si>
  <si>
    <t>SALU-CT11-DTORPaulo Paiva</t>
  </si>
  <si>
    <t>SEEL-CT01-LPSA</t>
  </si>
  <si>
    <t>SEEL-CT01L</t>
  </si>
  <si>
    <t>SEEL-CT01Eduardo Eler</t>
  </si>
  <si>
    <t>SEEL-CT01-LPSAEduardo Eler</t>
  </si>
  <si>
    <t>U&amp;MM-CT02-PLAN</t>
  </si>
  <si>
    <t>U&amp;MM-CT02P</t>
  </si>
  <si>
    <t>Mina de Bacaba</t>
  </si>
  <si>
    <t>U&amp;MM-CT02Tulio Morais</t>
  </si>
  <si>
    <t>U&amp;MM-CT02-PLANTulio Morais</t>
  </si>
  <si>
    <t>VLIM-CT01-GERE</t>
  </si>
  <si>
    <t>VLIM-CT01G</t>
  </si>
  <si>
    <t>Santos</t>
  </si>
  <si>
    <t>VLIM-CT01Tulio Morais</t>
  </si>
  <si>
    <t>VLIM-CT01-GERETulio Morais</t>
  </si>
  <si>
    <t>CCAP-CT16-PLAN</t>
  </si>
  <si>
    <t>CCAP-CT16P</t>
  </si>
  <si>
    <t>Arauco</t>
  </si>
  <si>
    <t>Inocência</t>
  </si>
  <si>
    <t>CCAP-CT16Paulo Paiva</t>
  </si>
  <si>
    <t>CCAP-CT16-PLANPaulo Paiva</t>
  </si>
  <si>
    <t>MROS-CT02-CAIN</t>
  </si>
  <si>
    <t>MROS-CT02L</t>
  </si>
  <si>
    <t>MROS-CT02Eduardo Eler</t>
  </si>
  <si>
    <t>MROS-CT02-CAINEduardo Eler</t>
  </si>
  <si>
    <t>COTR-CT01-LPSA</t>
  </si>
  <si>
    <t>COTR-CT01L</t>
  </si>
  <si>
    <t>Araraquara</t>
  </si>
  <si>
    <t>COTR-CT01Eduardo Eler</t>
  </si>
  <si>
    <t>COTR-CT01-LPSAEduardo Eler</t>
  </si>
  <si>
    <t>AURA-CT02-GUAT</t>
  </si>
  <si>
    <t>AURA-CT02G</t>
  </si>
  <si>
    <t>AURA-CT02Leonardo Drumond</t>
  </si>
  <si>
    <t>AURA-CT02-GUATLeonardo Drumond</t>
  </si>
  <si>
    <t>AURA-CT03-BORB</t>
  </si>
  <si>
    <t>AURA-CT03G</t>
  </si>
  <si>
    <t>AURA-CT03Leonardo Drumond</t>
  </si>
  <si>
    <t>AURA-CT03-BORBLeonardo Drumond</t>
  </si>
  <si>
    <t>AURA-CT04-ALMA</t>
  </si>
  <si>
    <t>AURA-CT04G</t>
  </si>
  <si>
    <t>AURA-CT04Leonardo Drumond</t>
  </si>
  <si>
    <t>AURA-CT04-ALMALeonardo Drumond</t>
  </si>
  <si>
    <t>HERC-CT01-GERE</t>
  </si>
  <si>
    <t>HERC-CT01G</t>
  </si>
  <si>
    <t>HERC-CT01Paulo Paiva</t>
  </si>
  <si>
    <t>HERC-CT01-GEREPaulo Paiva</t>
  </si>
  <si>
    <t>NOBR-CT06</t>
  </si>
  <si>
    <t>NOBR-CT06-GERE</t>
  </si>
  <si>
    <t>NOBR-CT06G</t>
  </si>
  <si>
    <t>Cajati</t>
  </si>
  <si>
    <t>NOBR-CT06Diego Bernardes</t>
  </si>
  <si>
    <t>NOBR-CT06-GEREDiego Bernardes</t>
  </si>
  <si>
    <t>AURI-CT01-GERE</t>
  </si>
  <si>
    <t>AURI-CT01G</t>
  </si>
  <si>
    <t>Nova Santa Helena</t>
  </si>
  <si>
    <t>AURI-CT01Paulo Paiva</t>
  </si>
  <si>
    <t>AURI-CT01-GEREPaulo Paiva</t>
  </si>
  <si>
    <t>NOBR-CT07-MOSA</t>
  </si>
  <si>
    <t>NOBR-CT07G</t>
  </si>
  <si>
    <t>Alex Silva</t>
  </si>
  <si>
    <t>NOBR-CT07Diego Bernardes</t>
  </si>
  <si>
    <t>NOBR-CT07-MOSADiego Bernardes</t>
  </si>
  <si>
    <t>IMCS-CT09-PLAN</t>
  </si>
  <si>
    <t>IMCS-CT09P</t>
  </si>
  <si>
    <t>IMCS-CT09Tulio Morais</t>
  </si>
  <si>
    <t>IMCS-CT09-PLANTulio Morais</t>
  </si>
  <si>
    <t>CIVM-CT01-PLAN</t>
  </si>
  <si>
    <t>CIVM-CT01P</t>
  </si>
  <si>
    <t>CIVM-CT01Paulo Paiva</t>
  </si>
  <si>
    <t>CIVM-CT01-PLANPaulo Paiva</t>
  </si>
  <si>
    <t>REFR-CT05</t>
  </si>
  <si>
    <t>REFR-CT05-EXCE</t>
  </si>
  <si>
    <t>REFR-CT05E</t>
  </si>
  <si>
    <t>REFR-CT05Eduardo Eler</t>
  </si>
  <si>
    <t>REFR-CT05-EXCEEduardo Eler</t>
  </si>
  <si>
    <t>CCAP-CT17-ARAU</t>
  </si>
  <si>
    <t>CCAP-CT17P</t>
  </si>
  <si>
    <t>CCAP-CT17Paulo Paiva</t>
  </si>
  <si>
    <t>CCAP-CT17-ARAUPaulo Paiva</t>
  </si>
  <si>
    <t>JMAL-CT01</t>
  </si>
  <si>
    <t>JMAL-CT01-PLAN</t>
  </si>
  <si>
    <t>JMAL-CT01P</t>
  </si>
  <si>
    <t>NÃO FORMALIZADO</t>
  </si>
  <si>
    <t>JMALUCELLI</t>
  </si>
  <si>
    <t>EPR</t>
  </si>
  <si>
    <t>Santo Antonio da Platina</t>
  </si>
  <si>
    <t>JMAL-CT01Diego Bernardes</t>
  </si>
  <si>
    <t>JMAL-CT01-PLANDiego Bernardes</t>
  </si>
  <si>
    <t>ADMB-CT19</t>
  </si>
  <si>
    <t>ADMB-CT19-TREI</t>
  </si>
  <si>
    <t>ADMB-CT19T</t>
  </si>
  <si>
    <t>ADMB-CT19Eduardo Eler</t>
  </si>
  <si>
    <t>ADMB-CT19-TREIEduardo Eler</t>
  </si>
  <si>
    <t>ADMB-CT20-GERE</t>
  </si>
  <si>
    <t>ADMB-CT20G</t>
  </si>
  <si>
    <t>ADMB-CT20Eduardo Eler</t>
  </si>
  <si>
    <t>ADMB-CT20-GEREEduardo Eler</t>
  </si>
  <si>
    <t>ADMB-CT21</t>
  </si>
  <si>
    <t>ADMB-CT21-GERE</t>
  </si>
  <si>
    <t>ADMB-CT21G</t>
  </si>
  <si>
    <t>ADMB-CT21Eduardo Eler</t>
  </si>
  <si>
    <t>ADMB-CT21-GEREEduardo Eler</t>
  </si>
  <si>
    <t>ADMB-CT22</t>
  </si>
  <si>
    <t>ADMB-CT22-GERE</t>
  </si>
  <si>
    <t>ADMB-CT22G</t>
  </si>
  <si>
    <t>ADMB-CT22Eduardo Eler</t>
  </si>
  <si>
    <t>ADMB-CT22-GEREEduardo Eler</t>
  </si>
  <si>
    <t>CCAP-CT18</t>
  </si>
  <si>
    <t>CCAP-CT18-PLAN</t>
  </si>
  <si>
    <t>CCAP-CT18P</t>
  </si>
  <si>
    <t>CCAP-CT18Paulo Paiva</t>
  </si>
  <si>
    <t>CCAP-CT18-PLANPaulo Paiva</t>
  </si>
  <si>
    <t>ADMB-CT23</t>
  </si>
  <si>
    <t>ADMB-CT23-GERE</t>
  </si>
  <si>
    <t>ADMB-CT23G</t>
  </si>
  <si>
    <t>MONT-CT01</t>
  </si>
  <si>
    <t>MONT-CT01-PLAN</t>
  </si>
  <si>
    <t>MONT-CT01E</t>
  </si>
  <si>
    <t>MONTISOL</t>
  </si>
  <si>
    <t>MONT-CT01Eduardo Eler</t>
  </si>
  <si>
    <t>MONT-CT01-PLANEduardo Eler</t>
  </si>
  <si>
    <t>SUPE-CT01-EXCE</t>
  </si>
  <si>
    <t>SUPE-CT01E</t>
  </si>
  <si>
    <t>SUPE-CT01Eduardo Eler</t>
  </si>
  <si>
    <t>SUPE-CT01-EXCEEduardo Eler</t>
  </si>
  <si>
    <t>GONT-CT03</t>
  </si>
  <si>
    <t>GONT-CT03-EXCE</t>
  </si>
  <si>
    <t>GONT-CT03E</t>
  </si>
  <si>
    <t>GONT-CT03Eduardo Eler</t>
  </si>
  <si>
    <t>GONT-CT03-EXCEEduardo Eler</t>
  </si>
  <si>
    <t>REDE-CT01</t>
  </si>
  <si>
    <t>REDE-CT01-EXCE</t>
  </si>
  <si>
    <t>REDE-CT01E</t>
  </si>
  <si>
    <t>REDE MONTAGEM ELETROMECÂNICA</t>
  </si>
  <si>
    <t>Montadora</t>
  </si>
  <si>
    <t>REDE-CT01Eduardo Eler</t>
  </si>
  <si>
    <t>REDE-CT01-EXCEEduardo Eler</t>
  </si>
  <si>
    <t>COFC-CT01</t>
  </si>
  <si>
    <t>COFC-CT01-GEST</t>
  </si>
  <si>
    <t>COFC-CT01P</t>
  </si>
  <si>
    <t>COFCO</t>
  </si>
  <si>
    <t>COFC-CT01André Guimaraes</t>
  </si>
  <si>
    <t>COFC-CT01-GESTAndré Guimaraes</t>
  </si>
  <si>
    <t>ADMB-CT24</t>
  </si>
  <si>
    <t>ADMB-CT24-GERE</t>
  </si>
  <si>
    <t>ADMB-CT24G</t>
  </si>
  <si>
    <t>ADMB-CT25</t>
  </si>
  <si>
    <t>ADMB-CT25-GERE</t>
  </si>
  <si>
    <t>ADMB-CT25G</t>
  </si>
  <si>
    <t>Fertilizantes</t>
  </si>
  <si>
    <t>ADMB-CT25Eduardo Eler</t>
  </si>
  <si>
    <t>ADMB-CT25-GEREEduardo Eler</t>
  </si>
  <si>
    <t>CCAP-CT19-ACEL</t>
  </si>
  <si>
    <t>CCAP-CT19P</t>
  </si>
  <si>
    <t>ACELEN RENOVÁVEIS</t>
  </si>
  <si>
    <t>CCAP-CT19Paulo Paiva</t>
  </si>
  <si>
    <t>CCAP-CT19-ACELPaulo Paiva</t>
  </si>
  <si>
    <t>CCAP-CT20-SUPR</t>
  </si>
  <si>
    <t>CCAP-CT20P</t>
  </si>
  <si>
    <t>CCAP-CT20Ivano Cruz</t>
  </si>
  <si>
    <t>CCAP-CT20-SUPRIvano Cruz</t>
  </si>
  <si>
    <t>INOV-CT01</t>
  </si>
  <si>
    <t>INOV-CT01-GERE</t>
  </si>
  <si>
    <t>INOV-CT01G</t>
  </si>
  <si>
    <t>INOVA SAÚDE</t>
  </si>
  <si>
    <t>INOV-CT01Eduardo Eler</t>
  </si>
  <si>
    <t>INOV-CT01-GEREEduardo Eler</t>
  </si>
  <si>
    <t>ATNI-CT01-GERE</t>
  </si>
  <si>
    <t>ATNI-CT01G</t>
  </si>
  <si>
    <t>ATNI-CT01Tulio Morais</t>
  </si>
  <si>
    <t>ATNI-CT01-GERETulio Morais</t>
  </si>
  <si>
    <t>JMAL-CT02</t>
  </si>
  <si>
    <t>JMAL-CT02-PLAN</t>
  </si>
  <si>
    <t>JMAL-CT02P</t>
  </si>
  <si>
    <t>MOTIVA</t>
  </si>
  <si>
    <t>JMAL-CT02Ivano Cruz</t>
  </si>
  <si>
    <t>JMAL-CT02-PLANIvano Cruz</t>
  </si>
  <si>
    <t>CONO-CT01</t>
  </si>
  <si>
    <t>CONO-CT01-EXCE</t>
  </si>
  <si>
    <t>CONO-CT01Q</t>
  </si>
  <si>
    <t>QPTO</t>
  </si>
  <si>
    <t>CONO-CT01Ivano Cruz</t>
  </si>
  <si>
    <t>CONO-CT01-EXCEIvano Cruz</t>
  </si>
  <si>
    <t>SNCL-CT01Q</t>
  </si>
  <si>
    <t>SNCL-CT01Ivano Cruz</t>
  </si>
  <si>
    <t>SNCL-CT01-OC78Ivano Cruz</t>
  </si>
  <si>
    <t>ENES-CT02Q</t>
  </si>
  <si>
    <t>ENES-CT02Ivano Cruz</t>
  </si>
  <si>
    <t>ENES-CT02-EXCEIvano Cruz</t>
  </si>
  <si>
    <t>NEWG-CT01Q</t>
  </si>
  <si>
    <t>NEWG-CT01Ivano Cruz</t>
  </si>
  <si>
    <t>NEWG-CT01-PLANIvano Cruz</t>
  </si>
  <si>
    <t>U&amp;MM-CT01</t>
  </si>
  <si>
    <t>U&amp;MM-CT01-PLAN</t>
  </si>
  <si>
    <t>U&amp;MM-CT01Q</t>
  </si>
  <si>
    <t>U&amp;MM-CT01Ivano Cruz</t>
  </si>
  <si>
    <t>U&amp;MM-CT01-PLANIvano Cruz</t>
  </si>
  <si>
    <t>TENA-CT01</t>
  </si>
  <si>
    <t>TENA-CT01-PLAN</t>
  </si>
  <si>
    <t>TENA-CT01Q</t>
  </si>
  <si>
    <t>TENAX</t>
  </si>
  <si>
    <t>COMISSÃO NACIONAL DE ENERGIA NUCLEAR</t>
  </si>
  <si>
    <t>Programa Nuclear</t>
  </si>
  <si>
    <t>Paty do Alferes</t>
  </si>
  <si>
    <t>Rio Janeiro</t>
  </si>
  <si>
    <t>TENA-CT01Ivano Cruz</t>
  </si>
  <si>
    <t>TENA-CT01-PLANIvano Cruz</t>
  </si>
  <si>
    <t>CRET-CT03Q</t>
  </si>
  <si>
    <t>CRET-CT03Ivano Cruz</t>
  </si>
  <si>
    <t>CRET-CT03-PLANIvano Cruz</t>
  </si>
  <si>
    <t>ANDR-CT03-SUAP</t>
  </si>
  <si>
    <t>ANDR-CT03Q</t>
  </si>
  <si>
    <t>ANDR-CT03Ivano Cruz</t>
  </si>
  <si>
    <t>ANDR-CT03-SUAPIvano Cruz</t>
  </si>
  <si>
    <t>FIDE-CT02Q</t>
  </si>
  <si>
    <t>FIDE-CT02Ivano Cruz</t>
  </si>
  <si>
    <t>FIDE-CT02-PDERIvano Cruz</t>
  </si>
  <si>
    <t>NEXA-CT03Q</t>
  </si>
  <si>
    <t>NEXA-CT03Ivano Cruz</t>
  </si>
  <si>
    <t>NEXA-CT03-GEREIvano Cruz</t>
  </si>
  <si>
    <t>ENGF-CT03Q</t>
  </si>
  <si>
    <t>ENGF-CT03Ivano Cruz</t>
  </si>
  <si>
    <t>ENGF-CT03-PLANIvano Cruz</t>
  </si>
  <si>
    <t>U&amp;MM-CT02Q</t>
  </si>
  <si>
    <t>U&amp;MM-CT02Ivano Cruz</t>
  </si>
  <si>
    <t>U&amp;MM-CT02-PLANIvano Cruz</t>
  </si>
  <si>
    <t>ATER-CT04Q</t>
  </si>
  <si>
    <t>ATER-CT04Ivano Cruz</t>
  </si>
  <si>
    <t>ATER-CT04-PLANIvano Cruz</t>
  </si>
  <si>
    <t>CESB-CT01</t>
  </si>
  <si>
    <t>CESB-CT01-CRON</t>
  </si>
  <si>
    <t>CESB-CT01Q</t>
  </si>
  <si>
    <t>SUSPENSO</t>
  </si>
  <si>
    <t>CESBE</t>
  </si>
  <si>
    <t>Governo do Paraná</t>
  </si>
  <si>
    <t>Orgãos Públicos</t>
  </si>
  <si>
    <t>CESB-CT01Ivano Cruz</t>
  </si>
  <si>
    <t>CESB-CT01-CRONIvano Cruz</t>
  </si>
  <si>
    <t>BRAC-CT01</t>
  </si>
  <si>
    <t>BRAC-CT01-RBE8</t>
  </si>
  <si>
    <t>BRAC-CT01Q</t>
  </si>
  <si>
    <t>BRASIL AO CUBO</t>
  </si>
  <si>
    <t>Passo Fundo</t>
  </si>
  <si>
    <t>Rio Grande do Sul</t>
  </si>
  <si>
    <t>BRAC-CT01Ivano Cruz</t>
  </si>
  <si>
    <t>BRAC-CT01-RBE8Ivano Cruz</t>
  </si>
  <si>
    <t>CIVM-CT01Q</t>
  </si>
  <si>
    <t>CIVM-CT01Ivano Cruz</t>
  </si>
  <si>
    <t>CIVM-CT01-PLANIvano Cruz</t>
  </si>
  <si>
    <t>LAAG-CT01</t>
  </si>
  <si>
    <t>LAAG-CT01-QUAL</t>
  </si>
  <si>
    <t>LAAG-CT01Q</t>
  </si>
  <si>
    <t>LAAGE</t>
  </si>
  <si>
    <t>LAAG-CT01Ivano Cruz</t>
  </si>
  <si>
    <t>LAAG-CT01-QUALIvano Cruz</t>
  </si>
  <si>
    <t>ENGF-CT05-SUPR</t>
  </si>
  <si>
    <t>ENGF-CT05Q</t>
  </si>
  <si>
    <t>ENGF-CT05Ivano Cruz</t>
  </si>
  <si>
    <t>ENGF-CT05-SUPRIvano Cruz</t>
  </si>
  <si>
    <t>PEEX-CT01</t>
  </si>
  <si>
    <t>PEEX-CT01C</t>
  </si>
  <si>
    <t>Bruno Azevedo</t>
  </si>
  <si>
    <t>Icaro Bahia</t>
  </si>
  <si>
    <t>PEEX</t>
  </si>
  <si>
    <t>NIBRASCO</t>
  </si>
  <si>
    <t>CONST</t>
  </si>
  <si>
    <t>PEEX-CT01Bruno Azevedo</t>
  </si>
  <si>
    <t>STER-CT01</t>
  </si>
  <si>
    <t>STER-CT01-PAMP</t>
  </si>
  <si>
    <t>STER-CT01C</t>
  </si>
  <si>
    <t>STER ENGENHARIA</t>
  </si>
  <si>
    <t>SUDECAP</t>
  </si>
  <si>
    <t>STER-CT01Bruno Azevedo</t>
  </si>
  <si>
    <t>STER-CT01-PAMPBruno Azevedo</t>
  </si>
  <si>
    <t>TRAC-CT02</t>
  </si>
  <si>
    <t>TRAC_ARAM</t>
  </si>
  <si>
    <t>TRAC-CT02C</t>
  </si>
  <si>
    <t>TRACTEBEL</t>
  </si>
  <si>
    <t>TRAC-CT02Bruno Azevedo</t>
  </si>
  <si>
    <t>TRAC_ARAMBruno Azevedo</t>
  </si>
  <si>
    <t>TRAC-CT06</t>
  </si>
  <si>
    <t>TRAC_ORIX</t>
  </si>
  <si>
    <t>TRAC-CT06C</t>
  </si>
  <si>
    <t>MRN</t>
  </si>
  <si>
    <t>TRAC-CT06Bruno Azevedo</t>
  </si>
  <si>
    <t>TRAC_ORIXBruno Azevedo</t>
  </si>
  <si>
    <t>TRAC-CT09</t>
  </si>
  <si>
    <t>TRAC-CT09-FERR</t>
  </si>
  <si>
    <t>TRAC-CT09C</t>
  </si>
  <si>
    <t>TRAC-CT09Bruno Azevedo</t>
  </si>
  <si>
    <t>TRAC-CT09-FERRBruno Azevedo</t>
  </si>
  <si>
    <t>TRAC-CT12</t>
  </si>
  <si>
    <t>TRAC-CT12-CONS</t>
  </si>
  <si>
    <t>TRAC-CT12C</t>
  </si>
  <si>
    <t>TRAC-CT12Bruno Azevedo</t>
  </si>
  <si>
    <t>TRAC-CT12-CONSBruno Azevedo</t>
  </si>
  <si>
    <t>UPTE-CT03</t>
  </si>
  <si>
    <t>UPTE-CT03-PLAN</t>
  </si>
  <si>
    <t>UPTE-CT03C</t>
  </si>
  <si>
    <t>UPTE-CT03Bruno Azevedo</t>
  </si>
  <si>
    <t>UPTE-CT03-PLANBruno Azevedo</t>
  </si>
  <si>
    <t>ADMB-CT02</t>
  </si>
  <si>
    <t>ADMB-CT02-DTDC</t>
  </si>
  <si>
    <t>ADMB-CT02C</t>
  </si>
  <si>
    <t>ADMB-CT02Bruno Azevedo</t>
  </si>
  <si>
    <t>ADMB-CT02-DTDCBruno Azevedo</t>
  </si>
  <si>
    <t>ADMB-CT05</t>
  </si>
  <si>
    <t>ADMB-CT05-VISI</t>
  </si>
  <si>
    <t>ADMB-CT05C</t>
  </si>
  <si>
    <t>ADMB-CT05Bruno Azevedo</t>
  </si>
  <si>
    <t>ADMB-CT05-VISIBruno Azevedo</t>
  </si>
  <si>
    <t>ARCA-CT01</t>
  </si>
  <si>
    <t>ARCA_CT4D</t>
  </si>
  <si>
    <t>ARCA-CT01C</t>
  </si>
  <si>
    <t>ARCA-CT01Bruno Azevedo</t>
  </si>
  <si>
    <t>ARCA_CT4DBruno Azevedo</t>
  </si>
  <si>
    <t>BLOS-CT01</t>
  </si>
  <si>
    <t>BLOS_RIOP</t>
  </si>
  <si>
    <t>BLOS-CT01C</t>
  </si>
  <si>
    <t>BLOSSOM</t>
  </si>
  <si>
    <t>BLOS-CT01Bruno Azevedo</t>
  </si>
  <si>
    <t>BLOS_RIOPBruno Azevedo</t>
  </si>
  <si>
    <t>BLOS-CT02</t>
  </si>
  <si>
    <t>BLOS_PR02</t>
  </si>
  <si>
    <t>BLOS-CT02C</t>
  </si>
  <si>
    <t>BLOS-CT02Bruno Azevedo</t>
  </si>
  <si>
    <t>BLOS_PR02Bruno Azevedo</t>
  </si>
  <si>
    <t>BLOS-CT03</t>
  </si>
  <si>
    <t>BLOS_PR03</t>
  </si>
  <si>
    <t>BLOS-CT03C</t>
  </si>
  <si>
    <t>BLOS-CT03Bruno Azevedo</t>
  </si>
  <si>
    <t>BLOS_PR03Bruno Azevedo</t>
  </si>
  <si>
    <t>BLOS-CT04</t>
  </si>
  <si>
    <t>BLOS_PR04</t>
  </si>
  <si>
    <t>BLOS-CT04C</t>
  </si>
  <si>
    <t>BLOS-CT04Bruno Azevedo</t>
  </si>
  <si>
    <t>BLOS_PR04Bruno Azevedo</t>
  </si>
  <si>
    <t>BRAS-CT02</t>
  </si>
  <si>
    <t>BRAS_RLSL</t>
  </si>
  <si>
    <t>BRAS-CT02C</t>
  </si>
  <si>
    <t>BRAS-CT02Bruno Azevedo</t>
  </si>
  <si>
    <t>BRAS_RLSLBruno Azevedo</t>
  </si>
  <si>
    <t>BRAS-CT03</t>
  </si>
  <si>
    <t>BRAS_MDSA</t>
  </si>
  <si>
    <t>BRAS-CT03C</t>
  </si>
  <si>
    <t>BRASS</t>
  </si>
  <si>
    <t>BRAS-CT03Bruno Azevedo</t>
  </si>
  <si>
    <t>BRAS_MDSABruno Azevedo</t>
  </si>
  <si>
    <t>ENES-CT01</t>
  </si>
  <si>
    <t>ENES_1</t>
  </si>
  <si>
    <t>ENES-CT01C</t>
  </si>
  <si>
    <t>ENES-CT01Bruno Azevedo</t>
  </si>
  <si>
    <t>ENES_1Bruno Azevedo</t>
  </si>
  <si>
    <t>TRAC-CT03</t>
  </si>
  <si>
    <t>TRAC_CRUZ</t>
  </si>
  <si>
    <t>TRAC-CT03C</t>
  </si>
  <si>
    <t>TRAC-CT03Bruno Azevedo</t>
  </si>
  <si>
    <t>TRAC_CRUZBruno Azevedo</t>
  </si>
  <si>
    <t>TRAC-CT05</t>
  </si>
  <si>
    <t>TRAC_BACA</t>
  </si>
  <si>
    <t>TRAC-CT05C</t>
  </si>
  <si>
    <t>TRAC-CT05Bruno Azevedo</t>
  </si>
  <si>
    <t>TRAC_BACABruno Azevedo</t>
  </si>
  <si>
    <t>WORL-CT01</t>
  </si>
  <si>
    <t>WORL_HH</t>
  </si>
  <si>
    <t>WORL-CT01C</t>
  </si>
  <si>
    <t>WORL-CT01Bruno Azevedo</t>
  </si>
  <si>
    <t>WORL_HHBruno Azevedo</t>
  </si>
  <si>
    <t>ADMB-CT03</t>
  </si>
  <si>
    <t>ADMB-CT03-MIST</t>
  </si>
  <si>
    <t>ADMB-CT03C</t>
  </si>
  <si>
    <t>ADMB-CT03Bruno Azevedo</t>
  </si>
  <si>
    <t>ADMB-CT03-MISTBruno Azevedo</t>
  </si>
  <si>
    <t>ADMB-CT04</t>
  </si>
  <si>
    <t>ADMB-CT04-VIDE</t>
  </si>
  <si>
    <t>ADMB-CT04C</t>
  </si>
  <si>
    <t>ADMB-CT04Bruno Azevedo</t>
  </si>
  <si>
    <t>ADMB-CT04-VIDEBruno Azevedo</t>
  </si>
  <si>
    <t>ADMB-CT06</t>
  </si>
  <si>
    <t>ADMB-CT06-MODE</t>
  </si>
  <si>
    <t>ADMB-CT06C</t>
  </si>
  <si>
    <t>ADMB-CT06Bruno Azevedo</t>
  </si>
  <si>
    <t>ADMB-CT06-MODEBruno Azevedo</t>
  </si>
  <si>
    <t>ADMB-CT07</t>
  </si>
  <si>
    <t>ADMB-CT07-DTUB</t>
  </si>
  <si>
    <t>ADMB-CT07C</t>
  </si>
  <si>
    <t>ADMB-CT07Bruno Azevedo</t>
  </si>
  <si>
    <t>ADMB-CT07-DTUBBruno Azevedo</t>
  </si>
  <si>
    <t>ADMB-CT08</t>
  </si>
  <si>
    <t>ADMB-CT08-VEXP</t>
  </si>
  <si>
    <t>ADMB-CT08C</t>
  </si>
  <si>
    <t>ADMB-CT08Bruno Azevedo</t>
  </si>
  <si>
    <t>ADMB-CT08-VEXPBruno Azevedo</t>
  </si>
  <si>
    <t>ADMB-CT09</t>
  </si>
  <si>
    <t>ADMB-CT09-RTSE</t>
  </si>
  <si>
    <t>ADMB-CT09C</t>
  </si>
  <si>
    <t>ADMB-CT09Bruno Azevedo</t>
  </si>
  <si>
    <t>ADMB-CT09-RTSEBruno Azevedo</t>
  </si>
  <si>
    <t>ANDR-CT01</t>
  </si>
  <si>
    <t>ANDR-CT01-CRAB</t>
  </si>
  <si>
    <t>ANDR-CT01C</t>
  </si>
  <si>
    <t>PETROBRAS</t>
  </si>
  <si>
    <t>Petróleo e Gás</t>
  </si>
  <si>
    <t>ANDR-CT01Bruno Azevedo</t>
  </si>
  <si>
    <t>ANDR-CT01-CRABBruno Azevedo</t>
  </si>
  <si>
    <t>ANDR-CT02</t>
  </si>
  <si>
    <t>ANDR-CT02-PTOR</t>
  </si>
  <si>
    <t>ANDR-CT02C</t>
  </si>
  <si>
    <t>ANDR-CT02Bruno Azevedo</t>
  </si>
  <si>
    <t>ANDR-CT02-PTORBruno Azevedo</t>
  </si>
  <si>
    <t>APIA-CT01</t>
  </si>
  <si>
    <t>APIA-CT01-REPL</t>
  </si>
  <si>
    <t>APIA-CT01C</t>
  </si>
  <si>
    <t>ÁPIA</t>
  </si>
  <si>
    <t>SAMARCO</t>
  </si>
  <si>
    <t>APIA-CT01Bruno Azevedo</t>
  </si>
  <si>
    <t>APIA-CT01-REPLBruno Azevedo</t>
  </si>
  <si>
    <t>ARCA-CT02</t>
  </si>
  <si>
    <t>ARCA-CT02-GUAR</t>
  </si>
  <si>
    <t>ARCA-CT02C</t>
  </si>
  <si>
    <t>ARCADIS</t>
  </si>
  <si>
    <t>ARCA-CT02Bruno Azevedo</t>
  </si>
  <si>
    <t>ARCA-CT02-GUARBruno Azevedo</t>
  </si>
  <si>
    <t>BRAS-CT01</t>
  </si>
  <si>
    <t>BRAS_GELA</t>
  </si>
  <si>
    <t>BRAS-CT01C</t>
  </si>
  <si>
    <t>BRAS-CT01Bruno Azevedo</t>
  </si>
  <si>
    <t>BRAS_GELABruno Azevedo</t>
  </si>
  <si>
    <t>BRAS-CT04</t>
  </si>
  <si>
    <t>BRAS-CT04-ETEF</t>
  </si>
  <si>
    <t>BRAS-CT04C</t>
  </si>
  <si>
    <t>BRAS-CT04Bruno Azevedo</t>
  </si>
  <si>
    <t>BRAS-CT04-ETEFBruno Azevedo</t>
  </si>
  <si>
    <t>BRAS-CT05</t>
  </si>
  <si>
    <t>BRAS-CT05-USIM</t>
  </si>
  <si>
    <t>BRAS-CT05C</t>
  </si>
  <si>
    <t>BRAS-CT05Bruno Azevedo</t>
  </si>
  <si>
    <t>BRAS-CT05-USIMBruno Azevedo</t>
  </si>
  <si>
    <t>BRAS-CT06</t>
  </si>
  <si>
    <t>BRAS-CT06-SAPO</t>
  </si>
  <si>
    <t>BRAS-CT06C</t>
  </si>
  <si>
    <t>BRAS-CT06Bruno Azevedo</t>
  </si>
  <si>
    <t>BRAS-CT06-SAPOBruno Azevedo</t>
  </si>
  <si>
    <t>BRGC-CT01C</t>
  </si>
  <si>
    <t>BRGC-CT01Bruno Azevedo</t>
  </si>
  <si>
    <t>BRGC-CT01-BRUMBruno Azevedo</t>
  </si>
  <si>
    <t>CARD-CT06</t>
  </si>
  <si>
    <t>CARD-CT06-SUMP</t>
  </si>
  <si>
    <t>CARD-CT06C</t>
  </si>
  <si>
    <t>CARD-CT06Bruno Azevedo</t>
  </si>
  <si>
    <t>CARD-CT06-SUMPBruno Azevedo</t>
  </si>
  <si>
    <t>CARD-CT08</t>
  </si>
  <si>
    <t>CARD-CT08-PTOI</t>
  </si>
  <si>
    <t>CARD-CT08C</t>
  </si>
  <si>
    <t>CARD-CT08Bruno Azevedo</t>
  </si>
  <si>
    <t>CARD-CT08-PTOIBruno Azevedo</t>
  </si>
  <si>
    <t>CBML-CT01</t>
  </si>
  <si>
    <t>CBML-CT01-VIDE</t>
  </si>
  <si>
    <t>CBML-CT01C</t>
  </si>
  <si>
    <t>CONSTRUTORA BARBOSA MELLO</t>
  </si>
  <si>
    <t>CBML-CT01Bruno Azevedo</t>
  </si>
  <si>
    <t>CBML-CT01-VIDEBruno Azevedo</t>
  </si>
  <si>
    <t>CCAP-CT01</t>
  </si>
  <si>
    <t>CCAP-CT01-PCAP</t>
  </si>
  <si>
    <t>CCAP-CT01C</t>
  </si>
  <si>
    <t>CCAP-CT01Bruno Azevedo</t>
  </si>
  <si>
    <t>CCAP-CT01-PCAPBruno Azevedo</t>
  </si>
  <si>
    <t>CCAP-CT12</t>
  </si>
  <si>
    <t>CCAP-CT12-ARAU</t>
  </si>
  <si>
    <t>CCAP-CT12C</t>
  </si>
  <si>
    <t>ARAUCO</t>
  </si>
  <si>
    <t>Celulose</t>
  </si>
  <si>
    <t>CCAP-CT12Bruno Azevedo</t>
  </si>
  <si>
    <t>CCAP-CT12-ARAUBruno Azevedo</t>
  </si>
  <si>
    <t>CRET-CT02</t>
  </si>
  <si>
    <t>CRET-CT02-FERR</t>
  </si>
  <si>
    <t>CRET-CT02C</t>
  </si>
  <si>
    <t>FERROPORT</t>
  </si>
  <si>
    <t>CRET-CT02Bruno Azevedo</t>
  </si>
  <si>
    <t>CRET-CT02-FERRBruno Azevedo</t>
  </si>
  <si>
    <t>EMPA-CT02C</t>
  </si>
  <si>
    <t>EMPA-CT02Bruno Azevedo</t>
  </si>
  <si>
    <t>EMPA-CT02-FICOBruno Azevedo</t>
  </si>
  <si>
    <t>ENGF-CT01</t>
  </si>
  <si>
    <t>ENGF-CT01-REPL</t>
  </si>
  <si>
    <t>ENGF-CT01C</t>
  </si>
  <si>
    <t>ENGF-CT01Bruno Azevedo</t>
  </si>
  <si>
    <t>ENGF-CT01-REPLBruno Azevedo</t>
  </si>
  <si>
    <t>ENGM-CT01C</t>
  </si>
  <si>
    <t>ENGM-CT01Bruno Azevedo</t>
  </si>
  <si>
    <t>ENGM-CT01-TANQBruno Azevedo</t>
  </si>
  <si>
    <t>ESTE-CT01</t>
  </si>
  <si>
    <t>ESTE-CT01-SILI</t>
  </si>
  <si>
    <t>ESTE-CT01C</t>
  </si>
  <si>
    <t>ESTEL</t>
  </si>
  <si>
    <t>ESTE-CT01Bruno Azevedo</t>
  </si>
  <si>
    <t>ESTE-CT01-SILIBruno Azevedo</t>
  </si>
  <si>
    <t>FORT-CT01</t>
  </si>
  <si>
    <t>FORT-CT01-TREI</t>
  </si>
  <si>
    <t>FORT-CT01C</t>
  </si>
  <si>
    <t>FORTES</t>
  </si>
  <si>
    <t>FORTES ENGENHARIA</t>
  </si>
  <si>
    <t>FORT-CT01Bruno Azevedo</t>
  </si>
  <si>
    <t>FORT-CT01-TREIBruno Azevedo</t>
  </si>
  <si>
    <t>GERD-CT01</t>
  </si>
  <si>
    <t>GERD-CT01-DESP</t>
  </si>
  <si>
    <t>GERD-CT01C</t>
  </si>
  <si>
    <t>GERD-CT01Bruno Azevedo</t>
  </si>
  <si>
    <t>GERD-CT01-DESPBruno Azevedo</t>
  </si>
  <si>
    <t>HORI-CT03</t>
  </si>
  <si>
    <t>HORI-CT03-REQU</t>
  </si>
  <si>
    <t>HORI-CT03C</t>
  </si>
  <si>
    <t>HORIZONTES</t>
  </si>
  <si>
    <t xml:space="preserve">Arquitetura </t>
  </si>
  <si>
    <t>HORI-CT03Bruno Azevedo</t>
  </si>
  <si>
    <t>HORI-CT03-REQUBruno Azevedo</t>
  </si>
  <si>
    <t>MILP-CT03</t>
  </si>
  <si>
    <t>MILP-CT03-4DOB</t>
  </si>
  <si>
    <t>MILP-CT03C</t>
  </si>
  <si>
    <t>MILP-CT03Bruno Azevedo</t>
  </si>
  <si>
    <t>MILP-CT03-4DOBBruno Azevedo</t>
  </si>
  <si>
    <t>MORI-CT01</t>
  </si>
  <si>
    <t>MORI-CT01-GERE</t>
  </si>
  <si>
    <t>MORI-CT01C</t>
  </si>
  <si>
    <t>COMERC</t>
  </si>
  <si>
    <t xml:space="preserve">Energia </t>
  </si>
  <si>
    <t>MORI-CT01Bruno Azevedo</t>
  </si>
  <si>
    <t>MORI-CT01-GEREBruno Azevedo</t>
  </si>
  <si>
    <t>NOBR-CT02</t>
  </si>
  <si>
    <t>NOBR-CT02-EFVM</t>
  </si>
  <si>
    <t>NOBR-CT02C</t>
  </si>
  <si>
    <t>NOBR-CT02Bruno Azevedo</t>
  </si>
  <si>
    <t>NOBR-CT02-EFVMBruno Azevedo</t>
  </si>
  <si>
    <t>PARE-CT01</t>
  </si>
  <si>
    <t>PARE-CT01-S11D</t>
  </si>
  <si>
    <t>PARE-CT01C</t>
  </si>
  <si>
    <t>PARE-CT01Bruno Azevedo</t>
  </si>
  <si>
    <t>PARE-CT01-S11DBruno Azevedo</t>
  </si>
  <si>
    <t>PARE-CT02</t>
  </si>
  <si>
    <t>PARE-CT02-CS11</t>
  </si>
  <si>
    <t>PARE-CT02C</t>
  </si>
  <si>
    <t>PARE-CT02Bruno Azevedo</t>
  </si>
  <si>
    <t>PARE-CT02-CS11Bruno Azevedo</t>
  </si>
  <si>
    <t>REAL-CT02</t>
  </si>
  <si>
    <t>REAL-CT02-PATI</t>
  </si>
  <si>
    <t>REAL-CT02C</t>
  </si>
  <si>
    <t>REAL-CT02Bruno Azevedo</t>
  </si>
  <si>
    <t>REAL-CT02-PATIBruno Azevedo</t>
  </si>
  <si>
    <t>REAL-CT05</t>
  </si>
  <si>
    <t>REAL-CT05-VIDE</t>
  </si>
  <si>
    <t>REAL-CT05C</t>
  </si>
  <si>
    <t>REAL-CT05Bruno Azevedo</t>
  </si>
  <si>
    <t>REAL-CT05-VIDEBruno Azevedo</t>
  </si>
  <si>
    <t>ROOF-CT01</t>
  </si>
  <si>
    <t>ROOF-CT01-MTSP</t>
  </si>
  <si>
    <t>ROOF-CT01C</t>
  </si>
  <si>
    <t>ROOF</t>
  </si>
  <si>
    <t>CPTM</t>
  </si>
  <si>
    <t>Transporte</t>
  </si>
  <si>
    <t>ROOF-CT01Bruno Azevedo</t>
  </si>
  <si>
    <t>ROOF-CT01-MTSPBruno Azevedo</t>
  </si>
  <si>
    <t>SANT-CT02</t>
  </si>
  <si>
    <t>SANT-CT02-ALTE</t>
  </si>
  <si>
    <t>SANT-CT02C</t>
  </si>
  <si>
    <t>SANTANNA CONSTRUTORA</t>
  </si>
  <si>
    <t>SANT-CT02Bruno Azevedo</t>
  </si>
  <si>
    <t>SANT-CT02-ALTEBruno Azevedo</t>
  </si>
  <si>
    <t>SERE-CT01</t>
  </si>
  <si>
    <t>SERE-CT01-HYDR</t>
  </si>
  <si>
    <t>SERE-CT01C</t>
  </si>
  <si>
    <t>SERENG</t>
  </si>
  <si>
    <t>SERE-CT01Bruno Azevedo</t>
  </si>
  <si>
    <t>SERE-CT01-HYDRBruno Azevedo</t>
  </si>
  <si>
    <t>SIGD-CT02</t>
  </si>
  <si>
    <t>SIGD-CT02-SOLJ</t>
  </si>
  <si>
    <t>SIGD-CT02C</t>
  </si>
  <si>
    <t>AUREN ENERGIA</t>
  </si>
  <si>
    <t>SIGD-CT02Bruno Azevedo</t>
  </si>
  <si>
    <t>SIGD-CT02-SOLJBruno Azevedo</t>
  </si>
  <si>
    <t>SM&amp;A-CT01</t>
  </si>
  <si>
    <t>SM&amp;A-CT01-TUBA</t>
  </si>
  <si>
    <t>SM&amp;A-CT01C</t>
  </si>
  <si>
    <t>SM&amp;A</t>
  </si>
  <si>
    <t xml:space="preserve">Elétrica </t>
  </si>
  <si>
    <t>SM&amp;A-CT01Bruno Azevedo</t>
  </si>
  <si>
    <t>SM&amp;A-CT01-TUBABruno Azevedo</t>
  </si>
  <si>
    <t>TRAC-CT01</t>
  </si>
  <si>
    <t>TRAC_PLAN</t>
  </si>
  <si>
    <t>TRAC-CT01C</t>
  </si>
  <si>
    <t>TRAC-CT01Bruno Azevedo</t>
  </si>
  <si>
    <t>TRAC_PLANBruno Azevedo</t>
  </si>
  <si>
    <t>TRAC-CT07</t>
  </si>
  <si>
    <t>TRAC_RBAC</t>
  </si>
  <si>
    <t>TRAC-CT07C</t>
  </si>
  <si>
    <t>TRAC-CT07Bruno Azevedo</t>
  </si>
  <si>
    <t>TRAC_RBACBruno Azevedo</t>
  </si>
  <si>
    <t>TRAC-CT08</t>
  </si>
  <si>
    <t>TRAC-CT08-RLAT</t>
  </si>
  <si>
    <t>TRAC-CT08C</t>
  </si>
  <si>
    <t>TRAC-CT08Bruno Azevedo</t>
  </si>
  <si>
    <t>TRAC-CT08-RLATBruno Azevedo</t>
  </si>
  <si>
    <t>UPTE-CT01</t>
  </si>
  <si>
    <t>UPTE-CT01-BHM</t>
  </si>
  <si>
    <t>UPTE-CT01C</t>
  </si>
  <si>
    <t>UPTEC</t>
  </si>
  <si>
    <t>BOSTON</t>
  </si>
  <si>
    <t>UPTE-CT01Bruno Azevedo</t>
  </si>
  <si>
    <t>UPTE-CT01-BHMBruno Azevedo</t>
  </si>
  <si>
    <t>UPTE-CT02</t>
  </si>
  <si>
    <t>UPTE-CT02-WOLB</t>
  </si>
  <si>
    <t>UPTE-CT02C</t>
  </si>
  <si>
    <t>UPTE-CT02Bruno Azevedo</t>
  </si>
  <si>
    <t>UPTE-CT02-WOLBBruno Azevedo</t>
  </si>
  <si>
    <t>UPTE-CT04</t>
  </si>
  <si>
    <t>UPTE-CT04C</t>
  </si>
  <si>
    <t>UPTE-CT04Bruno Azevedo</t>
  </si>
  <si>
    <t>ADMB-CT12</t>
  </si>
  <si>
    <t>ADMB-CT12-EXEC</t>
  </si>
  <si>
    <t>ADMB-CT12C</t>
  </si>
  <si>
    <t>ADMB-CT12Bruno Azevedo</t>
  </si>
  <si>
    <t>ADMB-CT12-EXECBruno Azevedo</t>
  </si>
  <si>
    <t>GERD-CT02</t>
  </si>
  <si>
    <t>GERD-CT02-PENE</t>
  </si>
  <si>
    <t>GERD-CT02C</t>
  </si>
  <si>
    <t>GERD-CT02Bruno Azevedo</t>
  </si>
  <si>
    <t>GERD-CT02-PENEBruno Azevedo</t>
  </si>
  <si>
    <t>GERD-CT03</t>
  </si>
  <si>
    <t>GERD-CT03-SILO</t>
  </si>
  <si>
    <t>GERD-CT03C</t>
  </si>
  <si>
    <t>GERD-CT03Bruno Azevedo</t>
  </si>
  <si>
    <t>GERD-CT03-SILOBruno Azevedo</t>
  </si>
  <si>
    <t>GERD-CT04</t>
  </si>
  <si>
    <t>GERD-CT04-ACIA</t>
  </si>
  <si>
    <t>GERD-CT04C</t>
  </si>
  <si>
    <t>GERD-CT04Bruno Azevedo</t>
  </si>
  <si>
    <t>GERD-CT04-ACIABruno Azevedo</t>
  </si>
  <si>
    <t>SERE-CT02</t>
  </si>
  <si>
    <t>SERE-CT02-FLOT</t>
  </si>
  <si>
    <t>SERE-CT02C</t>
  </si>
  <si>
    <t>SERE-CT02Bruno Azevedo</t>
  </si>
  <si>
    <t>SERE-CT02-FLOTBruno Azevedo</t>
  </si>
  <si>
    <t>AENA-CT01</t>
  </si>
  <si>
    <t>AENA-CT01-CONG</t>
  </si>
  <si>
    <t>AENA-CT01C</t>
  </si>
  <si>
    <t>AENA-CT01Bruno Azevedo</t>
  </si>
  <si>
    <t>AENA-CT01-CONGBruno Azevedo</t>
  </si>
  <si>
    <t>SALU-CT02-UTM2</t>
  </si>
  <si>
    <t>SALU-CT02C</t>
  </si>
  <si>
    <t>SALU-CT02Bruno Azevedo</t>
  </si>
  <si>
    <t>SALU-CT02-UTM2Bruno Azevedo</t>
  </si>
  <si>
    <t>FORT-CT02</t>
  </si>
  <si>
    <t>FORT-CT02-PRIM</t>
  </si>
  <si>
    <t>FORT-CT02C</t>
  </si>
  <si>
    <t>FORT-CT02Bruno Azevedo</t>
  </si>
  <si>
    <t>FORT-CT02-PRIMBruno Azevedo</t>
  </si>
  <si>
    <t>GERD-CT07</t>
  </si>
  <si>
    <t>GERD-CT07-PRED</t>
  </si>
  <si>
    <t>GERD-CT07C</t>
  </si>
  <si>
    <t>GERD-CT07Bruno Azevedo</t>
  </si>
  <si>
    <t>GERD-CT07-PREDBruno Azevedo</t>
  </si>
  <si>
    <t>TRAC-CT10</t>
  </si>
  <si>
    <t>TRAC-CT10-RIBE</t>
  </si>
  <si>
    <t>TRAC-CT10C</t>
  </si>
  <si>
    <t>TRAC-CT10Bruno Azevedo</t>
  </si>
  <si>
    <t>TRAC-CT10-RIBEBruno Azevedo</t>
  </si>
  <si>
    <t>TRAC-CT11</t>
  </si>
  <si>
    <t>TRAC-CT11-CCKS</t>
  </si>
  <si>
    <t>TRAC-CT11C</t>
  </si>
  <si>
    <t>TRAC-CT11Bruno Azevedo</t>
  </si>
  <si>
    <t>TRAC-CT11-CCKSBruno Azevedo</t>
  </si>
  <si>
    <t>VAVE-CT07C</t>
  </si>
  <si>
    <t>VAVE-CT07Bruno Azevedo</t>
  </si>
  <si>
    <t>VAVE-CT07-PDERBruno Azevedo</t>
  </si>
  <si>
    <t>TRAC-CT15</t>
  </si>
  <si>
    <t>TRAC-CT15-CALH</t>
  </si>
  <si>
    <t>TRAC-CT15C</t>
  </si>
  <si>
    <t>TRAC-CT15Bruno Azevedo</t>
  </si>
  <si>
    <t>TRAC-CT15-CALHBruno Azevedo</t>
  </si>
  <si>
    <t>ADMB-CT11</t>
  </si>
  <si>
    <t>ADMB-CT11-CRUS</t>
  </si>
  <si>
    <t>ADMB-CT11C</t>
  </si>
  <si>
    <t>ADMB-CT11Bruno Azevedo</t>
  </si>
  <si>
    <t>ADMB-CT11-CRUSBruno Azevedo</t>
  </si>
  <si>
    <t>GERD-CT09-PIND</t>
  </si>
  <si>
    <t>GERD-CT09C</t>
  </si>
  <si>
    <t>GERD-CT09Bruno Azevedo</t>
  </si>
  <si>
    <t>GERD-CT09-PINDBruno Azevedo</t>
  </si>
  <si>
    <t>NEXA-CT01</t>
  </si>
  <si>
    <t>NEXA-CT01-CONS</t>
  </si>
  <si>
    <t>NEXA-CT01C</t>
  </si>
  <si>
    <t>NEXA-CT01Bruno Azevedo</t>
  </si>
  <si>
    <t>NEXA-CT01-CONSBruno Azevedo</t>
  </si>
  <si>
    <t>FIDE-CT01</t>
  </si>
  <si>
    <t>FIDE-CT01-CONS</t>
  </si>
  <si>
    <t>FIDE-CT01C</t>
  </si>
  <si>
    <t>FIDE-CT01Bruno Azevedo</t>
  </si>
  <si>
    <t>FIDE-CT01-CONSBruno Azevedo</t>
  </si>
  <si>
    <t>ADMB-CT14</t>
  </si>
  <si>
    <t>ADMB-CT14-DECG</t>
  </si>
  <si>
    <t>ADMB-CT14C</t>
  </si>
  <si>
    <t>ADMB-CT14Bruno Azevedo</t>
  </si>
  <si>
    <t>ADMB-CT14-DECGBruno Azevedo</t>
  </si>
  <si>
    <t>NOBR-CT05C</t>
  </si>
  <si>
    <t>NOBR-CT05Bruno Azevedo</t>
  </si>
  <si>
    <t>NOBR-CT05-PLANBruno Azevedo</t>
  </si>
  <si>
    <t>TRAC-CT13</t>
  </si>
  <si>
    <t>TRAC-CT13-ANJO</t>
  </si>
  <si>
    <t>TRAC-CT13C</t>
  </si>
  <si>
    <t>TRAC-CT13Bruno Azevedo</t>
  </si>
  <si>
    <t>TRAC-CT13-ANJOBruno Azevedo</t>
  </si>
  <si>
    <t>BEMI-CT01</t>
  </si>
  <si>
    <t>BEMI-CT01-CONS</t>
  </si>
  <si>
    <t>BEMI-CT01C</t>
  </si>
  <si>
    <t>BEMI-CT01Bruno Azevedo</t>
  </si>
  <si>
    <t>BEMI-CT01-CONSBruno Azevedo</t>
  </si>
  <si>
    <t>BRAS-CT07</t>
  </si>
  <si>
    <t>BRAS-CT07-BOMB</t>
  </si>
  <si>
    <t>BRAS-CT07C</t>
  </si>
  <si>
    <t>BRAS-CT07Bruno Azevedo</t>
  </si>
  <si>
    <t>BRAS-CT07-BOMBBruno Azevedo</t>
  </si>
  <si>
    <t>GERD-CT08</t>
  </si>
  <si>
    <t>GERD-CT08-RECI</t>
  </si>
  <si>
    <t>GERD-CT08C</t>
  </si>
  <si>
    <t>GERD-CT08Bruno Azevedo</t>
  </si>
  <si>
    <t>GERD-CT08-RECIBruno Azevedo</t>
  </si>
  <si>
    <t>GERD-CT10</t>
  </si>
  <si>
    <t>GERD-CT10-CHAR</t>
  </si>
  <si>
    <t>GERD-CT10C</t>
  </si>
  <si>
    <t>GERD-CT10Bruno Azevedo</t>
  </si>
  <si>
    <t>GERD-CT10-CHARBruno Azevedo</t>
  </si>
  <si>
    <t>SERE-CT04</t>
  </si>
  <si>
    <t>SERE-CT04-CHAP</t>
  </si>
  <si>
    <t>SERE-CT04C</t>
  </si>
  <si>
    <t>SERE-CT04Bruno Azevedo</t>
  </si>
  <si>
    <t>SERE-CT04-CHAPBruno Azevedo</t>
  </si>
  <si>
    <t>GERD-CT11-DIVI</t>
  </si>
  <si>
    <t>GERD-CT11C</t>
  </si>
  <si>
    <t>GERD-CT11Bruno Azevedo</t>
  </si>
  <si>
    <t>GERD-CT11-DIVIBruno Azevedo</t>
  </si>
  <si>
    <t>BRAS-CT09</t>
  </si>
  <si>
    <t>BRAS-CT09-REPO</t>
  </si>
  <si>
    <t>BRAS-CT09C</t>
  </si>
  <si>
    <t>BRAS-CT09Bruno Azevedo</t>
  </si>
  <si>
    <t>BRAS-CT09-REPOBruno Azevedo</t>
  </si>
  <si>
    <t>CIMC-CT02C</t>
  </si>
  <si>
    <t>CIMC-CT02Bruno Azevedo</t>
  </si>
  <si>
    <t>CIMC-CT02-CCMDBruno Azevedo</t>
  </si>
  <si>
    <t>ENJA-CT01</t>
  </si>
  <si>
    <t>ENJA-CT01-CONS</t>
  </si>
  <si>
    <t>ENJA-CT01C</t>
  </si>
  <si>
    <t>ENJATEC</t>
  </si>
  <si>
    <t>Montagem Industrial</t>
  </si>
  <si>
    <t>ENJA-CT01Bruno Azevedo</t>
  </si>
  <si>
    <t>ENJA-CT01-CONSBruno Azevedo</t>
  </si>
  <si>
    <t>BRAS-CT08</t>
  </si>
  <si>
    <t>BRAS-CT08-TUBU</t>
  </si>
  <si>
    <t>BRAS-CT08C</t>
  </si>
  <si>
    <t>BRAS-CT08Bruno Azevedo</t>
  </si>
  <si>
    <t>BRAS-CT08-TUBUBruno Azevedo</t>
  </si>
  <si>
    <t>GERD-CT05-TARU</t>
  </si>
  <si>
    <t>GERD-CT05C</t>
  </si>
  <si>
    <t>GERD-CT05Bruno Azevedo</t>
  </si>
  <si>
    <t>GERD-CT05-TARUBruno Azevedo</t>
  </si>
  <si>
    <t>GERD-CT06</t>
  </si>
  <si>
    <t>GERD-CT06-CHDG</t>
  </si>
  <si>
    <t>GERD-CT06C</t>
  </si>
  <si>
    <t>GERD-CT06Bruno Azevedo</t>
  </si>
  <si>
    <t>GERD-CT06-CHDGBruno Azevedo</t>
  </si>
  <si>
    <t>SERE-CT03</t>
  </si>
  <si>
    <t>SERE-CT03-CONS</t>
  </si>
  <si>
    <t>SERE-CT03C</t>
  </si>
  <si>
    <t>SERE-CT03Bruno Azevedo</t>
  </si>
  <si>
    <t>SERE-CT03-CONSBruno Azevedo</t>
  </si>
  <si>
    <t>GERD-CT12</t>
  </si>
  <si>
    <t>GERD-CT12-OURO</t>
  </si>
  <si>
    <t>GERD-CT12C</t>
  </si>
  <si>
    <t>GERD-CT12Bruno Azevedo</t>
  </si>
  <si>
    <t>GERD-CT12-OUROBruno Azevedo</t>
  </si>
  <si>
    <t>REFR-CT01-CONS</t>
  </si>
  <si>
    <t>REFR-CT01C</t>
  </si>
  <si>
    <t>REFR-CT01Bruno Azevedo</t>
  </si>
  <si>
    <t>REFR-CT01-CONSBruno Azevedo</t>
  </si>
  <si>
    <t>NEXA-CT02</t>
  </si>
  <si>
    <t>NEXA-CT02-FILT</t>
  </si>
  <si>
    <t>NEXA-CT02C</t>
  </si>
  <si>
    <t>NEXA-CT02Bruno Azevedo</t>
  </si>
  <si>
    <t>NEXA-CT02-FILTBruno Azevedo</t>
  </si>
  <si>
    <t>ATER-CT01-FORQ</t>
  </si>
  <si>
    <t>ATER-CT01C</t>
  </si>
  <si>
    <t>ATER-CT01Bruno Azevedo</t>
  </si>
  <si>
    <t>ATER-CT01-FORQBruno Azevedo</t>
  </si>
  <si>
    <t>CCAP-CT11C</t>
  </si>
  <si>
    <t>CCAP-CT11Bruno Azevedo</t>
  </si>
  <si>
    <t>CCAP-CT11-RUMOBruno Azevedo</t>
  </si>
  <si>
    <t>SALU-CT06C</t>
  </si>
  <si>
    <t>SALU-CT06Bruno Azevedo</t>
  </si>
  <si>
    <t>SALU-CT06-MARABruno Azevedo</t>
  </si>
  <si>
    <t>PROF-CT01</t>
  </si>
  <si>
    <t>PROF-CT01-PLAN</t>
  </si>
  <si>
    <t>PROF-CT01C</t>
  </si>
  <si>
    <t>PROFITTO</t>
  </si>
  <si>
    <t>Gestão de Contratos</t>
  </si>
  <si>
    <t>PROF-CT01Bruno Azevedo</t>
  </si>
  <si>
    <t>PROF-CT01-PLANBruno Azevedo</t>
  </si>
  <si>
    <t>TRAC-CT14</t>
  </si>
  <si>
    <t>TRAC-CT14-PIAL</t>
  </si>
  <si>
    <t>TRAC-CT14C</t>
  </si>
  <si>
    <t>TRAC-CT14Bruno Azevedo</t>
  </si>
  <si>
    <t>TRAC-CT14-PIALBruno Azevedo</t>
  </si>
  <si>
    <t>VALE-CT01-OC01</t>
  </si>
  <si>
    <t>VALE-CT01C</t>
  </si>
  <si>
    <t>VALE-CT01Bruno Azevedo</t>
  </si>
  <si>
    <t>VALE-CT01-OC01Bruno Azevedo</t>
  </si>
  <si>
    <t>VALE-CT01-OC02</t>
  </si>
  <si>
    <t>VALE-CT01-OC02Bruno Azevedo</t>
  </si>
  <si>
    <t>VALE-CT01-OC07</t>
  </si>
  <si>
    <t>VALE-CT01-OC07Bruno Azevedo</t>
  </si>
  <si>
    <t>GERD-CT16</t>
  </si>
  <si>
    <t>GERD-CT16-RANG</t>
  </si>
  <si>
    <t>GERD-CT16C</t>
  </si>
  <si>
    <t>GERD-CT16Bruno Azevedo</t>
  </si>
  <si>
    <t>GERD-CT16-RANGBruno Azevedo</t>
  </si>
  <si>
    <t>VALE-CT01-OC03</t>
  </si>
  <si>
    <t>Ronaldo Mendes</t>
  </si>
  <si>
    <t>VALE-CT01-OC03Bruno Azevedo</t>
  </si>
  <si>
    <t>GERD-CT13-PANE</t>
  </si>
  <si>
    <t>GERD-CT13C</t>
  </si>
  <si>
    <t>GERD-CT13Bruno Azevedo</t>
  </si>
  <si>
    <t>GERD-CT13-PANEBruno Azevedo</t>
  </si>
  <si>
    <t>REFR-CT02</t>
  </si>
  <si>
    <t>REFR-CT02-CONS</t>
  </si>
  <si>
    <t>REFR-CT02C</t>
  </si>
  <si>
    <t>REFR-CT02Bruno Azevedo</t>
  </si>
  <si>
    <t>REFR-CT02-CONSBruno Azevedo</t>
  </si>
  <si>
    <t>SALU-CT04C</t>
  </si>
  <si>
    <t>SALU-CT04Bruno Azevedo</t>
  </si>
  <si>
    <t>SALU-CT04-DISPBruno Azevedo</t>
  </si>
  <si>
    <t>STER-CT02</t>
  </si>
  <si>
    <t>STER-CT02-CONS</t>
  </si>
  <si>
    <t>STER-CT02C</t>
  </si>
  <si>
    <t>STER-CT02Bruno Azevedo</t>
  </si>
  <si>
    <t>STER-CT02-CONSBruno Azevedo</t>
  </si>
  <si>
    <t>GERD-CT17</t>
  </si>
  <si>
    <t>GERD-CT17-33KV</t>
  </si>
  <si>
    <t>GERD-CT17C</t>
  </si>
  <si>
    <t>GERD-CT17Bruno Azevedo</t>
  </si>
  <si>
    <t>GERD-CT17-33KVBruno Azevedo</t>
  </si>
  <si>
    <t>GERD-CT18</t>
  </si>
  <si>
    <t>GERD-CT18-LN05</t>
  </si>
  <si>
    <t>GERD-CT18C</t>
  </si>
  <si>
    <t>GERD-CT18Bruno Azevedo</t>
  </si>
  <si>
    <t>GERD-CT18-LN05Bruno Azevedo</t>
  </si>
  <si>
    <t>GERD-CT19-PROD</t>
  </si>
  <si>
    <t>GERD-CT19C</t>
  </si>
  <si>
    <t>GERD-CT19Bruno Azevedo</t>
  </si>
  <si>
    <t>GERD-CT19-PRODBruno Azevedo</t>
  </si>
  <si>
    <t>GERD-CT20-AGUA</t>
  </si>
  <si>
    <t>GERD-CT20C</t>
  </si>
  <si>
    <t>GERD-CT20Bruno Azevedo</t>
  </si>
  <si>
    <t>GERD-CT20-AGUABruno Azevedo</t>
  </si>
  <si>
    <t>BLOS-CT05</t>
  </si>
  <si>
    <t>BLOS-CT05C</t>
  </si>
  <si>
    <t>BLOS-CT05Bruno Azevedo</t>
  </si>
  <si>
    <t>CRET-CT01C</t>
  </si>
  <si>
    <t>CRET-CT01Bruno Azevedo</t>
  </si>
  <si>
    <t>CRET-CT01-TANQBruno Azevedo</t>
  </si>
  <si>
    <t>SNCL-CT01C</t>
  </si>
  <si>
    <t>SNCL-CT01Bruno Azevedo</t>
  </si>
  <si>
    <t>VALE-CT01-CONS</t>
  </si>
  <si>
    <t>VALE-CT01-CONSBruno Azevedo</t>
  </si>
  <si>
    <t>GERD-CT15</t>
  </si>
  <si>
    <t>GERD-CT15-DESP</t>
  </si>
  <si>
    <t>GERD-CT15C</t>
  </si>
  <si>
    <t>GERD-CT15Bruno Azevedo</t>
  </si>
  <si>
    <t>GERD-CT15-DESPBruno Azevedo</t>
  </si>
  <si>
    <t>VALE-CT01-OC12</t>
  </si>
  <si>
    <t>VALE-CT01-OC12Bruno Azevedo</t>
  </si>
  <si>
    <t>SERE-CT05</t>
  </si>
  <si>
    <t>SERE-CT05-SPCI</t>
  </si>
  <si>
    <t>SERE-CT05C</t>
  </si>
  <si>
    <t>SERE-CT05Bruno Azevedo</t>
  </si>
  <si>
    <t>SERE-CT05-SPCIBruno Azevedo</t>
  </si>
  <si>
    <t>SINO-CT01-CONS</t>
  </si>
  <si>
    <t>SINO-CT01C</t>
  </si>
  <si>
    <t>SINO-CT01Bruno Azevedo</t>
  </si>
  <si>
    <t>SINO-CT01-CONSBruno Azevedo</t>
  </si>
  <si>
    <t>NEXA-CT04</t>
  </si>
  <si>
    <t>NEXA-CT04-ENOR</t>
  </si>
  <si>
    <t>NEXA-CT04C</t>
  </si>
  <si>
    <t>NEXA-CT04Bruno Azevedo</t>
  </si>
  <si>
    <t>NEXA-CT04-ENORBruno Azevedo</t>
  </si>
  <si>
    <t>ADMB-CT18</t>
  </si>
  <si>
    <t>ADMB-CT18-UDIA</t>
  </si>
  <si>
    <t>ADMB-CT18C</t>
  </si>
  <si>
    <t>ADMB-CT18Bruno Azevedo</t>
  </si>
  <si>
    <t>ADMB-CT18-UDIABruno Azevedo</t>
  </si>
  <si>
    <t>SERE-CT06</t>
  </si>
  <si>
    <t>SERE-CT06-LAMI</t>
  </si>
  <si>
    <t>SERE-CT06C</t>
  </si>
  <si>
    <t>SERE-CT06Bruno Azevedo</t>
  </si>
  <si>
    <t>SERE-CT06-LAMIBruno Azevedo</t>
  </si>
  <si>
    <t>SERE-CT07</t>
  </si>
  <si>
    <t>SERE-CT07-POND</t>
  </si>
  <si>
    <t>SERE-CT07C</t>
  </si>
  <si>
    <t>SERE-CT07Bruno Azevedo</t>
  </si>
  <si>
    <t>SERE-CT07-PONDBruno Azevedo</t>
  </si>
  <si>
    <t>VABM-CT01-CONS</t>
  </si>
  <si>
    <t>VABM-CT01C</t>
  </si>
  <si>
    <t>VABM-CT01Bruno Azevedo</t>
  </si>
  <si>
    <t>VABM-CT01-CONSBruno Azevedo</t>
  </si>
  <si>
    <t>ATKI-CT01</t>
  </si>
  <si>
    <t>ATKI-CT01-OC84</t>
  </si>
  <si>
    <t>ATKI-CT01C</t>
  </si>
  <si>
    <t>ATKI-CT01Bruno Azevedo</t>
  </si>
  <si>
    <t>ATKI-CT01-OC84Bruno Azevedo</t>
  </si>
  <si>
    <t>MOSA-CT01</t>
  </si>
  <si>
    <t>MOSA-CT01-CONS</t>
  </si>
  <si>
    <t>MOSA-CT01C</t>
  </si>
  <si>
    <t>MOSA-CT01Bruno Azevedo</t>
  </si>
  <si>
    <t>MOSA-CT01-CONSBruno Azevedo</t>
  </si>
  <si>
    <t>REFR-CT04</t>
  </si>
  <si>
    <t>REFR-CT04-CONS</t>
  </si>
  <si>
    <t>REFR-CT04C</t>
  </si>
  <si>
    <t>TERNIUM</t>
  </si>
  <si>
    <t>REFR-CT04Bruno Azevedo</t>
  </si>
  <si>
    <t>REFR-CT04-CONSBruno Azevedo</t>
  </si>
  <si>
    <t>APER-CT01-CONS</t>
  </si>
  <si>
    <t>APER-CT01C</t>
  </si>
  <si>
    <t>APER-CT01Bruno Azevedo</t>
  </si>
  <si>
    <t>APER-CT01-CONSBruno Azevedo</t>
  </si>
  <si>
    <t>GERD-CT21-LAVA</t>
  </si>
  <si>
    <t>GERD-CT21C</t>
  </si>
  <si>
    <t>GERD-CT21Bruno Azevedo</t>
  </si>
  <si>
    <t>GERD-CT21-LAVABruno Azevedo</t>
  </si>
  <si>
    <t>GERD-CT22</t>
  </si>
  <si>
    <t>GERD-CT22-FUND</t>
  </si>
  <si>
    <t>GERD-CT22C</t>
  </si>
  <si>
    <t>GERD-CT22Bruno Azevedo</t>
  </si>
  <si>
    <t>GERD-CT22-FUNDBruno Azevedo</t>
  </si>
  <si>
    <t>GERD-CT23-FINO</t>
  </si>
  <si>
    <t>GERD-CT23C</t>
  </si>
  <si>
    <t>GERD-CT23Bruno Azevedo</t>
  </si>
  <si>
    <t>GERD-CT23-FINOBruno Azevedo</t>
  </si>
  <si>
    <t>GERD-CT24</t>
  </si>
  <si>
    <t>GERD-CT24-PFEA</t>
  </si>
  <si>
    <t>GERD-CT24C</t>
  </si>
  <si>
    <t>GERD-CT24Bruno Azevedo</t>
  </si>
  <si>
    <t>GERD-CT24-PFEABruno Azevedo</t>
  </si>
  <si>
    <t>VALE-CT01-OC17</t>
  </si>
  <si>
    <t>VALE-CT01-OC17Bruno Azevedo</t>
  </si>
  <si>
    <t>GERD-CT25-CONS</t>
  </si>
  <si>
    <t>GERD-CT25C</t>
  </si>
  <si>
    <t>GERD-CT25Bruno Azevedo</t>
  </si>
  <si>
    <t>GERD-CT25-CONSBruno Azevedo</t>
  </si>
  <si>
    <t>ASCE-CT01</t>
  </si>
  <si>
    <t>ASCE-CT01-CONS</t>
  </si>
  <si>
    <t>ASCE-CT01C</t>
  </si>
  <si>
    <t>ASCE-CT01Bruno Azevedo</t>
  </si>
  <si>
    <t>ASCE-CT01-CONSBruno Azevedo</t>
  </si>
  <si>
    <t>GERD-CT26</t>
  </si>
  <si>
    <t>GERD-CT26-MINU</t>
  </si>
  <si>
    <t>GERD-CT26C</t>
  </si>
  <si>
    <t>GERD-CT26Bruno Azevedo</t>
  </si>
  <si>
    <t>GERD-CT26-MINUBruno Azevedo</t>
  </si>
  <si>
    <t>DOIS-CT01</t>
  </si>
  <si>
    <t>DOIS-CT01-PBIM</t>
  </si>
  <si>
    <t>DOIS-CT01B</t>
  </si>
  <si>
    <t>José Vargas</t>
  </si>
  <si>
    <t>DOIS A</t>
  </si>
  <si>
    <t>BIM</t>
  </si>
  <si>
    <t>Areia Branca</t>
  </si>
  <si>
    <t>DOIS-CT01Lucas Batista</t>
  </si>
  <si>
    <t>DOIS-CT01-PBIMLucas Batista</t>
  </si>
  <si>
    <t>IHMS-CT01</t>
  </si>
  <si>
    <t>IHMS-CT01-DBIM</t>
  </si>
  <si>
    <t>IHMS-CT01B</t>
  </si>
  <si>
    <t>IHM STEFANINI</t>
  </si>
  <si>
    <t>IHMS-CT01Lucas Batista</t>
  </si>
  <si>
    <t>IHMS-CT01-DBIMLucas Batista</t>
  </si>
  <si>
    <t>CKTR-CT01B</t>
  </si>
  <si>
    <t>CKTR-CT01Lucas Batista</t>
  </si>
  <si>
    <t>CKTR-CT01-PLANLucas Batista</t>
  </si>
  <si>
    <t>GERD-CT09B</t>
  </si>
  <si>
    <t>Isac Horta</t>
  </si>
  <si>
    <t>GERD-CT09Isac Horta</t>
  </si>
  <si>
    <t>GERD-CT09-PINDIsac Horta</t>
  </si>
  <si>
    <t>EMCC-CT01</t>
  </si>
  <si>
    <t>EMCC-CT01-MODE</t>
  </si>
  <si>
    <t>EMCC-CT01B</t>
  </si>
  <si>
    <t>EMCCAMP RESIDENCIAL</t>
  </si>
  <si>
    <t>EMCC-CT01Isac Horta</t>
  </si>
  <si>
    <t>EMCC-CT01-MODEIsac Horta</t>
  </si>
  <si>
    <t>TECN-CT02B</t>
  </si>
  <si>
    <t>TECN-CT02Isac Horta</t>
  </si>
  <si>
    <t>TECN-CT02-MODEIsac Horta</t>
  </si>
  <si>
    <t>ATER-CT01B</t>
  </si>
  <si>
    <t>ATER-CT01Isac Horta</t>
  </si>
  <si>
    <t>ATER-CT01-FORQIsac Horta</t>
  </si>
  <si>
    <t>ATER-CT02-IBIM</t>
  </si>
  <si>
    <t>ATER-CT02B</t>
  </si>
  <si>
    <t>ATER-CT02Isac Horta</t>
  </si>
  <si>
    <t>ATER-CT02-IBIMIsac Horta</t>
  </si>
  <si>
    <t>BTSP-CT01</t>
  </si>
  <si>
    <t>BTSP-CT01-ABIM</t>
  </si>
  <si>
    <t>BTSP-CT01B</t>
  </si>
  <si>
    <t>BTS PROPERTIES</t>
  </si>
  <si>
    <t>Imobiliário</t>
  </si>
  <si>
    <t>BTSP-CT01Isac Horta</t>
  </si>
  <si>
    <t>BTSP-CT01-ABIMIsac Horta</t>
  </si>
  <si>
    <t>EPGE-CT01</t>
  </si>
  <si>
    <t>EPGE-CT01-BIMR</t>
  </si>
  <si>
    <t>EPGE-CT01B</t>
  </si>
  <si>
    <t>EPG ENGENHARIA</t>
  </si>
  <si>
    <t>EPGE-CT01Isac Horta</t>
  </si>
  <si>
    <t>EPGE-CT01-BIMRIsac Horta</t>
  </si>
  <si>
    <t>ATER-CT03</t>
  </si>
  <si>
    <t>ATER-CT03-IBIM</t>
  </si>
  <si>
    <t>ATER-CT03B</t>
  </si>
  <si>
    <t>Concessionária</t>
  </si>
  <si>
    <t>ATER-CT03Isac Horta</t>
  </si>
  <si>
    <t>ATER-CT03-IBIMIsac Horta</t>
  </si>
  <si>
    <t>SEEL-CT02</t>
  </si>
  <si>
    <t>SEEL-CT02-IBIM</t>
  </si>
  <si>
    <t>SEEL-CT02B</t>
  </si>
  <si>
    <t>SEEL-CT02Isac Horta</t>
  </si>
  <si>
    <t>SEEL-CT02-IBIMIsac Horta</t>
  </si>
  <si>
    <t>DOIS-CT02</t>
  </si>
  <si>
    <t>DOIS-CT02-IBIM</t>
  </si>
  <si>
    <t>DOIS-CT02B</t>
  </si>
  <si>
    <t>Natal</t>
  </si>
  <si>
    <t>DOIS-CT02Isac Horta</t>
  </si>
  <si>
    <t>DOIS-CT02-IBIMIsac Horta</t>
  </si>
  <si>
    <t>MUNI-CT01</t>
  </si>
  <si>
    <t>MUNI-CT01-IBIM</t>
  </si>
  <si>
    <t>MUNI-CT01B</t>
  </si>
  <si>
    <t>MUNIZ &amp; SPADA</t>
  </si>
  <si>
    <t>Geotecnica</t>
  </si>
  <si>
    <t>ECORIOMINAS</t>
  </si>
  <si>
    <t>MUNI-CT01Isac Horta</t>
  </si>
  <si>
    <t>MUNI-CT01-IBIMIsac Horta</t>
  </si>
  <si>
    <t>BRZE-CT01</t>
  </si>
  <si>
    <t>BRZE-CT01-DBIM</t>
  </si>
  <si>
    <t>BRZE-CT01B</t>
  </si>
  <si>
    <t>BRZ EMPREENDIMENTOS</t>
  </si>
  <si>
    <t>Empreendimentos Imobiliários</t>
  </si>
  <si>
    <t>Campinas</t>
  </si>
  <si>
    <t>BRZE-CT01Isac Horta</t>
  </si>
  <si>
    <t>BRZE-CT01-DBIMIsac Horta</t>
  </si>
  <si>
    <t>VALE-CT02</t>
  </si>
  <si>
    <t>VALE-CT02-IBIM</t>
  </si>
  <si>
    <t>VALE-CT02B</t>
  </si>
  <si>
    <t>VALE-CT02Isac Horta</t>
  </si>
  <si>
    <t>VALE-CT02-IBIMIsac Horta</t>
  </si>
  <si>
    <t>FIDE-CT02B</t>
  </si>
  <si>
    <t>FIDE-CT02Isac Horta</t>
  </si>
  <si>
    <t>FIDE-CT02-PDERIsac Horta</t>
  </si>
  <si>
    <t>BEMI-CT03</t>
  </si>
  <si>
    <t>BEMI-CT03-IBIM</t>
  </si>
  <si>
    <t>BEMI-CT03B</t>
  </si>
  <si>
    <t>BEMI-CT03Isac Horta</t>
  </si>
  <si>
    <t>BEMI-CT03-IBIMIsac Horta</t>
  </si>
  <si>
    <t>SRVE-CT01</t>
  </si>
  <si>
    <t>SRVE-CT01-IBIM</t>
  </si>
  <si>
    <t>SRVE-CT01B</t>
  </si>
  <si>
    <t>SRV ENGENHARIA</t>
  </si>
  <si>
    <t>SRVE-CT01Isac Horta</t>
  </si>
  <si>
    <t>SRVE-CT01-IBIMIsac Horta</t>
  </si>
  <si>
    <t>VALE-CT02-OC05</t>
  </si>
  <si>
    <t>VALE-CT02-OC05Isac Horta</t>
  </si>
  <si>
    <t>ECOR-CT01</t>
  </si>
  <si>
    <t>ECOR-CT01-IBIM</t>
  </si>
  <si>
    <t>ECOR-CT01B</t>
  </si>
  <si>
    <t>ECORODOVIAS</t>
  </si>
  <si>
    <t>Matão</t>
  </si>
  <si>
    <t>ECOR-CT01Isac Horta</t>
  </si>
  <si>
    <t>ECOR-CT01-IBIMIsac Horta</t>
  </si>
  <si>
    <t>BTSP-CT02</t>
  </si>
  <si>
    <t>BTSP-CT02-SERE</t>
  </si>
  <si>
    <t>BTSP-CT02B</t>
  </si>
  <si>
    <t>BTSP-CT02Isac Horta</t>
  </si>
  <si>
    <t>BTSP-CT02-SEREIsac Horta</t>
  </si>
  <si>
    <t>BTSP-CT03</t>
  </si>
  <si>
    <t>BTSP-CT03-SERE</t>
  </si>
  <si>
    <t>BTSP-CT03B</t>
  </si>
  <si>
    <t>BTSP-CT03Isac Horta</t>
  </si>
  <si>
    <t>BTSP-CT03-SEREIsac Horta</t>
  </si>
  <si>
    <t>ADMB-CT18B</t>
  </si>
  <si>
    <t>UBERLÂNDIA</t>
  </si>
  <si>
    <t>ADMB-CT18Isac Horta</t>
  </si>
  <si>
    <t>ADMB-CT18-UDIAIsac Horta</t>
  </si>
  <si>
    <t>MILP-CT06</t>
  </si>
  <si>
    <t>MILP-CT06-IBIM</t>
  </si>
  <si>
    <t>MILP-CT06B</t>
  </si>
  <si>
    <t>MILP-CT06Isac Horta</t>
  </si>
  <si>
    <t>MILP-CT06-IBIMIsac Horta</t>
  </si>
  <si>
    <t>CIVM-CT01B</t>
  </si>
  <si>
    <t>CIVM-CT01Isac Horta</t>
  </si>
  <si>
    <t>CIVM-CT01-PLANIsac Horta</t>
  </si>
  <si>
    <t>PENDÊNCIAS</t>
  </si>
  <si>
    <t>Tempo em aberto</t>
  </si>
  <si>
    <t>Nº PROPOSTA</t>
  </si>
  <si>
    <t>COD PRODUTO</t>
  </si>
  <si>
    <t>Coluna1</t>
  </si>
  <si>
    <t>TIPO DE CONTRATO</t>
  </si>
  <si>
    <t>PRODUTO</t>
  </si>
  <si>
    <t>PRODUTO PMO</t>
  </si>
  <si>
    <t>SETOR CLIENTE</t>
  </si>
  <si>
    <t>SETOR</t>
  </si>
  <si>
    <t>SEGMENTO</t>
  </si>
  <si>
    <t>CONSTRUTOR/OWNER</t>
  </si>
  <si>
    <t>PROSPECÇÃO</t>
  </si>
  <si>
    <t>TIPO CAPTAÇÃO</t>
  </si>
  <si>
    <t>ESCOPO PHD</t>
  </si>
  <si>
    <t>DATA FECHAMENTO</t>
  </si>
  <si>
    <t>DATA INÍCIO CONTRATO</t>
  </si>
  <si>
    <t>DATA TERMINO CONTRATO</t>
  </si>
  <si>
    <t>Dias Data Final</t>
  </si>
  <si>
    <t>DURAÇÃO</t>
  </si>
  <si>
    <t>PRAZO MESES</t>
  </si>
  <si>
    <t>IDADE CONTRATO</t>
  </si>
  <si>
    <t>DATA CANCEL. CONTRATO</t>
  </si>
  <si>
    <t>DATA ENCERR. CONTRATO</t>
  </si>
  <si>
    <t>FAT per capta</t>
  </si>
  <si>
    <t>VALOR CONTRATO</t>
  </si>
  <si>
    <t>TICKETMEDIO</t>
  </si>
  <si>
    <t>TOTAL</t>
  </si>
  <si>
    <t>Diferença</t>
  </si>
  <si>
    <t>2021</t>
  </si>
  <si>
    <t>202101</t>
  </si>
  <si>
    <t>202102</t>
  </si>
  <si>
    <t>202103</t>
  </si>
  <si>
    <t>202104</t>
  </si>
  <si>
    <t>202105</t>
  </si>
  <si>
    <t>202106</t>
  </si>
  <si>
    <t>202107</t>
  </si>
  <si>
    <t>202108</t>
  </si>
  <si>
    <t>202109</t>
  </si>
  <si>
    <t>202110</t>
  </si>
  <si>
    <t>202111</t>
  </si>
  <si>
    <t>202112</t>
  </si>
  <si>
    <t>2022</t>
  </si>
  <si>
    <t>202201</t>
  </si>
  <si>
    <t>202202</t>
  </si>
  <si>
    <t>202203</t>
  </si>
  <si>
    <t>202204</t>
  </si>
  <si>
    <t>202205</t>
  </si>
  <si>
    <t>202206</t>
  </si>
  <si>
    <t>202207</t>
  </si>
  <si>
    <t>202208</t>
  </si>
  <si>
    <t>202209</t>
  </si>
  <si>
    <t>202210</t>
  </si>
  <si>
    <t>202211</t>
  </si>
  <si>
    <t>202212</t>
  </si>
  <si>
    <t>2023</t>
  </si>
  <si>
    <t>202301</t>
  </si>
  <si>
    <t>202302</t>
  </si>
  <si>
    <t>202303</t>
  </si>
  <si>
    <t>202304</t>
  </si>
  <si>
    <t>202305</t>
  </si>
  <si>
    <t>202306</t>
  </si>
  <si>
    <t>202307</t>
  </si>
  <si>
    <t>202308</t>
  </si>
  <si>
    <t>202309</t>
  </si>
  <si>
    <t>202310</t>
  </si>
  <si>
    <t>202311</t>
  </si>
  <si>
    <t>202312</t>
  </si>
  <si>
    <t>2024</t>
  </si>
  <si>
    <t>202401</t>
  </si>
  <si>
    <t>202402</t>
  </si>
  <si>
    <t>202403</t>
  </si>
  <si>
    <t>202404</t>
  </si>
  <si>
    <t>202405</t>
  </si>
  <si>
    <t>202406</t>
  </si>
  <si>
    <t>202407</t>
  </si>
  <si>
    <t>202408</t>
  </si>
  <si>
    <t>202409</t>
  </si>
  <si>
    <t>202410</t>
  </si>
  <si>
    <t>202411</t>
  </si>
  <si>
    <t>202412</t>
  </si>
  <si>
    <t>2025</t>
  </si>
  <si>
    <t>202501</t>
  </si>
  <si>
    <t>202502</t>
  </si>
  <si>
    <t>202503</t>
  </si>
  <si>
    <t>202504</t>
  </si>
  <si>
    <t>202505</t>
  </si>
  <si>
    <t>202506</t>
  </si>
  <si>
    <t>202507</t>
  </si>
  <si>
    <t>202508</t>
  </si>
  <si>
    <t>202509</t>
  </si>
  <si>
    <t>202510</t>
  </si>
  <si>
    <t>202511</t>
  </si>
  <si>
    <t>202512</t>
  </si>
  <si>
    <t>2026</t>
  </si>
  <si>
    <t>202601</t>
  </si>
  <si>
    <t>202602</t>
  </si>
  <si>
    <t>202603</t>
  </si>
  <si>
    <t>202604</t>
  </si>
  <si>
    <t>202605</t>
  </si>
  <si>
    <t>202606</t>
  </si>
  <si>
    <t>202607</t>
  </si>
  <si>
    <t>202608</t>
  </si>
  <si>
    <t>202609</t>
  </si>
  <si>
    <t>202610</t>
  </si>
  <si>
    <t>202611</t>
  </si>
  <si>
    <t>202612</t>
  </si>
  <si>
    <t>2027</t>
  </si>
  <si>
    <t>202701</t>
  </si>
  <si>
    <t>202702</t>
  </si>
  <si>
    <t>202703</t>
  </si>
  <si>
    <t>202704</t>
  </si>
  <si>
    <t>202705</t>
  </si>
  <si>
    <t>202706</t>
  </si>
  <si>
    <t>202707</t>
  </si>
  <si>
    <t>202708</t>
  </si>
  <si>
    <t>202709</t>
  </si>
  <si>
    <t>202710</t>
  </si>
  <si>
    <t>202711</t>
  </si>
  <si>
    <t>202712</t>
  </si>
  <si>
    <t>2028</t>
  </si>
  <si>
    <t>202801</t>
  </si>
  <si>
    <t>202802</t>
  </si>
  <si>
    <t>202803</t>
  </si>
  <si>
    <t>202804</t>
  </si>
  <si>
    <t>202805</t>
  </si>
  <si>
    <t>202806</t>
  </si>
  <si>
    <t>202807</t>
  </si>
  <si>
    <t>202808</t>
  </si>
  <si>
    <t>202809</t>
  </si>
  <si>
    <t>202810</t>
  </si>
  <si>
    <t>202811</t>
  </si>
  <si>
    <t>202812</t>
  </si>
  <si>
    <t>SOMA</t>
  </si>
  <si>
    <t>CT Vencido</t>
  </si>
  <si>
    <t>PHDG-ADMB-PR02-Rev.07</t>
  </si>
  <si>
    <t>ADMB-CT01CONTRATO</t>
  </si>
  <si>
    <t>CONTRATO</t>
  </si>
  <si>
    <t>Ativa</t>
  </si>
  <si>
    <t>Gestão dos indicadores e gerenciamento dos projetos realizados na planta de nutrição animal da ADM do Brasil, localizada no município de Três Corações, no Estado de Minas Gerais</t>
  </si>
  <si>
    <t>PHDG-ADMB-PR12-Rev.05</t>
  </si>
  <si>
    <t>ADMB-CT01ADITIVO</t>
  </si>
  <si>
    <t>ADITIVO</t>
  </si>
  <si>
    <t>Farmer</t>
  </si>
  <si>
    <t>Gestão dos indicadores de planejamento e gerenciamento dos projetos realizados pela ADM do Brasil.</t>
  </si>
  <si>
    <t>PHDG-ADMB-PR02-Rev.13</t>
  </si>
  <si>
    <t>Planejamento, gestão dos indicadores e gerenciamento dos projetos realizados na planta de nutrição animal da ADM do Brasil, localizada no município de Três Corações, no Estado de Minas Gerais.</t>
  </si>
  <si>
    <t>PHDG-ADMB-PR03-Rev.11</t>
  </si>
  <si>
    <t>Planejamento, gestão dos indicadores e gerenciamento dos projetos realizados na planta de nutrição animal da ADM do Brasil, localizada no município de Três Corações, no estado de Minas Gerais.</t>
  </si>
  <si>
    <t>PHDG-ADMB-PR02-Rev.14</t>
  </si>
  <si>
    <t>PHDG-ADMB-PR12-Rev.06</t>
  </si>
  <si>
    <t>PHDG-ADMB-PR03-Rev.12</t>
  </si>
  <si>
    <t>PHDG-ADMB-PR02-Rev.16</t>
  </si>
  <si>
    <t>PHDG-ADMB-PR03-Rev.13</t>
  </si>
  <si>
    <t>PHDG-ADMB-PR12-Rev.07</t>
  </si>
  <si>
    <t>PHDG-ADMB-PR31-Rev.01</t>
  </si>
  <si>
    <t xml:space="preserve">Serviço especializado de assessoria em gerenciamento de portfólio, na gestão da carteira de portos da ADM do Brasil, no Brasil. </t>
  </si>
  <si>
    <t>PHDG-ADMB-PR31-Rev.04</t>
  </si>
  <si>
    <t>PHDG-ADMB-PR02-Rev.17</t>
  </si>
  <si>
    <t>PHDG-ADMB-PR12-Rev.08</t>
  </si>
  <si>
    <t>PHDG-ADMB-PR03-Rev.14</t>
  </si>
  <si>
    <t>PHDG-ADMB-PR03-Rev.15</t>
  </si>
  <si>
    <t>PHDG-ADMB-PR12-Rev.09</t>
  </si>
  <si>
    <t>PHDG-ADMB-PR02-Rev.18</t>
  </si>
  <si>
    <t>PHDG-ADMB-PR03-Rev.18</t>
  </si>
  <si>
    <t>PHDG-ADMB-PR12-Rev.10</t>
  </si>
  <si>
    <t>PHDG-ADMB-PR02-Rev.20</t>
  </si>
  <si>
    <t>PHDG-ADMB-PR31-Rev.09</t>
  </si>
  <si>
    <t>PHDG-ADMB-PR12-Rev.11</t>
  </si>
  <si>
    <t>Serviço especializado de gestão dos indicadores de planejamento
e gerenciamento dos
projetos realizados pela ADM do Brasil
.</t>
  </si>
  <si>
    <t>PHDG-ADMB-PR17-Rev.03</t>
  </si>
  <si>
    <t>ADMB-CT10CONTRATO</t>
  </si>
  <si>
    <t>Gerenciamento de portifólio, focado nos projetos do novo DTDC e da Destilaria, na planta da ADM do Brasil, em Campo Grande/MS.</t>
  </si>
  <si>
    <t>PHDG-ADMB-PR17-Rev.06</t>
  </si>
  <si>
    <t>ADMB-CT10ADITIVO</t>
  </si>
  <si>
    <t>Aditivo</t>
  </si>
  <si>
    <t>PHDG-ADMB-PR17-Rev.09</t>
  </si>
  <si>
    <t>Serviço especializado de assessoria em gerenciamento de portifólio, focado nos projetos  do novo DTDC, Lamelar e da Destilaria, na planta da ADM do Brasil, em Campo Grande/MS.</t>
  </si>
  <si>
    <t>PHDG-ADMB-PR17-Rev.10</t>
  </si>
  <si>
    <t>Horas extras realizadas durante o acompanhamento das atividades de parada no projeto do Novo DTDC, pelo Assessor de Planejamento Sênior, no período de 29/06/2024 a 27/07/2024, em Campo Grande/MS.</t>
  </si>
  <si>
    <t>PHDG-ADMB-PR17-Rev.15</t>
  </si>
  <si>
    <t xml:space="preserve"> Serviço especializado de assessoria em gerenciamento de portifólio, focado nos projetos de Capex, 
na planta da ADM do Brasil, em Campo Grande-MS.</t>
  </si>
  <si>
    <t>PHDG-ADMB-PR62-Rev.00</t>
  </si>
  <si>
    <t>ADMB-CT22CONTRATO</t>
  </si>
  <si>
    <t>Serviço especializado de assessoria em gestão e planejamento, focado no desenvolvimento do planejamento do Portfólio de projetos Capex , na planta da ADM do Brasil, em Campo Grande
-MT.</t>
  </si>
  <si>
    <t>PHDG-ADMB-PR20-REV.01</t>
  </si>
  <si>
    <t>ADMB-CT15CONTRATO</t>
  </si>
  <si>
    <t xml:space="preserve">Serviço especializado de assessoria em gestão e planejamento, visando a execução do gerenciamento de portifólio, focado nos projetos desenvolvidos nas plantas da ADM do Brasil, em todo território nacional. </t>
  </si>
  <si>
    <t>PHDG-ADMB-PR31-Rev.05</t>
  </si>
  <si>
    <t>ADMB-CT16ADITIVO</t>
  </si>
  <si>
    <t>PHDG-ADMB-PR31-Rev.06</t>
  </si>
  <si>
    <t>PHDG-ADMB-PR31-Rev.08</t>
  </si>
  <si>
    <t>PHDG-ADMB-PR47-Rev.01</t>
  </si>
  <si>
    <t>Serviço Especializado de Fiscalização do planejamento, gestão dos indicadores, 
planejamento e gerenciamento dos projetos realizados na planta da ADM do Brasil, no Porto de Santos – SP.</t>
  </si>
  <si>
    <t>PHDG-ADMB-PR31-Rev.10</t>
  </si>
  <si>
    <t>PHDG-ADMB-PR52-Rev.00</t>
  </si>
  <si>
    <t>ADMB-CT16CONTRATO</t>
  </si>
  <si>
    <t>Serviço especializado de assessoria em gerenciamento de portfólio, na gestão da carteira de portos da ADM do Brasil, no Brasil.</t>
  </si>
  <si>
    <t>PHDG-ADMB-PR31-Rev.12</t>
  </si>
  <si>
    <t>PHDG-ADMB-PR41-Rev.00</t>
  </si>
  <si>
    <t>ADMB-CT17CONTRATO</t>
  </si>
  <si>
    <t>Serviço especializado de assessoria em gerenciamento de portifólio, focado nos projetos CAPEX da planta da ADM do Brasil, em Rondonópolis.</t>
  </si>
  <si>
    <t>PHDG-ADMB-PR41-Rev.01</t>
  </si>
  <si>
    <t>ADMB-CT17ADITIVO</t>
  </si>
  <si>
    <t>PHDG-ADMB-PR44-Rev.01</t>
  </si>
  <si>
    <t>Serviço especializado de gestão e planejamento, focado na atuação do profissional PHD presencial durante a parada de manutenção, em Rondonópolis – MT
.</t>
  </si>
  <si>
    <t>PHDG-ADMB-PR41-Rev.02</t>
  </si>
  <si>
    <t>PHDG-ADMB-PR57-Rev.01</t>
  </si>
  <si>
    <t>Serviço especializado de assessoria em gestão e planejamento focado no desenvolvimento da Gestão de Portfólio, nos projetos Capex da planta da ADM do Brasil, em Rondonópolis– MT
.</t>
  </si>
  <si>
    <t>PHDC-ADMB-PR48-Rev.01</t>
  </si>
  <si>
    <t>ADMB-CT18CONTRATO</t>
  </si>
  <si>
    <t>Serviço especializado de assessoria em Engenharia de Construção e Planejamento, visando o desenvolvimento da Modelagem 3D e do Vídeo Simulador de
Metodologia Executiva, para o projeto da nova entrada de carretas na planta da ADM do Brasil, em Uberlândia.</t>
  </si>
  <si>
    <t>PHDO-ATER-PR08-Rev.01</t>
  </si>
  <si>
    <t>ATER-CT04CONTRATO</t>
  </si>
  <si>
    <t>Serviço especializado de gestão e planejamento, visando o desenvolvimento da estruturação
do Planejamento na fase de pré-engenharia, junto à Aterpa.</t>
  </si>
  <si>
    <t>PHDC-ATKI-OC84-Rev.02</t>
  </si>
  <si>
    <t>ATKI-CT01OC</t>
  </si>
  <si>
    <t>OC</t>
  </si>
  <si>
    <t>Serviço especializado de assessoria em Engenharia de Construção e Planejamento, visando o desenvolvimento do Planejamento 4D para o projeto New Wave, para a AtkinsRéalis
.</t>
  </si>
  <si>
    <t>PHDG-AURA-PR03-Rev.03</t>
  </si>
  <si>
    <t>AURA-CT01CONTRATO</t>
  </si>
  <si>
    <t>Hunter</t>
  </si>
  <si>
    <t xml:space="preserve"> Serviço especializado de gestão e planejamento, visando o desenvolvimento do Planejamento Integrado da obra da Aura Minerals, em Almas/TO.</t>
  </si>
  <si>
    <t>PHDG-AURA-PR04-Rev.06</t>
  </si>
  <si>
    <t>AURA-CT02CONTRATO</t>
  </si>
  <si>
    <t>Serviço especializado de gestão e planejamento, visando o desenvolvimento do Gerenciamento do Portfólio, junto a Aura Minerals</t>
  </si>
  <si>
    <t>AURA-CT03CONTRATO</t>
  </si>
  <si>
    <t>AURA-CT04CONTRATO</t>
  </si>
  <si>
    <t>PHDG-AURI-PR01-Rev.04</t>
  </si>
  <si>
    <t>AURI-CT01CONTRATO</t>
  </si>
  <si>
    <t>Serviço especializado de gestão e planejamento, visando o desenvolvimento do Gerenciamento do Portfólio, junto a Auriverde</t>
  </si>
  <si>
    <t>Próximo do Vencimento</t>
  </si>
  <si>
    <t>PHDG-BEMI-PR02-Rev.04</t>
  </si>
  <si>
    <t>BEMI-CT02CONTRATO</t>
  </si>
  <si>
    <t xml:space="preserve">Serviço especializado de assessoria em gerenciamento, no projeto de Revamp MHB, da Bemisa, na Mina de Horto Baratinha, em Antônio Dias-MG; </t>
  </si>
  <si>
    <t>PHDG-BEMI-PR02-Rev.07</t>
  </si>
  <si>
    <t>BEMI-CT02ADITIVO</t>
  </si>
  <si>
    <t xml:space="preserve"> Serviço especializado de assessoria em gerenciamento, no projeto de Revamp MHB, da 
Bemisa, na Mina de Horto Baratinha, em Antônio Dias-MG;</t>
  </si>
  <si>
    <t>PHDO-BEMI-PR04-Rev.03</t>
  </si>
  <si>
    <t>BEMI-CT03CONTRATO</t>
  </si>
  <si>
    <t>Serviço especializado de gestão e planejamento, visando compatibilização digital com propósito de verificar inconsistências entre os projetos de forma interdisciplinar, na Mina Horto Baratinha
.</t>
  </si>
  <si>
    <t>PHDB-BEMI-PR05-Rev.03</t>
  </si>
  <si>
    <t>BEMI-CT03ADITIVO</t>
  </si>
  <si>
    <t>Serviço especializado de coordenação BIM com propósito de detecção e resolução de interferências, para execução da obra utilizando os modelos e projetos BIM disponibilizados pelas empresas projetistas e fornecedores de equipamentos, na Mina Horto Baratinha.</t>
  </si>
  <si>
    <t>PHDC-BLOS-PR06-Rev.00</t>
  </si>
  <si>
    <t>BLOS-CT05GUARDA-CHUVA</t>
  </si>
  <si>
    <t>GUARDA-CHUVA</t>
  </si>
  <si>
    <t>Contrato Guarda Chuva</t>
  </si>
  <si>
    <t>PHDC-BLOS-OC01-Rev.01</t>
  </si>
  <si>
    <t>BLOS-CT05-OC01</t>
  </si>
  <si>
    <t>BLOS-CT05OC</t>
  </si>
  <si>
    <t>Elaboração de documentação de Planejamento Projeto da Flotação Recleaner e Vertmills, Anglo American</t>
  </si>
  <si>
    <t>PHDC-BLOS-OC07-Rev.00</t>
  </si>
  <si>
    <t>BLOS-CT05-OC07</t>
  </si>
  <si>
    <t>Passiva</t>
  </si>
  <si>
    <t>Desenvolvimento plano de construtibilidade e video simulação para o projeto a ser realizado no Porto Açu, Anglo</t>
  </si>
  <si>
    <t>PHDC-BLOS-OC18-Rev.01</t>
  </si>
  <si>
    <t>BLOS-CT05-OC18</t>
  </si>
  <si>
    <t xml:space="preserve"> Desenvolvimento do plano de construtibilidade do Retrofit das subestações S07E / S07F / S07G / S07H  na Refinaria da Alumar, em São Luís-MA.</t>
  </si>
  <si>
    <t>PHDC-BLOS-OC19-Rev.02</t>
  </si>
  <si>
    <t>BLOS-CT05-OC19</t>
  </si>
  <si>
    <t>Serviço especializado em Engenharia de Construção e Planejamento, visando o desenvolvimento do Cronograma Conceitual para o projeto de instalação de um sistema de oxidação catalítica no lago da barragem de rejeitos da Anglo American, em Conceição do Mato Dentro-MG.</t>
  </si>
  <si>
    <t>PHDC-BLOS-OC27-Rev.03</t>
  </si>
  <si>
    <t>BLOS-CT05-OC27</t>
  </si>
  <si>
    <t>MINASLIGAS</t>
  </si>
  <si>
    <t xml:space="preserve">Serviço especializado em Engenharia de Construção e Planejamento, visando a elaboração do Cronograma Básico, Memória de Cálculo e Histogramas do projeto de reforma e adequações da Planta da Minas Ligas, em Salvador-BA. </t>
  </si>
  <si>
    <t>PHDC-BLOS-OC19-Rev.04</t>
  </si>
  <si>
    <t>Serviço especializado em Engenharia de Construção e Planejamento, visando o desenvolvimento do Plano de Construtibilidade Conceitual, atendendo os comentários Anglo American para o projeto de instalação de um sistema de oxidação catalítica no lago da barragem de rejeitos da Anglo American, em Conceição do Mato Dentro-MG.</t>
  </si>
  <si>
    <t>PHDC-BLOS-OC32-Rev.00</t>
  </si>
  <si>
    <t>BLOS-CT05-OC32</t>
  </si>
  <si>
    <t>MINAS LIGAS</t>
  </si>
  <si>
    <t xml:space="preserve">Serviço especializado em Engenharia de Construção e Planejamento, visando a continuação da elaboração do Cronograma, Memória de Cálculo e Histogramas e o Apoio na Elaboração do Plano de Ataque da reforma e adequações da Planta da Minas Ligas, em Salvador-BA. </t>
  </si>
  <si>
    <t>PHDC-BLOS-OC34-Rev.00</t>
  </si>
  <si>
    <t>BLOS-CT05-OC34</t>
  </si>
  <si>
    <t xml:space="preserve">Serviço especializado em Engenharia de Construção e Planejamento, visando o desenvolvimento do Plano de Construtibilidade para os serviços de montagem eletromecânica da troca das passarelas do clarificado e espessador, na Filtragem da Anglo American, no Porto do Açu, em São João da Barra-RJ. </t>
  </si>
  <si>
    <t>PHDC-BLOS-OC41-Rev.01</t>
  </si>
  <si>
    <t>BLOS-CT05-OC41</t>
  </si>
  <si>
    <t>Serviço especializado de assessoria em Engenharia de Construção e Planejamento, visando o desenvolvimento do Plano de Construtibilidade do Projeto “Interstage Cooler (ISC) Lines 6 &amp; 7”, para Hydro Alunorte, em Barcarena – PA.</t>
  </si>
  <si>
    <t>PHDB-BRZE-PR01-Rev.02</t>
  </si>
  <si>
    <t>BRZE-CT01CONTRATO</t>
  </si>
  <si>
    <t>Serviço especializado de assessoria BIM, visando a implantação do BIM na BRZ Empreendimentos, considerando as etapas de Diagnóstico e Implantação BIM para a empresa.</t>
  </si>
  <si>
    <t>PHDB-BRZE-PR01-Rev.04</t>
  </si>
  <si>
    <t>BRZE-CT01ADITIVO</t>
  </si>
  <si>
    <t>Serviço especializado de assessoria BIM, visando a implantação do BIM na empresa,
considerando as etapas de Diagnóstico, Planejamento, Treinamentos, Projeto Piloto e Desenvolvimento de padrões da empresa
.</t>
  </si>
  <si>
    <t>Não formalizado</t>
  </si>
  <si>
    <t>PHDB-BTSP-PR05-Rev.00</t>
  </si>
  <si>
    <t>BTSP-CT03CONTRATO</t>
  </si>
  <si>
    <t>Serviço especializado de assessoria em BIM, visando a coordenação e compatibilização dos
 projetos aplicados a metodologia BIM, para o projeto Serena.</t>
  </si>
  <si>
    <t>PHDO-CIVM-PR01-Rev.03</t>
  </si>
  <si>
    <t>CIVM-CT01CONTRATO</t>
  </si>
  <si>
    <t>Serviço especializado de gestão e planejamento, visando o desenvolvimento do planejamento e controle e Planejamento 4D do Projeto de desmontagem de sistemas de cabo ropeway, lift line e linha de vida nas minas de Fábrica e Gongo Soco, Vale.</t>
  </si>
  <si>
    <t>PHDB-CIVM-PR02-Rev.00</t>
  </si>
  <si>
    <t>CIVM-CT01ADITIVO</t>
  </si>
  <si>
    <t>Serviço especializado de levantamento e modelagem 4D para os projetos Forquilhas da Civil Master, para a Vale em Congonhas_x0002_MG.</t>
  </si>
  <si>
    <t>PHDO-CCAP-PR34-Rev.01</t>
  </si>
  <si>
    <t>CCAP-CT15CONTRATO</t>
  </si>
  <si>
    <t>Serviço especializado de gestão e planejamento, visando estabelecer o formato do Contrato Guarda Chuva para atuação dos profissionais PHD nos projetos da Construcap.</t>
  </si>
  <si>
    <t>PHDO-CCAP-PR34-Rev.02</t>
  </si>
  <si>
    <t>CCAP-CT15ADITIVO</t>
  </si>
  <si>
    <t>PHDO-CGCO-PR01-Rev.03</t>
  </si>
  <si>
    <t>CGCO-CT01CONTRATO</t>
  </si>
  <si>
    <t xml:space="preserve">Serviço especializado de gestão e planejamento, com disponibilização de mão de obra para execução do projeto do novo Presídio de Lavras/MG, junto à CG Construções. </t>
  </si>
  <si>
    <t>PHDO-CGCO-PR01-Rev.06</t>
  </si>
  <si>
    <t>CGCO-CT01ADITIVO</t>
  </si>
  <si>
    <t>PHDO-CGCO-PR01-Rev.09</t>
  </si>
  <si>
    <t>PHDL-COTR-PR03-Rev.03</t>
  </si>
  <si>
    <t>COTR-CT01CONTRATO</t>
  </si>
  <si>
    <t>Serviço especializado de gestão e planejamento, visando a Implantação da Metodologia LPS no  projeto de revitalização da linha férrea da Rumo, Araraquara/SP, junto à Cotrin</t>
  </si>
  <si>
    <t>PHDO-CRET-PR02-Rev.03</t>
  </si>
  <si>
    <t>CRET-CT01CONTRATO</t>
  </si>
  <si>
    <t>Implantação de PTO, planejamento e medição para projeto na Ferroport, em Porto Açu</t>
  </si>
  <si>
    <t>PHDO-CRET-PR02-Rev.06</t>
  </si>
  <si>
    <t>CRET-CT01ADITIVO</t>
  </si>
  <si>
    <t>PHDO-CRET-PR02-Rev.07</t>
  </si>
  <si>
    <t>PHDO-CRET-PR02-Rev.08</t>
  </si>
  <si>
    <t>Desenvolvimento do planejamento e medição para projeto na Ferroport, em Porto Açu</t>
  </si>
  <si>
    <t>PHDO-CRET-PR02-Rev.10</t>
  </si>
  <si>
    <t>PHDO-CRET-PR02-Rev.14</t>
  </si>
  <si>
    <t>PHDO-CRET-PR02-Rev.12</t>
  </si>
  <si>
    <t>PHDB-ECOR-PR01-Rev.03</t>
  </si>
  <si>
    <t>ECOR-CT01CONTRATO</t>
  </si>
  <si>
    <t>Serviço especializado de assessoria em BIM, visando diagnóstico e plano de implantação BIM
para a Ecovias, em Belo Horizonte - MG
.</t>
  </si>
  <si>
    <t>PHDO-ELEV-PR02-Rev.07</t>
  </si>
  <si>
    <t>ELEV-CT02CONTRATO</t>
  </si>
  <si>
    <t>Planejamento e LPS no projeto da Adutora do Rio do Peixe, da Vale, em Itabira/MG</t>
  </si>
  <si>
    <t>PHDO-ELEV-PR10-Rev.03</t>
  </si>
  <si>
    <t>ELEV-CT02ADITIVO</t>
  </si>
  <si>
    <t>Serviço especializado de gestão e planejamento, visando a elaboração do Take off para
o projeto de Captação do Rio Tanque, em Itabira/MG.
.</t>
  </si>
  <si>
    <t>PHDO-FIDE-PR05-Rev.02</t>
  </si>
  <si>
    <t>FIDE-CT02CONTRATO</t>
  </si>
  <si>
    <t xml:space="preserve"> Serviço especializado de gestão e planejamento, visando o desenvolvimento do PoC, PTO, 
Estruturação do Modelo BIM e rotinas de Planejamento e LPS para Fidens, no projeto de 
Execução da Estrada Oeste – PDER Tamanduá, na Mina de Brucutu, da Vale.</t>
  </si>
  <si>
    <t>PHDO-FIDE-PR08-Rev.01</t>
  </si>
  <si>
    <t>FIDE-CT02ADITIVO</t>
  </si>
  <si>
    <t>Serviço especializado de gestão e planejamento, visando o acompanhamento e desenvolvimento das frentes de serviço, além de interface entre planejamento
e campo para Fidens, no projeto de Execução da Estrada Oeste – PDER Tamanduá, na
Mina de Brucutu, da Vale.</t>
  </si>
  <si>
    <t>PHDB-FIDE-PR07-Rev.04</t>
  </si>
  <si>
    <t>Serviço especializado de assessoria em BIM, atualização do planejamento 4D dos projetos
aplicados a metodologia BIM, para o projeto da Estrada Oeste, Vale.</t>
  </si>
  <si>
    <t>PHDO-FIDE-PR05-Rev.08</t>
  </si>
  <si>
    <t>Serviço especializado de gestão e planejamento, visando a continuação do desenvolvimento das rotinas de Planejamento e LPS para Fidens, no projeto de Execução da Estrada Oeste
– PDER Tamanduá, na Mina de Brucutu, da Vale
.</t>
  </si>
  <si>
    <t>PHDO-GCES-PR01-Rev.04</t>
  </si>
  <si>
    <t>GCES-CT01CONTRATO</t>
  </si>
  <si>
    <t>Serviço especializado de gestão e planejamento, visando o desenvolvimento do PTO e planejamento do projeto do novo Presídio de Poços de Caldas-MG, da Vale.</t>
  </si>
  <si>
    <t>PHDG-GERD-PR36-Rev.05</t>
  </si>
  <si>
    <t>GERD-CT14CONTRATO</t>
  </si>
  <si>
    <t>Serviço especializado de assessoria em gerenciamento, visando a realização do gerenciamento no projeto da Planta de Reciclagem Shredder, da Gerdau, em Pindamonhangaba – SP.</t>
  </si>
  <si>
    <t>PHDG-GERD-PR36-Rev.09</t>
  </si>
  <si>
    <t>GERD-CT14ADITIVO</t>
  </si>
  <si>
    <t>PHDG-GERD-PR36-Rev.11</t>
  </si>
  <si>
    <t>PHDC-GERD-PR50-Rev.02</t>
  </si>
  <si>
    <t>GERD-CT21CONTRATO</t>
  </si>
  <si>
    <t>Serviço especializado de assessoria em Engenharia de Construção e Planejamento, visando o desenvolvimento do Plano de Construtibilidade para o projeto sistema de lavagem de gás dos convertedores 1 e 2 da Aciaria, na Gerdau Ouro Branco
.</t>
  </si>
  <si>
    <t>PHDC-GERD-PR51-Rev.02</t>
  </si>
  <si>
    <t>GERD-CT22CONTRATO</t>
  </si>
  <si>
    <t>Serviço especializado de assessoria em Engenharia de Construção e Planejamento, visando o desenvolvimento do Plano de Construtibilidade para o Projeto Fundentes da Aciaria – Silos, da Gerdau.</t>
  </si>
  <si>
    <t>PHDC-GERD-PR54-Rev.02</t>
  </si>
  <si>
    <t>GERD-CT23CONTRATO</t>
  </si>
  <si>
    <t>Serviço especializado de assessoria em Engenharia de Construção e Planejamento, visando o desenvolvimento do plano de construtibilidade no projeto Sistema de Peneiramento e Moagem de Coque Fino, da Gerdau.</t>
  </si>
  <si>
    <t>PHDC-GERD-PR49-Rev.05</t>
  </si>
  <si>
    <t>GERD-CT24CONTRATO</t>
  </si>
  <si>
    <t>Serviço especializado de assessoria em Engenharia de Construção e Planejamento, visando
o desenvolvimento do plano de construtibilidade para o projeto FEA82, na planta da Gerdau, em Pindamonhangaba
.</t>
  </si>
  <si>
    <t>PHDG-GOIA-PR01-Rev.07</t>
  </si>
  <si>
    <t>GOIA-CT01CONTRATO</t>
  </si>
  <si>
    <t xml:space="preserve">Serviço especializado de assessoria em gerenciamento de portfólio, nos projetos da Goiasa, em Goiatuba-GO;  </t>
  </si>
  <si>
    <t>PHDG-GOIA-PR03-Rev.07</t>
  </si>
  <si>
    <t>GOIA-CT02CONTRATO</t>
  </si>
  <si>
    <t xml:space="preserve"> Serviço especializado de assessoria em gerenciamento, focada no desenvolvimento do 
controle de documentação técnica da Goiasa, em Goiatuba-GO.</t>
  </si>
  <si>
    <t>PHDG-HERC-PR03-Rev.01</t>
  </si>
  <si>
    <t>HERC-CT01CONTRATO</t>
  </si>
  <si>
    <t>Serviço especializado de gerenciamento e planejamento, visando o desenvolvimento do Planejamento Integrado, no projeto da Moagem, para a Herculano Mineração.</t>
  </si>
  <si>
    <t>PHDO-IMCS-PR35-Rev.02</t>
  </si>
  <si>
    <t>IMCS-CT09CONTRATO</t>
  </si>
  <si>
    <t>Planejamento Desmontagem New Steel</t>
  </si>
  <si>
    <t>PHDG-NEXA-PR02-Rev.02</t>
  </si>
  <si>
    <t>NEXA-CT03CONTRATO</t>
  </si>
  <si>
    <t xml:space="preserve">Serviço especializado de assessoria em gerenciamento de portfólio, no projeto de Implantação da Filtragem de Rejeito da Nexa Resources, em Aripuanã-MT; </t>
  </si>
  <si>
    <t>PHDC-NEXA-PR04-Rev.03</t>
  </si>
  <si>
    <t>NEXA-CT04CONTRATO</t>
  </si>
  <si>
    <t>Serviço especializado de assessoria em Engenharia de Construção
e Planejamento, visando o desenvolvimento do Plano de Construtibilidade do projeto de
Aprofundamento do Extremo Norte da Nexa na unidade de Vazante
.</t>
  </si>
  <si>
    <t>PHDG-NOBR-PR11-Rev.03</t>
  </si>
  <si>
    <t>NOBR-CT06CONTRATO</t>
  </si>
  <si>
    <t>Serviço especializado de gestão e planejamento, visando o desenvolvimento da estruturação de modelagem BIM e Planejamento 4D para a Nóbrega Pimenta, no projeto da Barragem da Mosaic, em Cajati -SP
.</t>
  </si>
  <si>
    <t>PHDG-NOBR-PR13-Rev.03</t>
  </si>
  <si>
    <t>NOBR-CT07CONTRATO</t>
  </si>
  <si>
    <t>Serviço especializado de gestão e planejamento, visando o desenvolvimento da Topografia e Aerofotogrametria, além do acompanhamento físico-financeiro integrado para a Nóbrega Pimenta, no projeto da Barragem da Mosaic, em Cajati -SP
.</t>
  </si>
  <si>
    <t>PHDC-MOSA-PR04-Rev.02</t>
  </si>
  <si>
    <t>MOSA-CT01CONTRATO</t>
  </si>
  <si>
    <t>Serviço especializado de Gestão e Planejamento, visando a elaboração do tradeoff de planejamento, capex e risco para o projeto de Alteamento da Barragem B6, da Mosaic,em Araxá/MG
.</t>
  </si>
  <si>
    <t>PHDL-MROS-PR04-Rev.01</t>
  </si>
  <si>
    <t>MROS-CT02CONTRATO</t>
  </si>
  <si>
    <t>Serviço especializado de gestão e planejamento, visando a Implantação da Metodologia LPS no Projeto de Adequação e ampliação do novo layout da fábrica, da Mccain
, em Araxá-MG;</t>
  </si>
  <si>
    <t>MROS-CT02ADITIVO</t>
  </si>
  <si>
    <t>PHDO-PAVI-PR04-Rev.02</t>
  </si>
  <si>
    <t>PAVI-CT01CONTRATO</t>
  </si>
  <si>
    <t>Serviço especializado de gestão e planejamento, visando o desenvolvimento do Planejamento do projeto de Duplicação das rodovias, em concessões administradas pela ARTERIS.</t>
  </si>
  <si>
    <t>PHDE-REFR-PR02-Rev.08</t>
  </si>
  <si>
    <t>REFR-CT05CONTRATO</t>
  </si>
  <si>
    <t>Desenvolvimento da Excelência em Planejamento Reframax (Estruturação dos padrões e modelos de Planejamento), visando garantir que as diretrizes e modelos sejam adotadas desde o orçamento para replicação em todos os projetos desenvolvidos pela Reframax .</t>
  </si>
  <si>
    <t>PHDO-SALU-PR15-Rev.01</t>
  </si>
  <si>
    <t>SALU-CT08CONTRATO</t>
  </si>
  <si>
    <t>Serviço especializado de gestão e planejamento, com fornecimento de mão de obra para o desenvolvimento do planejamento e LPS no projeto Implantação das Praças A, B e C da PDER Tamanduá, Fase 1, em Brucutu, Vale, em Barão de Cocais/MG.</t>
  </si>
  <si>
    <t>PHDO-SALU-PR20-Rev.00</t>
  </si>
  <si>
    <t>SALU-CT09CONTRATO</t>
  </si>
  <si>
    <t xml:space="preserve">Serviço especializado de planejamento para as obras de Descaracterização do Empilhamento Drenado Vale das Cobras, da VALE, no complexo da Mina de Água Limpa em Rio Piracicaba/MG. </t>
  </si>
  <si>
    <t>PHDE-SEEL-PR05-Rev.03</t>
  </si>
  <si>
    <t>SEEL-CT01CONTRATO</t>
  </si>
  <si>
    <t>Serviço especializado de assessoria técnica e executiva, focado na implantação e aculturamento da metodologia LPS na sede e em projetos com atuação da SEEL.</t>
  </si>
  <si>
    <t>PHDC-SERE-PR16-Rev.03</t>
  </si>
  <si>
    <t>SERE-CT06CONTRATO</t>
  </si>
  <si>
    <t>Serviço especializado de assessoria em Engenharia de Construção e Planejamento, visando o desenvolvimento do Plano de Construtibilidade para o projeto de Laminação a Frio, da ArcelorMittal
.</t>
  </si>
  <si>
    <t>PHDC-SERE-PR17-Rev.00</t>
  </si>
  <si>
    <t>SERE-CT06ADITIVO</t>
  </si>
  <si>
    <t>PHDC-SERE-PR18-Rev.00</t>
  </si>
  <si>
    <t>PHDC-SINO-PR02-Rev.05</t>
  </si>
  <si>
    <t>SINO-CT01CONTRATO</t>
  </si>
  <si>
    <t xml:space="preserve"> Serviço especializado de assessoria em Engenharia de Construção e Planejamento, 
visando o desenvolvimento do Plano de Construtibilidade do projeto conceitual da 
expansão da Trefila Fase 02, da Sinobras. </t>
  </si>
  <si>
    <t>PHDC-SNC-PR02-Rev.04</t>
  </si>
  <si>
    <t>SNCL-CT01GUARDA-CHUVA</t>
  </si>
  <si>
    <t>Proposta de reajuste ao contrato guarda-chuva 062 2022</t>
  </si>
  <si>
    <t>PHDB-SRVE-PR01-Rev.02</t>
  </si>
  <si>
    <t>SRVE-CT01CONTRATO</t>
  </si>
  <si>
    <t>Serviço especializado de gestão e planejamento, visando o desenvolvimento dos serviços de BIM
e Planejamento 4D nos projetos PDE Conceição e PDR Itacau, em Itabira-MG</t>
  </si>
  <si>
    <t>PHDO-U&amp;MM-PR02-Rev.02</t>
  </si>
  <si>
    <t>U&amp;MM-CT02CONTRATO</t>
  </si>
  <si>
    <t>Serviço especializado de planejamento e gestão, visando o desenvolvimento do Planejamento e LPS no projeto de Implantação damina Bacaba, Vale, em Canaã dos Carajás/PA.</t>
  </si>
  <si>
    <t>PHDO-U&amp;MM-PR02-Rev.04</t>
  </si>
  <si>
    <t>U&amp;MM-CT02ADITIVO</t>
  </si>
  <si>
    <t>PHDC-VABM-PR02-Rev.04</t>
  </si>
  <si>
    <t>VABM-CT01CONTRATO</t>
  </si>
  <si>
    <t>Serviço especializado de assessoria em Engenharia de Construção e Planejamento, visando
o desenvolvimento do Plano de Construtibilidade para a Troca do Munhão e Tampa de Alimentação do Moinho SAG
.</t>
  </si>
  <si>
    <t>PHDC-VALE-PR01-Rev.04</t>
  </si>
  <si>
    <t>VALE-CT01GUARDA-CHUVA</t>
  </si>
  <si>
    <t>Serviço especializado sob demanda de assessoria em Engenharia de Construção e Planejamento, visando o desenvolvimento de estudos FEL (Construção, Planejamento e Hazop) para as diversas etapas dos projetos a serem desenvolvidos pela Vale, conforme RT-1000SU-G-21590-Rev.A.</t>
  </si>
  <si>
    <t>PHDC-VALE-OC12-Rev.03</t>
  </si>
  <si>
    <t>VALE-CT01OC</t>
  </si>
  <si>
    <t>Serviço especializado de assessoria em Engenharia de Construção e Planejamento, 
visando o desenvolvimento do Plano de Construtibilidade para retirada de 
interferências para viabilizar a ampliação da pilha de disposição de estéril (PDE) N5W.</t>
  </si>
  <si>
    <t>PHDC-VALE-OC12-Rev.08</t>
  </si>
  <si>
    <t>VALE-CT01ADITIVO</t>
  </si>
  <si>
    <t xml:space="preserve">Serviço especializado de assessoria em Engenharia de Construção e Planejamento, visando o desenvolvimento do Plano de Construtibilidade para retirada de interferências para viabilizar a ampliação da pilha de disposição de estéril (PDE) N5W. Referente a Proposta Técnica “PHDC-VALE-OC12-Rev.02 – Expansão PDE N5W - Técnica”. </t>
  </si>
  <si>
    <t>PHDC-VALE-OC12-Rev.11</t>
  </si>
  <si>
    <t>VALE-CT01P</t>
  </si>
  <si>
    <t>Serviço especializado de assessoria em Engenharia de Construção e Planejamento, 
visando o desenvolvimento do Plano de Construtibilidade para retirada de 
interferências para viabilizar a ampliação da pilha de disposição de estéril (PDE) N5W. 
Referente a Proposta Técnica “PHDC-VALE-OC12-Rev.02 – Expansão PDE N5W -
Técnica”.</t>
  </si>
  <si>
    <t>PHDC-VALE-OC17-Rev.02</t>
  </si>
  <si>
    <t>Serviço especializado de assessoria em Engenharia de Construção  e Planejamento, visando o desenvolvimento do plano de construtibilidade do projeto do Misturador na Vale Tubarão, em Vitória</t>
  </si>
  <si>
    <t>PHDB-VALE-PR02-Rev.04</t>
  </si>
  <si>
    <t>VALE-CT02GUARDA-CHUVA</t>
  </si>
  <si>
    <t>Serviço especializado sob demanda de assessoria em Engenharia de Construção e Planejamento, visando a implementação da metodologia Advanced Work Packaging (AWP), aplicação do Building Information Modeling (BIM) e Lean Construction, para as atividades a serem desenvolvidas pela Vale, conforme RT-MAS-ENG-0002.</t>
  </si>
  <si>
    <t>PHDB-VALE-OC05-Rev.04</t>
  </si>
  <si>
    <t>VALE-CT02OC</t>
  </si>
  <si>
    <t>Acompanhamento ativo da implantação do BIM nos projetos da 
diretoria, com foco em garantir a aplicação prática dos conceitos definidos pela governança 
BIM da empresa. O(s) profissionai(s) alocado(s) atuará(ão) como braço técnico da liderança 
BIM da Vale, assumindo um papel de BIM Coordinator com envolvimento direto nas rotinas 
dos projetos</t>
  </si>
  <si>
    <t>PHDG-PVLI-PR01-Rev.06</t>
  </si>
  <si>
    <t>VLIM-CT01CONTRATO</t>
  </si>
  <si>
    <t xml:space="preserve"> Serviço especializado de gestão e planejamento, visando o desenvolvimento do 
Planejamento Integrado no projeto da Drenagem do TIPLAM, em Santos - SP</t>
  </si>
  <si>
    <t>PHDO-CCAP-PR39-Rev.03</t>
  </si>
  <si>
    <t>CCAP-CT16CONTRATO</t>
  </si>
  <si>
    <t>Serviço especializado de gestão e planejamento, visando o desenvolvimento do Cronograma e Estruturação das rotinas de planejamento nas áreas do projeto Arauco, em Inocência-MS</t>
  </si>
  <si>
    <t>PHDO-CCAP-PR39-Rev.05</t>
  </si>
  <si>
    <t>CCAP-CT16ADITIVO</t>
  </si>
  <si>
    <t>Serviço especializado de gestão e planejamento, visando o desenvolvimento do planejamento
e rotinas LPS no projeto Arauco, em Inocência-MS
.</t>
  </si>
  <si>
    <t>PHDC-SERE-PR12-Rev.01</t>
  </si>
  <si>
    <t>SERE-CT05CONTRATO</t>
  </si>
  <si>
    <t>Serviço especializado de assessoria em Engenharia de Construção
e Planejamento, visando o desenvolvimento do Plano de Construtibilidade do projeto de SPCI da
Portaria da Vale, em Parauapebas/PA.</t>
  </si>
  <si>
    <t>PHDC-SERE-PR27-Rev.01</t>
  </si>
  <si>
    <t>SERE-CT07CONTRATO</t>
  </si>
  <si>
    <t>Serviço especializado de assessoria em Engenharia de Construção e Planejamento, visando o desenvolvimento do Plano de Construtibilidade para o Projeto de implantação do sistema de controle de turbidez do espessador e adequações na bacia de decantação (POND), para VALE
.</t>
  </si>
  <si>
    <t>PHDC-REFR-PR07-Rev.03</t>
  </si>
  <si>
    <t>REFR-CT04CONTRATO</t>
  </si>
  <si>
    <t>Serviço especializado de assessoria em Engenharia de Construção e Planejamento, visando o desenvolvimento do Plano de Construtibilidade para o Projeto 0495 – Blendagem de Carvão - Eletromecânica, da Ternium
.</t>
  </si>
  <si>
    <t>PHDC-APER-PR04-Rev.05</t>
  </si>
  <si>
    <t>APER-CT01CONTRATO</t>
  </si>
  <si>
    <t>Serviço especializado de Construtibilidade, para o projeto RB3, da Aperam em Timóteo-MG.</t>
  </si>
  <si>
    <t>PHDO-ODEB-PR01-Rev.02</t>
  </si>
  <si>
    <t>ODBE-CT01</t>
  </si>
  <si>
    <t>ODEB-CT01-PLAN</t>
  </si>
  <si>
    <t>ODBE-CT01P</t>
  </si>
  <si>
    <t>ODBE-CT01CONTRATO</t>
  </si>
  <si>
    <t>ODEBRECHT</t>
  </si>
  <si>
    <t>Serviço especializado de gestão e planejamento, visando o desenvolvimento do desenvolvimento de estudo e metodologia construtiva do projeto para a Odebrecht.</t>
  </si>
  <si>
    <t>PHDB-MILP-PR16-Rev.07</t>
  </si>
  <si>
    <t>MILP-CT06CONTRATO</t>
  </si>
  <si>
    <t>Serviço especializado de assessoria em BIM, visando a coordenação e compatibilização dos 
projetos aplicados a metodologia BIM, com criação do HUB BIM Milplan.</t>
  </si>
  <si>
    <t>PHDO-CCAP-PR43-Rev.02</t>
  </si>
  <si>
    <t>CCAP-CT17CONTRATO</t>
  </si>
  <si>
    <t>Serviço especializado de gestão e planejamento, visando o desenvolvimento planejamento e gestão visual do Projeto Sucuriú - Arauco, em Inocência– MS.</t>
  </si>
  <si>
    <t>PHDO-JMAL-PR03-Rev.01</t>
  </si>
  <si>
    <t>JMAL-CT01CONTRATO</t>
  </si>
  <si>
    <t>Serviço especializado de planejamento, apoiando o desenvolvimento do Planejamento junto a Jmaluceli , para o projeto da EPR Via Mineira.</t>
  </si>
  <si>
    <t>PHDG-ADMB-PR58-Rev.02</t>
  </si>
  <si>
    <t>ADMB-CT20CONTRATO</t>
  </si>
  <si>
    <t>Serviço especializado de assessoria em gestão e planejamento , focado no desenvolvimento do planejamento do Portfólio de projetos Capex, na planta da ADM do Brasil, em Uberlândia- MG.</t>
  </si>
  <si>
    <t>PHDG-ADMB-PR55-Rev.01</t>
  </si>
  <si>
    <t>ADMB-CT21CONTRATO</t>
  </si>
  <si>
    <t>Serviço especializado de assessoria em gerenciamento de portifólio, focado na gestão dos projetos de AgriService (Brasil e Paraguai), com atuação em Campo Grande/MS.</t>
  </si>
  <si>
    <t>PHDO-LAAG-PR01-Rev.02</t>
  </si>
  <si>
    <t>LAAG-CT01CONTRATO</t>
  </si>
  <si>
    <t>Serviço especializado de gestão e planejamento, visando o desenvolvimento do Replanejamento do projeto da empresa LAAGE, em Paulínia - SP. - 1º FASE</t>
  </si>
  <si>
    <t>PHDC-GERD-PR52-Rev.06</t>
  </si>
  <si>
    <t>GERD-CT25CONTRATO</t>
  </si>
  <si>
    <t>Serviço especializado de assessoria em Engenharia de Construção e Planejamento,visando
o desenvolvimento do Estudo de Construtibilidade e Programa de Produtividade para o projeto do Canal de Corrida 3, na Gerdau, em Ouro Branco/MG.</t>
  </si>
  <si>
    <t>PHDC-ASCE-PR04-Rev.00</t>
  </si>
  <si>
    <t>ASCE-CT01CONTRATO</t>
  </si>
  <si>
    <t>Serviço especializado de assessoria em Engenharia de Construção e Planejamento, visando o desenvolvimento do plano de construtibilidade, para o projeto SUM03.</t>
  </si>
  <si>
    <t>PHDO-CCAP-PR45-Rev.01</t>
  </si>
  <si>
    <t>CCAP-CT18CONTRATO</t>
  </si>
  <si>
    <t>Serviço especializado de gestão e planejamento, visando o desenvolvimento da gestão do planejamento físico no projeto do Mineroduto na Mina de Burnier - Gerdau, em Ouro Branco -MG.</t>
  </si>
  <si>
    <t>PHDG-ADMB-PR63-Rev.01</t>
  </si>
  <si>
    <t>ADMB-CT23CONTRATO</t>
  </si>
  <si>
    <t>Serviço especializado de Gestão de Projetos, com atuação na coordenação integrada da execução de projetos a serem executados na planta da ADM, em Apucara/PR</t>
  </si>
  <si>
    <t>PHDL-MONT-PR01-Rev.02</t>
  </si>
  <si>
    <t>MONT-CT01CONTRATO</t>
  </si>
  <si>
    <t>Serviço especializado de gestão e planejamento, visando o desenvolvimento do processo de
planejamento a ser utilizado nos processos da MONTISOL, com padronização, procedimentação e treinamento para o time da empresa.</t>
  </si>
  <si>
    <t>PHDO-SUPE-PR01-Rev.02</t>
  </si>
  <si>
    <t>SUPE-CT01--EXCE</t>
  </si>
  <si>
    <t>SUPE-CT01CONTRATO</t>
  </si>
  <si>
    <t>Serviço especializado de planejamento, visando a excelência operacional para o Grupo Superus.</t>
  </si>
  <si>
    <t>Dentro do prazo de formalização</t>
  </si>
  <si>
    <t>PHDE-GONT-PR03-Rev.01</t>
  </si>
  <si>
    <t>GONT-CT03CONTRATO</t>
  </si>
  <si>
    <t>Serviço especializado de gestão e planejamento, visando a adequação de processos para desenvolvimento de controle de produção e áreas de suportes para a Gontijo Fundações.</t>
  </si>
  <si>
    <t>PHDO-REDE-PR01-Rev.05</t>
  </si>
  <si>
    <t>REDE-CT01CONTRATO</t>
  </si>
  <si>
    <t>Serviço especializado de gestão e planejamento, visando o desenvolvimento do cronograma detalhado e estratégia visual de planejamento, para REDE, em Betim – MG.</t>
  </si>
  <si>
    <t>PHDG-COFC-PR02-Rev.02</t>
  </si>
  <si>
    <t>COFC-CT01CONTRATO</t>
  </si>
  <si>
    <t>Apoio especializado em dados e estruturação de base e relatórios de gestão, da COFCO em
Rondonópolis/MT.</t>
  </si>
  <si>
    <t>PHDO-ENGF-PR19-Rev.01</t>
  </si>
  <si>
    <t>ENGF-CT05CONTRATO</t>
  </si>
  <si>
    <t>PHDO-TERR-PR02-Rev.01</t>
  </si>
  <si>
    <t>TERR-CT02CONTRATO</t>
  </si>
  <si>
    <t>PTO + Planejamento projeto de construção de Drenos do PDER Cianita</t>
  </si>
  <si>
    <t>PHDO-MPTR-PR01-Rev.02</t>
  </si>
  <si>
    <t>MPTR-CT01CONTRATO</t>
  </si>
  <si>
    <t>Desenvolvimnto do Planejamento no projeto de Montagem de Linha de Transmissão, em Conceição do Mato Dentro</t>
  </si>
  <si>
    <t>PHDA-MILP-PR03-Rev.01</t>
  </si>
  <si>
    <t>MILP-CT02CONTRATO</t>
  </si>
  <si>
    <t>Implantação LPS no projeto Araguaia</t>
  </si>
  <si>
    <t>PHDO-ITAP-PR01-Rev.02</t>
  </si>
  <si>
    <t>ITAP-CT01CONTRATO</t>
  </si>
  <si>
    <t>Desenvolvimento do Planejamento na sede da Itapoços</t>
  </si>
  <si>
    <t>PHDC-TRAC-PR22-Rev.01</t>
  </si>
  <si>
    <t>TRAC-CT09CONTRATO</t>
  </si>
  <si>
    <t>Estudo de Construtibilidade para instalação das novas bases das Balanças Ferroviárias (SE 2427), da Vale, Carajás Serra Norte, Carajás-PA.</t>
  </si>
  <si>
    <t>PHDO-COGE-PR01-REV.03</t>
  </si>
  <si>
    <t>COGE-CT01CONTRATO</t>
  </si>
  <si>
    <t>PHDA-DESA-PR01-REV.02</t>
  </si>
  <si>
    <t>DESA-CT01CONTRATO</t>
  </si>
  <si>
    <t>PHDA-INTE-PR02-Rev.00</t>
  </si>
  <si>
    <t>INTE-CT01CONTRATO</t>
  </si>
  <si>
    <t>PRESTAÇÃO DE SERVIÇOS ASSESSORIA TÉCNICA E CAPACITAÇÃO DO PROFISSIONAL DA INTECH PARA A REALIZAÇÃO DA DOCUMENTAÇÃO RENOVA DE GESTÃO E PLANEJAMENTO PARA O PROJETO DE REVESTIMENTO 
DE TALUDES COM MANTA BIOVEGETAL E PLANTIO DE GRAMA VIA HIDROSSEMEADURA</t>
  </si>
  <si>
    <t>PHDA-SERV-PR01-Rev.00</t>
  </si>
  <si>
    <t>SRVC-CT01CONTRATO</t>
  </si>
  <si>
    <t>PHDA-BRG-PR05-Rev.04</t>
  </si>
  <si>
    <t>BRGC-CT03CONTRATO</t>
  </si>
  <si>
    <t>Serviço de planejamento para implantação de obras civis de reparação de barragem em Brumadinho</t>
  </si>
  <si>
    <t>PHDO-TRAC-PR02-Rev.00</t>
  </si>
  <si>
    <t>TRAC-CT06CONTRATO</t>
  </si>
  <si>
    <t>ELABORAÇÃO DE CRONOGRAMA PARA O PROJETO GESTÃO DE ÁGUA - ORIXIMINÁ-PA</t>
  </si>
  <si>
    <t>PHDO-BRG-PR06-Rev.03</t>
  </si>
  <si>
    <t>BRGC-CT04CONTRATO</t>
  </si>
  <si>
    <t xml:space="preserve">SERVIÇO DE PLANEJAMENTO E MEDIÇÃO NO PROJETO PONTE DE ARAME </t>
  </si>
  <si>
    <t>PHDO-CMP-PR02-Rev.02</t>
  </si>
  <si>
    <t>GCMP-CT02CONTRATO</t>
  </si>
  <si>
    <t>Planejamento Projeto Obras Civis Mina de Capanema</t>
  </si>
  <si>
    <t>PHDT-VAVE-PR06-Rev.00</t>
  </si>
  <si>
    <t>VAVE-CT05CONTRATO</t>
  </si>
  <si>
    <t>PHDA-TRAC-PR05-Rev.01</t>
  </si>
  <si>
    <t>TRAC-CT02CONTRATO</t>
  </si>
  <si>
    <t>PTO PROJETO SISTEMA PONTE DE ARAME</t>
  </si>
  <si>
    <t>PHDO-ALFA-PR13-Rev.01</t>
  </si>
  <si>
    <t>ALFA-CT05CONTRATO</t>
  </si>
  <si>
    <t>Planjemamento e Primavera Projeto de Desmontagem na mina de Miguel Burnier</t>
  </si>
  <si>
    <t>PHDC-PEEX-PR03-Rev.00</t>
  </si>
  <si>
    <t>PEEX-CT01CONTRATO</t>
  </si>
  <si>
    <t>Elaboração de PTO utilizando a metodologia AWP para projeto de Dosagem Aglomerante Organico Nibrasco</t>
  </si>
  <si>
    <t>PHDO-QUEB-PR01-Rev.01</t>
  </si>
  <si>
    <t>QUEB-CT01CONTRATO</t>
  </si>
  <si>
    <t xml:space="preserve">Planejamento do Parque Fotovoltaico São Gonçalo - Piauí - Fornecimento 01 Técnico de Planejamento
</t>
  </si>
  <si>
    <t>PHDC-UPTE-PR01-REV.03</t>
  </si>
  <si>
    <t>UPTE-CT03CONTRATO</t>
  </si>
  <si>
    <t>PHDO-NOBR-PR02-Rev.02</t>
  </si>
  <si>
    <t>NOBR-CT01CONTRATO</t>
  </si>
  <si>
    <t>Planejamento PDE Flanco Sul mina Água Limpa</t>
  </si>
  <si>
    <t>PHDA-ALFA-PR15-Rev.02</t>
  </si>
  <si>
    <t>ALFA-CT07CONTRATO</t>
  </si>
  <si>
    <t>Implantação LPS no projeto de beneficiamento de minério na Mina de Serra Azul - ArcelorMittal</t>
  </si>
  <si>
    <t>PHDC-VAVE-PR10-Rev.00</t>
  </si>
  <si>
    <t>VAVE-CT06CONTRATO</t>
  </si>
  <si>
    <t>Planejamento projeto Gongo Soco</t>
  </si>
  <si>
    <t>PHDO-ALUM-PR1-Rev.02</t>
  </si>
  <si>
    <t>ALUM-CT01CONTRATO</t>
  </si>
  <si>
    <t>PHDC-STER-PR01-Rev.02</t>
  </si>
  <si>
    <t>STER-CT01CONTRATO</t>
  </si>
  <si>
    <t>Construção e Planejamento, visando o desenvolvimento da modelagem 3D, desenvolvimento e atualização do Planejamento 4D para as obras do Interceptor, Canal paralelo e Viaduto do projeto Ribeirão Pampulha, em Belo Horizonte/MG.</t>
  </si>
  <si>
    <t>PHDL-CARD-PR20-Rev.01</t>
  </si>
  <si>
    <t>CARD-CT09CONTRATO</t>
  </si>
  <si>
    <t xml:space="preserve">Implantação da Metodologia LPS no projeto Itabiritos, nas Obras 306 e 307 (Mina de Miguel Burnier e Usina Gerdau), em Ouro Branco-MG. </t>
  </si>
  <si>
    <t>PHDT-CARD-PR21-Rev.00</t>
  </si>
  <si>
    <t>CARD-CT10CONTRATO</t>
  </si>
  <si>
    <t xml:space="preserve">Serviço especializado visando a disponibilização do Treinamento “LPS na Prática” para o time de colaboradores da Cardan, em Ouro Branco/MG. </t>
  </si>
  <si>
    <t>PHDC-TRAC-PR36-Rev.00</t>
  </si>
  <si>
    <t>TRAC-CT12CONTRATO</t>
  </si>
  <si>
    <t>Serviço especializado de assessoria em Engenharia de Construção e Planejamento, visando o desenvolvimento de Plano de Construtibilidade para o projeto de adequação das válvulas da filtragem a disco, em Serra Norte, da Vale, em Parauapebas/PA.</t>
  </si>
  <si>
    <t>PHDO-ALFA-PR20-Rev.01</t>
  </si>
  <si>
    <t>ALFA-CT08</t>
  </si>
  <si>
    <t>ALFA-CT08-ITAT</t>
  </si>
  <si>
    <t>ALFA-CT08P</t>
  </si>
  <si>
    <t>ALFA-CT08CONTRATO</t>
  </si>
  <si>
    <t>Serviço especializado de gestão e planejamento, com fornecimento de mão de obra para atuação no setor de planejamento, no projeto de beneficiamento de minério, mina de Serra Azul, ArcelorMittal, em Itatiaiuçu-MG.</t>
  </si>
  <si>
    <t>PHDO-ALFA-PR04-Rev.00</t>
  </si>
  <si>
    <t>ALFA-CT01CONTRATO</t>
  </si>
  <si>
    <t>PHDA-HORI-PR01-REV.02</t>
  </si>
  <si>
    <t>HORI-CT01-FAZE</t>
  </si>
  <si>
    <t>HORI-CT01CONTRATO</t>
  </si>
  <si>
    <t>PHDO-DEGR-PR01-REV.00</t>
  </si>
  <si>
    <t>DEGR-CT01CONTRATO</t>
  </si>
  <si>
    <t>PHDA-ENES-PR01-REV.04 / PHDA-ENES-PR02-Rev.01 / PHDA-ENES-PR03-Rev.01 / PHDA-ENES-PR01-Rev.01 / PHDA-ENES-PR04-REV.02</t>
  </si>
  <si>
    <t>ENES-CT01CONTRATO</t>
  </si>
  <si>
    <t>PHDA-ARCA-PR01.REV.08</t>
  </si>
  <si>
    <t>ARCA-CT01CONTRATO</t>
  </si>
  <si>
    <t>PHDA-RIO-PR01-REV.00</t>
  </si>
  <si>
    <t>RIOS-CT01CONTRATO</t>
  </si>
  <si>
    <t>PHDO-COED-PR02-REV.01</t>
  </si>
  <si>
    <t>COED-CT02CONTRATO</t>
  </si>
  <si>
    <t>PHDO-BRG-PR03-REV.00</t>
  </si>
  <si>
    <t>BRGC-CT02CONTRATO</t>
  </si>
  <si>
    <t>PHDA-BLOS-PR01-Rev.01</t>
  </si>
  <si>
    <t>BLOS-CT01CONTRATO</t>
  </si>
  <si>
    <t>PTO Rio do Peixe</t>
  </si>
  <si>
    <t>PHDA-HORI-PR02-REV.02</t>
  </si>
  <si>
    <t>HORI-CT02CONTRATO</t>
  </si>
  <si>
    <t>PHDT-REAL-PR01-REV.04</t>
  </si>
  <si>
    <t>REAL-CT01CONTRATO</t>
  </si>
  <si>
    <t>PHDL-COED-PR03-REV.05</t>
  </si>
  <si>
    <t>COED-CT01CONTRATO</t>
  </si>
  <si>
    <t xml:space="preserve">PHD PR 021 2022 </t>
  </si>
  <si>
    <t>RIOS-CT02CONTRATO</t>
  </si>
  <si>
    <t>PHDO-PONT-PR02-REV.03</t>
  </si>
  <si>
    <t>PONT-CT01CONTRATO</t>
  </si>
  <si>
    <t>PHDO-PONT-PR03-REV.02</t>
  </si>
  <si>
    <t>PONT-CT02CONTRATO</t>
  </si>
  <si>
    <t>PHDO-SANT-PR02-REV.03</t>
  </si>
  <si>
    <t>SANT-CT01CONTRATO</t>
  </si>
  <si>
    <t>PHDA-VERU-PR01-Rev.01</t>
  </si>
  <si>
    <t>VERU-CT01CONTRATO</t>
  </si>
  <si>
    <t>PHDA-ALFA-PR01-REV.01</t>
  </si>
  <si>
    <t>ALFA-CT02CONTRATO</t>
  </si>
  <si>
    <t>2 PROJETOS DA ALFA,  PVU 15 24 MESES, ALTO FORNO 12 ATÉ OUTUBRO 2022 - GERDAU</t>
  </si>
  <si>
    <t>PHDA-ALFA-PR06-Rev.00</t>
  </si>
  <si>
    <t>ALFA-CT03CONTRATO</t>
  </si>
  <si>
    <t>PTO TERMINAL MARÍTIMO PONTA DA MADEIRA (TMPM) - SÃO LUIS</t>
  </si>
  <si>
    <t>PHDA-CARD-PR03-Rev.01</t>
  </si>
  <si>
    <t>CARD-CT02CONTRATO</t>
  </si>
  <si>
    <t>DESENVOLVIMENTO DE CRONOGRAMA BASE PARA ELABORAÇÃO DE PTO PARA PROJETO LAMINADOR STECKEL GERDAU</t>
  </si>
  <si>
    <t>PHDA-CIMC-PR01-Rev.01</t>
  </si>
  <si>
    <t>CIMC-CT01CONTRATO</t>
  </si>
  <si>
    <t>APOIO TÉCNICO PÓS CONTRATO</t>
  </si>
  <si>
    <t>PHDO-COED-PR01-REV.01</t>
  </si>
  <si>
    <t>COED-CT03CONTRATO</t>
  </si>
  <si>
    <t>TÉCNICO DE MEDIÇÃO PARA O PROJETO VARGEM GRANDE E INSERÇÃO DE UM ENG DE PLANJAMENTO OU UM TEC DE PANEJ NA REV 01</t>
  </si>
  <si>
    <t>PHDO-ALFA-PR07-Rev.01</t>
  </si>
  <si>
    <t>ALFA_TMSP</t>
  </si>
  <si>
    <t>ALFA-CT04CONTRATO</t>
  </si>
  <si>
    <t>FORNECIMENTO DE MÃO DE OBRA DE 01 SUPERVISOR DE PLANEJAMENTO PARA TERMINAL MARÍTIMO PONTA DA MADEIRA (TMPM) - SÃO LUIS</t>
  </si>
  <si>
    <t>PHD PR 017 2022 R4</t>
  </si>
  <si>
    <t>PONT-CT05CONTRATO</t>
  </si>
  <si>
    <t>PHDO-SALU-PR03-Rev.01</t>
  </si>
  <si>
    <t>SALU-CT01CONTRATO</t>
  </si>
  <si>
    <t>SERVIÇO ESPECIALIZADO DE PLANEJAMENTO COM FORNECIMENTO DE 01  ENGENHEIRO DE PLANEJAMENTO MARANHÃO</t>
  </si>
  <si>
    <t>PHDO-WORL-PR01-Rev.01</t>
  </si>
  <si>
    <t>WORL-CT01CONTRATO</t>
  </si>
  <si>
    <t>PHDA-TRAC-PR06-Rev.00</t>
  </si>
  <si>
    <t>TRAC-CT03CONTRATO</t>
  </si>
  <si>
    <t>PTO ETA JARDIM CRUZEIRO</t>
  </si>
  <si>
    <t>PHDA-CARD-PR02-Rev.03</t>
  </si>
  <si>
    <t>CARD-CT03CONTRATO</t>
  </si>
  <si>
    <t>PHDA-TRAC-PR09-Rev.01</t>
  </si>
  <si>
    <t>TRAC-CT05CONTRATO</t>
  </si>
  <si>
    <t>REVISÃO 01 - ELABORAÇÃO DE SERVIÇO DE PTO PONTE (PROJETO BACABA)</t>
  </si>
  <si>
    <t>PHDT-VAVE-PR02-Rev.03</t>
  </si>
  <si>
    <t>VAVE-CT04CONTRATO</t>
  </si>
  <si>
    <t>4 TREINAMENTOS: FUNDAMENTOS DE PLANEJAMENTO, MEDIÇÃO E PROJECT, LIDERANÇA E GESTÃO e LPS PARA A EQUIPE DA CONSTRUTORA VALE VERDE
REV. 03 MUDANÇA DAS DATAS DOS TREINAMENTOS</t>
  </si>
  <si>
    <t>PHDA-BRAS-PR03-Rev.01</t>
  </si>
  <si>
    <t>BRAS-CT02CONTRATO</t>
  </si>
  <si>
    <t>PHDT-CARD-PR08-Rev.00</t>
  </si>
  <si>
    <t>CARD-CT04CONTRATO</t>
  </si>
  <si>
    <t>TREINAMENTO DE FUNDAMENTOS DE PLANEJAMENTO</t>
  </si>
  <si>
    <t>PHDA-BRG -PR07-Rev.01</t>
  </si>
  <si>
    <t>BRGC-CT05CONTRATO</t>
  </si>
  <si>
    <t>PHDA-COLA-PR01-Rev.03</t>
  </si>
  <si>
    <t>COLA-CT01CONTRATO</t>
  </si>
  <si>
    <t>Replanejamento do projeto Descomissionamento de Barragem e Implantação LPS</t>
  </si>
  <si>
    <t>PHDA-DEGR-PR03-Rev.02</t>
  </si>
  <si>
    <t>DEGR-CT03CONTRATO</t>
  </si>
  <si>
    <t>Serviços especializados de Planejamento e medição para implantação de obras civis do Piso do Posto de Abastecimento Box 1, 2 , 3.</t>
  </si>
  <si>
    <t>PHDA-CMP-PR01-Rev.01</t>
  </si>
  <si>
    <t>GCMP-CT01C</t>
  </si>
  <si>
    <t>GCMP-CT01CONTRATO</t>
  </si>
  <si>
    <t>PTO Projeto Obras Civis Mina de Capanema</t>
  </si>
  <si>
    <t>PHDA-BRAS-PR09-Rev.02</t>
  </si>
  <si>
    <t>BRAS-CT03CONTRATO</t>
  </si>
  <si>
    <t>Elaboração de Memoriais Descritivos para o projeto do Sistema de Bombeamento Samarco</t>
  </si>
  <si>
    <t>PHDA-BLOS-PR02-Rev.04</t>
  </si>
  <si>
    <t>BLOS-CT02CONTRATO</t>
  </si>
  <si>
    <t>PTO Trocadores de Calor Hydro</t>
  </si>
  <si>
    <t>PHDA-BLOS-PR03-Rev.01</t>
  </si>
  <si>
    <t>BLOS-CT03CONTRATO</t>
  </si>
  <si>
    <t>PTO Adequações Granulométricas Hydro</t>
  </si>
  <si>
    <t>PHDA-BLOS-PR04-Rev.01</t>
  </si>
  <si>
    <t>BLOS-CT04CONTRATO</t>
  </si>
  <si>
    <t>PTO Bombeamento de Rejeito Vale - Fábrica</t>
  </si>
  <si>
    <t>PHDT-COLA-PR02-Rev.00</t>
  </si>
  <si>
    <t>COLA-CT02CONTRATO</t>
  </si>
  <si>
    <t>Treinamento LPS para até 25 pessoas</t>
  </si>
  <si>
    <t>PHDC-ADMB-PR07-Rev.02</t>
  </si>
  <si>
    <t>ADMB-CT02CONTRATO</t>
  </si>
  <si>
    <t>Construtibilidade Montagem DTDC</t>
  </si>
  <si>
    <t>PHDT-REAL-PR02-Rev.01</t>
  </si>
  <si>
    <t>REAL-CT03CONTRATO</t>
  </si>
  <si>
    <t>Treinamento Primavera para Projetos Industriais, para os colaboradores Real Estruturas</t>
  </si>
  <si>
    <t>SYMPLA</t>
  </si>
  <si>
    <t>REAL-CT04CONTRATO</t>
  </si>
  <si>
    <t>PHDC-ADMB-PR04-REV.07</t>
  </si>
  <si>
    <t>ADMB-CT05CONTRATO</t>
  </si>
  <si>
    <t>Realização de análise complementar em campo para avaliação do local de montagem e definição de estratégia a ser seguida no Plano de Construtibilidade realizado na planta da ADM do Brasil, em Três Corações/MG .</t>
  </si>
  <si>
    <t>PHDO-TERR-PR01-Rev.02</t>
  </si>
  <si>
    <t>TERR-CT01C</t>
  </si>
  <si>
    <t>TERR-CT01CONTRATO</t>
  </si>
  <si>
    <t>REVISÃO DA PROPOSTA PHD PR 046 2021 BARRAGEM MARAVILHAS III (CONTRATO) PARA FORMALIZAÇÃO DE ADITIVO DE PRAZO E VALOR</t>
  </si>
  <si>
    <t>PHDO-BRG-PR04-Rev.10</t>
  </si>
  <si>
    <t>BRGC-CT01CONTRATO</t>
  </si>
  <si>
    <t>SERVIÇO DE PLANEJAMENTO E MEDIÇÃO PROJETO HH CAPTAÇÃO RIO PARAOPEBA</t>
  </si>
  <si>
    <t>PHDO-CARD-PR03-Rev.07</t>
  </si>
  <si>
    <t>CARD-CT01C</t>
  </si>
  <si>
    <t>CARD-CT01CONTRATO</t>
  </si>
  <si>
    <t>REVISÃO DE PROPOSTA PARA ADITIVO DE CONTRATO DO PROJETO DA RENOVA</t>
  </si>
  <si>
    <t>PHDO-TRAC-PR01-Rev.08</t>
  </si>
  <si>
    <t>TRAC-CT01CONTRATO</t>
  </si>
  <si>
    <t>REVISÃO 4 DA PROPOSTA DO PROJETO BACABA - INCLUSÃO DE VISITA TÉCNICA - PR008</t>
  </si>
  <si>
    <t>PHDA-GERA-PR01-REV.01</t>
  </si>
  <si>
    <t>GERA-CT01CONTRATO</t>
  </si>
  <si>
    <t>PHDO-DEGR-PR02-Rev.02</t>
  </si>
  <si>
    <t>DEGR-CT02CONTRATO</t>
  </si>
  <si>
    <t>SERVIÇO DE PLANEJAMENTO PARA EXECUÇÃO DE OBRAS PARA CONSTRUÇÃO DE INSTALAÇÕES PREDIAIS, INSTALAÇÕES HIDRÁULICO SANITÁRIAS, INSTALAÇÕES ELÉTRICAS, ARQUITETURA, URBANISMO PARA IMPLANTAÇÃO DOS BENS PÚBLICOS COMPREENDENDO CAMPO DE FUTEBOL, VESTIÁRIO, QUADRA, ARENA PARA CAVALOS E SISTEMA DE ILUMINAÇÃO PARA CAMPO DE FUTEBOL, ÁREA DE CAVALOS ,BEM COMO IMPLANTAÇÃO DE SISTEMA DE DRENAGEM SUPERFICIAL E GRAMADO  NA COMUNIDADE DE PONTE DO GAMA, DISTRITO DE MONSENHOR HORTA,  MUNICÍPIO DE MARIANA – MINAS GERAIS
055 2022</t>
  </si>
  <si>
    <t>PHDA-BRAS-PR02-REV.03</t>
  </si>
  <si>
    <t>BRAS-CT01CONTRATO</t>
  </si>
  <si>
    <t>DESENVOLVIMENTO DO PEP PARA A NOVA CAPTAÇÃO ADUÇÃO GELADO CKS
051 2022</t>
  </si>
  <si>
    <t>PHDO-PONT-PR01-REV.01</t>
  </si>
  <si>
    <t>PONT-CT03CONTRATO</t>
  </si>
  <si>
    <t>SERVIÇO DE PLANJAMENTO DE OBRA DO PROJETO EXECUÇÃO DE ASFALTO - BAÇÃO</t>
  </si>
  <si>
    <t>PHDO-PONT-PR05-Rev.03</t>
  </si>
  <si>
    <t>PONT-CT04CONTRATO</t>
  </si>
  <si>
    <t>INCLUSÃO DE 01 TÉCNICO DE PLANEJAMENTO PARA O PROJETO DE HH EM BRUMADINHO</t>
  </si>
  <si>
    <t>PHDO-COED-PR04-Rev.00</t>
  </si>
  <si>
    <t>COED-CT04CONTRATO</t>
  </si>
  <si>
    <t>VGR PDE QUARTZITO -  PLANEJAMENTO COM 01 TÉCNICO DE PLANEJAMENTO</t>
  </si>
  <si>
    <t>PHDO-SOLA-PR01-Rev.05</t>
  </si>
  <si>
    <t>SOLA-CT01CONTRATO</t>
  </si>
  <si>
    <t>CONSULTORIA DE IMPLANTAÇÃO DO LPS - LAST PLANNER SYSTEM NA OBRA COM FOCO NO ENGAJAMENTO E DIRECIONAMENTO DAS ATIVIDADES NO CAMPO E REALIZAÇÃO DA GESTÃO A VISTA COM REPORT DIÁRIO</t>
  </si>
  <si>
    <t>PHDA-COED-PR05-Rev.03</t>
  </si>
  <si>
    <t>COED-CT05CONTRATO</t>
  </si>
  <si>
    <t>REVISÃO DA PROPOSTA PHDO-COED-PR05 - PLANEJAMENTO IMPLANTAÇÃO DA OBRA DE EXECUÇÃO DE DRENAGEM E INFRAESTRUTURA DA MINA DA MUTUCA</t>
  </si>
  <si>
    <t>PHDO-COED-PR06-Rev.01</t>
  </si>
  <si>
    <t>COED-CT06CONTRATO</t>
  </si>
  <si>
    <t>Planejamento de projeto de infraestrutura de taludes na mina de Vargem Grande</t>
  </si>
  <si>
    <t>PHDC-VAVE-PR05-Rev.03</t>
  </si>
  <si>
    <t>VAVE-CT02P</t>
  </si>
  <si>
    <t>VAVE-CT02CONTRATO</t>
  </si>
  <si>
    <t>Planejamento projeto Conceição</t>
  </si>
  <si>
    <t>VAVE-CT03CONTRATO</t>
  </si>
  <si>
    <t>PHDA-GONT-PR01-Rev.00</t>
  </si>
  <si>
    <t>GONT-CT01CONTRATO</t>
  </si>
  <si>
    <t>Assessoria Técnica na sede, com padronização de documentação e formatação do sistema de gestão da empresa</t>
  </si>
  <si>
    <t>PHDO-IMCS-PR01-Rev.01</t>
  </si>
  <si>
    <t>IMCS-CT01CONTRATO</t>
  </si>
  <si>
    <t>Planejamento na obra e elaboração de toda a doc de planejamento pro projeto de AVCB na Mina do Pico</t>
  </si>
  <si>
    <t>PHDA-ARCA-PR02-Rev.02</t>
  </si>
  <si>
    <t>ARCA-CT02CONTRATO</t>
  </si>
  <si>
    <t>CONTRATO GUARDA CHUVA - Revisão 02: alteração dos valores</t>
  </si>
  <si>
    <t>PHDA-TRAC-PR10-Rev.01</t>
  </si>
  <si>
    <t>TRAC-CT07CONTRATO</t>
  </si>
  <si>
    <t>Revisão PTO Ponte do Bacaba</t>
  </si>
  <si>
    <t>PHDO-GND-PR01-Rev.03</t>
  </si>
  <si>
    <t>GNDC-CT01CONTRATO</t>
  </si>
  <si>
    <t>Implantação de LPS e Planejamento da obra com fornecimento de mão de obra para a construção de um hospital</t>
  </si>
  <si>
    <t>PHDA-CONE-PR01-Rev.02</t>
  </si>
  <si>
    <t>CONE-CT01CONTRATO</t>
  </si>
  <si>
    <t xml:space="preserve">Assessoria Técnica, padronização e formatação do sistema de gestão </t>
  </si>
  <si>
    <t>PHDA-SIGD-PR01-Rev.06</t>
  </si>
  <si>
    <t>SIGD-CT01L</t>
  </si>
  <si>
    <t>SIGD-CT01CONTRATO</t>
  </si>
  <si>
    <t>Manutenção das rotinas de LPS no projeto do TCLD na mina de Capanema</t>
  </si>
  <si>
    <t>PHDC-ALFA-PR11-Rev.00</t>
  </si>
  <si>
    <t>ALFA-CT06GUARDA-CHUVA</t>
  </si>
  <si>
    <t>Guarda-Chuva - Atividades projeto Debottlenecking #2, Porto Alumar</t>
  </si>
  <si>
    <t>PHDC-UPTE-PR02-REV.00</t>
  </si>
  <si>
    <t>UPTE-CT01CONTRATO</t>
  </si>
  <si>
    <t xml:space="preserve"> PTO Expansão BSCI BHM</t>
  </si>
  <si>
    <t>PHDC-UPTE-PR03-REV.01</t>
  </si>
  <si>
    <t>UPTE-CT02CONTRATO</t>
  </si>
  <si>
    <t>PTO Construção Biofábrica - Projeto Wolbachia</t>
  </si>
  <si>
    <t>PHDO-VERE-PR01-Rev.03</t>
  </si>
  <si>
    <t>VERE-CT01CONTRATO</t>
  </si>
  <si>
    <t>Assessoria de Planejamento para o projeto de Contrução de 01 Viaduto em Conselheiro Lafaiete</t>
  </si>
  <si>
    <t>PHDO-COED-PR09-Rev.01</t>
  </si>
  <si>
    <t>COED-CT07CONTRATO</t>
  </si>
  <si>
    <t xml:space="preserve">Planejamento da montagem de Canteiro Permanente na mina de Vargem Grande
</t>
  </si>
  <si>
    <t>PHDG-COME-PR01-Rev.02</t>
  </si>
  <si>
    <t>MORI-CT01G</t>
  </si>
  <si>
    <t>MORI-CT01CONTRATO</t>
  </si>
  <si>
    <t>Gerenciamento de Planejamento e CAPEX do projeto de reforma do escritório da Comerc</t>
  </si>
  <si>
    <t>PHDC-ROOF-PR02-Rev.02</t>
  </si>
  <si>
    <t>ROOF-CT01CONTRATO</t>
  </si>
  <si>
    <t>PTO Projetos Linhas 8 e 9 do Metrô de SP</t>
  </si>
  <si>
    <t>PHDO-COED-PR10-Rev.02</t>
  </si>
  <si>
    <t>COED-CT09CONTRATO</t>
  </si>
  <si>
    <t>Planejamento e Medição projeto de construção de acessos para montagem de torres na mina de Fábrica</t>
  </si>
  <si>
    <t>PHDA-ÍMPA-PR01-Rev.02</t>
  </si>
  <si>
    <t>IMPA-CT01CONTRATO</t>
  </si>
  <si>
    <t>Gestão de Dados dos Projetos da empresa</t>
  </si>
  <si>
    <t>PHDA-COED-PR08-Rev.01</t>
  </si>
  <si>
    <t>COED-CT08CONTRATO</t>
  </si>
  <si>
    <t>Planejamento Descaracterização de Barragem VGR - BIM e AWP</t>
  </si>
  <si>
    <t>PHDA-QUEB-PR02-Rev.03</t>
  </si>
  <si>
    <t>QUEB-CT02CONTRATO</t>
  </si>
  <si>
    <t>PHDA-INTE-PR04-Rev.01</t>
  </si>
  <si>
    <t>INTE-CT02CONTRATO</t>
  </si>
  <si>
    <t>Assessoria de Planejamento projeto Contenção de Taludes - Prefeitura de Rio Piracicaba</t>
  </si>
  <si>
    <t>PHDO-PONT-PR08-Rev.01</t>
  </si>
  <si>
    <t>PONT-CT06CONTRATO</t>
  </si>
  <si>
    <t>Planejamento Projeto Bacia ECJ - Mina de Fábrica</t>
  </si>
  <si>
    <t>PHDC-UPTE-PR04-Rev.02</t>
  </si>
  <si>
    <t>UPTE-CT04CONTRATO</t>
  </si>
  <si>
    <t>PTO Biofábrica CTF Vale</t>
  </si>
  <si>
    <t>PHDC-PARE-PR02-Rev.00</t>
  </si>
  <si>
    <t>PARE-CT01CONTRATO</t>
  </si>
  <si>
    <t>Construtibilidade para o projeto S11D+20</t>
  </si>
  <si>
    <t>PHDC-REAL-PR01-Rev.04 / PHDC-REAL-PR03-Rev.01 / PHDT-REAL-PR04-Rev.01 / PHDC-REAL-PR03-Rev.02</t>
  </si>
  <si>
    <t>REAL-CT02CONTRATO</t>
  </si>
  <si>
    <t>PHDL-CONS-PR03-Rev.02</t>
  </si>
  <si>
    <t>CCAP-CT03CONTRATO</t>
  </si>
  <si>
    <t>Implantação LPS e direcionamento do AWP no projeto de Aglomeração a Frio e Envio Direto de Pelotas, na Gerdau</t>
  </si>
  <si>
    <t>PHDO-IMCS-PR05-Rev.02</t>
  </si>
  <si>
    <t>IMCS-CT03CONTRATO</t>
  </si>
  <si>
    <t>Planejamento e Medição projeto Floculantes e Chapéu Chinês - Carajás</t>
  </si>
  <si>
    <t>PHDD-ÍMPA-PR02-Rev.00</t>
  </si>
  <si>
    <t>IMPA-CT02CONTRATO</t>
  </si>
  <si>
    <t xml:space="preserve">Guarda Chuva - Gestão Estratégica de Dados da Empresa </t>
  </si>
  <si>
    <t>PHDD-GONT-PR02-Rev.02</t>
  </si>
  <si>
    <t>GONT-CT02CONTRATO</t>
  </si>
  <si>
    <t>Gestão Estratégica de Dados da Empresa - Comercial e DRE</t>
  </si>
  <si>
    <t>PHDC-TRAC-PR10-Rev.03</t>
  </si>
  <si>
    <t>TRAC-CT08CONTRATO</t>
  </si>
  <si>
    <t>Revisão Relatórios Projeto Bacaba</t>
  </si>
  <si>
    <t>PHDO-NOBR-PR03-Rev.01</t>
  </si>
  <si>
    <t>NOBR-CT02P</t>
  </si>
  <si>
    <t>NOBR-CT02CONTRATO</t>
  </si>
  <si>
    <t>Replanejamento Cronograma Relocação EFVM Gongo Soco</t>
  </si>
  <si>
    <t>PHDO-IMCS-PR06-Rev.01</t>
  </si>
  <si>
    <t>IMCS-CT04CONTRATO</t>
  </si>
  <si>
    <t>Planejamento e Medição projeto Tecnored</t>
  </si>
  <si>
    <t>PHDC-PARE-PR03-REV.02</t>
  </si>
  <si>
    <t>PARE-CT02CONTRATO</t>
  </si>
  <si>
    <t>Desenvolver Documentação de Construtibilidade para o projeto S11D+20</t>
  </si>
  <si>
    <t>PHDO-ENGM-PR01-Rev.01</t>
  </si>
  <si>
    <t>ENGM-CT01CONTRATO</t>
  </si>
  <si>
    <t>Planejamento do Projeto de montagem eletromecânica do Tanque de Ultrafinos, em Brucutu</t>
  </si>
  <si>
    <t>PHDC-ADMB-PR04-Rev.05</t>
  </si>
  <si>
    <t>ADMB-CT03CONTRATO</t>
  </si>
  <si>
    <t>PTO Substituição Misturador Usina 2</t>
  </si>
  <si>
    <t>PHDO-ISOM-PR02-Rev.02</t>
  </si>
  <si>
    <t>ISOM-CT01CONTRATO</t>
  </si>
  <si>
    <t>Planejamento Fabricação RC 463</t>
  </si>
  <si>
    <t>PHDC-ENGF-PR01-REV.01</t>
  </si>
  <si>
    <t>ENGF-CT01CONTRATO</t>
  </si>
  <si>
    <t>Replanejamento Obras Civis Usina 1 - Carajás</t>
  </si>
  <si>
    <t>PHDL-MILP-PR05-Rev.02</t>
  </si>
  <si>
    <t>MILP-CT01CONTRATO</t>
  </si>
  <si>
    <t>Implantação LPS Mineroduto Hydro - Trechos 6 e 7</t>
  </si>
  <si>
    <t>PHDL-CARD-PR12-Rev.01</t>
  </si>
  <si>
    <t>CARD-CT05-LPSS</t>
  </si>
  <si>
    <t>CARD-CT05CONTRATO</t>
  </si>
  <si>
    <t>Implantação padrão LPS na Cardan</t>
  </si>
  <si>
    <t>PHDA-SIGD-PR03-Rev.01</t>
  </si>
  <si>
    <t>SIGD-CT02P</t>
  </si>
  <si>
    <t>SIGD-CT02CONTRATO</t>
  </si>
  <si>
    <t>Replanejamento e Assessoria de Planejamento para o projeto Sol de Jaíba</t>
  </si>
  <si>
    <t>PHDC-CARD-PR13-Rev.01</t>
  </si>
  <si>
    <t>CARD-CT06CONTRATO</t>
  </si>
  <si>
    <t>Planejamento 4D do Projeto do Sump na mina de Fábrica</t>
  </si>
  <si>
    <t>PHDO-TERR-PR05-Rev.04</t>
  </si>
  <si>
    <t>TERR-CT04CONTRATO</t>
  </si>
  <si>
    <t>Planejamento para
o projeto de obras civis visando
o Retaludamento no acesso do Prédio 4
e obras de drenagem na Serra do Curral, na Mina de Águas Claras, em Nova Lima/MG.</t>
  </si>
  <si>
    <t>PHDC-ADMB-PR10-Rev.00</t>
  </si>
  <si>
    <t>ADMB-CT04OS</t>
  </si>
  <si>
    <t>OS</t>
  </si>
  <si>
    <t>Execução do Vídeo do projeto de Montagem do novo DTDC, na planta de Campo Grande/MS</t>
  </si>
  <si>
    <t>PHDT-SALU-PR10-REV.01</t>
  </si>
  <si>
    <t>SALU-CT03CONTRATO</t>
  </si>
  <si>
    <t>Treinamento “Gerenciamento de Projetos em MS Project”</t>
  </si>
  <si>
    <t>PHDD-QUEB-PR04-Rev.02</t>
  </si>
  <si>
    <t>QUEB-CT03CONTRATO</t>
  </si>
  <si>
    <t xml:space="preserve">Padronização e controle de almoxarifado </t>
  </si>
  <si>
    <t>PHDO-HORI-PR06-Rev.04</t>
  </si>
  <si>
    <t>HORI-CT03P</t>
  </si>
  <si>
    <t>HORI-CT03CONTRATO</t>
  </si>
  <si>
    <t>Serviço especializado de assessoria em gestão e planejamento do projeto, visando a estruturação e acompanhamento do planejamento de engenharia para o desenvolvimento de projetos conceituais para a Requalificação de Brumadinho, desenvolvido pela Horizontes</t>
  </si>
  <si>
    <t>PHDT-PARE-PR04-Rev.02</t>
  </si>
  <si>
    <t>PARE-CT03CONTRATO</t>
  </si>
  <si>
    <t>Serviço especializado de capacitação profissional, com disponibilização do Treinamento “Introdução ao BIM, LPS e AWP”, para a equipe da Parex Engenharia .</t>
  </si>
  <si>
    <t>PHDC-SM&amp;A-PR05-Rev.01</t>
  </si>
  <si>
    <t>SM&amp;A-CT01CONTRATO</t>
  </si>
  <si>
    <t>Plano de Construtibilidade e Cronograma de Execução - Substituição Geradores Porto de Tubarão</t>
  </si>
  <si>
    <t>PHDL-CCAP-PR04-Rev.03</t>
  </si>
  <si>
    <t>CCAP-CT04-PLANS</t>
  </si>
  <si>
    <t>CCAP-CT04CONTRATO</t>
  </si>
  <si>
    <t>padronização da documentação, gestão da qualidade do cronograma e inteligência para controle dos KPI’s dos projetos da Construcap</t>
  </si>
  <si>
    <t>PHDO-SANT-PR02-Rev.01</t>
  </si>
  <si>
    <t>SANT-CT02P</t>
  </si>
  <si>
    <t>SANT-CT02CONTRATO</t>
  </si>
  <si>
    <t>Prestação de serviço especializado em consultoria de gestão e planejamento, que inclui o fornecimento de mão de obra para realizar a assessoria na atualização e adaptação do cronograma referente à obra da Construtora Santanna em Belo Vale/MG .</t>
  </si>
  <si>
    <t>PHDO-TERR-PR06-Rev.05</t>
  </si>
  <si>
    <t>TERR-CT05CONTRATO</t>
  </si>
  <si>
    <t>Serviço especializado de gestão e planejamento, com fornecimento de mão de obra para direcionamento padronização de planejamento e implantação do LPS na sede e em 04 projetos da Terrabel .</t>
  </si>
  <si>
    <t>PHDC-ADMB-PR13-Rev.01</t>
  </si>
  <si>
    <t>ADMB-CT06OS</t>
  </si>
  <si>
    <t>Desenvolvimento do escaneamento e modelagem 3D para o projeto da moega, no Porto de Santos</t>
  </si>
  <si>
    <t>PHDC-ADMB-PR14-Rev.01</t>
  </si>
  <si>
    <t>ADMB-CT07CONTRATO</t>
  </si>
  <si>
    <t>Desenvolvimento Vídeo Simulação projeto do novo DTDC na planta da ADM de Uberlândia</t>
  </si>
  <si>
    <t>PHDC-CBML-PR01-Rev.03</t>
  </si>
  <si>
    <t>CBML-CT01CONTRATO</t>
  </si>
  <si>
    <t>Serviço especializado de assessoria em Engenharia de Construção e Planejamento, visando a elaboração de vídeo de construtibilidade da construção dos trechos Flanco Sul e Flanco Norte .</t>
  </si>
  <si>
    <t>PHDC-BRAS-PR17-Rev.03</t>
  </si>
  <si>
    <t>BRAS-CT04CONTRATO</t>
  </si>
  <si>
    <t>Serviço especializado de assessoria em Engenharia de Construção e Planejamento, visando o desenvolvimento do Plano de Construtibilidade para o projeto detalhado da Estação Elevatória de Esgoto de Fábrica, na mina de Fábrica - Vale, em Ouro Preto/MG .</t>
  </si>
  <si>
    <t>PHDC-ADMB-PR15-Rev.03</t>
  </si>
  <si>
    <t>ADMB-CT08OS</t>
  </si>
  <si>
    <t>Serviço especializado de assessoria em Engenharia de Construção e Planejamento, visando a elaboração de Vídeo Simulação da Metodologia Executiva para o projeto de expansão na planta da ADM do Brasil, em Uberlândia/MG</t>
  </si>
  <si>
    <t>PHDC-ADMB-PR16-Rev.01</t>
  </si>
  <si>
    <t>ADMB-CT09OS</t>
  </si>
  <si>
    <t>Serviço especializado de assessoria em Engenharia de Construção e Planejamento, visando a elaboração do Plan o de Construtibilidade e Cronograma para o projeto do Retrofit da Sala Elétrica na planta da ADM do Brasil, em Uberlândia/MG</t>
  </si>
  <si>
    <t>PHDO-CCAP-PR07-Rev.00</t>
  </si>
  <si>
    <t>CCAP-CT05CONTRATO</t>
  </si>
  <si>
    <t>Gestão e planejamento no projeto de descaracterização de barragem na mina de Conceição, Vale, em Itabira/MG .</t>
  </si>
  <si>
    <t>PHDC-MILP-PR09-Rev.01</t>
  </si>
  <si>
    <t>MILP-CT03CONTRATO</t>
  </si>
  <si>
    <t>Assessoria em Engenharia de Construção e Planejamento, visando o desenvolvimento do Planejamento 4 D para o projeto do Laminador Steckel , Gerdau, em Ouro Branco/MG</t>
  </si>
  <si>
    <t>PHDL-CARD-PR15-Rev.03</t>
  </si>
  <si>
    <t>CARD-CT07CONTRATO</t>
  </si>
  <si>
    <t>Implantação do LPS no projeto da Unidade de Armazenamento a Seco de Combustível Irradiado em Angra lll.</t>
  </si>
  <si>
    <t>PHDO-CCAP-PR10-Rev.04</t>
  </si>
  <si>
    <t>CCAP-CT06OS</t>
  </si>
  <si>
    <t>Gestão e planejamento, com disponibilização de mão de obra, visando o desenvolvimento do planejamento em 01 (um) projeto de unidade A100, em Paulínia - SP - Fase 04</t>
  </si>
  <si>
    <t>PHDC-BRAS-PR26-Rev.01</t>
  </si>
  <si>
    <t>BRAS-CT05CONTRATO</t>
  </si>
  <si>
    <t>Plano Preliminar de canteiro e de execução , para o projeto da Estação de Bombeamento e rota de Mineroduto entre a Planta ITM Compactos até Terminal de Cargas TF 1 , Usiminas, em Serra Azul/MG .</t>
  </si>
  <si>
    <t>PHDC-ANDR-PR03-Rev.01</t>
  </si>
  <si>
    <t>ANDR-CT01CONTRATO</t>
  </si>
  <si>
    <t>Desenvolvimento do Cronograma Projeto Unidades A e B", referente ao desenvolvimento do cronograma para o projeto de Construção Civil e Montagem dos 11 Lotes referentes ao TREM 2 da RNEST - UNIDADES A e B</t>
  </si>
  <si>
    <t>PHDC-ANDR-PR05-Rev.01</t>
  </si>
  <si>
    <t>ANDR-CT02CONTRATO</t>
  </si>
  <si>
    <t>Serviços de complementação de projeto executivo, construção, montagem, ajustes, reparos e desmontagens, adequações, comissionamento, assistência à pré-operação, assistência à operação assistida e fornecimento de bens para a Construção Civil e Montagem das seguintes unidades da Refinaria do Nordeste – Abreu e Lima.</t>
  </si>
  <si>
    <t>PHDO-IMCS-PR03-Rev.01</t>
  </si>
  <si>
    <t>IMCS-CT02CONTRATO</t>
  </si>
  <si>
    <t>Projeto AVCB Minas Complexo Paraopeba (Vale)</t>
  </si>
  <si>
    <t>PHDO-ENGF-PR07-Rev.09</t>
  </si>
  <si>
    <t>ENGF-CT02CONTRATO</t>
  </si>
  <si>
    <t>LPS com foco no avanço físico do projeto de construção do hospital Barra D’Or, no Rio de Janeiro/RJ .</t>
  </si>
  <si>
    <t>PHDO-NOBR-PR06-Rev.00</t>
  </si>
  <si>
    <t>NOBR-CT04CONTRATO</t>
  </si>
  <si>
    <t>Gestão e planejamento, visando o apoio no desenvolvimento do Plano de Trabalho da Obra no projeto da Ferrovia de Integração Centro Oeste (FICO) – Lote 4, em Crixás/GO.</t>
  </si>
  <si>
    <t>PHDC-SERE-PR02-Rev.02</t>
  </si>
  <si>
    <t>SERE-CT01CONTRATO</t>
  </si>
  <si>
    <t>Serviço especializado de assessoria em Engenharia de Construção e Planejamento, visando a implantação do AWP, desenvolvimento do Plano de Construtibilidade, Plano de Suprimentos e Planejamento 4 D do projeto básico da Ciclonagem Terciária, Hydro, em Paragominas/PA.</t>
  </si>
  <si>
    <t>PHDC-BRAS-PR21-Rev.02</t>
  </si>
  <si>
    <t>BRAS-CT06CONTRATO</t>
  </si>
  <si>
    <t>Engenharia de Construção e Planejamento, visando o desenvolvimento de 5 alternativas para o projeto Conceitual de um programa de britagem e um sistema de manuseio de materiais para a produção de minério de ferro em MG.</t>
  </si>
  <si>
    <t>PHDO-CCAP-PR11-Rev.03</t>
  </si>
  <si>
    <t>CCAP-CT07OS</t>
  </si>
  <si>
    <t>Gestão e planejamento, com disponibilização de mão de obra, visando o desenvolvimento do planejamento em 01 (um) projeto de unidade A100, em Jundiaí - SP. - Fase 05</t>
  </si>
  <si>
    <t>PHDC-APIA-PR 02-Rev.03</t>
  </si>
  <si>
    <t>APIA-CT01CONTRATO</t>
  </si>
  <si>
    <t>Desenvolvimento do Replanejamento do Cronograma do Projeto, em Mariana/MG, pelo Consórcio Ápia e Real Estruturas.</t>
  </si>
  <si>
    <t>PHDO-NOBR-PR04-Rev.02</t>
  </si>
  <si>
    <t>NOBR-CT03CONTRATO</t>
  </si>
  <si>
    <t>Gestão e planejamento, com fornecimento de mão de obra para o Replanejamento do projeto do Sistema de Drenagem (canaletas) na Mina de Brucutu, Vale, em São Gonçalo do Rio Abaixo/MG</t>
  </si>
  <si>
    <t>PHDC-ESTE-PR02-Rev.04</t>
  </si>
  <si>
    <t>ESTE-CT01CONTRATO</t>
  </si>
  <si>
    <t xml:space="preserve">Serviço especializado de assessoria em Engenharia de Construção e Planejamento, com disponibilização de mão de obra, para o desenvolvimento do plano de trabalho no projeto de instalação da planta para produção de Silicato de Sódio da Vale, em Vitória/ES. </t>
  </si>
  <si>
    <t>PHDC-GERD-PR04-Rev.03</t>
  </si>
  <si>
    <t>GERD-CT01CONTRATO</t>
  </si>
  <si>
    <t>Plano de Construtibilidade e Simulação 3D para o projeto do novo sistema de Despoeiramento do Alto Forno 01, na Gerdau, em Ouro Branco/MG.</t>
  </si>
  <si>
    <t>PHDO-RIOS-PR07-Rev.01</t>
  </si>
  <si>
    <t>RIOS-CT03CONTRATO</t>
  </si>
  <si>
    <t>Serviço especializado de gestão e planejamento, com fornecimento de mão de obra para a padronização da documentação de planejamento (plano diretor e atualização do cronograma) para a sede da Riosul Construções.</t>
  </si>
  <si>
    <t>PHDO-EMPA-PR03-Rev.01</t>
  </si>
  <si>
    <t>EMPA-CT02L</t>
  </si>
  <si>
    <t>EMPA-CT02CONTRATO</t>
  </si>
  <si>
    <t>Serviço especializado de gestão, planejamento, com fornecimento de mão de obra para projeto de execução de obras civis, drenagens, terraplanagem, obras de arte especais e outras atividades, referente à construção do Pacote 1B e trecho parcial do Pacote 1ª da FICO – Ferrovia de Integração Centro-Oeste, nos municípios de Mara Rosa, Alto Horizonte, Nova Iguaçu de Goiás e Santa Terezinha, ambos no estado de Goiás.</t>
  </si>
  <si>
    <t>PHDC-EMPA-PR04-Rev.01</t>
  </si>
  <si>
    <t>Serviço especializado de Assessoria em Engenharia de Construção e Planejamento visando o apoio na elaboração do Plano de Trabalho de Obra (PTO) do projeto de execução de obras civis, drenagens, terraplanagem, obras de arte especiais e outras atividades, referente à construção do Pacote 1B e trecho parcial do Pacote 1A da FICO, no estado de Goiás.</t>
  </si>
  <si>
    <t>PHDO-TERR-PR08-Rev.01</t>
  </si>
  <si>
    <t>TERR-CT06C</t>
  </si>
  <si>
    <t>TERR-CT06CONTRATO</t>
  </si>
  <si>
    <t>Plano de Trabalho de Obra (PTO) do projeto de obras civis visando a Recuperação de Área Degradada – Km 145, pertencente à Vale, na Mina de Fábrica, em Ouro Preto/MG.</t>
  </si>
  <si>
    <t>PHDC-CCAP-PR01-Rev.02</t>
  </si>
  <si>
    <t>CCAP-CT01CONTRATO</t>
  </si>
  <si>
    <t>Elaboração de PTO PARA O Projeto de montagem do TCLD na mina de Capanema</t>
  </si>
  <si>
    <t>PHDL-CCAP-PR14-Rev.01</t>
  </si>
  <si>
    <t>CCAP-CT10CONTRATO</t>
  </si>
  <si>
    <t>Implantação da metodologia LPS no projeto de execução de obras civis na planta da ArcelorMittal, em João Monlevade.</t>
  </si>
  <si>
    <t>PHDC-CCAP-PR23-Rev.02</t>
  </si>
  <si>
    <t>CCAP-CT12CONTRATO</t>
  </si>
  <si>
    <t xml:space="preserve">Elaboração da Estratégia Construtiva, Cronograma e Histograma para Proposta Técnica da Construcap, visando a construção da ETE, ETA e ETAC da nova planta da Arauco, em Inocência/MS. </t>
  </si>
  <si>
    <t>PHDT-CT01</t>
  </si>
  <si>
    <t>PHDT-CT01-TLPS</t>
  </si>
  <si>
    <t>PHDT-CT01CONTRATO</t>
  </si>
  <si>
    <t>PHDB-IHMS-PR01-Rev.00</t>
  </si>
  <si>
    <t>IHMS-CT01CONTRATO</t>
  </si>
  <si>
    <t>Desenvolvimento de Modelos BIM para o empreendimento Área 56ª - Subestação principal 230 kV, na Alunorte, no Estado do Pará.</t>
  </si>
  <si>
    <t>PHDT-MILP-PR13-Rev.02</t>
  </si>
  <si>
    <t>MILP-CT05CONTRATO</t>
  </si>
  <si>
    <t xml:space="preserve">Serviço especializado visando a disponibilização do Treinamento “LPS na Prática” para um time de colaboradores da Milplan. </t>
  </si>
  <si>
    <t>PHDC-CARD-PR19-Rev.01</t>
  </si>
  <si>
    <t>CARD-CT08CONTRATO</t>
  </si>
  <si>
    <t>Serviço especializado de gestão e planejamento, com disponibilização de mão de obra, visando o desenvolvimento do Plano de Trabalho de Obra (PTO) e a estruturação do planejamento no projeto Itabiritos da Gerdau, em Ouro Branco-MG.</t>
  </si>
  <si>
    <t>PHDB-DOIS-PR02-Rev.01</t>
  </si>
  <si>
    <t>DOIS-CT01CONTRATO</t>
  </si>
  <si>
    <t>Desenvolvimento de Modelos BIM para o empreendimento Parque Eólico composto de 15 Aerogeradores da Dois A Incorporações, em Areia Branca-RN.</t>
  </si>
  <si>
    <t>PHDT-FORT-PR03-Rev.03</t>
  </si>
  <si>
    <t>FORT-CT01T</t>
  </si>
  <si>
    <t>FORT-CT01CONTRATO</t>
  </si>
  <si>
    <t xml:space="preserve"> Treinamento "Primavera para Projetos Industriais" para o time de colaboradores da Fortes, em Vitória-ES</t>
  </si>
  <si>
    <t>PHDC-CRET-PR04-Rev.00</t>
  </si>
  <si>
    <t>CRET-CT02CONTRATO</t>
  </si>
  <si>
    <t xml:space="preserve">Desenvolvimento do PTO – Plano de Trabalho de Obra Básico para o projeto da Rede de Incêndio Autônoma, da Ferroport no Porto do Açu, em Barra de São João-RJ. </t>
  </si>
  <si>
    <t>PHDO-TECN-PR01-Rev.01</t>
  </si>
  <si>
    <t>TECN-CT01C</t>
  </si>
  <si>
    <t>TECN-CT01CONTRATO</t>
  </si>
  <si>
    <t>Serviço especializado de gestão e planejamento, com disponibilização de mão de obra, junto a Tecnosonda, visando a elaboração do PTO do projeto de SUMP2 e Acesso Sul e Norte com contenção de talude, para Vale, na mina de Brucutu, em São Gonçalo do Rio Abaixo-MG.</t>
  </si>
  <si>
    <t>PHDC-REAL-PR08-Rev.00</t>
  </si>
  <si>
    <t>REAL-CT05CONTRATO</t>
  </si>
  <si>
    <t>Desenvolvimento do Replanejamento do projeto de montagem e desmontagem de Máquina de Pátio, na Mina de Conceição, Vale, em Itabira/MG.</t>
  </si>
  <si>
    <t>PHDO-BALI-PR01-Rev.02</t>
  </si>
  <si>
    <t>BALI-CT01CONTRATO</t>
  </si>
  <si>
    <t xml:space="preserve">Serviço especializado de assessoria de gestão e planejamento, visando o desenvolvimento do PTO e planejamento do projeto de Interseção no trevo da Av. Michael Pereira de Souza, no acesso norte da entrada de Congonhas-MG. </t>
  </si>
  <si>
    <t>PHDO-CARD-PR22-Rev.01</t>
  </si>
  <si>
    <t>CARD-CT11CONTRATO</t>
  </si>
  <si>
    <t>Serviço especializado de gestão e planejamento, com disponibilização de mão de obra, visando o desenvolvimento do planejamento projeto de filtragem da Gerdau, na Usina em Ouro Branco-MG.</t>
  </si>
  <si>
    <t>PHDO-ATRI-PR04-Rev.04</t>
  </si>
  <si>
    <t>ATRI-CT01CONTRATO</t>
  </si>
  <si>
    <t>Serviço especializado de gestão e planejamento, com disponibilização de mão de obra, visando o desenvolvimento do planejamento no projeto de Execução de obras civis – TECA, Edificações de Apoio/Guaritas e Via de serviço 02, realizado pela Atrium, no Aeroporto Internacional de Foz do Iguaçu/PR.</t>
  </si>
  <si>
    <t>PHDO-ECPE-PR01-Rev.00</t>
  </si>
  <si>
    <t>ECPE-CT01CONTRATO</t>
  </si>
  <si>
    <t>Serviço especializado de planejamento e medição para projeto de execução de pavimentação com o objetivo de melhorias em vias públicas urbanas, para Vale, em São José da Varginha-MG.</t>
  </si>
  <si>
    <t>PHDL-EMPA-PR01-Rev.05</t>
  </si>
  <si>
    <t>EMPA-CT01L</t>
  </si>
  <si>
    <t>EMPA-CT01ADITIVO</t>
  </si>
  <si>
    <t>Serviço especializado de assessoria executiva e especializada de gestão, planejamento e implantação da Metodologia LPS, junto a Empa,  no projeto de Descaracterização da Barragem Campo Grande, da Vale, em Mariana/MG.</t>
  </si>
  <si>
    <t>PHDT-INTT-PR01-Rev.03</t>
  </si>
  <si>
    <t>INTT-CT01CONTRATO</t>
  </si>
  <si>
    <t xml:space="preserve">Serviço especializado visando a disponibilização de Treinamento de Planejamento para o time de colaboradores da Intertechne. </t>
  </si>
  <si>
    <t>PHDO-TERR-PR04-Rev.03</t>
  </si>
  <si>
    <t>TERR-CT03CONTRATO</t>
  </si>
  <si>
    <t>Planejamento e medição projeto Recuperação Km 158 RFA</t>
  </si>
  <si>
    <t>PHDO-ALCO-PR01-Rev.02</t>
  </si>
  <si>
    <t>ALCO-CT01CONTRATO</t>
  </si>
  <si>
    <t>André Guimarães</t>
  </si>
  <si>
    <t>Serviço especializado de Engenharia de Construção e Planejamento, com fornecimento de mão de obra para prestação de serviços de cross check de planejamento e replanejamento, incluindo construtibilidade detalhada de projetos non-compliance cases, para a implantação de projetos de capital (CAPEX) e non-Capital das unidades da Alcoa em São Luís-MA.</t>
  </si>
  <si>
    <t>PHDL-EMPA-PR01-Rev.02</t>
  </si>
  <si>
    <t>EMPA-CT01CONTRATO</t>
  </si>
  <si>
    <t>Implantação LPS e Assesssoria de Planejamento no projeto de descaracterização da barragem de Campo Grande</t>
  </si>
  <si>
    <t>PHDO-CCAP-PR15-Rev.02</t>
  </si>
  <si>
    <t>CCAP-CT09CONTRATO</t>
  </si>
  <si>
    <t>Desenvolvimento do planejamento no projeto realizado pela Construcap, na Gerdau, em Ouro Branco</t>
  </si>
  <si>
    <t>PHDO-CCAP-PR15-Rev.05</t>
  </si>
  <si>
    <t>CCAP-CT09ADITIVO</t>
  </si>
  <si>
    <t>PHDO-CCAP-PR15-Rev.06</t>
  </si>
  <si>
    <t>PHDC-ADMB-PR27-Rev.00</t>
  </si>
  <si>
    <t>ADMB-CT12CONTRATO</t>
  </si>
  <si>
    <t xml:space="preserve">Serviço especializado de assessoria em Engenharia de Construção e Planejamento, visando o elaboração da adequação do Vídeo Simulação da Metodologia Executiva para o projeto de expansão na planta da ADM do Brasil, em Uberlândia-MG. </t>
  </si>
  <si>
    <t>PHDC-GERD-PR03-Rev.01</t>
  </si>
  <si>
    <t>GERD-CT02CONTRATO</t>
  </si>
  <si>
    <t xml:space="preserve"> Plano de Construtibilidade Básico para o projeto do Peneiramento do AF01 e AF02, na Gerdau, em Ouro Branco/MG.</t>
  </si>
  <si>
    <t>PHDC-GERD-PR05-Rev.02</t>
  </si>
  <si>
    <t>GERD-CT03CONTRATO</t>
  </si>
  <si>
    <t>Desenvolvimento do Plano de Construtibilidade Básico para o projeto dos Silos da Aciaria, na Gerdau, Ouro Branco-MG.</t>
  </si>
  <si>
    <t>PHDC-GERD-PR09-Rev.01</t>
  </si>
  <si>
    <t>GERD-CT04CONTRATO</t>
  </si>
  <si>
    <t xml:space="preserve">Desenvolvimento do Plano de Construtibilidade para o projeto de despoeiramento da planta da Aciaria, na Gerdau, em Ouro Branco-MG. </t>
  </si>
  <si>
    <t>PHDC-SERE-PR05-Rev.01</t>
  </si>
  <si>
    <t>SERE-CT02CONTRATO</t>
  </si>
  <si>
    <t>Plano de Construtibilidade Conceitual para o projeto de flotação, da Hydro, em Paragominas-PA.</t>
  </si>
  <si>
    <t>PHDE-ARCL-PR01-Rev.03</t>
  </si>
  <si>
    <t>ARCL-CT01CONTRATO</t>
  </si>
  <si>
    <t>Desenvolvimento da Excelência em Planejamento da Arclean (Estruturação dos padrões e modelos de Planejamento), visando garantir que as diretrizes e modelos sejam adotadas pela sede e replicadas em todos os projetos desenvolvidos pela empresa.</t>
  </si>
  <si>
    <t>PHDO-SALU-PR18-Rev.00</t>
  </si>
  <si>
    <t>SALU-CT07CONTRATO</t>
  </si>
  <si>
    <t>Desenvolvimento de Planejamento para o projeto de execução da Estrutura de Contenção ECJ Fase 02 (Acessos e Bueiros), no Dique Minervino – Sistema Pontal, Vale, em Itabira/MG.</t>
  </si>
  <si>
    <t>AENA-CT01CONTRATO</t>
  </si>
  <si>
    <t>PHDO-CCAP-PR02-Rev.02</t>
  </si>
  <si>
    <t>CCAP-CT02-TCLD</t>
  </si>
  <si>
    <t>CCAP-CT02CONTRATO</t>
  </si>
  <si>
    <t>Equipe para o Projeto de montagem do TCLD na mina de Capanema</t>
  </si>
  <si>
    <t>PHDO-CCAP-PR02-Rev.08</t>
  </si>
  <si>
    <t>CCAP-CT02ADITIVO</t>
  </si>
  <si>
    <t>PHDO-CCAP-PR02-Rev.09</t>
  </si>
  <si>
    <t>PHDO-SALU-PR08-Rev.04</t>
  </si>
  <si>
    <t>SALU-CT02L</t>
  </si>
  <si>
    <t>SALU-CT02CONTRATO</t>
  </si>
  <si>
    <t>Planejamento e LPS projeto Itabiritos UTM2, Gerdau</t>
  </si>
  <si>
    <t>PHDO-SALU-PR08-Rev.08</t>
  </si>
  <si>
    <t>SALU-CT02ADITIVO</t>
  </si>
  <si>
    <t>Desenvolviment do Planejamento e implantação LPS projeto Itabiritos UTM2, Gerdau</t>
  </si>
  <si>
    <t>PHDO-SALU-PR08-Rev.09</t>
  </si>
  <si>
    <t>PHDO-SALU-PR08-Rev.10</t>
  </si>
  <si>
    <t>PHDO-ATRI-PR09-REV.02</t>
  </si>
  <si>
    <t>ATRI-CT02CONTRATO</t>
  </si>
  <si>
    <t>Serviço especializado de gestão e planejamento, visando o desenvolvimento do Plano de Trabalho de Obra e planejamento no projeto de expansão do Aeroporto Catarina, em São Roque-SP.</t>
  </si>
  <si>
    <t>PHDO-IMCS-PR15-Rev.03</t>
  </si>
  <si>
    <t>IMCS-CT05CONTRATO</t>
  </si>
  <si>
    <t>Serviço especializado de planejamento e gestão, com fornecimento de equipe para implantação do projeto de obras civis e de montagem eletromecânica para construção e melhoria das edificações de apoio e administrativas e realocação de rede elétrica, no site de Integração/Utilidades da Tecnored, em Marabá/PA</t>
  </si>
  <si>
    <t>PHDO-IMCS-PR06-Rev.03</t>
  </si>
  <si>
    <t>IMCS-CT05ADITIVO</t>
  </si>
  <si>
    <t>TECNORED</t>
  </si>
  <si>
    <t>Aditivo - Planejamento e Medição projeto Tecnored</t>
  </si>
  <si>
    <t>PHDO-IMCS-PR15-Rev.04</t>
  </si>
  <si>
    <t>Serviço especializado de planejamento e gestão, com fornecimento de equipe para implantação do projeto de obras civis e de montagem eletromecânica para construção e melhoria das edificações de  apoio  e  administrativas  e  realocação  de  rede  elétrica, no site de Integração/Utilidades da Tecnored, em Marabá/PA.</t>
  </si>
  <si>
    <t>PHDO-IMCS-PR06-Rev.05</t>
  </si>
  <si>
    <t>Serviço especializado de gestão e planejamento, com fornecimento de mão de obra para desenvolvimento das documentações de pleito para o projeto de adequações no site de Integração/Utilidades da Tecnored, em Marabá-PA.</t>
  </si>
  <si>
    <t>PHDO-CKTR-PR01-Rev.05</t>
  </si>
  <si>
    <t>CKTR-CT01CONTRATO</t>
  </si>
  <si>
    <t>Serviço especializado de gestão e planejamento, visando o desenvolvimento do planejamento para o projeto do Canal do PDE Menezes III, pertencente à Vale, em Brumadinho/MG.</t>
  </si>
  <si>
    <t>PHDO-CIMC-PR03-Rev.01</t>
  </si>
  <si>
    <t>CIMC-CT03CONTRATO</t>
  </si>
  <si>
    <t>Serviço especializado de gestão e planejamento, com fornecimento de mão de obra para atuação no setor de planejamento, no projeto de descaracterização da barragem, mina de Serra Grande, AngloGold, em Crixás-GO.</t>
  </si>
  <si>
    <t>PHDE-LBDE-PR01-Rev.02</t>
  </si>
  <si>
    <t>LBDE-CT01CONTRATO</t>
  </si>
  <si>
    <t>Excelência em Planejamento LBD (Estruturação dos padrões e modelos de Planejamento), visando garantir que as diretrizes e modelos sejam adotadas pela sede e replicadas em todos os projetos desenvolvidos pela empresa.</t>
  </si>
  <si>
    <t>PHDL-PIAT-PR01-Rev.02</t>
  </si>
  <si>
    <t>PIAT-CT01CONTRATO</t>
  </si>
  <si>
    <t>Serviço especializado de assessoria técnica e executiva de gestão e planejamento, visando a Implantação da Metodologia LPS em projeto de soluções para mobilidade urbana na Estrada de Ferro Carajás, da Vale, no Estado do Maranhão.</t>
  </si>
  <si>
    <t>PHDC-ADMB-PR26-Rev.01</t>
  </si>
  <si>
    <t>ADMB-CT11CONTRATO</t>
  </si>
  <si>
    <t>Serviço especializado de assessoria em Engenharia de Construção e Planejamento, visando o desenvolvimento do Plano de Praticabilidade e Vídeo Simulação 3D, referente a Ampliação Crushing na Planta da ADM em Porto Franco-MA.</t>
  </si>
  <si>
    <t>PHDC-ADMB-PR26-Rev.02</t>
  </si>
  <si>
    <t>ADMB-CT11ADITIVO</t>
  </si>
  <si>
    <t>PHDC-FORT-PR04-Rev.02</t>
  </si>
  <si>
    <t>FORT-CT02GUARDA-CHUVA</t>
  </si>
  <si>
    <t xml:space="preserve">Serviço especializado de gestão e planejamento com disponibilização de mão de obra, para retirada de dúvidas sobre Primavera P6 conforme demanda da Fortes Engenharia, em Vitória-ES. </t>
  </si>
  <si>
    <t>PHDC-GERD-PR17-Rev.01</t>
  </si>
  <si>
    <t>GERD-CT07CONTRATO</t>
  </si>
  <si>
    <t xml:space="preserve">Serviço especializado de assessoria em Engenharia de Construção e Planejamento, visando o desenvolvimento do Plano de Construtibilidade para a recuperação estrutural do Prédio de Aciaria - Fundentes, na usina da Gerdau, em Ouro Branco-MG. </t>
  </si>
  <si>
    <t>PHDC-TRAC-PR07-Rev.03</t>
  </si>
  <si>
    <t>TRAC-CT10CONTRATO</t>
  </si>
  <si>
    <t xml:space="preserve">Serviço especializado de assessoria em Engenharia de Construção e Planejamento, visando o desenvolvimento do Plano de Construtibilidade para implantação do Projeto do Sistema Ribeirão da Prata.   </t>
  </si>
  <si>
    <t>PHDC-TRAC-PR29-Rev.00</t>
  </si>
  <si>
    <t>TRAC-CT11CONTRATO</t>
  </si>
  <si>
    <t>Plano de Construtibilidade para adequação do posto de veículos leves de CKS, no Complexo Minerador de Carajás, da Vale, em Parauapebas-PA.</t>
  </si>
  <si>
    <t>PHDC-TRAC-PR40-Rev.01</t>
  </si>
  <si>
    <t>TRAC-CT15CONTRATO</t>
  </si>
  <si>
    <t>Serviço especializado de assessoria em Engenharia de Construção e Planejamento, visando o desenvolvimento do Plano de Construtibilidade para o projeto de desvio da Calha de Rejeito da Barragem do Gelado, no Complexo Minerador Carajás – CMC, da Vale, em Parauapebas-PA.</t>
  </si>
  <si>
    <t>PHDO-VAVE-PR15-Rev.04</t>
  </si>
  <si>
    <t>VAVE-CT07CONTRATO</t>
  </si>
  <si>
    <t>Desenvolvimento do planejamento no projeto de implantação do PDER Cavalo, a ser realizado pela Vale Verde, na mina de Brucutu, Vale, em São Gonçalo do Rio Abaixo/MG.</t>
  </si>
  <si>
    <t>PHDO-TERE-PR01-Rev.01</t>
  </si>
  <si>
    <t>TERE-CT01CONTRATO</t>
  </si>
  <si>
    <t>Serviço especializado de planejamento, com fornecimento de mão de obra para execução de obras de Substituição dos Tanques Degrados da Gerdau, em Ouro Branco-MG.</t>
  </si>
  <si>
    <t>PHDO-TERE-PR01-Rev.02</t>
  </si>
  <si>
    <t>TERE-CT01ADITIVO</t>
  </si>
  <si>
    <t>PHDO-PAIN-PR01-Rev.03</t>
  </si>
  <si>
    <t>PAIN-CT01CONTRATO</t>
  </si>
  <si>
    <t>Serviço especializado de gestão e planejamento, visando o desenvolvimento do planejamento no projeto de ampliação e adequação do galpão Transit, da Wabtec, em Contagem/MG.</t>
  </si>
  <si>
    <t>PHDL-ATKI-OC79-Rev.03</t>
  </si>
  <si>
    <t>ATKI-CT02OS</t>
  </si>
  <si>
    <t>Serviço especializado de gestão e planejamento, visando a Implantação da Metodologia LPS no Projeto de Filtragem de Rejeitos (IOT), da AngloAmerican, em Conceição do Mato Dentro-MG.</t>
  </si>
  <si>
    <t>PHDL-PARE-PR10-Rev.01</t>
  </si>
  <si>
    <t>PARE-CT07CONTRATO</t>
  </si>
  <si>
    <t>Serviço especializado de assessoria técnica e executiva de gestão e planejamento, visando a Implantação da Metodologia LPS em projeto de Montagem Eletromecânica e Civil, com foco no engajamento, comunicação e direcionamento das atividades a serem realizadas na Aura Minerals, em Currais Novos/RN.</t>
  </si>
  <si>
    <t>PHDL-PARE-PR10-Rev.02</t>
  </si>
  <si>
    <t>PARE-CT07ADITIVO</t>
  </si>
  <si>
    <t>PHDL-PARE-PR10-Rev.03</t>
  </si>
  <si>
    <t>PHDL-PARE-PR10-Rev.04</t>
  </si>
  <si>
    <t>PHDC-ADMB-PR30-Rev.01</t>
  </si>
  <si>
    <t>ADMB-CT14CONTRATO</t>
  </si>
  <si>
    <t>Serviço especializado de assessoria em Engenharia de Construção e Planejamento, visando o desenvolvimento do Plano de Construtibilidade e Vídeo Simulador 3D de metodologia executiva, para o Nova Destilaria para extração, na Planta da ADM do Brasil, em Campo Grande-MS.</t>
  </si>
  <si>
    <t>PHDC-ADMB-PR30-Rev.02</t>
  </si>
  <si>
    <t>ADMB-CT14ADITIVO</t>
  </si>
  <si>
    <t>PHDC-FIDE-PR04-REV.01</t>
  </si>
  <si>
    <t>FIDE-CT01CONTRATO</t>
  </si>
  <si>
    <t xml:space="preserve">Serviço especializado de assessoria em Engenharia de Construção e Planejamento, visando o desenvolvimento do Estudo e Apresentação da Realocação do Trecho do Rejeitoduto e Vídeo Simulador no Projeto do Acesso da Pilha, na Mina de Brucutu, da Vale, em São Gonçalo do Rio Abaixo-MG. </t>
  </si>
  <si>
    <t>PHDC-GERD-PR19-Rev.03</t>
  </si>
  <si>
    <t>GERD-CT09CONTRATO</t>
  </si>
  <si>
    <t>Serviço especializado de assessoria em Engenharia de Construção e Planejamento, visando o desenvolvimento do Plano de Construtibilidade da manutenção e substituição de peças do  Forno 82, da Gerdau, em Pindamonhangaba-SP.</t>
  </si>
  <si>
    <t>PHDC-NEXA-PR01-Rev.02</t>
  </si>
  <si>
    <t>NEXA-CT01CONTRATO</t>
  </si>
  <si>
    <t>Serviço especializado de assessoria em Engenharia de Construção e Planejamento, visando o desenvolvimento do Plano de Construtibilidade para o Projeto de Implantação da Filtragem de Rejeito, na Nexa Resources, em Aripuanã-MT.</t>
  </si>
  <si>
    <t>PHDC-NEXA-PR01-Rev.03</t>
  </si>
  <si>
    <t>NEXA-CT01ADITIVO</t>
  </si>
  <si>
    <t>Serviço especializado de assessoria em Engenharia de Construção e Planejamento, visando o desenvolvimento de uma complementação no Plano de Construtibilidade para o Projeto de Implantação da Filtragem de Rejeito, na Nexa Resources, em Aripuanã-MT.</t>
  </si>
  <si>
    <t>PHDO-TERR-PR07-Rev.01</t>
  </si>
  <si>
    <t>TERR-CT07CONTRATO</t>
  </si>
  <si>
    <t>Serviço especializado de gestão, planejamento e medição, com fornecimento de mão de obra para o projeto de obras civis visando a Recuperação de Área Degradada – Km 145 RFA, pertencente à Vale, na Mina de Fábrica, em Ouro Preto/MG.</t>
  </si>
  <si>
    <t>PHDO-TERR-PR07-Rev.03</t>
  </si>
  <si>
    <t>TERR-CT07ADITIVO</t>
  </si>
  <si>
    <t>PHDO-CCAP-PR37-Rev.00</t>
  </si>
  <si>
    <t>CCAP-CT13CONTRATO</t>
  </si>
  <si>
    <t>Serviço especializado de gestão e planejamento, visando o desenvolvimento do Planejamento no Projeto de Parques, em Jericoacoara-CE.</t>
  </si>
  <si>
    <t>PHDC-SNC-OC34-Rev.00</t>
  </si>
  <si>
    <t>SNCL-CT01-OC34</t>
  </si>
  <si>
    <t>SNCL-CT01OC</t>
  </si>
  <si>
    <t>Elaboração, ajustes e Atualizações Sob Demanda</t>
  </si>
  <si>
    <t>PHDO-SNC-OC35-Rev.00</t>
  </si>
  <si>
    <t>SNCL-CT01-OC35</t>
  </si>
  <si>
    <t>PIAUÍ NICKEL</t>
  </si>
  <si>
    <t>Revisão da documentação de planejamento para o projeto Captação Genipapo - Piauí Níquel Metais S.A</t>
  </si>
  <si>
    <t>PHDC-SNC-OC39-Rev.01</t>
  </si>
  <si>
    <t>SNCL-CT01-OC39</t>
  </si>
  <si>
    <t>Desenvolvimento de documentação de planejamento para o projeto de implantação da planta da Piauí Nickel Project, conforme demanda solicitada pela SNC Lavalin.</t>
  </si>
  <si>
    <t>PHDC-SNC-OC41-Rev.00</t>
  </si>
  <si>
    <t>SNCL-CT01-OC41</t>
  </si>
  <si>
    <t>Ajustes e atualizações em documentação de planejamento do projeto da Anglo, conforme orientação da SNC.</t>
  </si>
  <si>
    <t>PHDC-SNC-OC47-Rev.01</t>
  </si>
  <si>
    <t>SNCL-CT01-OC47</t>
  </si>
  <si>
    <t>Desenvolvimento de Construtibilidade para a Pré Montagem Estruturas de Metálicas, em planta da Anglo</t>
  </si>
  <si>
    <t>PHDC-SNC-OC49-Rev.02</t>
  </si>
  <si>
    <t>SNCL-CT01-OC49</t>
  </si>
  <si>
    <t>Desenvolvimento do Cronograma Conceitual para o projeto Mega Hubs, Vale</t>
  </si>
  <si>
    <t>PHDC-SNC-OC50-Rev.00</t>
  </si>
  <si>
    <t>SNCL-CT01-OC50</t>
  </si>
  <si>
    <t>Desenvolvimento do atividades referentes ao atendimento a demandas de Planejamento</t>
  </si>
  <si>
    <t>PHDC-SNC -OC52-Rev.00</t>
  </si>
  <si>
    <t>SNCL-CT01-OC52</t>
  </si>
  <si>
    <t>Realizar atendimento às demandas de ajustes e atualizações em documentação de planejamento, com profissional alocado na sede da PHD, conforme orientação da SNC.</t>
  </si>
  <si>
    <t>PHDC-SNC-OC53-Rev.01</t>
  </si>
  <si>
    <t>SNCL-CT01-OC53</t>
  </si>
  <si>
    <t>PHDC-SNC-OC58-Rev.00</t>
  </si>
  <si>
    <t>SNCL-CT01-OC58</t>
  </si>
  <si>
    <t>Desenvolvimento de documentção e atividades de planejamento sob demanda do Projeto Piauí Nickel Project.</t>
  </si>
  <si>
    <t>PHDC-SNC-OC60-Rev.01</t>
  </si>
  <si>
    <t>SNCL-CT01-OC60</t>
  </si>
  <si>
    <t>PHDC-SNC-OC64-Rev.00</t>
  </si>
  <si>
    <t>SNCL-CT01-OC64</t>
  </si>
  <si>
    <t xml:space="preserve">Realizar atendimento às demandas de ajustes e atualizações em documentação de planejamento, com profissional alocado na sede da PHD, conforme orientação da AtkinsReális. </t>
  </si>
  <si>
    <t>PHDC-SNC-OC65-Rev.00</t>
  </si>
  <si>
    <t>SNCL-CT01-OC65</t>
  </si>
  <si>
    <t>Desenvolvimento de documentação de planejamento para o projeto de implantação da planta da Piauí Nickel Project.</t>
  </si>
  <si>
    <t>PHDC-SNC-OC69-Rev.00</t>
  </si>
  <si>
    <t>SNCL-CT01-OC69</t>
  </si>
  <si>
    <t xml:space="preserve">Realizar atendimento às demandas informadas pela AtkinsRéalis visando a elaboração, ajustes e atualizações em documentação de planejamento, realizadas da sede da PHD, conforme orientação da AtkinsRéalis. </t>
  </si>
  <si>
    <t>PHDC-SNC-OC70-Rev.00</t>
  </si>
  <si>
    <t>SNCL-CT01-OC70</t>
  </si>
  <si>
    <t>PHDC-SNC-OC71-Rev.00</t>
  </si>
  <si>
    <t>SNCL-CT01-OC71</t>
  </si>
  <si>
    <t>PHDC-SNC-OC72-Rev.00</t>
  </si>
  <si>
    <t>SNCL-CT01-OC72</t>
  </si>
  <si>
    <t>PHDC-SNC-OC73-Rev.00</t>
  </si>
  <si>
    <t>SNCL-CT01-OC73</t>
  </si>
  <si>
    <t>PHDC-SNC-OC74-Rev.00</t>
  </si>
  <si>
    <t>SNCL-CT01-OC74</t>
  </si>
  <si>
    <t>PHDC-ATKI-OC75-Rev.01</t>
  </si>
  <si>
    <t>SNCL-CT01-OC75</t>
  </si>
  <si>
    <t>Verificação da correspondência entre a lista de materiais previstos em projeto pelo suprimentos e a lista de fato comprada pelas empresas, da Anglo American, em Conceição do Mato Dentro-MG.</t>
  </si>
  <si>
    <t>PHDC-ATKI-OC76-Rev.00</t>
  </si>
  <si>
    <t>SNCL-CT01-OC76</t>
  </si>
  <si>
    <t>PHDC-ATKI-OC77-Rev.00</t>
  </si>
  <si>
    <t>SNCL-CT01-OC77</t>
  </si>
  <si>
    <t>PHDC-ATKI-OC78-Rev.00</t>
  </si>
  <si>
    <t>SNCL-CT01O</t>
  </si>
  <si>
    <t>O</t>
  </si>
  <si>
    <t>Serviço especializado de assessoria em Engenharia de Construção e Planejamento, visando o Cross Check de replanejamento, no projeto da Anglo American, em Conceição do Mato Dentro-MG.</t>
  </si>
  <si>
    <t>PHDL-PARE-PR07-Rev.01</t>
  </si>
  <si>
    <t>PARE-CT06CONTRATO</t>
  </si>
  <si>
    <t xml:space="preserve"> LPS no projeto Nova Oficina S11D, com foco no engajamento, comunicação e direcionamento das atividades a serem realizadas pela Parex na Vale, em Canaã dos Carajás .</t>
  </si>
  <si>
    <t>PHDL-PARE-PR07-Rev.02</t>
  </si>
  <si>
    <t>PARE-CT06ADITIVO</t>
  </si>
  <si>
    <t>PHDL-PARE-PR07-Rev.03</t>
  </si>
  <si>
    <t>Serviço especializado de assessoria técnica e executiva de gestão e planejamento, visando a Implantação da Metodologia LPS no projeto Nova Oficina S11D, com foco no engajamento, comunicação e direcionamento das atividades a serem realizadas pela Parex na Vale, em Canaã dos Carajás.</t>
  </si>
  <si>
    <t>PHDL-PARE-PR07-Rev.04</t>
  </si>
  <si>
    <t>PHDL-PARE-PR07-Rev.05</t>
  </si>
  <si>
    <t>PHDL-PARE-PR07-Rev.06</t>
  </si>
  <si>
    <t>PHDO-SIGD-PR06-Rev.02</t>
  </si>
  <si>
    <t>SIGD-CT03CONTRATO</t>
  </si>
  <si>
    <t>Serviço especializado de gestão, planejamento e controle, com fornecimento de mão de obra para projeto de comissionamento da britagem e peneiramento da Mina de Capanema, da Vale, em Itabirito-MG.</t>
  </si>
  <si>
    <t>PHDO-SIGD-PR06-Rev.03</t>
  </si>
  <si>
    <t>SIGD-CT03ADITIVO</t>
  </si>
  <si>
    <t>PHDO-SIGD-PR06-Rev.04</t>
  </si>
  <si>
    <t>PHDO-NOBR-PR05-Rev.04</t>
  </si>
  <si>
    <t>NOBR-CT05CONTRATO</t>
  </si>
  <si>
    <t>assessoria técnica e executiva de gestão e planejamento, visando o desenvolvimento do planejamento e acompanhamento na Obra da Ferrovia de Integração Centro Oeste (FICO) – Lote 4, em Crixás/GO</t>
  </si>
  <si>
    <t>PHDO-NOBR-PR05-Rev.06</t>
  </si>
  <si>
    <t>NOBR-CT05ADITIVO</t>
  </si>
  <si>
    <t>PHDO-NOBR-PR05-Rev.09</t>
  </si>
  <si>
    <t>Serviço especializado de assessoria técnica e executiva de gestão e planejamento, visando a implantação e manutenção de aplicativo de apontamento para o projeto da obra da Ferrovia de Integração Centro Oeste (FICO) – Lote 4, em Crixás-GO.</t>
  </si>
  <si>
    <t>PHDL-NIPL-PR02-Rev.02</t>
  </si>
  <si>
    <t>NIPL-CT01CONTRATO</t>
  </si>
  <si>
    <t>Serviço especializado de assessoria técnica e executiva na implantação da metodologia LPS na obra para projeto de montagem do Novo Laminador de Perfis na ArcelorMittal, em Barra Mansa-RJ.</t>
  </si>
  <si>
    <t>PHDL-MILP-PR12-Rev.03</t>
  </si>
  <si>
    <t>MILP-CT04CONTRATO</t>
  </si>
  <si>
    <t>LPS no projeto TCLD S11D, com foco no engajamento, comunicação e direcionamento das atividades a serem realizadas pela Milplan na Vale, em Canaã dos Carajás .</t>
  </si>
  <si>
    <t>PHDL-MILP-PR12-Rev.05</t>
  </si>
  <si>
    <t>MILP-CT04ADITIVO</t>
  </si>
  <si>
    <t>PHDL-MILP-PR12-Rev.06</t>
  </si>
  <si>
    <t>PHDL-MILP-PR12-Rev.07</t>
  </si>
  <si>
    <t>PHDL-MILP-PR12-Rev.08</t>
  </si>
  <si>
    <t>PHDL-MILP-PR12-Rev.09</t>
  </si>
  <si>
    <t>PHDL-MROS-PR01-Rev.05</t>
  </si>
  <si>
    <t>MROS-CT01CONTRATO</t>
  </si>
  <si>
    <t>Serviço especializado de assessoria técnica e executiva de gestão e planejamento, visando a Implantação da Metodologia LPS na Nova Laminação - Fase 2 , com foco no engajamento, comunicação e direcionamento das atividades a serem realizadas pela M .Roscoe na ArcelorMittal, em Barra Mansa/RJ</t>
  </si>
  <si>
    <t>PHDL-MROS-PR01-Rev.06</t>
  </si>
  <si>
    <t>MROS-CT01ADITIVO</t>
  </si>
  <si>
    <t>LPS na Nova Laminação - Fase 2, com foco no engajamento, comunicação e direcionamento das atividades a serem realizadas pela M.Roscoe na ArcelorMittal, em Barra Mansa/RJ.</t>
  </si>
  <si>
    <t>PHDL-MROS-PR01-Rev.07</t>
  </si>
  <si>
    <t>PHDL-MROS-PR01-Rev.10</t>
  </si>
  <si>
    <t>Serviço especializado de assessoria técnica e executiva de gestão e planejamento, visando a Implantação da Metodologia LPS na Nova Laminação - Fase 2, com foco no engajamento, comunicação e direcionamento das atividades a serem realizadas pela M.Roscoe na ArcelorMittal, em Barra Mansa/RJ.</t>
  </si>
  <si>
    <t>PHDL-MROS-PR01-Rev.11</t>
  </si>
  <si>
    <t>Serviço especializado de assessoria técnica e executiva em gestão e planejamento, visando a assessoria na implantação/manutenção da Metodologia LPS e atualização da plataforma de gestão para o projeto da Laminação - Fase 2, na planta da ArcelorMittal, em Barra Mansa/RJ.</t>
  </si>
  <si>
    <t>PHDC-TRAC-PR31-Rev.00</t>
  </si>
  <si>
    <t>TRAC-CT13CONTRATO</t>
  </si>
  <si>
    <t>Plano de Construtibilidade para projeto do sistema de combate a incêndio para o Terminal Ferroviário de Ponta da Madeira, para áreas Região do Anjo da Guarda – Estação de Passageiros, Parque Botânico, Portaria e seus prédios circundantes, da Vale, São Luís –MA.</t>
  </si>
  <si>
    <t>SALU-CT10CONTRATO</t>
  </si>
  <si>
    <t>PHDC-BEMI-PR01-Rev.02</t>
  </si>
  <si>
    <t>BEMI-CT01CONTRATO</t>
  </si>
  <si>
    <t>Elaboração do Estudo de Construtibilidade, Vídeo Simulação e Planejamento 4D para o projeto do Revamp MHB, na Mina Horto Baratinha, da Bemisa, em Antônio Dias-MG.</t>
  </si>
  <si>
    <t>PHDC-BRAS-PR43-Rev.02</t>
  </si>
  <si>
    <t>BRAS-CT07CONTRATO</t>
  </si>
  <si>
    <t>Serviço especializado de assessoria em Engenharia de Construção e Planejamento, visando o desenvolvimento de Plano de Construtibilidade Básico para o projeto detalhado do sistema “Bombeamento ultrafinos Fábrica – Área 8” na Mina de Fábrica, da Vale, em Ouro Preto-MG.</t>
  </si>
  <si>
    <t>PHDC-BRAS-PR43-Rev.03</t>
  </si>
  <si>
    <t>BRAS-CT07ADITIVO</t>
  </si>
  <si>
    <t>PHDC-GERD-PR20-Rev.01</t>
  </si>
  <si>
    <t>GERD-CT08CONTRATO</t>
  </si>
  <si>
    <t>Serviço especializado de assessoria em Engenharia de Construção e Planejamento, visando o desenvolvimento do Plano de Construtibilidade do projeto da Planta de Reciclagem Shredder, da Gerdau, em Pindamonhangaba-SP.</t>
  </si>
  <si>
    <t>PHDC-GERD-PR28-Rev.02</t>
  </si>
  <si>
    <t>GERD-CT10CONTRATO</t>
  </si>
  <si>
    <t>Serviço especializado de assessoria em Engenharia de Construção e Planejamento, visando o desenvolvimento do Plano de Construtibilidade do projeto de Transferência do Forno de Têmpera por Indução (TPI) e os equipamentos da célula Blank, de Mogi das Cruzes-SP para a Transformação Mecânica, da Gerdau em Charqueadas-RS.</t>
  </si>
  <si>
    <t>PHDC-SERE-PR07-Rev.01</t>
  </si>
  <si>
    <t>SERE-CT04CONTRATO</t>
  </si>
  <si>
    <t xml:space="preserve">Serviço especializado de assessoria em Engenharia de Construção e Planejamento, visando o desenvolvimento do Plano de Construtibilidade e Vídeo Simulador 3D de Metodologia Executiva para o projeto de Instalação Proteções sob Transportadores de Carajás-Pará, para Vale, em Carajás-PA. </t>
  </si>
  <si>
    <t>PHDL-CCAP-PR30-Rev.05</t>
  </si>
  <si>
    <t>CCAP-CT14CONTRATO</t>
  </si>
  <si>
    <t>Serviço especializado de gestão e planejamento, visando a Implantação da Metodologia LPS e Treinamento no projeto do Datacenter GRU063 – Romp 06, da A100, em Jundiaí-SP.</t>
  </si>
  <si>
    <t>PHDE-SSPS-PR01-Rev.01</t>
  </si>
  <si>
    <t>SSPS-CT01CONTRATO</t>
  </si>
  <si>
    <t>Desenvolvimento da Excelência em Planejamento SSP Service (Estruturação dos padrões e modelos de Planejamento), visando garantir que as diretrizes e modelos sejam adotadas pela sede e replicadas em todos os projetos desenvolvidos pelo SSP Service.</t>
  </si>
  <si>
    <t>PHDC-GERD-PR23-Rev.05</t>
  </si>
  <si>
    <t>GERD-CT11OS</t>
  </si>
  <si>
    <t>Serviço especializado de assessoria em Engenharia de Construção e Planejamento, visando o desenvolvimento do Plano de Construtibilidade do Projeto de Instalação do 4º Silo de adição de fundentes e da Porta de Escória do Forno na área da Aciaria (EOF) e, da Gerdau, em Divinópolis-MG.</t>
  </si>
  <si>
    <t>PHDO-SALU-PR13-Rev.04</t>
  </si>
  <si>
    <t>SALU-CT05ADITIVO</t>
  </si>
  <si>
    <t>Planejamento e implantação de LPS, com fornecimento de mão de obra para projeto da Salum em Timbopeba .</t>
  </si>
  <si>
    <t>PHDO-TERR-PR10-Rev.00</t>
  </si>
  <si>
    <t>TERR-CT08CONTRATO</t>
  </si>
  <si>
    <t>Serviço especializado de gestão e planejamento, com fornecimento de assessoria de planejamento para o projeto de obras civis visando o retaludamento no acesso do Prédio 4 e obras de drenagem na Serra do Curral, na Mina de Águas Claras, em Nova Lima-MG.</t>
  </si>
  <si>
    <t>PHDO-TERR-PR10-Rev.02</t>
  </si>
  <si>
    <t>TERR-CT08ADITIVO</t>
  </si>
  <si>
    <t>PHDO-TERR-PR10-Rev.04</t>
  </si>
  <si>
    <t>PHDE-CONO-PR01-Rev.01</t>
  </si>
  <si>
    <t>CONO-CT01CONTRATO</t>
  </si>
  <si>
    <t>Serviço especializado de gestão e planejamento, visando o desenvolvimento da Ediagnóstico de Planejamento  para o time de planejamento da Conorte, em Barcarena-PA.</t>
  </si>
  <si>
    <t>PHDG-ALCO-PR02-Rev.03</t>
  </si>
  <si>
    <t>ALCO-CT02CONTRATO</t>
  </si>
  <si>
    <t>Serviço especializado de gestão e planejamento, visando o desenvolvimento de Cross check  de planejamento e replanejamento detalhado de projetos NCCs de CAPEX, a serem prestados no site da Alumar, em São Luís-MA, conforme ETS-CAP-000-2024-Rev.02.</t>
  </si>
  <si>
    <t>PHDO-PLAN-PR01-Rev.01</t>
  </si>
  <si>
    <t>PCOR-CT01CONTRATO</t>
  </si>
  <si>
    <t>Serviço especializado de gestão e planejamento, visando o desenvolvimento do planejamento no projeto de expansão da planta da Coamo, em Dourados-MS.</t>
  </si>
  <si>
    <t>PHDO-PLAN-PR01-Rev.02</t>
  </si>
  <si>
    <t>PHDO-PAIN-PR03-Rev.01</t>
  </si>
  <si>
    <t>PAIN-CT02CONTRATO</t>
  </si>
  <si>
    <t xml:space="preserve">Serviço especializado de assessoria de gestão e planejamento, visando o desenvolvimento do planejamento do projeto de Interseção no trevo da Av. Michael Pereira de Souza, no acesso norte da entrada de Congonhas-MG. </t>
  </si>
  <si>
    <t>PHDC-BRAS-PR38-Rev.01</t>
  </si>
  <si>
    <t>BRAS-CT09CONTRATO</t>
  </si>
  <si>
    <t>Elaboração de um plano de construtibilidade a nível de engenharia detalhada para o projeto repotenciamento das bombas do underflow do espessador de concentrado e do mineroduto Júnior no Sistema Minas –Rio, Anglo, em Conceição do Mato Dentro/MG .</t>
  </si>
  <si>
    <t>PHDC-ENJA-PR01-Rev.03</t>
  </si>
  <si>
    <t>ENJA-CT01CONTRATO</t>
  </si>
  <si>
    <t>Serviço especializado de assessoria em Engenharia de Construção e Planejamento, 
visando o desenvolvimento do Plano de Construtibilidade para Montagem das 
Telhas no Projeto de Filtragem, da AngloAmerican, em Conceição do Mato Dentro - MG.</t>
  </si>
  <si>
    <t>PHDO-IMCS-PR13-Rev.03</t>
  </si>
  <si>
    <t>IMCS-CT07CONTRATO</t>
  </si>
  <si>
    <t>Serviço especializado de planejamento e medição, com fornecimento de mão de obra para execução de obra civis, montagem eletromecânica, comissionamento e start up para o projeto da primeira fase da Segregação de Rejeitos da Usina e Adução de Rejeitos da Área 18, na Mina de Fábrica, Vale, em Ouro Preto/MG.</t>
  </si>
  <si>
    <t>PHDO-IMCS-PR13-Rev.04</t>
  </si>
  <si>
    <t>IMCS-CT07ADITIVO</t>
  </si>
  <si>
    <t xml:space="preserve">Aditivo de 01 Técnico de Planejamento ao projeto Segregação Rejeitos Fábrica" </t>
  </si>
  <si>
    <t>PHDO-IMCS-PR13-Rev.06</t>
  </si>
  <si>
    <t>PHDO-IMCS-PR13-Rev.07</t>
  </si>
  <si>
    <t>PHDO-IMCS-PR13-Rev.09</t>
  </si>
  <si>
    <t>Aditivo de 01 Técnico de Planejamento Sênior ao projeto de execução de obra civis, montagem eletromecânica, comissionamento e start up para o projeto da primeira fase da Segregação de Rejeitos da Usina e Adução de Rejeitos da Área 18, na Mina de Fábrica, Vale, em Ouro Preto/MG.</t>
  </si>
  <si>
    <t>PHDO-IMCS-PR13-Rev.08</t>
  </si>
  <si>
    <t>Serviço especializado de gestão e planejamento, visando o desenvolvimento do planejamento e medição no projeto de execução de obra civis, montagem eletromecânica, comissionamento e start up para o projeto da primeira fase da Segregação de Rejeitos da Usina e Adução de Rejeitos da Área 18, na Mina de Fábrica, Vale, em Ouro Preto-MG.</t>
  </si>
  <si>
    <t>PHDO-IMCS-PR13-Rev.10</t>
  </si>
  <si>
    <t>Aditivo de 01 Técnico de Planejamento Sênior e Técnico de Medição ao projeto de execução de obra civis, montagem eletromecânica, comissionamento e start up para o projeto da primeira fase da Segregação de Rejeitos da Usina e Adução de Rejeitos da Área 18, na Mina de Fábrica, Vale, em Ouro Preto/MG.</t>
  </si>
  <si>
    <t>PHDL-CIMC-PR01-Rev.01</t>
  </si>
  <si>
    <t>CIMC-CT02CONTRATO</t>
  </si>
  <si>
    <t>LPS no projeto de obras civis da Cava CMD porções Leste e Oeste e Cava da Divisa, na Mina de Brucutu - Vale.</t>
  </si>
  <si>
    <t>PHDL-CIMC-PR01-Rev.03</t>
  </si>
  <si>
    <t>CIMC-CT02ADITIVO</t>
  </si>
  <si>
    <t>Manutenção das rotias do LPS com Diagnósticco mensal e manutenção da plataforma de gestão</t>
  </si>
  <si>
    <t>PHDE-ENES-PR08-Rev.01</t>
  </si>
  <si>
    <t>ENES-CT02CONTRATO</t>
  </si>
  <si>
    <t xml:space="preserve">Desenvolvimento da Estruturação, Aculturamento, Implantação e Assessoria em metodologias de gestão e planeamento de obras, para Enesa, no projeto de Adequação da Usina 01 ao Novo ROM, da Vale, em S11D, em Canaã dos Carajás-PA. </t>
  </si>
  <si>
    <t>PHDO-NEWG-PR02-Rev.00</t>
  </si>
  <si>
    <t>NEWG-CT01CONTRATO</t>
  </si>
  <si>
    <t xml:space="preserve">Serviço especializado de gestão e planejamento, visando o desenvolvimento do planejamento no projeto de montagem eletromecânica nas áreas da ArcelorMittal, na Mina de Serra Azul, em Itatiaiuçu-MG. </t>
  </si>
  <si>
    <t>PHDL-ARCL-PR03-Rev.03</t>
  </si>
  <si>
    <t>ARCL-CT03CONTRATO</t>
  </si>
  <si>
    <t>Planejamento e LPS projeto Datacenter</t>
  </si>
  <si>
    <t>PHDC-BRAS-PR42-Rev.03</t>
  </si>
  <si>
    <t>BRAS-CT08CONTRATO</t>
  </si>
  <si>
    <t>Serviço especializado de assessoria em Engenharia de Construção e Planejamento, visando o desenvolvimento do Plano de Construtibilidade Básico para o projeto de substituição da tubulação do rejeitoduto, na Mina de Viga, da Vale, em Congonhas-MG.</t>
  </si>
  <si>
    <t>PHDB-EMCC-PR01-Rev.01</t>
  </si>
  <si>
    <t>EMCC-CT01CONTRATO</t>
  </si>
  <si>
    <t>Serviço especializado de assessora em modelagem BIM, visando a modelagem da arquitetura, executivo e detalhamentos do Bloco (Estrutural, parede de concreto), no projeto Intendente 389, da Emccamp Residencial, no Rio de Janeiro-RJ.</t>
  </si>
  <si>
    <t>PHDC-GERD-PR06-Rev.04</t>
  </si>
  <si>
    <t>GERD-CT05CONTRATO</t>
  </si>
  <si>
    <t xml:space="preserve">Plano de Construtibilidade Completo para o projeto da nova linha de produção para tarugos de 12 metros, na Gerdau, em Recife-PE. </t>
  </si>
  <si>
    <t>PHDC-GERD-PR06-Rev.09</t>
  </si>
  <si>
    <t>GERD-CT05ADITIVO</t>
  </si>
  <si>
    <t xml:space="preserve">Serviço especializado de assessoria em Engenharia de Construção e Planejamento, visando o  acompanhamento com visão da Construtibilidade no projeto da nova linha de produção para tarugos de 12 metros, na Gerdau, em Maracanaú-CE. </t>
  </si>
  <si>
    <t>PHDC-GERD-PR12-Rev.06</t>
  </si>
  <si>
    <t>GERD-CT06CONTRATO</t>
  </si>
  <si>
    <t xml:space="preserve">Desenvolvimento do Plano de Construtibilidade para o Programa HDG, na Gerdau, em Ouro Branco-MG. </t>
  </si>
  <si>
    <t>PHDC-GERD-PR12-Rev.07</t>
  </si>
  <si>
    <t>GERD-CT06ADITIVO</t>
  </si>
  <si>
    <t xml:space="preserve">Reequilíbrio Financeiro - Plano de Construtibilidade para o Programa HDG, na Gerdau, em Ouro Branco-MG. </t>
  </si>
  <si>
    <t>PHDC-GERD-PR31-Rev.01</t>
  </si>
  <si>
    <t>GERD-CT12CONTRATO</t>
  </si>
  <si>
    <t>Serviço especializado de assessoria em Engenharia de Construção e Planejamento, visando o desenvolvimento do Plano de Construtibilidade do Projeto de Revamp no Sistema Primário de Lavagem e Tratamento dos gases dos Convertedores 1 e 2 da Aciaria, da Gerdau, em Ouro Branco-MG.</t>
  </si>
  <si>
    <t>PHDC-NEXA-PR03-Rev.02</t>
  </si>
  <si>
    <t>NEXA-CT02CONTRATO</t>
  </si>
  <si>
    <t xml:space="preserve">Serviço especializado de assessoria em Engenharia de Construção e Planejamento, visando o desenvolvimento do Planejamento Integrado e Gestão de Parada para o projeto de Filtragem de Rejeitos, da Nexa Resources, em Três Marias-MG. </t>
  </si>
  <si>
    <t>PHDC-REFR-PR03-Rev.02</t>
  </si>
  <si>
    <t>REFR-CT01CONTRATO</t>
  </si>
  <si>
    <t>Serviço especializado de assessoria em Engenharia de Construção e Planejamento, visando o desenvolvimento do Planejamento 4D no projeto de adequação do Sistema de Dosagem de Insumos – Pelotização, da Vale, em São Luís – MA.</t>
  </si>
  <si>
    <t>PHDC-REFR-PR03-Rev.03</t>
  </si>
  <si>
    <t>REFR-CT01ADITIVO</t>
  </si>
  <si>
    <t>PHDC-SERE-PR06-Rev.02</t>
  </si>
  <si>
    <t>SERE-CT03CONTRATO</t>
  </si>
  <si>
    <t>Serviço especializado de assessoria em Engenharia de Construção e Planejamento, visando o desenvolvimento do Plano de Construtibilidade, Planejamento 4D e Vídeo Simulador 3D para o projeto de Reestruturação da Estação Ferroviária de Pedro Nolasco, da Vale, em Cariacica-ES.</t>
  </si>
  <si>
    <t>PHDO-TECN-PR02-Rev.02</t>
  </si>
  <si>
    <t>TECN-CT02CONTRATO</t>
  </si>
  <si>
    <t xml:space="preserve">Serviço especializado de gestão e planejamento, com disponibilização de mão de obra, junto a Tecnosonda, visando a elaboração da modelagem BIM e Planejamento do projeto de SUMP2 e Acesso Sul e Norte com contenção de talude, para Vale, na mina de Brucutu, em São Gonçalo do Rio Abaixo-MG. </t>
  </si>
  <si>
    <t>PHDO-TECN-PR02-Rev.05</t>
  </si>
  <si>
    <t>TECN-CT02ADITIVO</t>
  </si>
  <si>
    <t>PHDG-TENA-PR01-Rev.01</t>
  </si>
  <si>
    <t>TENA-CT01CONTRATO</t>
  </si>
  <si>
    <t>Serviço especializado de planejamento, visando o desenvolvimento do Cronograma de 
implantação do projeto CENTENA, no estado do Rio de Janeiro.</t>
  </si>
  <si>
    <t>PHDO-U&amp;MM-PR01-Rev.01</t>
  </si>
  <si>
    <t>U&amp;MM-CT01CONTRATO</t>
  </si>
  <si>
    <t>Desenvolvimento Cronograma Implantação Mina Bacaba</t>
  </si>
  <si>
    <t>PHDO-CAPE-PR01-Rev.03</t>
  </si>
  <si>
    <t>CAPE-CT01CONTRATO</t>
  </si>
  <si>
    <t>Serviço especializado de gestão e planejamento, visando o desenvolvimento do planejamento do Projeto Crown, Fase 1 – Pacote de Obras Civis, da Boston Metal, em Coronel Xavier Chaves-MG.</t>
  </si>
  <si>
    <t>PHDO-CAPE-PR01-Rev.08</t>
  </si>
  <si>
    <t>CAPE-CT01ADITIVO</t>
  </si>
  <si>
    <t>Serviço especializado de gestão e planejamento, visando o desenvolvimento da medição do Projeto Crown, Fase 1 – Pacote de Obras Civis, da Boston Metal, em Coronel Xavier Chaves-MG.</t>
  </si>
  <si>
    <t>PHDO-CAPE-PR01-Rev.11</t>
  </si>
  <si>
    <t>PHDO-CAPE-PR01-Rev.13</t>
  </si>
  <si>
    <t>PHDO-CAPE-PR01-Rev.14</t>
  </si>
  <si>
    <t>PHDO-CAPE-PR01-Rev.16</t>
  </si>
  <si>
    <t>erviço especializado de gestão e planejamento, visando o desenvolvimento da medição do Projeto Crown, Fase 1 – Pacote de Obras Civis, da Boston Metal, em Coronel Xavier Chaves -MG .</t>
  </si>
  <si>
    <t>PHDL-PARE-PR13-Rev.02</t>
  </si>
  <si>
    <t>PARE-CT08CONTRATO</t>
  </si>
  <si>
    <t>Serviço especializado de assessoria técnica e executiva de gestão e planejamento, visando a Implantação da Metodologia LPS em projeto do mineroduto entre a Mina de Miguel Burnier e a Usina da Gerdau, em Ouro Branco-MG.</t>
  </si>
  <si>
    <t>PHDL-PARE-PR13-Rev.04</t>
  </si>
  <si>
    <t>PARE-CT08ADITIVO</t>
  </si>
  <si>
    <t>PHDO-NEWG-PR04-Rev.02</t>
  </si>
  <si>
    <t>NEWG-CT02CONTRATO</t>
  </si>
  <si>
    <t xml:space="preserve">Serviço especializado de gestão e planejamento, visando o desenvolvimento da Estruturação do Planejamento e Acompanhamento Coorporativo no Projeto Jurong, no Porto de Aracruz, em Aracruz-ES. </t>
  </si>
  <si>
    <t>PHDC-ATER-PR02-Rev.02</t>
  </si>
  <si>
    <t>ATER-CT01CONTRATO</t>
  </si>
  <si>
    <t>BIM Lab</t>
  </si>
  <si>
    <t>Serviço especializado de assessoria em Engenharia de Construção e Planejamento visando a implantação do AWP no cronograma e acompanhamento BIM no projeto de Descaracterização da barragem de Forquilha, Área 9, Vale, em Congonhas-MG.</t>
  </si>
  <si>
    <t>PHDC-ATER-PR02-Rev.06</t>
  </si>
  <si>
    <t>ATER-CT01ADITIVO</t>
  </si>
  <si>
    <t>Serviço especializado de assessoria em Engenharia de Construção e Planejamento visando o acompanhamento BIM no projeto de descaracterização da barragem de Forquilha, Área 9, Vale, em Congonhas-MG.</t>
  </si>
  <si>
    <t>PHDO-CCAP-PR12-Rev.04</t>
  </si>
  <si>
    <t>CCAP-CT11CONTRATO</t>
  </si>
  <si>
    <t>Serviço especializado de gestão e planejamento, visando o desenvolvimento do planejamento do projeto de construção da ferrovia em Rondonópolis-MT.</t>
  </si>
  <si>
    <t>PHDG-ADMB-PR28-Rev.03</t>
  </si>
  <si>
    <t>ADMB-CT13CONTRATO</t>
  </si>
  <si>
    <t>Serviço especializado de assessoria em gerenciamento de portifólio, focado nos projetos da planta da ADM do Brasil, em Porto Franco-MA.</t>
  </si>
  <si>
    <t>PHDG-ADMB-PR28-Rev.05</t>
  </si>
  <si>
    <t>ADMB-CT13ADITIVO</t>
  </si>
  <si>
    <t>PHDG-ADMB-PR28-Rev.07</t>
  </si>
  <si>
    <t>Serviço especializado de assessoria em gerenciamento de Portfólio, focado nos projetos da planta da ADM do Brasil, em Porto Franco-MA
.</t>
  </si>
  <si>
    <t>PHDG-ADMB-PR28-Rev.08</t>
  </si>
  <si>
    <t>PHDE-EKTO-PR01-Rev.03</t>
  </si>
  <si>
    <t>EKTO-CT01CONTRATO</t>
  </si>
  <si>
    <t>Serviço especializado de gestão e planejamento, visando o desenvolvimento dos programas Excelência em Planejamento Ektor e Programa de Treinamentos.</t>
  </si>
  <si>
    <t>PHDO-SALU-PR14-Rev.04</t>
  </si>
  <si>
    <t>SALU-CT06CONTRATO</t>
  </si>
  <si>
    <t>Gestão e planejamento, com fornecimento de mão de obra para o replanejamento do projeto de descaracterização da Barragem Maravilhas 2, Vale, em Itabirito/MG.</t>
  </si>
  <si>
    <t>PHDO-SALU-PR14-Rev.05</t>
  </si>
  <si>
    <t>SALU-CT06ADITIVO</t>
  </si>
  <si>
    <t>PHDL-ARCL-PR02-Rev.04</t>
  </si>
  <si>
    <t>ARCL-CT02CONTRATO</t>
  </si>
  <si>
    <t xml:space="preserve">Serviço especializado de gestão e planejamento, visando a Implantação da Metodologia LPS no Projeto do Datacenter da A100, em Jundiaí-SP. </t>
  </si>
  <si>
    <t>PHDO-CRET-PR05-Rev.01</t>
  </si>
  <si>
    <t>CRET-CT03CONTRATO</t>
  </si>
  <si>
    <t>Serviço especializado de gestão e planejamento, visando o desenvolvimento do planejamento para o projeto de obras civis, montagem eletromecânica e reforço nas áreas da tancagem, clarificador e espessador da estação terminal, no Porto do Açu, em São João da Barra/RJ.</t>
  </si>
  <si>
    <t>PHDB-ATER-PR07-Rev.01</t>
  </si>
  <si>
    <t>ATER-CT03CONTRATO</t>
  </si>
  <si>
    <t>Serviço especializado de gestão e planejamento, visando o desenvolvimento dos serviços de estruturação, assessoria e modelagem BIM na fase de pré-engenharia para o trecho 3B da BR
-101, junto à Aterpa
.</t>
  </si>
  <si>
    <t>PHDB-ATER-PR03-Rev.01</t>
  </si>
  <si>
    <t>ATER-CT02CONTRATO</t>
  </si>
  <si>
    <t xml:space="preserve">Serviço especializado de assessoria BIM, visando o acompanhamento BIM no projeto de Obras de Reforço da Barragem Norte/Laranjeiras da Mina de Brucutu, da Vale, em São Gonçalo do Rio Abaixo-MG. </t>
  </si>
  <si>
    <t>PHDB-ATER-PR03-Rev.02</t>
  </si>
  <si>
    <t>ATER-CT02ADITIVO</t>
  </si>
  <si>
    <t>PHDB-ATER-PR03-Rev.07</t>
  </si>
  <si>
    <t>PHDB-BTSP-PR01-Rev.02</t>
  </si>
  <si>
    <t>BTSP-CT01CONTRATO</t>
  </si>
  <si>
    <t>Serviço especializado de assessoria BIM, visando a implantação do BIM na empresa, considerando as etapas de Diagnóstico, Planejamento, Treinamentos, Projeto Piloto e Desenvolvimento de padrões da empresa.</t>
  </si>
  <si>
    <t>PHDB-EPGE-PR01-Rev.03</t>
  </si>
  <si>
    <t>EPGE-CT01ADITIVO</t>
  </si>
  <si>
    <t>Serviço especializado de assessoria em Implantação BIM, para a EPG Engenharia visando a implementação BIM na empresa.</t>
  </si>
  <si>
    <t>PHDB-EPGE-PR01-Rev.04</t>
  </si>
  <si>
    <t>PHDO-IMCS-PR32-Rev.01</t>
  </si>
  <si>
    <t>IMCS-CT08CONTRATO</t>
  </si>
  <si>
    <t xml:space="preserve">Serviço especializado de gestão e planejamento, com fornecimento de mão de obra para projeto de renovação do Auto de Vistoria do Corpo de Bombeiros (AVCB) na Mina de Abóboras, da Vale, em Nova Lima-MG.  </t>
  </si>
  <si>
    <t>PHDO-IMCS-PR32-Rev.02</t>
  </si>
  <si>
    <t>IMCS-CT08ADITIVO</t>
  </si>
  <si>
    <t>PHDO-IMCS-PR32-Rev.05</t>
  </si>
  <si>
    <t>PHDO-CEMI-PR01-Rev.02</t>
  </si>
  <si>
    <t>CEMI-CT02CONTRATO</t>
  </si>
  <si>
    <t>Planejamento e Qualidade projeto Redes de Distribuição mina de Capanema</t>
  </si>
  <si>
    <t>PHDO-CEMI-PR01-Rev.03</t>
  </si>
  <si>
    <t>CEMI-CT02ADITIVO</t>
  </si>
  <si>
    <t>PHDO-CEMI-PR01-Rev.04</t>
  </si>
  <si>
    <t>PHDO-CEMI-PR01-Rev.05</t>
  </si>
  <si>
    <t>PHDO-CEMI-PR01-Rev.06</t>
  </si>
  <si>
    <t>PHDO-CEMI-PR01-Rev.08</t>
  </si>
  <si>
    <t>Aditivo - Planejamento e Qualidade projeto Redes de Distribuição mina de Capanema</t>
  </si>
  <si>
    <t>PHDO-CEMI-PR01-Rev.09</t>
  </si>
  <si>
    <t>PHDO-CEMI-PR01-Rev.10</t>
  </si>
  <si>
    <t>Serviço especializado de planejamento e qualidade, com mobilização de mão de obra, para realização do projeto de Montagem de Redes de Distribuição de 34,5 kV e 13,8 kV – Pct.PM0203, na Mina de Capanema, pertencente à Vale, em Ouro Preto-MG.</t>
  </si>
  <si>
    <t>PHDO-CEMI-PR01-Rev.11</t>
  </si>
  <si>
    <t>Aditivo - Qualidade projeto Redes de Distribuição mina de Capanema</t>
  </si>
  <si>
    <t>PHDO-IMCS-PR14-Rev.04</t>
  </si>
  <si>
    <t>IMCS-CT06CONTRATO</t>
  </si>
  <si>
    <t>Gestão, planejamento e medição, com fornecimento de mão de obra para projeto de execução de obras eletromecânicas emergenciais e serviços sob demanda, no Complexo Itabira, Vale.</t>
  </si>
  <si>
    <t>PHDO-IMCS-PR14-Rev.05</t>
  </si>
  <si>
    <t>IMCS-CT06ADITIVO</t>
  </si>
  <si>
    <t>PHDO-IMCS-PR14-Rev.06</t>
  </si>
  <si>
    <t>PHDO-VAVE-PR04-Rev.01</t>
  </si>
  <si>
    <t>VAVE-CT01CONTRATO</t>
  </si>
  <si>
    <t>PLANEJAMENTO PROJETO TIMBOPEBA - MARIANA</t>
  </si>
  <si>
    <t>PHDO-VAVE-PR04-Rev.02</t>
  </si>
  <si>
    <t>VAVE-CT01ADITIVO</t>
  </si>
  <si>
    <t>Serviço especializado de gestão e planejamento, visando o desenvolvimento do planejamento no Projeto IB3 na Mina de Fábrica Nova, da Vale, em Mariana-MG.</t>
  </si>
  <si>
    <t>PHDO-VAVE-PR04-Rev.04</t>
  </si>
  <si>
    <t>PHDB-EPGE-PR01-Rev.01</t>
  </si>
  <si>
    <t>EPGE-CT01CONTRATO</t>
  </si>
  <si>
    <t>PHDC-TRAC-PR32-Rev.00</t>
  </si>
  <si>
    <t>TRAC-CT14CONTRATO</t>
  </si>
  <si>
    <t>Plano de Construtibilidade para projeto do sistema de combate a incêndio para o Terminal Ferroviário de Ponta da Madeira, para áreas da Região do PIAL; Região do CTMR - Galpão de Novos Vagões; Região da Oficina Central – Oficinas circundantes da Oficina Central, Prédios administrativos da Oficina Central, Área da Tancagem, Armazém do F1, entre outros áreas que façam parte do complexo, da Vale, em São Luís –MA.</t>
  </si>
  <si>
    <t>PHDC-VALE-OC02-Rev.04</t>
  </si>
  <si>
    <t>Serviço especializado de assessoria em Engenharia de Construção e Planejamento visando o desenvolvimento do Plano de Construtibilidade referente ao Programa S2188 – Retorno ITM-I Pico à Úmido, no Complexo de Vargem Grande, localizado no município de Itabirito-MG.</t>
  </si>
  <si>
    <t>PHDC-VALE-OC02-Rev.07</t>
  </si>
  <si>
    <t>PHDC-GERD-PR34-Rev.03</t>
  </si>
  <si>
    <t>GERD-CT16CONTRATO</t>
  </si>
  <si>
    <t>Serviço especializado de assessoria em Engenharia de Construção e Planejamento, visando o desenvolvimento do Plano de Construtibilidade para o sistema do Range de Bitolas, em Charqueadas.</t>
  </si>
  <si>
    <t>PHDC-VALE-OC01-Rev.03</t>
  </si>
  <si>
    <t>Serviço especializado de assessoria em Engenharia de Construção e Planejamento visando o desenvolvimento do Plano de Construtibilidade referente ao projeto de Implantação da Edificação do Centro de Visitantes do Parque Estadual da Serra do Rola Moça, para a Vale, em Nova Lima-MG.</t>
  </si>
  <si>
    <t>PHDC-VALE-OC07-Rev.02</t>
  </si>
  <si>
    <t>Croscheck de Planejamento - Vale Tubarão</t>
  </si>
  <si>
    <t>PHDC-VALE-OC07-Rev.03</t>
  </si>
  <si>
    <t>Serviço especializado de Gestão e Planejamento, visando a elaboração do crosscheck de planejamento (Cronograma Detalhado) em projeto a ser realizado na planta da Vale Tubarão, em Vitória-ES</t>
  </si>
  <si>
    <t>PHDO-VALE-OC07-Rev.05</t>
  </si>
  <si>
    <t>PHDC-PROF-PR02-Rev.02</t>
  </si>
  <si>
    <t>PROF-CT01CONTRATO</t>
  </si>
  <si>
    <t>Serviço especializado de gestão e planejamento, com disponibilização de mão de obra sob demanda, visando a análise e validação das documentações de planejamento dos projetos realizados pela Profitto.</t>
  </si>
  <si>
    <t>PHDE-CCAP-PR09-Rev.02</t>
  </si>
  <si>
    <t>CCAP-CT08CONTRATO</t>
  </si>
  <si>
    <t>Excelência em Planejamento Construcap (Estruturação dos padrões e modelos de Planejamento), visando garantir que as diretrizes e modelos sejam adotadas pela sede da Construcap .</t>
  </si>
  <si>
    <t>PHDE-CONO-PR01-Rev.04</t>
  </si>
  <si>
    <t>CONO-CT02CONTRATO</t>
  </si>
  <si>
    <t xml:space="preserve"> Serviço especializado de gestão e planejamento, visando a continuidade no 
desenvolvimento da Excelência em Planejamento Conorte e Programa de 
Treinamentos para o time de planejamento da Conorte, em Barcarena-PA.</t>
  </si>
  <si>
    <t>PHDE-ELEV-PR06-Rev.06</t>
  </si>
  <si>
    <t>ELEV-CT01CONTRATO</t>
  </si>
  <si>
    <t xml:space="preserve">Serviço especializado de gestão e planejamento, visando o desenvolvimento da estruturação, processos, padrões e governança da gestão do planejamento junto ao PMO da Construtora Elevação. </t>
  </si>
  <si>
    <t>PHDL-ENGT-PR02-Rev.00</t>
  </si>
  <si>
    <t>ENGT-CT01CONTRATO</t>
  </si>
  <si>
    <t>Serviço especializado de assessoria em Engenharia e Planejamento, para apoiar a Implantação da metodologia LPS, junto a Engetower.</t>
  </si>
  <si>
    <t>PHDL-PARE-PR06-Rev.01</t>
  </si>
  <si>
    <t>PARE-CT05CONTRATO</t>
  </si>
  <si>
    <t>LPS na Usina de Carajás, com foco no engajamento, comunicação e direcionamento das atividades a serem realizadas pela Parex na Vale, em Carajás .</t>
  </si>
  <si>
    <t>PHDL-PARE-PR06-Rev.02</t>
  </si>
  <si>
    <t>PARE-CT05ADITIVO</t>
  </si>
  <si>
    <t>PHDL-PARE-PR06-Rev.03</t>
  </si>
  <si>
    <t>Serviço especializado de assessoria técnica e executiva de gestão e planejamento, visando a Implantação da Metodologia LPS na Usina de Carajás, com foco no engajamento, comunicação e direcionamento das atividades a serem realizadas pela Parex na Vale, em Carajás.</t>
  </si>
  <si>
    <t>PHDL-PARE-PR06-Rev.04</t>
  </si>
  <si>
    <t>PHDL-PARE-PR06-Rev.05</t>
  </si>
  <si>
    <t>PHDL-PARE-PR06-Rev.06</t>
  </si>
  <si>
    <t>PHDL-PARE-PR06-Rev.08</t>
  </si>
  <si>
    <t>PHDL-PIAT-PR02-Rev.02</t>
  </si>
  <si>
    <t>PIAT-CT02CONTRATO</t>
  </si>
  <si>
    <t xml:space="preserve">Serviço especializado de gestão e planejamento, visando a Implantação da Metodologia LPS no Projeto de Construção Civil do Estaleiro, no porto de Suape, para APMT Terminals, em Ipojuca-PE. </t>
  </si>
  <si>
    <t>PHDL-SINO-PR01-Rev.03</t>
  </si>
  <si>
    <t>SINO-CT02CONTRATO</t>
  </si>
  <si>
    <t>Serviço especializado de gestão e planejamento, visando a realização de Masterclass LPS, 
Treinamento BIM e AWP, acompanhamento da implantação da Metodologia LPS e Gestão de Dados nos projetos da Sinobras.</t>
  </si>
  <si>
    <t>PHDC-VALE-OC03-Rev.02</t>
  </si>
  <si>
    <t>Plano de Construtibilidade para o desenvolvimento do projeto S11 Área 16 em fase de projeto Conceitual, visando a abertura de uma nova área de jazida de ferro denominada Área 16, dentro da área industrial desenvolvida para a produção na mina do S11, na Mina de Serra Sul, no município de Canaã-PA.</t>
  </si>
  <si>
    <t>PHDC-GERD-PR30-Rev.03</t>
  </si>
  <si>
    <t>GERD-CT13CONTRATO</t>
  </si>
  <si>
    <t>Serviço especializado de assessoria em Engenharia de Construção e Planejamento, visando o desenvolvimento do Plano de Construtibilidade do Projeto de Troca do Transformador do Forno Panela 01, na Gerdau, em Pindamonhangaba - SP.</t>
  </si>
  <si>
    <t>PHDC-REFR-PR04-Rev.00</t>
  </si>
  <si>
    <t>REFR-CT02CONTRATO</t>
  </si>
  <si>
    <t xml:space="preserve"> Serviço especializado de assessoria em Engenharia de Construção e Planejamento, visando o desenvolvimento da Atualização do Planejamento 4D no projeto de adequação do Sistema de Dosagem de Insumos – Pelotização, da Vale, em São Luís – MA</t>
  </si>
  <si>
    <t>PHDO-ANDR-PR09-Rev.01</t>
  </si>
  <si>
    <t>ANDR-CT03CONTRATO</t>
  </si>
  <si>
    <t>Serviço especializado de gestão e planejamento, visando o desenvolvimento do  Cronograma Detalhado com recursos, calendários e premissas operacionais, para a 
CONSAG</t>
  </si>
  <si>
    <t>PHDO-EMPA-PR06-Rev.02</t>
  </si>
  <si>
    <t>EMPA-CT03CONTRATO</t>
  </si>
  <si>
    <t>Serviço especializado de gestão e planejamento, visando estabelecer o formato do 
Planejamento Coorporativo para atuação da PHD Engenharia na gestão dos projetos 
da Teixeira Duarte.</t>
  </si>
  <si>
    <t>PHDO-EMPA-PR06-Rev.04</t>
  </si>
  <si>
    <t>EMPA-CT03ADITIVO</t>
  </si>
  <si>
    <t>PHDB-SEEL-PR07-Rev.03</t>
  </si>
  <si>
    <t>SEEL-CT02CONTRATO</t>
  </si>
  <si>
    <t>Serviço especializado de assessoria BIM, visando o desenvolvimento da Implantação BIM na segunda fase, com foco na Gestão da Construção, para a SEEL Engenharia.</t>
  </si>
  <si>
    <t>PHDO-ENGF-PR13-Rev.01</t>
  </si>
  <si>
    <t>ENGF-CT04CONTRATO</t>
  </si>
  <si>
    <t xml:space="preserve">Serviço especializado de gestão e planejamento, visando o desenvolvimento do 
Planejamento e aplicação da metodologia LPS no Projeto da Reconstrução de Linhas 
de Transmissão de Linhas Aéreas, da ISA CTEEP, em Ribeirão Preto - SP. </t>
  </si>
  <si>
    <t>PHDO-SALU-PR11-Rev.04</t>
  </si>
  <si>
    <t>SALU-CT04CONTRATO</t>
  </si>
  <si>
    <t>Serviço especializado de gestão e planejamento, com fornecimento de mão de obra para projeto de Disposição de Rejeito Filtrado na PDE Norte, Anglo American, em Conceição do Mato Dentro/MG</t>
  </si>
  <si>
    <t>PHDO-SALU-PR11-Rev.06</t>
  </si>
  <si>
    <t>SALU-CT04ADITIVO</t>
  </si>
  <si>
    <t>PHDO-SALU-PR11-Rev.08</t>
  </si>
  <si>
    <t>PHDO-SALU-PR11-Rev.09</t>
  </si>
  <si>
    <t>PHDO-SALU-PR11-Rev.10</t>
  </si>
  <si>
    <t>PHDO-SALU-PR11-Rev.11</t>
  </si>
  <si>
    <t>PHDC-GERD-PR42-Rev.04</t>
  </si>
  <si>
    <t>GERD-CT17CONTRATO</t>
  </si>
  <si>
    <t xml:space="preserve"> Serviço especializado de assessoria em Engenharia de Construção e Planejamento, 
visando o desenvolvimento do Plano de Construtibilidade para o projeto de 
aumento de confiabilidade 33 kV SEP (TR-05), da Gerdau.</t>
  </si>
  <si>
    <t>PHDC-STER-PR02-Rev.02</t>
  </si>
  <si>
    <t>STER-CT02CONTRATO</t>
  </si>
  <si>
    <t>Serviço especializado de assessoria em Engenharia de Construção e Planejamento, visando o desenvolvimento do Plano de Construtibilidade do Interceptor, Canal Paralelo e Viaduto do Projeto Ribeirão Pampulha, em Belo Horizonte-MG.</t>
  </si>
  <si>
    <t>PHDC-STER-PR02-Rev.08</t>
  </si>
  <si>
    <t>STER-CT02ADITIVO</t>
  </si>
  <si>
    <t xml:space="preserve">Serviço especializado de assessoria em Engenharia de Construção e Planejamento, visando o desenvolvimento da Modelagem 3D do Interceptor, Canal Paralelo e Viaduto do Projeto Ribeirão Pampulha, em Belo Horizonte - MG. </t>
  </si>
  <si>
    <t>PHDC-GERD-PR33-Rev.05</t>
  </si>
  <si>
    <t>GERD-CT18CONTRATO</t>
  </si>
  <si>
    <t xml:space="preserve">Serviço especializado de assessoria em Engenharia de Construção e Planejamento, visando o desenvolvimento do Plano de Construtibilidade do projeto da Linha de Inspeção 05, em Pindamonhangaba/SP. </t>
  </si>
  <si>
    <t>PHDC-GERD-PR22-Rev.08</t>
  </si>
  <si>
    <t>GERD-CT19CONTRATO</t>
  </si>
  <si>
    <t>Serviço especializado de assessoria em Engenharia de Construção e Planejamento, visando o desenvolvimento do Diagnóstico e Recomendações de Waste Time, Produtividade e Gestão de índices da Construção, para Gerdau.</t>
  </si>
  <si>
    <t>PHDC-GERD-PR18-Rev.04</t>
  </si>
  <si>
    <t>GERD-CT20CONTRATO</t>
  </si>
  <si>
    <t>Serviço especializado de assessoria em Engenharia de Construção e Planejamento, visando
o desenvolvimento do plano de construtibilidade para o projeto de modernização do sistema de tratamento de água bruta, da Gerdau, em Pindamonhangaba-SP
;</t>
  </si>
  <si>
    <t>PHDB-DOIS-PR03-Rev.01</t>
  </si>
  <si>
    <t>DOIS-CT02CONTRATO</t>
  </si>
  <si>
    <t>Serviço especializado de assessoria em Implantação BIM, visando o desenvolvimento de Assessoria na continuidade da implementação do BIM na Dois A.</t>
  </si>
  <si>
    <t>PHDB-MUNI-PR02-Rev.03</t>
  </si>
  <si>
    <t>MUNI-CT01CONTRATO</t>
  </si>
  <si>
    <t>Serviço especializado de assessoria em modelagem BIM, visando o desenvolvimento de projetos de Contenção e Geotecnica, para o Lote 05 da rodovia sob concessão da EcoRioMinas, no Estado do Rio de Janeiro.</t>
  </si>
  <si>
    <t>PHDL-PARE-PR09-Rev.00</t>
  </si>
  <si>
    <t>PARE-CT04CONTRATO</t>
  </si>
  <si>
    <t>LPS em projeto de Montagem Eletromecânica, com foco no engajamento, comunicação e direcionamento das atividades a serem realizadas na Gerdau, em Ouro Branco/MG .</t>
  </si>
  <si>
    <t>PHDL-PARE-PR09-Rev.01</t>
  </si>
  <si>
    <t>PARE-CT04ADITIVO</t>
  </si>
  <si>
    <t>PHDL-PARE-PR09-Rev.02</t>
  </si>
  <si>
    <t>Serviço especializado de assessoria técnica e executiva de gestão e planejamento, visando a Implantação da Metodologia LPS em projeto de Montagem Eletromecânica, com foco no engajamento, comunicação e direcionamento das atividades a serem realizadas na Gerdau, em Ouro Branco/MG.</t>
  </si>
  <si>
    <t>PHDL-PARE-PR09-Rev.03</t>
  </si>
  <si>
    <t>PHDL-PARE-PR09-Rev.04</t>
  </si>
  <si>
    <t>PHDL-PARE-PR09-Rev.05</t>
  </si>
  <si>
    <t>PHDL-PARE-PR09-Rev.10</t>
  </si>
  <si>
    <t>PHDO-VALE-OC04-Rev.09</t>
  </si>
  <si>
    <t>VALE-CT03OC</t>
  </si>
  <si>
    <t>Serviço especializado de Gestão e Planejamento, visando
a elaboração do Planejamento da Parada no projeto de redução da emissão de particulados
a ser
realizado no TPD, no porto de Tubarão, Vale, em Vitória
-ES</t>
  </si>
  <si>
    <t>PHDB-BTSP-PR03-Rev.03</t>
  </si>
  <si>
    <t>BTSP-CT02CONTRATO</t>
  </si>
  <si>
    <t>PHDO-ENGF-PR10-Rev.05</t>
  </si>
  <si>
    <t>ENGF-CT03CONTRATO</t>
  </si>
  <si>
    <t>Planejamento - Projeto ETA Rio Tanque, Vale, Itabira/MG</t>
  </si>
  <si>
    <t>PHDO-ENGF-PR11-Rev.02</t>
  </si>
  <si>
    <t>ENGF-CT03ADITIVO</t>
  </si>
  <si>
    <t>Serviço especializado de gestão e planejamento, visando a atuação junto ao setor de suprimentos no Projeto da ETA do Rio Tanque, da Vale em Itabira-MG.</t>
  </si>
  <si>
    <t>PHDO-ENGF-PR11-Rev.05</t>
  </si>
  <si>
    <t>Serviço especializado de gestão  e planejamento, visando  a atuação junto ao setor de  suprimentos no Projeto da ETA do Rio Tanque, da Vale em Itabira-MG</t>
  </si>
  <si>
    <t>PHDO-ENGF-PR10-Rev.08</t>
  </si>
  <si>
    <t>Serviço especializado de gestão e planejamento, visando  o desenvolvimento do Planejamento e aplicação da metodologia LPS no Projeto da ETA do Rio Tanque, da Vale em Itabira -MG</t>
  </si>
  <si>
    <t>PHDO-ENGF-PR11-Rev.06</t>
  </si>
  <si>
    <t>PHDO-ENGF-PR10-Rev.09</t>
  </si>
  <si>
    <t>PHDO-ENGF-PR10-Rev.10</t>
  </si>
  <si>
    <t>Serviço especializado de gestão e planejamento, visando o desenvolvimento do Planejamento e aplicação da metodologia LPS no Projeto da ETA do Rio Tanque, da Vale em Itabira-MG.</t>
  </si>
  <si>
    <t>PHDO-ENGF-PR11-Rev.07</t>
  </si>
  <si>
    <t>Serviço especializado de gestão e planejamento, visando a atuação junto ao setor de suprimentos no Projeto da ETA do Rio Tanque, da Vale em Itabira - MG.</t>
  </si>
  <si>
    <t>PHDE-REFR-PR02-Rev.05</t>
  </si>
  <si>
    <t>REFR-CT03CONTRATO</t>
  </si>
  <si>
    <t xml:space="preserve">Desenvolvimento da Excelência em Planejamento Reframax </t>
  </si>
  <si>
    <t>PHDT-ADMB-PR54-Rev.02</t>
  </si>
  <si>
    <t>ADMB-CT19L</t>
  </si>
  <si>
    <t>ADMB-CT19CONTRATO</t>
  </si>
  <si>
    <t>Serviço especializado visando a realização de um treinamento de LPS para a equipe da
ADM do Brasil, em Campo Grande – MS.</t>
  </si>
  <si>
    <t>PHDC-GERD-PR37-Rev.02</t>
  </si>
  <si>
    <t>GERD-CT15CONTRATO</t>
  </si>
  <si>
    <t xml:space="preserve">Serviço especializado de assessoria em Engenharia de Construção e Planejamento, visando o desenvolvimento do Plano de Construtibilidade a nível FEL3 do Sistema de Despoeiramento Secundário na área da Aciaria, para a Gerdau, em Ouro Branco – MG. </t>
  </si>
  <si>
    <t>PHDG-BRAC-PR01-Rev.01</t>
  </si>
  <si>
    <t>BRAC-CT01CONTRATO</t>
  </si>
  <si>
    <t>Serviço especializado de gestão e planejamento, visando o desenvolvimento do Replanejamento do projeto BE 8 da Brasil ao Cubo, em Tubarão, em Santa Catarina
.</t>
  </si>
  <si>
    <t>PHDO-CESB-PR04-Rev.02</t>
  </si>
  <si>
    <t>CESB-CT01CONTRATO</t>
  </si>
  <si>
    <t xml:space="preserve"> Serviço especializado de gestão e planejamento, visando o desenvolvimento da avaliação 
do cronograma de propostas para o projeto Fábrica de Ideias.</t>
  </si>
  <si>
    <t>PHDO-SALU-PR27-Rev.02</t>
  </si>
  <si>
    <t>SALU-CT11CONTRATO</t>
  </si>
  <si>
    <t>Serviço especializado de gestão e planejamento, visando a condução do planejamento
e direcionamento das rotinas com o time da Salum, no projeto da Barragem Doutor, da Vale
.</t>
  </si>
  <si>
    <t>PHDG-NEXA-PR02-Rev.03</t>
  </si>
  <si>
    <t>NEXA-CT03ADITIVO</t>
  </si>
  <si>
    <t>FORNECEDOR | CLIENTE</t>
  </si>
  <si>
    <t>PROJETO | CLIENTE FINAL</t>
  </si>
  <si>
    <t>LOCALIDADE</t>
  </si>
  <si>
    <t>E-MAIL</t>
  </si>
  <si>
    <t>TELEFONE 1</t>
  </si>
  <si>
    <t>TELEFONE 2</t>
  </si>
  <si>
    <t>CONTATO</t>
  </si>
  <si>
    <t>FUNÇÃO / SETOR</t>
  </si>
  <si>
    <t>ENDEREÇO</t>
  </si>
  <si>
    <t>FORMA DE PAGAMENTO</t>
  </si>
  <si>
    <t>OBS.</t>
  </si>
  <si>
    <t>Projeto Carajás/PA</t>
  </si>
  <si>
    <t>Carajás/PA</t>
  </si>
  <si>
    <t>dennise.teixeira@imcsaste.com.br</t>
  </si>
  <si>
    <t>79 99629-8408 Dennise</t>
  </si>
  <si>
    <t>94 99185-8995 Juliana</t>
  </si>
  <si>
    <t>Dennise De Sousa Teixeira</t>
  </si>
  <si>
    <t>vinicius.prista@imcsaste.com.br</t>
  </si>
  <si>
    <t>Vinicius Azevedo Prista</t>
  </si>
  <si>
    <t>Projeto Marabá/PA</t>
  </si>
  <si>
    <t>Marabá/PA</t>
  </si>
  <si>
    <t>94 98402-7182 Julli</t>
  </si>
  <si>
    <t>lucas.sousa@imcsaste.com.br</t>
  </si>
  <si>
    <t>Lucas Bartolomeu de Sousa</t>
  </si>
  <si>
    <t>Mina do Pico/Vale</t>
  </si>
  <si>
    <t>Nova Lima/MG</t>
  </si>
  <si>
    <t>adriana.rodrigues@imcsaste.com.br</t>
  </si>
  <si>
    <t>Adriana Rodrigues</t>
  </si>
  <si>
    <t>rita.barros@imcsaste.com.br</t>
  </si>
  <si>
    <t>(31) 9 9940-2550</t>
  </si>
  <si>
    <t>Rita de Cássia Lima Barros</t>
  </si>
  <si>
    <t>Gestão de Pessoas</t>
  </si>
  <si>
    <t>Nobrega Pimenta</t>
  </si>
  <si>
    <t>Projeto em Rio Piracicaba/MG</t>
  </si>
  <si>
    <t>joao.mota@nobregapimenta.com.br</t>
  </si>
  <si>
    <t>João Mota</t>
  </si>
  <si>
    <t>Projeto Mina de Capanema/Vale</t>
  </si>
  <si>
    <t>Itabirito/MG</t>
  </si>
  <si>
    <t>andreza@ceminas.com.br</t>
  </si>
  <si>
    <t>Andreza Martins</t>
  </si>
  <si>
    <t>Projeto Mina de Capanema</t>
  </si>
  <si>
    <t>konaraujo@construcap.com.br</t>
  </si>
  <si>
    <t>Keciane Oliveira Nascimento Araujo</t>
  </si>
  <si>
    <t xml:space="preserve">Projeto Gerdau </t>
  </si>
  <si>
    <t>Ouro Branco/MG</t>
  </si>
  <si>
    <t>junior@salumconstruções.com.br</t>
  </si>
  <si>
    <t>(31) 99818-7275</t>
  </si>
  <si>
    <t>Junior</t>
  </si>
  <si>
    <t>Projeto Gerdau</t>
  </si>
  <si>
    <t>Miguel Burnier/MG</t>
  </si>
  <si>
    <t>jonathan@salumconstrucoes.com.br</t>
  </si>
  <si>
    <t>(31) 99655-4909</t>
  </si>
  <si>
    <t>Jonathan Soares da Fonseca</t>
  </si>
  <si>
    <t>Projeto Miguel Burnier (Mina de Fábrica)</t>
  </si>
  <si>
    <t>wanderson.lima@terrabel.com.br</t>
  </si>
  <si>
    <t>Wanderson Lima</t>
  </si>
  <si>
    <t>keli.fernandes@terrabel.com.br</t>
  </si>
  <si>
    <t>Keli Fernandes</t>
  </si>
  <si>
    <t>Todos os projetos VALE VERDE</t>
  </si>
  <si>
    <t>seg08@construtoravaleverde.com.br</t>
  </si>
  <si>
    <t>Natália Lage</t>
  </si>
  <si>
    <t>Cliente final Anglo American</t>
  </si>
  <si>
    <t>daniele.simao@cretaengenharia.com.br</t>
  </si>
  <si>
    <t>(22) 99832-6735</t>
  </si>
  <si>
    <t>Daniele Simão</t>
  </si>
  <si>
    <t>Timbopeba/MG</t>
  </si>
  <si>
    <t>CT05</t>
  </si>
  <si>
    <t xml:space="preserve">julia@salumconstrucoes.com.br </t>
  </si>
  <si>
    <t>(31) 987750508</t>
  </si>
  <si>
    <t>Julia Chaves</t>
  </si>
  <si>
    <t>Anglo American</t>
  </si>
  <si>
    <t>Conceição do Mato Dentro/MG</t>
  </si>
  <si>
    <t>SALU-CT04-MINE</t>
  </si>
  <si>
    <t xml:space="preserve">sayonara@salumconstrucoes.com.br </t>
  </si>
  <si>
    <t>(22) 999219229</t>
  </si>
  <si>
    <t>Sayonara Pereira</t>
  </si>
  <si>
    <t>Canaã dos Carajás/PA</t>
  </si>
  <si>
    <t>dimas.costa@milplan.com.br</t>
  </si>
  <si>
    <t>(31) 9874-3257</t>
  </si>
  <si>
    <t>94 9244-6291 Rayanna</t>
  </si>
  <si>
    <t>Dimas Costa</t>
  </si>
  <si>
    <t>PAREX ENGENHARIA</t>
  </si>
  <si>
    <t>Complexo Minerador de Carajás</t>
  </si>
  <si>
    <t>rafael.monteiro@parex.com.br</t>
  </si>
  <si>
    <t>(31) 7184-0067</t>
  </si>
  <si>
    <t>(31) 99722-0355 Weslley</t>
  </si>
  <si>
    <t>Rafael Silva Monteiro</t>
  </si>
  <si>
    <t>Cliente final A100</t>
  </si>
  <si>
    <t>Paulinia/SP</t>
  </si>
  <si>
    <t>gissilva@grupoconstrucap.mail.onmicrosoft.com</t>
  </si>
  <si>
    <t>(11) 9 8620-4743</t>
  </si>
  <si>
    <t>Gisele Ingridi</t>
  </si>
  <si>
    <t>kcnpalma@construcap.com.br&gt;</t>
  </si>
  <si>
    <t>(11) 9 4371-5278</t>
  </si>
  <si>
    <t>Karen Cristina</t>
  </si>
  <si>
    <t>dbbarbassa@construcap.com.br</t>
  </si>
  <si>
    <t>(11) 9 3284-3954</t>
  </si>
  <si>
    <t>Denys Bogas</t>
  </si>
  <si>
    <t>Jundiaí/SP</t>
  </si>
  <si>
    <t>cdgcasagrande@construcap.com.br</t>
  </si>
  <si>
    <t>(11) 9 9345-3389</t>
  </si>
  <si>
    <t>Cinthia Dimarzio</t>
  </si>
  <si>
    <t>bamborges@construcap.com.br</t>
  </si>
  <si>
    <t>(19) 9 8223-8563</t>
  </si>
  <si>
    <t>Bruno Antonio</t>
  </si>
  <si>
    <t>Técnico Seg. do Trabalho</t>
  </si>
  <si>
    <t>Complexo industrial Mineral de ferro Carajás S11D</t>
  </si>
  <si>
    <t>claudio@parex.com.br</t>
  </si>
  <si>
    <t>(31) 9 9205-2621 Claudio</t>
  </si>
  <si>
    <t>Claudio Zicker</t>
  </si>
  <si>
    <t>juliasantana@terrabel.com</t>
  </si>
  <si>
    <t>(31) 9 8523-6185</t>
  </si>
  <si>
    <t>Julia Santana</t>
  </si>
  <si>
    <t>Campo Grande/MS</t>
  </si>
  <si>
    <t>olivier.Camargo.Contractor@adm.com</t>
  </si>
  <si>
    <t>(67) 9 9818-1467</t>
  </si>
  <si>
    <t>Olivier Camargo</t>
  </si>
  <si>
    <t>Usina Ouro Branco/Gerdau</t>
  </si>
  <si>
    <t>iaferreira@construcap.com.br</t>
  </si>
  <si>
    <t>(31) 9 8974-2913</t>
  </si>
  <si>
    <t>Iasmim Ferreira</t>
  </si>
  <si>
    <t>Mobilização</t>
  </si>
  <si>
    <t>Mina de Brucutu/Vale</t>
  </si>
  <si>
    <t>Brumadinho/MG</t>
  </si>
  <si>
    <t>gabriela.machado@cimcop.com.br</t>
  </si>
  <si>
    <t>Gabriela Machado</t>
  </si>
  <si>
    <t>Projeto Mina de Brucutu/ Vale</t>
  </si>
  <si>
    <t>eduardo.ferreira@cimcop.com.br</t>
  </si>
  <si>
    <t>(31) 9 9558-6012</t>
  </si>
  <si>
    <t>Eduardo Ferreira</t>
  </si>
  <si>
    <t xml:space="preserve">matheusb@salumconstrucoes.com.br </t>
  </si>
  <si>
    <t>Matheus Bomfim</t>
  </si>
  <si>
    <t xml:space="preserve">Gestor </t>
  </si>
  <si>
    <t>Complexo Paraopeba/Vale</t>
  </si>
  <si>
    <t xml:space="preserve">ana.rosa@imcsaste.com.br </t>
  </si>
  <si>
    <t>(79) 9 9839-3643</t>
  </si>
  <si>
    <t>Ana Carolina Vieira Rosa</t>
  </si>
  <si>
    <t>M ROSCOE</t>
  </si>
  <si>
    <t>Arcelormittal</t>
  </si>
  <si>
    <t>matheus.couto@mroscoe.com.br</t>
  </si>
  <si>
    <t>(31) 9 9649-4965</t>
  </si>
  <si>
    <t>Matheus Couto</t>
  </si>
  <si>
    <t>Três Corações/MG</t>
  </si>
  <si>
    <t>giovanna.Rosa@adm.com</t>
  </si>
  <si>
    <t>Giovanna Rosa</t>
  </si>
  <si>
    <t>jorge.Piva@adm.com</t>
  </si>
  <si>
    <t>Jorge Piva</t>
  </si>
  <si>
    <t>franciele.Camara@adm.com</t>
  </si>
  <si>
    <t>(31) 9 9498-0407</t>
  </si>
  <si>
    <t>Franciele Camara</t>
  </si>
  <si>
    <t xml:space="preserve"> </t>
  </si>
  <si>
    <t>Mina de Fábrica/Vale</t>
  </si>
  <si>
    <t>Ouro Preto/MG</t>
  </si>
  <si>
    <t>CT03</t>
  </si>
  <si>
    <t>(31) 9 9696-5398</t>
  </si>
  <si>
    <t>carlos.motta@terrabel.com.br</t>
  </si>
  <si>
    <t>(31)  9 9282-1342</t>
  </si>
  <si>
    <t>Carlos Motta</t>
  </si>
  <si>
    <t xml:space="preserve">ALFA </t>
  </si>
  <si>
    <t>Porto Alumar</t>
  </si>
  <si>
    <t>São Luis/Maranhão</t>
  </si>
  <si>
    <t>edmar.santos@alfaengenharia.ind.br</t>
  </si>
  <si>
    <t>Edmar Santos</t>
  </si>
  <si>
    <t>Projeto ArcelorMittal</t>
  </si>
  <si>
    <t>osmachado@construcap.com.br</t>
  </si>
  <si>
    <t xml:space="preserve">11) 9 1012-6403 </t>
  </si>
  <si>
    <t>Otoniel Machado</t>
  </si>
  <si>
    <t>wcsilva@construcap.com.br</t>
  </si>
  <si>
    <t>Welson Silva</t>
  </si>
  <si>
    <t>easferreira@construcap.com.br</t>
  </si>
  <si>
    <t>(41) 9 9920-9118</t>
  </si>
  <si>
    <t>Eder Ferreira</t>
  </si>
  <si>
    <t>marina.goncalves@cimcop.com.br</t>
  </si>
  <si>
    <t>Marina Gonçalves</t>
  </si>
  <si>
    <t>Eng. Segurança do Trabalho</t>
  </si>
  <si>
    <t>thiago.almeida@cimcop.com.br</t>
  </si>
  <si>
    <t>Thiago Almeida</t>
  </si>
  <si>
    <t>lfomendonca@construcap.com.br</t>
  </si>
  <si>
    <t>(31) 9 9336-1790</t>
  </si>
  <si>
    <t>Luana Mendonça</t>
  </si>
  <si>
    <t>TST</t>
  </si>
  <si>
    <t>dspereira@construcap.com.br</t>
  </si>
  <si>
    <t>(31) 9 9895-3752</t>
  </si>
  <si>
    <t>Débora Sabino</t>
  </si>
  <si>
    <t>carolina@ceminas.com.br</t>
  </si>
  <si>
    <t>Carolina Sousa</t>
  </si>
  <si>
    <t>marcia@ceminas.com.br</t>
  </si>
  <si>
    <t>Márcia Lima</t>
  </si>
  <si>
    <t>wallace.lima@tereme.com.br</t>
  </si>
  <si>
    <t>(31) 9 8812-8712</t>
  </si>
  <si>
    <t>Wallace Lima</t>
  </si>
  <si>
    <t>ariane.paula@tereme.com.br</t>
  </si>
  <si>
    <t>(31) 9 8921-4767</t>
  </si>
  <si>
    <t>Ariane Paula</t>
  </si>
  <si>
    <t>Mina de Águas Claras/Vale</t>
  </si>
  <si>
    <t>keli.rodrigues@terrabel.com.br</t>
  </si>
  <si>
    <t>Keli Fernandes Rodrigues</t>
  </si>
  <si>
    <t>Engenheira de Segurança</t>
  </si>
  <si>
    <t>kallen.fonseca@terrabel.com.br</t>
  </si>
  <si>
    <t>(31) 9 8686-6650</t>
  </si>
  <si>
    <t>Kallen Fonseca</t>
  </si>
  <si>
    <t>Analista de Medição</t>
  </si>
  <si>
    <t>jose.junior@terrabel.com.br</t>
  </si>
  <si>
    <t>(31) 9 9904-4557</t>
  </si>
  <si>
    <t>José Junior</t>
  </si>
  <si>
    <t>Coordenador de Operações</t>
  </si>
  <si>
    <t>catia.cobuci@terrabel.com.br</t>
  </si>
  <si>
    <t>(32) 9 9142-6087</t>
  </si>
  <si>
    <t>Cátia Aparecida Cobuci</t>
  </si>
  <si>
    <t>Alcoa</t>
  </si>
  <si>
    <t>Saõ Luiz/MA</t>
  </si>
  <si>
    <t>Maria.Silva2@alcoa.com</t>
  </si>
  <si>
    <t>(98) 9 8287-0009</t>
  </si>
  <si>
    <t>Maria</t>
  </si>
  <si>
    <t>Fico</t>
  </si>
  <si>
    <t>Crixas/GO</t>
  </si>
  <si>
    <t>nayara.menezes@nobregapimenta.com.br</t>
  </si>
  <si>
    <t>62 8198-5143</t>
  </si>
  <si>
    <t>Nayara Menezes</t>
  </si>
  <si>
    <t>Encarregado Administrativo</t>
  </si>
  <si>
    <t xml:space="preserve"> arlen.fonseca@construtoraatrium.com.br</t>
  </si>
  <si>
    <t>(34) 9 8811-5935</t>
  </si>
  <si>
    <t>(31) 99284-0431</t>
  </si>
  <si>
    <t>Arlen Fonseca</t>
  </si>
  <si>
    <t>o Segundo contato e da Michele</t>
  </si>
  <si>
    <t>Rumo</t>
  </si>
  <si>
    <t>ccsantana@construcap.com.br</t>
  </si>
  <si>
    <t>(31) 9135-8053</t>
  </si>
  <si>
    <t xml:space="preserve">Claudio Criscolo </t>
  </si>
  <si>
    <t>Gerente Administrativo</t>
  </si>
  <si>
    <t>emsilva@empa.com.br</t>
  </si>
  <si>
    <t>(62) 8211-3144</t>
  </si>
  <si>
    <t>Elizandra Martins</t>
  </si>
  <si>
    <t>elida.cota@tecnosondarj.com.br</t>
  </si>
  <si>
    <t>(31) 9 9944-2850</t>
  </si>
  <si>
    <t>Elida Cota</t>
  </si>
  <si>
    <t>martha.rodrigues@tecnosondarj.com.br</t>
  </si>
  <si>
    <t>(21) 2263-8788</t>
  </si>
  <si>
    <t>(21) 9 9719-2704</t>
  </si>
  <si>
    <t>Maria Martha Rodrigues</t>
  </si>
  <si>
    <t>Assistente Administrativo</t>
  </si>
  <si>
    <t>veronicasantos@tecnosondarj.com.br</t>
  </si>
  <si>
    <t>(12) 9 7405-8788</t>
  </si>
  <si>
    <t>Verônica Santos</t>
  </si>
  <si>
    <t>GC CONSTRUÇÕES</t>
  </si>
  <si>
    <t>Lavras/MG</t>
  </si>
  <si>
    <t>daizilane@cgconstrucoes.com</t>
  </si>
  <si>
    <t>(31) 9 8643-2516</t>
  </si>
  <si>
    <t>Daizilane Soares</t>
  </si>
  <si>
    <t xml:space="preserve">ATERPA </t>
  </si>
  <si>
    <t>jaimara.cota@aterpa.com.br</t>
  </si>
  <si>
    <t>(31) 9 99611-1292</t>
  </si>
  <si>
    <t>Jaimara Cota</t>
  </si>
  <si>
    <t>mauriceia@salumconstrucoes.com.br</t>
  </si>
  <si>
    <t>(31) 9 9171-1458</t>
  </si>
  <si>
    <t>Mauriceia</t>
  </si>
  <si>
    <t xml:space="preserve">SIGDO KOPPERS </t>
  </si>
  <si>
    <t>Mina de Capanema/Vale</t>
  </si>
  <si>
    <t>ivalte.deassis@skic.com</t>
  </si>
  <si>
    <t>(31) 9 9127-5286</t>
  </si>
  <si>
    <t>Ivalte de Assis</t>
  </si>
  <si>
    <t>Analista de Seg. do Trabalho</t>
  </si>
  <si>
    <t>Barra Mansa-RJ</t>
  </si>
  <si>
    <t>NILP-CT01-LAMI</t>
  </si>
  <si>
    <t>jose.pena@niplan.com.br</t>
  </si>
  <si>
    <t>31 9363-0945</t>
  </si>
  <si>
    <t>José Elisio</t>
  </si>
  <si>
    <t>Porto Franco/MA</t>
  </si>
  <si>
    <t>Antonia.Sousa.Contractor@adm.com</t>
  </si>
  <si>
    <t>Adriana</t>
  </si>
  <si>
    <t>CURRAIS NOVOS</t>
  </si>
  <si>
    <t>Aldesson.miranda@parex.com.br</t>
  </si>
  <si>
    <t>93 9194-6583</t>
  </si>
  <si>
    <t>Aldesson</t>
  </si>
  <si>
    <t>MARA ROSA - GO</t>
  </si>
  <si>
    <t xml:space="preserve"> mes@teixeiraduarte.com</t>
  </si>
  <si>
    <t>62 982113144</t>
  </si>
  <si>
    <t>Elizandra Martins Silva</t>
  </si>
  <si>
    <t>tatiana.almeida@cretaengenharia.com.br</t>
  </si>
  <si>
    <t>22 99239-3820</t>
  </si>
  <si>
    <t>Tatiana</t>
  </si>
  <si>
    <t>Mobilização Pessoas</t>
  </si>
  <si>
    <t>lucas.souza@cretaengenharia.com.br</t>
  </si>
  <si>
    <t>22 99839-1695</t>
  </si>
  <si>
    <t>Lucas</t>
  </si>
  <si>
    <t>Programas legais</t>
  </si>
  <si>
    <t>fabiana@arclean.com</t>
  </si>
  <si>
    <t>19 98336-8488</t>
  </si>
  <si>
    <t xml:space="preserve">Fabiana Landin </t>
  </si>
  <si>
    <t>PLATAFORMA</t>
  </si>
  <si>
    <t>LINK PARA ACESSO</t>
  </si>
  <si>
    <t>LOGIN</t>
  </si>
  <si>
    <t>SENHA</t>
  </si>
  <si>
    <t>FINALIDADE</t>
  </si>
  <si>
    <t>Bancodoc</t>
  </si>
  <si>
    <t>https://bancodoc.com.br/sistema</t>
  </si>
  <si>
    <t>PHDleticia2024#</t>
  </si>
  <si>
    <t>Postagem dos documentos para mobilização dos clientes que tem como cliente final a Gerdau.</t>
  </si>
  <si>
    <t>Autentique</t>
  </si>
  <si>
    <t>https://painel.autentique.com.br</t>
  </si>
  <si>
    <t xml:space="preserve">adm@phdengenharia.eng.br </t>
  </si>
  <si>
    <t>4911549Phbn</t>
  </si>
  <si>
    <t>Assinatura dos documentos.</t>
  </si>
  <si>
    <t xml:space="preserve">Soc </t>
  </si>
  <si>
    <t xml:space="preserve">https://sistema.soc.com.br/WebSoc </t>
  </si>
  <si>
    <t>Login para cada usuário</t>
  </si>
  <si>
    <t>Senha para cada usuário</t>
  </si>
  <si>
    <t>Principal função é a verificação da liberação do ASO, porém existem demais funções relacionadas ao tema.</t>
  </si>
  <si>
    <t>Gn Treinamentos</t>
  </si>
  <si>
    <t xml:space="preserve">https://www.gntreinamentos.com.br/login.html </t>
  </si>
  <si>
    <t>adm@phdengenharia.eng.br</t>
  </si>
  <si>
    <t>W1Rn8ycp</t>
  </si>
  <si>
    <t>(31) 9 9644-3805</t>
  </si>
  <si>
    <t>Acesso aos certificados dos treinamentos realizados pelos colaboradores.</t>
  </si>
  <si>
    <t>Devolução do crachá Vale</t>
  </si>
  <si>
    <t>ValeForms</t>
  </si>
  <si>
    <t>Preencher o link para realizar a devolução no prédio da Vale. Normalmente preencho antes do momento da devolução para ganhar tempo.</t>
  </si>
  <si>
    <t>tg160420</t>
  </si>
  <si>
    <t>NA</t>
  </si>
  <si>
    <t>Phd**2025</t>
  </si>
  <si>
    <t>Softexpert</t>
  </si>
  <si>
    <t>https://alumar.softexpert.com/softexpert/</t>
  </si>
  <si>
    <t xml:space="preserve"> v-PHD003</t>
  </si>
  <si>
    <t>Postagem dos documentos para mobilização da Alcoa Alumar- São Luis MA</t>
  </si>
  <si>
    <t>VERTECH</t>
  </si>
  <si>
    <t>https://fornecedor.vertech-it.com.br/apex/f?p=157:1:664044664974</t>
  </si>
  <si>
    <t>JYPGESRB</t>
  </si>
  <si>
    <t>Postagem dos documentos para mobilização da Goiasa- Goiatuba - GO</t>
  </si>
  <si>
    <t>Ana02119@</t>
  </si>
  <si>
    <t>AVAL</t>
  </si>
  <si>
    <t>https://avalgrupo.com.br/</t>
  </si>
  <si>
    <t>PHD</t>
  </si>
  <si>
    <t>PHD2024</t>
  </si>
  <si>
    <t>Rainbow</t>
  </si>
  <si>
    <t xml:space="preserve">https://nexa-brasil.rainbowtec.com.br </t>
  </si>
  <si>
    <t xml:space="preserve">ALESSANDRA_PHD </t>
  </si>
  <si>
    <t>Postagem de documentos de mobilização para o cliente NEXA Resources</t>
  </si>
  <si>
    <t>EQPC MOBI</t>
  </si>
  <si>
    <t xml:space="preserve"> https://www.eqpcm-mobi.com.br</t>
  </si>
  <si>
    <t>Postagem de documentos de mobilização para o cliente AURA MINERALS-ALMAS TO</t>
  </si>
  <si>
    <t>EDIJANE_PHD</t>
  </si>
  <si>
    <t>Metax</t>
  </si>
  <si>
    <t>https://portal.metax.ind.br/Credenciamento/Index</t>
  </si>
  <si>
    <t>CPF Edijane</t>
  </si>
  <si>
    <t>Postagem de documentos de mobilização para o cliente Construcap-AURACO</t>
  </si>
  <si>
    <t>Mosaic</t>
  </si>
  <si>
    <t>https://www.mosaicfertilizantes.miisy.com/portaldemobilizacao/do/dashboard</t>
  </si>
  <si>
    <t>Phdassessoria2026</t>
  </si>
  <si>
    <t>Postagem de documentos de mobilização para o cliente Nobrega Pimenta-Mosaic</t>
  </si>
  <si>
    <t>Senior</t>
  </si>
  <si>
    <t>https://platform.senior.com.br/login/?redirectTo=https%3A%2F%2Fplatform.senior.com.br%2Fsenior-x%2F%23%2F</t>
  </si>
  <si>
    <t>phd.engenharia@grupoherculano.com.br</t>
  </si>
  <si>
    <t>Phd**2026</t>
  </si>
  <si>
    <t>Postagem dos documentos Herculano</t>
  </si>
  <si>
    <t>Newcontract</t>
  </si>
  <si>
    <t>https://newcontract.vli.contractweb.com.br/?ReturnUrl=%2FAtualizarColaborador%3FTipoCompetencia%3D1</t>
  </si>
  <si>
    <t>Postagem dos documentos VLI</t>
  </si>
  <si>
    <t>Singular</t>
  </si>
  <si>
    <t>https://ami-singular-001.auraminerals.com/borborema/aut_syg/atualizacao</t>
  </si>
  <si>
    <t>Phd@2026</t>
  </si>
  <si>
    <t>Postagem de documentos de mobilização para o cliente AURA MINERALS-BORBOREMA</t>
  </si>
  <si>
    <t>CTA</t>
  </si>
  <si>
    <t>https://cta.aperam.com</t>
  </si>
  <si>
    <t xml:space="preserve">PHD A101229183 </t>
  </si>
  <si>
    <t>Senha @Novasenha!2026</t>
  </si>
  <si>
    <t>31 9118-2293</t>
  </si>
  <si>
    <t>Postagem de documentos de mobilização para o cliente APERAM - Senha- @Novasenha!2026</t>
  </si>
  <si>
    <t>https://docs.google.com/presentation/d/1qn9pz8O1q79WEG2hX71mTxe4M54payAAV2E98sqaIP4/embed?slide=id.p</t>
  </si>
  <si>
    <t xml:space="preserve">Contrato </t>
  </si>
  <si>
    <t>Empresa</t>
  </si>
  <si>
    <t>Aditivo até</t>
  </si>
  <si>
    <t>Enviado anexo 06</t>
  </si>
  <si>
    <t>Data de envio</t>
  </si>
  <si>
    <t xml:space="preserve">IMC Saste </t>
  </si>
  <si>
    <t>PHD Engenharia</t>
  </si>
  <si>
    <t>PHD Assessoria</t>
  </si>
  <si>
    <t xml:space="preserve">TERR-CT08 </t>
  </si>
  <si>
    <t>Terrabel</t>
  </si>
  <si>
    <t>Ceminas</t>
  </si>
  <si>
    <t xml:space="preserve">Pendente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</si>
</sst>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24"/>
      <name val="Aptos Narrow"/>
      <family val="2"/>
      <scheme val="minor"/>
    </font>
    <font>
      <b/>
      <sz val="10"/>
      <name val="Aptos Narrow"/>
      <family val="2"/>
      <scheme val="minor"/>
    </font>
    <font>
      <b/>
      <sz val="10"/>
      <color theme="1"/>
      <name val="Aptos Narrow"/>
      <family val="2"/>
      <scheme val="minor"/>
    </font>
    <font>
      <sz val="11"/>
      <name val="Aptos Narrow"/>
      <family val="2"/>
      <scheme val="minor"/>
    </font>
    <font>
      <b/>
      <sz val="10"/>
      <color theme="0"/>
      <name val="Aptos Narrow"/>
      <family val="2"/>
      <scheme val="minor"/>
    </font>
    <font>
      <sz val="10"/>
      <color theme="1"/>
      <name val="Aptos Narrow"/>
      <family val="2"/>
      <scheme val="minor"/>
    </font>
    <font>
      <u/>
      <sz val="11"/>
      <color theme="10"/>
      <name val="Aptos Narrow"/>
      <family val="2"/>
      <scheme val="minor"/>
    </font>
    <font>
      <sz val="11"/>
      <color theme="0" tint="-0.34998626667073579"/>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9"/>
      <name val="Aptos Narrow"/>
      <family val="2"/>
      <scheme val="minor"/>
    </font>
    <font>
      <sz val="11"/>
      <color rgb="FF242424"/>
      <name val="Calibri"/>
      <family val="2"/>
    </font>
    <font>
      <sz val="11"/>
      <color rgb="FF00B050"/>
      <name val="Aptos Narrow"/>
      <family val="2"/>
      <scheme val="minor"/>
    </font>
    <font>
      <sz val="10"/>
      <color rgb="FF00B050"/>
      <name val="Aptos Narrow"/>
      <family val="2"/>
      <scheme val="minor"/>
    </font>
    <font>
      <sz val="8"/>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6" tint="-0.249977111117893"/>
        <bgColor indexed="64"/>
      </patternFill>
    </fill>
    <fill>
      <patternFill patternType="solid">
        <fgColor rgb="FF3E5265"/>
        <bgColor indexed="64"/>
      </patternFill>
    </fill>
    <fill>
      <patternFill patternType="solid">
        <fgColor theme="8"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theme="0"/>
        <bgColor theme="0" tint="-0.14999847407452621"/>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theme="0" tint="-0.499984740745262"/>
      </left>
      <right style="thin">
        <color theme="0" tint="-0.499984740745262"/>
      </right>
      <top style="thin">
        <color theme="0" tint="-0.499984740745262"/>
      </top>
      <bottom style="hair">
        <color theme="0" tint="-0.499984740745262"/>
      </bottom>
      <diagonal/>
    </border>
    <border>
      <left/>
      <right style="thin">
        <color indexed="64"/>
      </right>
      <top/>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top/>
      <bottom/>
      <diagonal/>
    </border>
    <border>
      <left style="thin">
        <color theme="0" tint="-0.14996795556505021"/>
      </left>
      <right style="thin">
        <color theme="0" tint="-0.14996795556505021"/>
      </right>
      <top/>
      <bottom style="hair">
        <color theme="0" tint="-0.14996795556505021"/>
      </bottom>
      <diagonal/>
    </border>
    <border>
      <left style="thin">
        <color theme="0" tint="-0.14996795556505021"/>
      </left>
      <right style="thin">
        <color theme="0" tint="-0.14996795556505021"/>
      </right>
      <top style="hair">
        <color theme="0" tint="-0.14996795556505021"/>
      </top>
      <bottom style="hair">
        <color theme="0" tint="-0.14996795556505021"/>
      </bottom>
      <diagonal/>
    </border>
    <border>
      <left style="thin">
        <color theme="0" tint="-0.14996795556505021"/>
      </left>
      <right style="thin">
        <color theme="0" tint="-0.14996795556505021"/>
      </right>
      <top style="hair">
        <color theme="0" tint="-0.14996795556505021"/>
      </top>
      <bottom/>
      <diagonal/>
    </border>
    <border>
      <left/>
      <right/>
      <top style="thin">
        <color theme="4" tint="0.39997558519241921"/>
      </top>
      <bottom style="thin">
        <color theme="4" tint="0.39997558519241921"/>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hair">
        <color theme="0" tint="-0.499984740745262"/>
      </top>
      <bottom/>
      <diagonal/>
    </border>
    <border>
      <left style="thin">
        <color indexed="64"/>
      </left>
      <right style="thin">
        <color indexed="64"/>
      </right>
      <top style="hair">
        <color indexed="64"/>
      </top>
      <bottom/>
      <diagonal/>
    </border>
    <border>
      <left style="thin">
        <color theme="0" tint="-0.499984740745262"/>
      </left>
      <right style="thin">
        <color theme="0" tint="-0.499984740745262"/>
      </right>
      <top style="thin">
        <color theme="0" tint="-0.499984740745262"/>
      </top>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top style="thin">
        <color theme="0" tint="-0.14996795556505021"/>
      </top>
      <bottom style="thin">
        <color theme="0" tint="-0.14996795556505021"/>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indexed="64"/>
      </right>
      <top style="hair">
        <color theme="0" tint="-0.499984740745262"/>
      </top>
      <bottom style="hair">
        <color theme="0" tint="-0.499984740745262"/>
      </bottom>
      <diagonal/>
    </border>
  </borders>
  <cellStyleXfs count="3">
    <xf numFmtId="0" fontId="0" fillId="0" borderId="0"/>
    <xf numFmtId="0" fontId="7" fillId="0" borderId="0" applyNumberFormat="0" applyFill="0" applyBorder="0" applyAlignment="0" applyProtection="0"/>
    <xf numFmtId="0" fontId="7" fillId="0" borderId="0" applyNumberFormat="0" applyFill="0" applyBorder="0" applyAlignment="0" applyProtection="0"/>
  </cellStyleXfs>
  <cellXfs count="141">
    <xf numFmtId="0" fontId="0" fillId="0" borderId="0" xfId="0"/>
    <xf numFmtId="0" fontId="1" fillId="0" borderId="0" xfId="0" applyFont="1"/>
    <xf numFmtId="0" fontId="2"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6" xfId="0" applyFont="1" applyFill="1" applyBorder="1" applyAlignment="1">
      <alignment horizontal="left" vertical="top" textRotation="90" wrapText="1"/>
    </xf>
    <xf numFmtId="0" fontId="2" fillId="3"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5" fillId="5" borderId="7" xfId="0" applyFont="1" applyFill="1" applyBorder="1" applyAlignment="1">
      <alignment horizontal="center" vertical="center" wrapText="1"/>
    </xf>
    <xf numFmtId="14" fontId="5" fillId="5" borderId="7" xfId="0" applyNumberFormat="1" applyFont="1" applyFill="1" applyBorder="1" applyAlignment="1">
      <alignment horizontal="center" vertical="center" wrapText="1"/>
    </xf>
    <xf numFmtId="0" fontId="5" fillId="5" borderId="8"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6" fillId="0" borderId="9" xfId="0" applyFont="1" applyBorder="1" applyAlignment="1">
      <alignment horizontal="left" vertical="center"/>
    </xf>
    <xf numFmtId="0" fontId="6" fillId="0" borderId="11" xfId="0" applyFont="1" applyBorder="1" applyAlignment="1">
      <alignment horizontal="left" vertical="center"/>
    </xf>
    <xf numFmtId="0" fontId="0" fillId="0" borderId="9" xfId="0" applyBorder="1" applyAlignment="1">
      <alignment horizontal="center" vertical="center"/>
    </xf>
    <xf numFmtId="0" fontId="0" fillId="0" borderId="11" xfId="0" applyBorder="1" applyAlignment="1">
      <alignment horizontal="center" vertical="center"/>
    </xf>
    <xf numFmtId="14" fontId="0" fillId="0" borderId="0" xfId="0" applyNumberFormat="1"/>
    <xf numFmtId="0" fontId="7" fillId="0" borderId="4" xfId="1" applyBorder="1" applyAlignment="1">
      <alignment horizontal="left" vertical="center"/>
    </xf>
    <xf numFmtId="14" fontId="2" fillId="3" borderId="6" xfId="0" applyNumberFormat="1" applyFont="1" applyFill="1" applyBorder="1" applyAlignment="1">
      <alignment horizontal="center" vertical="center" wrapText="1"/>
    </xf>
    <xf numFmtId="14" fontId="0" fillId="0" borderId="9" xfId="0" applyNumberFormat="1" applyBorder="1" applyAlignment="1">
      <alignment horizontal="center" vertical="center"/>
    </xf>
    <xf numFmtId="14" fontId="0" fillId="0" borderId="11" xfId="0" applyNumberFormat="1" applyBorder="1" applyAlignment="1">
      <alignment horizontal="center" vertical="center"/>
    </xf>
    <xf numFmtId="0" fontId="8" fillId="6" borderId="0" xfId="0" applyFont="1" applyFill="1" applyAlignment="1">
      <alignment horizontal="center"/>
    </xf>
    <xf numFmtId="14" fontId="4" fillId="0" borderId="9" xfId="0" applyNumberFormat="1" applyFont="1" applyBorder="1" applyAlignment="1">
      <alignment horizontal="center" vertical="center"/>
    </xf>
    <xf numFmtId="14" fontId="4" fillId="0" borderId="11" xfId="0" applyNumberFormat="1" applyFont="1" applyBorder="1" applyAlignment="1">
      <alignment horizontal="center" vertical="center"/>
    </xf>
    <xf numFmtId="0" fontId="5" fillId="4" borderId="1" xfId="0" applyFont="1" applyFill="1" applyBorder="1" applyAlignment="1">
      <alignment horizontal="center" vertical="center" wrapText="1"/>
    </xf>
    <xf numFmtId="0" fontId="0" fillId="0" borderId="0" xfId="0" applyAlignment="1">
      <alignment horizontal="center" vertical="center"/>
    </xf>
    <xf numFmtId="0" fontId="2"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4" fillId="2" borderId="17" xfId="0" applyFont="1" applyFill="1" applyBorder="1" applyAlignment="1">
      <alignment horizontal="left" vertical="top" textRotation="90" wrapText="1"/>
    </xf>
    <xf numFmtId="0" fontId="5" fillId="4"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6" fillId="0" borderId="19" xfId="0" applyFont="1" applyBorder="1" applyAlignment="1">
      <alignment horizontal="left" vertical="center"/>
    </xf>
    <xf numFmtId="0" fontId="0" fillId="0" borderId="19" xfId="0" applyBorder="1" applyAlignment="1">
      <alignment horizontal="center" vertical="center"/>
    </xf>
    <xf numFmtId="14" fontId="0" fillId="0" borderId="19" xfId="0" applyNumberFormat="1" applyBorder="1" applyAlignment="1">
      <alignment horizontal="center" vertical="center"/>
    </xf>
    <xf numFmtId="14" fontId="12" fillId="0" borderId="19" xfId="0" applyNumberFormat="1" applyFont="1" applyBorder="1" applyAlignment="1">
      <alignment horizontal="center" vertical="center"/>
    </xf>
    <xf numFmtId="0" fontId="6" fillId="0" borderId="20" xfId="0" applyFont="1" applyBorder="1" applyAlignment="1">
      <alignment horizontal="left" vertical="center"/>
    </xf>
    <xf numFmtId="0" fontId="0" fillId="0" borderId="20" xfId="0" applyBorder="1" applyAlignment="1">
      <alignment horizontal="center" vertical="center"/>
    </xf>
    <xf numFmtId="14" fontId="0" fillId="0" borderId="20" xfId="0" applyNumberFormat="1" applyBorder="1" applyAlignment="1">
      <alignment horizontal="center" vertical="center"/>
    </xf>
    <xf numFmtId="14" fontId="12" fillId="0" borderId="20" xfId="0" applyNumberFormat="1" applyFont="1" applyBorder="1" applyAlignment="1">
      <alignment horizontal="center" vertical="center"/>
    </xf>
    <xf numFmtId="0" fontId="6" fillId="0" borderId="21" xfId="0" applyFont="1" applyBorder="1" applyAlignment="1">
      <alignment horizontal="left" vertical="center"/>
    </xf>
    <xf numFmtId="0" fontId="0" fillId="0" borderId="21" xfId="0" applyBorder="1" applyAlignment="1">
      <alignment horizontal="center" vertical="center"/>
    </xf>
    <xf numFmtId="14" fontId="0" fillId="0" borderId="21" xfId="0" applyNumberFormat="1" applyBorder="1" applyAlignment="1">
      <alignment horizontal="center" vertical="center"/>
    </xf>
    <xf numFmtId="14" fontId="12" fillId="0" borderId="21" xfId="0" applyNumberFormat="1" applyFont="1" applyBorder="1" applyAlignment="1">
      <alignment horizontal="center" vertical="center"/>
    </xf>
    <xf numFmtId="0" fontId="2" fillId="3" borderId="15"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8" borderId="9" xfId="0" applyFill="1" applyBorder="1" applyAlignment="1">
      <alignment horizontal="center" vertical="center"/>
    </xf>
    <xf numFmtId="0" fontId="0" fillId="8" borderId="11" xfId="0" applyFill="1" applyBorder="1" applyAlignment="1">
      <alignment horizontal="center" vertical="center"/>
    </xf>
    <xf numFmtId="0" fontId="9" fillId="9" borderId="0" xfId="0" applyFont="1" applyFill="1" applyAlignment="1">
      <alignment horizontal="center" vertical="center"/>
    </xf>
    <xf numFmtId="0" fontId="0" fillId="0" borderId="0" xfId="0" applyAlignment="1">
      <alignment vertical="center"/>
    </xf>
    <xf numFmtId="0" fontId="7" fillId="0" borderId="0" xfId="1"/>
    <xf numFmtId="0" fontId="0" fillId="0" borderId="22" xfId="0" quotePrefix="1" applyBorder="1"/>
    <xf numFmtId="0" fontId="13" fillId="0" borderId="0" xfId="0" applyFont="1" applyAlignment="1">
      <alignment vertical="center"/>
    </xf>
    <xf numFmtId="0" fontId="7" fillId="0" borderId="0" xfId="1" quotePrefix="1"/>
    <xf numFmtId="0" fontId="7" fillId="0" borderId="0" xfId="1" applyAlignment="1">
      <alignment horizontal="center" vertical="center"/>
    </xf>
    <xf numFmtId="0" fontId="0" fillId="0" borderId="0" xfId="0" applyAlignment="1">
      <alignment horizontal="left" vertical="center" wrapText="1"/>
    </xf>
    <xf numFmtId="0" fontId="7" fillId="0" borderId="0" xfId="2" applyAlignment="1">
      <alignment horizontal="center" vertical="center"/>
    </xf>
    <xf numFmtId="0" fontId="4" fillId="0" borderId="0" xfId="1" applyFont="1" applyAlignment="1">
      <alignment horizontal="center" vertical="center"/>
    </xf>
    <xf numFmtId="0" fontId="7" fillId="0" borderId="0" xfId="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xf>
    <xf numFmtId="0" fontId="11" fillId="2" borderId="1" xfId="0" applyFont="1" applyFill="1" applyBorder="1"/>
    <xf numFmtId="0" fontId="0" fillId="0" borderId="1" xfId="0" applyBorder="1"/>
    <xf numFmtId="17" fontId="0" fillId="0" borderId="1" xfId="0" applyNumberFormat="1" applyBorder="1"/>
    <xf numFmtId="14" fontId="0" fillId="0" borderId="1" xfId="0" applyNumberFormat="1" applyBorder="1"/>
    <xf numFmtId="0" fontId="10" fillId="0" borderId="1" xfId="0" applyFont="1" applyBorder="1"/>
    <xf numFmtId="0" fontId="10" fillId="0" borderId="12" xfId="0" applyFont="1" applyBorder="1"/>
    <xf numFmtId="0" fontId="0" fillId="0" borderId="2" xfId="0" applyBorder="1"/>
    <xf numFmtId="0" fontId="0" fillId="0" borderId="3" xfId="0" applyBorder="1"/>
    <xf numFmtId="0" fontId="0" fillId="0" borderId="7" xfId="0" applyBorder="1"/>
    <xf numFmtId="14" fontId="14" fillId="0" borderId="9" xfId="0" applyNumberFormat="1" applyFont="1" applyBorder="1" applyAlignment="1">
      <alignment horizontal="center" vertical="center"/>
    </xf>
    <xf numFmtId="14" fontId="14" fillId="0" borderId="11" xfId="0" applyNumberFormat="1" applyFont="1" applyBorder="1" applyAlignment="1">
      <alignment horizontal="center" vertical="center"/>
    </xf>
    <xf numFmtId="14" fontId="12" fillId="0" borderId="9" xfId="0" applyNumberFormat="1" applyFont="1" applyBorder="1" applyAlignment="1">
      <alignment horizontal="center" vertical="center"/>
    </xf>
    <xf numFmtId="14" fontId="12" fillId="0" borderId="11" xfId="0" applyNumberFormat="1" applyFont="1" applyBorder="1" applyAlignment="1">
      <alignment horizontal="center" vertical="center"/>
    </xf>
    <xf numFmtId="0" fontId="0" fillId="0" borderId="23" xfId="0" applyBorder="1" applyAlignment="1">
      <alignment horizontal="center" vertical="center"/>
    </xf>
    <xf numFmtId="0" fontId="2" fillId="2" borderId="7" xfId="0" applyFont="1" applyFill="1" applyBorder="1" applyAlignment="1">
      <alignment horizontal="left" vertical="center" wrapText="1"/>
    </xf>
    <xf numFmtId="0" fontId="0" fillId="0" borderId="9" xfId="0" applyBorder="1" applyAlignment="1">
      <alignment horizontal="left" vertical="center"/>
    </xf>
    <xf numFmtId="0" fontId="0" fillId="0" borderId="11" xfId="0" applyBorder="1" applyAlignment="1">
      <alignment horizontal="left" vertical="center"/>
    </xf>
    <xf numFmtId="0" fontId="0" fillId="0" borderId="11" xfId="0" applyBorder="1" applyAlignment="1">
      <alignment horizontal="left" vertical="center" wrapText="1"/>
    </xf>
    <xf numFmtId="0" fontId="6" fillId="0" borderId="11" xfId="0" applyFont="1" applyBorder="1" applyAlignment="1">
      <alignment horizontal="center" vertical="center"/>
    </xf>
    <xf numFmtId="0" fontId="7" fillId="0" borderId="11" xfId="1" applyBorder="1" applyAlignment="1">
      <alignment horizontal="center" vertical="center"/>
    </xf>
    <xf numFmtId="0" fontId="6" fillId="0" borderId="24" xfId="0" applyFont="1" applyBorder="1" applyAlignment="1">
      <alignment horizontal="left" vertical="center"/>
    </xf>
    <xf numFmtId="0" fontId="6" fillId="0" borderId="24" xfId="0" applyFont="1" applyBorder="1" applyAlignment="1">
      <alignment horizontal="center" vertical="center"/>
    </xf>
    <xf numFmtId="0" fontId="0" fillId="0" borderId="24" xfId="0" applyBorder="1" applyAlignment="1">
      <alignment horizontal="center" vertical="center"/>
    </xf>
    <xf numFmtId="14" fontId="0" fillId="0" borderId="24" xfId="0" applyNumberFormat="1" applyBorder="1" applyAlignment="1">
      <alignment horizontal="center" vertical="center"/>
    </xf>
    <xf numFmtId="0" fontId="0" fillId="8" borderId="24" xfId="0" applyFill="1" applyBorder="1" applyAlignment="1">
      <alignment horizontal="center" vertical="center"/>
    </xf>
    <xf numFmtId="14" fontId="12" fillId="0" borderId="24" xfId="0" applyNumberFormat="1" applyFont="1" applyBorder="1" applyAlignment="1">
      <alignment horizontal="center" vertical="center"/>
    </xf>
    <xf numFmtId="14" fontId="14" fillId="0" borderId="24" xfId="0" applyNumberFormat="1" applyFont="1" applyBorder="1" applyAlignment="1">
      <alignment horizontal="center" vertical="center"/>
    </xf>
    <xf numFmtId="14" fontId="4" fillId="0" borderId="24" xfId="0" applyNumberFormat="1" applyFont="1" applyBorder="1" applyAlignment="1">
      <alignment horizontal="center" vertical="center"/>
    </xf>
    <xf numFmtId="0" fontId="0" fillId="0" borderId="24" xfId="0" applyBorder="1" applyAlignment="1">
      <alignment horizontal="left" vertical="center"/>
    </xf>
    <xf numFmtId="0" fontId="0" fillId="0" borderId="4" xfId="0" applyBorder="1" applyAlignment="1">
      <alignment horizontal="center" vertical="center"/>
    </xf>
    <xf numFmtId="0" fontId="0" fillId="0" borderId="24" xfId="0" applyBorder="1" applyAlignment="1">
      <alignment horizontal="left" vertical="center" wrapText="1"/>
    </xf>
    <xf numFmtId="0" fontId="7" fillId="0" borderId="24" xfId="1" applyBorder="1" applyAlignment="1">
      <alignment horizontal="left" vertical="center"/>
    </xf>
    <xf numFmtId="0" fontId="7" fillId="0" borderId="11" xfId="1" applyBorder="1" applyAlignment="1">
      <alignment horizontal="left" vertical="center"/>
    </xf>
    <xf numFmtId="0" fontId="7" fillId="0" borderId="25" xfId="1" applyBorder="1" applyAlignment="1">
      <alignment horizontal="left" vertical="center"/>
    </xf>
    <xf numFmtId="0" fontId="0" fillId="0" borderId="26" xfId="0" applyBorder="1" applyAlignment="1">
      <alignment horizontal="center" vertical="center"/>
    </xf>
    <xf numFmtId="0" fontId="0" fillId="0" borderId="4" xfId="0" applyBorder="1" applyAlignment="1">
      <alignment horizontal="left" vertical="center" wrapText="1"/>
    </xf>
    <xf numFmtId="0" fontId="6" fillId="0" borderId="28" xfId="0" applyFont="1" applyBorder="1" applyAlignment="1">
      <alignment wrapText="1"/>
    </xf>
    <xf numFmtId="0" fontId="14" fillId="0" borderId="11" xfId="0" applyFont="1" applyBorder="1" applyAlignment="1">
      <alignment horizontal="center" vertical="center"/>
    </xf>
    <xf numFmtId="0" fontId="8" fillId="0" borderId="0" xfId="0" applyFont="1" applyAlignment="1">
      <alignment horizontal="center"/>
    </xf>
    <xf numFmtId="0" fontId="7" fillId="0" borderId="11" xfId="1" applyNumberFormat="1" applyBorder="1" applyAlignment="1">
      <alignment horizontal="left" vertical="center"/>
    </xf>
    <xf numFmtId="0" fontId="7" fillId="0" borderId="24" xfId="1" applyNumberFormat="1" applyBorder="1" applyAlignment="1">
      <alignment horizontal="left" vertical="center"/>
    </xf>
    <xf numFmtId="0" fontId="0" fillId="0" borderId="0" xfId="0" applyAlignment="1">
      <alignment wrapText="1"/>
    </xf>
    <xf numFmtId="0" fontId="0" fillId="0" borderId="11" xfId="0" applyBorder="1" applyAlignment="1">
      <alignment horizontal="center" vertical="center" wrapText="1"/>
    </xf>
    <xf numFmtId="0" fontId="7" fillId="0" borderId="0" xfId="1" applyNumberFormat="1"/>
    <xf numFmtId="0" fontId="0" fillId="0" borderId="29" xfId="0" applyBorder="1"/>
    <xf numFmtId="0" fontId="0" fillId="10" borderId="29" xfId="0" applyFill="1" applyBorder="1"/>
    <xf numFmtId="0" fontId="7" fillId="10" borderId="29" xfId="1" applyNumberFormat="1" applyFill="1" applyBorder="1"/>
    <xf numFmtId="0" fontId="0" fillId="11" borderId="29" xfId="0" applyFill="1" applyBorder="1"/>
    <xf numFmtId="0" fontId="7" fillId="11" borderId="29" xfId="1" applyNumberFormat="1" applyFill="1" applyBorder="1"/>
    <xf numFmtId="0" fontId="7" fillId="10" borderId="29" xfId="1" applyFill="1" applyBorder="1"/>
    <xf numFmtId="0" fontId="7" fillId="0" borderId="29" xfId="1" applyBorder="1"/>
    <xf numFmtId="0" fontId="0" fillId="10" borderId="0" xfId="0" applyFill="1"/>
    <xf numFmtId="16" fontId="0" fillId="0" borderId="0" xfId="0" applyNumberFormat="1"/>
    <xf numFmtId="0" fontId="0" fillId="0" borderId="31" xfId="0" applyBorder="1" applyAlignment="1">
      <alignment horizontal="center" vertical="center"/>
    </xf>
    <xf numFmtId="0" fontId="0" fillId="0" borderId="4" xfId="0" applyBorder="1" applyAlignment="1">
      <alignment horizontal="left" vertical="center"/>
    </xf>
    <xf numFmtId="0" fontId="0" fillId="0" borderId="11" xfId="0" applyBorder="1" applyAlignment="1">
      <alignment wrapText="1"/>
    </xf>
    <xf numFmtId="0" fontId="0" fillId="0" borderId="30" xfId="0" applyBorder="1" applyAlignment="1">
      <alignment horizontal="left" vertical="center" wrapText="1"/>
    </xf>
    <xf numFmtId="0" fontId="6" fillId="0" borderId="4" xfId="0" applyFont="1" applyBorder="1" applyAlignment="1">
      <alignment horizontal="left" vertical="center"/>
    </xf>
    <xf numFmtId="0" fontId="6" fillId="0" borderId="4" xfId="0" applyFont="1" applyBorder="1" applyAlignment="1">
      <alignment horizontal="center" vertical="center"/>
    </xf>
    <xf numFmtId="0" fontId="6" fillId="10" borderId="4" xfId="0" applyFont="1" applyFill="1" applyBorder="1" applyAlignment="1">
      <alignment horizontal="left" vertical="center"/>
    </xf>
    <xf numFmtId="0" fontId="7" fillId="0" borderId="11" xfId="1" applyNumberFormat="1" applyBorder="1" applyAlignment="1">
      <alignment horizontal="center" vertical="center"/>
    </xf>
    <xf numFmtId="0" fontId="7" fillId="0" borderId="0" xfId="1" applyBorder="1"/>
    <xf numFmtId="14" fontId="15" fillId="0" borderId="27" xfId="0" applyNumberFormat="1" applyFont="1" applyBorder="1" applyAlignment="1">
      <alignment horizontal="center" vertical="center"/>
    </xf>
    <xf numFmtId="0" fontId="0" fillId="0" borderId="30" xfId="0" applyBorder="1" applyAlignment="1">
      <alignment wrapText="1"/>
    </xf>
    <xf numFmtId="0" fontId="4" fillId="0" borderId="11" xfId="0" applyFont="1" applyBorder="1" applyAlignment="1">
      <alignment horizontal="center" vertical="center"/>
    </xf>
    <xf numFmtId="0" fontId="5" fillId="4"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5" fillId="4"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2" fillId="7" borderId="1" xfId="0" applyFont="1" applyFill="1" applyBorder="1" applyAlignment="1">
      <alignment horizontal="center"/>
    </xf>
    <xf numFmtId="0" fontId="5" fillId="4" borderId="1" xfId="0" applyFont="1" applyFill="1" applyBorder="1" applyAlignment="1">
      <alignment horizontal="center"/>
    </xf>
  </cellXfs>
  <cellStyles count="3">
    <cellStyle name="Hiperlink" xfId="1" builtinId="8"/>
    <cellStyle name="Hyperlink" xfId="2" xr:uid="{12843196-1FA5-4CC7-9B10-44D4BB443DF6}"/>
    <cellStyle name="Normal" xfId="0" builtinId="0"/>
  </cellStyles>
  <dxfs count="305">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color auto="1"/>
      </font>
      <fill>
        <patternFill>
          <bgColor rgb="FF92D050"/>
        </patternFill>
      </fill>
    </dxf>
    <dxf>
      <fill>
        <patternFill>
          <bgColor rgb="FFFF8585"/>
        </patternFill>
      </fill>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ill>
        <patternFill>
          <bgColor theme="9" tint="0.59996337778862885"/>
        </patternFill>
      </fill>
    </dxf>
    <dxf>
      <fill>
        <patternFill>
          <bgColor rgb="FFFF8585"/>
        </patternFill>
      </fill>
    </dxf>
    <dxf>
      <fill>
        <patternFill>
          <bgColor rgb="FFFF0000"/>
        </patternFill>
      </fill>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ill>
        <patternFill>
          <bgColor theme="9"/>
        </patternFill>
      </fill>
    </dxf>
    <dxf>
      <fill>
        <patternFill>
          <bgColor rgb="FFFF0000"/>
        </patternFill>
      </fill>
    </dxf>
    <dxf>
      <fill>
        <patternFill>
          <bgColor rgb="FF92D050"/>
        </patternFill>
      </fill>
    </dxf>
    <dxf>
      <fill>
        <patternFill>
          <bgColor rgb="FFFF0000"/>
        </patternFill>
      </fill>
    </dxf>
    <dxf>
      <font>
        <b val="0"/>
        <i/>
      </font>
    </dxf>
    <dxf>
      <font>
        <b val="0"/>
        <i/>
      </font>
    </dxf>
    <dxf>
      <font>
        <b val="0"/>
        <i/>
      </font>
    </dxf>
    <dxf>
      <font>
        <b val="0"/>
        <i/>
      </font>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style="hair">
          <color theme="0" tint="-0.499984740745262"/>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style="hair">
          <color theme="0" tint="-0.499984740745262"/>
        </horizontal>
      </border>
    </dxf>
    <dxf>
      <border outline="0">
        <left style="thin">
          <color rgb="FF000000"/>
        </left>
        <top style="thin">
          <color rgb="FF000000"/>
        </top>
      </border>
    </dxf>
    <dxf>
      <font>
        <b/>
        <i val="0"/>
        <strike val="0"/>
        <condense val="0"/>
        <extend val="0"/>
        <outline val="0"/>
        <shadow val="0"/>
        <u val="none"/>
        <vertAlign val="baseline"/>
        <sz val="10"/>
        <color auto="1"/>
        <name val="Aptos Narrow"/>
        <family val="2"/>
        <scheme val="minor"/>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font>
        <strike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rgb="FF00B050"/>
        <name val="Aptos Narrow"/>
        <family val="2"/>
        <scheme val="minor"/>
      </font>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border>
    </dxf>
    <dxf>
      <font>
        <color rgb="FF00B050"/>
      </font>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font>
        <strike val="0"/>
        <outline val="0"/>
        <shadow val="0"/>
        <u val="none"/>
        <vertAlign val="baseline"/>
        <sz val="11"/>
        <color theme="9"/>
        <name val="Aptos Narrow"/>
        <family val="2"/>
        <scheme val="minor"/>
      </font>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hair">
          <color theme="0" tint="-0.499984740745262"/>
        </top>
        <bottom style="hair">
          <color theme="0" tint="-0.499984740745262"/>
        </bottom>
      </border>
    </dxf>
    <dxf>
      <numFmt numFmtId="19" formatCode="dd/mm/yyyy"/>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numFmt numFmtId="0" formatCode="General"/>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border>
    </dxf>
    <dxf>
      <alignment horizontal="center"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style="hair">
          <color theme="0" tint="-0.499984740745262"/>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theme="0" tint="-0.499984740745262"/>
        </left>
        <right style="thin">
          <color theme="0" tint="-0.499984740745262"/>
        </right>
        <top style="hair">
          <color theme="0" tint="-0.499984740745262"/>
        </top>
        <bottom style="hair">
          <color theme="0" tint="-0.499984740745262"/>
        </bottom>
        <vertical/>
        <horizontal style="hair">
          <color theme="0" tint="-0.499984740745262"/>
        </horizontal>
      </border>
    </dxf>
    <dxf>
      <border outline="0">
        <left style="thin">
          <color indexed="64"/>
        </left>
        <top style="thin">
          <color indexed="64"/>
        </top>
      </border>
    </dxf>
    <dxf>
      <font>
        <b/>
        <i val="0"/>
        <strike val="0"/>
        <condense val="0"/>
        <extend val="0"/>
        <outline val="0"/>
        <shadow val="0"/>
        <u val="none"/>
        <vertAlign val="baseline"/>
        <sz val="10"/>
        <color auto="1"/>
        <name val="Aptos Narrow"/>
        <family val="2"/>
        <scheme val="minor"/>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19" formatCode="dd/mm/yyyy"/>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19" formatCode="dd/mm/yyyy"/>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19" formatCode="dd/mm/yyyy"/>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19" formatCode="dd/mm/yyyy"/>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font>
        <strike val="0"/>
        <outline val="0"/>
        <shadow val="0"/>
        <u val="none"/>
        <vertAlign val="baseline"/>
        <sz val="11"/>
        <color theme="9"/>
        <name val="Aptos Narrow"/>
        <family val="2"/>
        <scheme val="minor"/>
      </font>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alignment horizontal="center" vertical="center" textRotation="0" wrapText="0" indent="0" justifyLastLine="0" shrinkToFit="0" readingOrder="0"/>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alignment horizontal="center" vertical="center" textRotation="0" wrapText="0" indent="0" justifyLastLine="0" shrinkToFit="0" readingOrder="0"/>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19" formatCode="dd/mm/yyyy"/>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numFmt numFmtId="0" formatCode="General"/>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border diagonalUp="0" diagonalDown="0">
        <left style="thin">
          <color theme="0" tint="-0.14996795556505021"/>
        </left>
        <right style="thin">
          <color theme="0" tint="-0.14996795556505021"/>
        </right>
        <top style="hair">
          <color theme="0" tint="-0.14996795556505021"/>
        </top>
        <bottom style="hair">
          <color theme="0" tint="-0.14996795556505021"/>
        </bottom>
        <vertical style="thin">
          <color theme="0" tint="-0.14996795556505021"/>
        </vertical>
        <horizontal style="hair">
          <color theme="0" tint="-0.14996795556505021"/>
        </horizontal>
      </border>
    </dxf>
    <dxf>
      <font>
        <b/>
        <i val="0"/>
        <strike val="0"/>
        <condense val="0"/>
        <extend val="0"/>
        <outline val="0"/>
        <shadow val="0"/>
        <u val="none"/>
        <vertAlign val="baseline"/>
        <sz val="10"/>
        <color auto="1"/>
        <name val="Aptos Narrow"/>
        <family val="2"/>
        <scheme val="minor"/>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8585"/>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4" xr16:uid="{A2953BF8-5B12-4E76-86A1-A2158FFD4FF0}" autoFormatId="16" applyNumberFormats="0" applyBorderFormats="0" applyFontFormats="0" applyPatternFormats="0" applyAlignmentFormats="0" applyWidthHeightFormats="0">
  <queryTableRefresh nextId="31">
    <queryTableFields count="30">
      <queryTableField id="1" name="STATUS" tableColumnId="1"/>
      <queryTableField id="2" name="FORMATO" tableColumnId="2"/>
      <queryTableField id="3" name="NOME COMPLETO" tableColumnId="3"/>
      <queryTableField id="4" name="NOME" tableColumnId="4"/>
      <queryTableField id="5" name="M/F" tableColumnId="5"/>
      <queryTableField id="6" name="DATA ADMISSÃO" tableColumnId="6"/>
      <queryTableField id="7" name="TIPO ADMISSÃO" tableColumnId="7"/>
      <queryTableField id="8" name="DATA ADMISSÃO2" tableColumnId="8"/>
      <queryTableField id="9" name="CPF" tableColumnId="9"/>
      <queryTableField id="10" name="IDENTIDADE" tableColumnId="10"/>
      <queryTableField id="11" name="DATA NASCIMENTO" tableColumnId="11"/>
      <queryTableField id="12" name="IDADE" tableColumnId="12"/>
      <queryTableField id="13" name="RANGE IDADE" tableColumnId="13"/>
      <queryTableField id="14" name="GERAÇÃO" tableColumnId="14"/>
      <queryTableField id="15" name="TELEFONE" tableColumnId="15"/>
      <queryTableField id="16" name="email (PHD)" tableColumnId="16"/>
      <queryTableField id="17" name="DATA DEMISSÃO" tableColumnId="17"/>
      <queryTableField id="18" name="TIPO DESLIGAMENTO" tableColumnId="18"/>
      <queryTableField id="19" name="CARGO" tableColumnId="19"/>
      <queryTableField id="20" name="TIPO FOPGA" tableColumnId="20"/>
      <queryTableField id="21" name="NATURALIDADE" tableColumnId="21"/>
      <queryTableField id="22" name="CIDADE RESIDENCIA" tableColumnId="22"/>
      <queryTableField id="23" name="UF" tableColumnId="23"/>
      <queryTableField id="24" name="Liderança/Equipe" tableColumnId="24"/>
      <queryTableField id="25" name="ÁREA" tableColumnId="25"/>
      <queryTableField id="26" name="LOCAL DE TRABALHO" tableColumnId="26"/>
      <queryTableField id="27" name="CIDADE ATUAÇÃO" tableColumnId="27"/>
      <queryTableField id="28" name="ESTADO ATUAÇÃO" tableColumnId="28"/>
      <queryTableField id="29" name="GER PHD" tableColumnId="29"/>
      <queryTableField id="30" name="COO PHD"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2" connectionId="3" xr16:uid="{E5A848F8-66F1-4E71-BE6D-83D4C13E44E9}" autoFormatId="16" applyNumberFormats="0" applyBorderFormats="0" applyFontFormats="0" applyPatternFormats="0" applyAlignmentFormats="0" applyWidthHeightFormats="0">
  <queryTableRefresh nextId="5">
    <queryTableFields count="4">
      <queryTableField id="1" name="NOME COMPLETO" tableColumnId="1"/>
      <queryTableField id="2" name="NOME" tableColumnId="2"/>
      <queryTableField id="3" name="email (PHD)" tableColumnId="3"/>
      <queryTableField id="4" name="Liderança/Equip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1" xr16:uid="{8825ECFA-621D-4CE7-B183-5C5008BCA944}" autoFormatId="16" applyNumberFormats="0" applyBorderFormats="0" applyFontFormats="0" applyPatternFormats="0" applyAlignmentFormats="0" applyWidthHeightFormats="0">
  <queryTableRefresh nextId="24">
    <queryTableFields count="22">
      <queryTableField id="1" name="COD CT" tableColumnId="1"/>
      <queryTableField id="2" name="COD PHD" tableColumnId="2"/>
      <queryTableField id="3" name="COD PROD" tableColumnId="3"/>
      <queryTableField id="4" name="Status Comercial" tableColumnId="4"/>
      <queryTableField id="5" name="GER PHD" tableColumnId="5"/>
      <queryTableField id="6" name="COO PHD" tableColumnId="6"/>
      <queryTableField id="7" name="Cliente" tableColumnId="7"/>
      <queryTableField id="8" name="Setor Cliente PHD" tableColumnId="8"/>
      <queryTableField id="9" name="Cliente Final" tableColumnId="9"/>
      <queryTableField id="10" name="Setor Cliente Final" tableColumnId="10"/>
      <queryTableField id="22" name="Segmento" tableColumnId="22"/>
      <queryTableField id="11" name="Produto" tableColumnId="11"/>
      <queryTableField id="12" name="Prazo CT [m]" tableColumnId="12"/>
      <queryTableField id="13" name="Data Início Contrato" tableColumnId="13"/>
      <queryTableField id="14" name="Data Término Contrato" tableColumnId="14"/>
      <queryTableField id="15" name="Mina" tableColumnId="15"/>
      <queryTableField id="16" name="Cidade" tableColumnId="16"/>
      <queryTableField id="17" name="Estado" tableColumnId="17"/>
      <queryTableField id="18" name="Região" tableColumnId="18"/>
      <queryTableField id="19" name="Chave_Pro" tableColumnId="19"/>
      <queryTableField id="20" name="Chave_Pro_COD_PHD" tableColumnId="20"/>
      <queryTableField id="21" name="Construtor/Owner" tableColumnId="2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 connectionId="2" xr16:uid="{8A5E202B-EBD5-47C4-AF38-B3E2F974EC30}" autoFormatId="16" applyNumberFormats="0" applyBorderFormats="0" applyFontFormats="0" applyPatternFormats="0" applyAlignmentFormats="0" applyWidthHeightFormats="0">
  <queryTableRefresh nextId="143">
    <queryTableFields count="140">
      <queryTableField id="1" name="STATUS" tableColumnId="1"/>
      <queryTableField id="2" name="PENDÊNCIAS" tableColumnId="2"/>
      <queryTableField id="3" name="Tempo em aberto" tableColumnId="3"/>
      <queryTableField id="4" name="Nº PROPOSTA" tableColumnId="4"/>
      <queryTableField id="5" name="COD CT" tableColumnId="5"/>
      <queryTableField id="6" name="COD PHD" tableColumnId="6"/>
      <queryTableField id="7" name="COD PRODUTO" tableColumnId="7"/>
      <queryTableField id="141" name="Coluna1" tableColumnId="140"/>
      <queryTableField id="8" name="TIPO DE CONTRATO" tableColumnId="8"/>
      <queryTableField id="9" name="PRODUTO" tableColumnId="9"/>
      <queryTableField id="10" name="PRODUTO PMO" tableColumnId="10"/>
      <queryTableField id="11" name="CLIENTE" tableColumnId="11"/>
      <queryTableField id="12" name="SETOR CLIENTE" tableColumnId="12"/>
      <queryTableField id="13" name="CLIENTE FINAL" tableColumnId="13"/>
      <queryTableField id="14" name="SETOR" tableColumnId="14"/>
      <queryTableField id="139" name="SEGMENTO" tableColumnId="139"/>
      <queryTableField id="15" name="CONSTRUTOR/OWNER" tableColumnId="15"/>
      <queryTableField id="16" name="GER PHD" tableColumnId="16"/>
      <queryTableField id="17" name="PROSPECÇÃO" tableColumnId="17"/>
      <queryTableField id="18" name="TIPO CAPTAÇÃO" tableColumnId="18"/>
      <queryTableField id="19" name="ESCOPO PHD" tableColumnId="19"/>
      <queryTableField id="20" name="DATA FECHAMENTO" tableColumnId="20"/>
      <queryTableField id="21" name="DATA INÍCIO CONTRATO" tableColumnId="21"/>
      <queryTableField id="22" name="DATA TERMINO CONTRATO" tableColumnId="22"/>
      <queryTableField id="23" name="Dias Data Final" tableColumnId="23"/>
      <queryTableField id="24" name="DURAÇÃO" tableColumnId="24"/>
      <queryTableField id="25" name="PRAZO MESES" tableColumnId="25"/>
      <queryTableField id="26" name="IDADE CONTRATO" tableColumnId="26"/>
      <queryTableField id="27" name="DATA CANCEL. CONTRATO" tableColumnId="27"/>
      <queryTableField id="28" name="DATA ENCERR. CONTRATO" tableColumnId="28"/>
      <queryTableField id="29" name="FAT per capta" tableColumnId="29"/>
      <queryTableField id="30" name="VALOR CONTRATO" tableColumnId="30"/>
      <queryTableField id="31" name="TICKETMEDIO" tableColumnId="31"/>
      <queryTableField id="32" name="TOTAL" tableColumnId="32"/>
      <queryTableField id="33" name="Diferença" tableColumnId="33"/>
      <queryTableField id="34" name="2021" tableColumnId="34"/>
      <queryTableField id="35" name="202101" tableColumnId="35"/>
      <queryTableField id="36" name="202102" tableColumnId="36"/>
      <queryTableField id="37" name="202103" tableColumnId="37"/>
      <queryTableField id="38" name="202104" tableColumnId="38"/>
      <queryTableField id="39" name="202105" tableColumnId="39"/>
      <queryTableField id="40" name="202106" tableColumnId="40"/>
      <queryTableField id="41" name="202107" tableColumnId="41"/>
      <queryTableField id="42" name="202108" tableColumnId="42"/>
      <queryTableField id="43" name="202109" tableColumnId="43"/>
      <queryTableField id="44" name="202110" tableColumnId="44"/>
      <queryTableField id="45" name="202111" tableColumnId="45"/>
      <queryTableField id="46" name="202112" tableColumnId="46"/>
      <queryTableField id="47" name="2022" tableColumnId="47"/>
      <queryTableField id="48" name="202201" tableColumnId="48"/>
      <queryTableField id="49" name="202202" tableColumnId="49"/>
      <queryTableField id="50" name="202203" tableColumnId="50"/>
      <queryTableField id="51" name="202204" tableColumnId="51"/>
      <queryTableField id="52" name="202205" tableColumnId="52"/>
      <queryTableField id="53" name="202206" tableColumnId="53"/>
      <queryTableField id="54" name="202207" tableColumnId="54"/>
      <queryTableField id="55" name="202208" tableColumnId="55"/>
      <queryTableField id="56" name="202209" tableColumnId="56"/>
      <queryTableField id="57" name="202210" tableColumnId="57"/>
      <queryTableField id="58" name="202211" tableColumnId="58"/>
      <queryTableField id="59" name="202212" tableColumnId="59"/>
      <queryTableField id="60" name="2023" tableColumnId="60"/>
      <queryTableField id="61" name="202301" tableColumnId="61"/>
      <queryTableField id="62" name="202302" tableColumnId="62"/>
      <queryTableField id="63" name="202303" tableColumnId="63"/>
      <queryTableField id="64" name="202304" tableColumnId="64"/>
      <queryTableField id="65" name="202305" tableColumnId="65"/>
      <queryTableField id="66" name="202306" tableColumnId="66"/>
      <queryTableField id="67" name="202307" tableColumnId="67"/>
      <queryTableField id="68" name="202308" tableColumnId="68"/>
      <queryTableField id="69" name="202309" tableColumnId="69"/>
      <queryTableField id="70" name="202310" tableColumnId="70"/>
      <queryTableField id="71" name="202311" tableColumnId="71"/>
      <queryTableField id="72" name="202312" tableColumnId="72"/>
      <queryTableField id="73" name="2024" tableColumnId="73"/>
      <queryTableField id="74" name="202401" tableColumnId="74"/>
      <queryTableField id="75" name="202402" tableColumnId="75"/>
      <queryTableField id="76" name="202403" tableColumnId="76"/>
      <queryTableField id="77" name="202404" tableColumnId="77"/>
      <queryTableField id="78" name="202405" tableColumnId="78"/>
      <queryTableField id="79" name="202406" tableColumnId="79"/>
      <queryTableField id="80" name="202407" tableColumnId="80"/>
      <queryTableField id="81" name="202408" tableColumnId="81"/>
      <queryTableField id="82" name="202409" tableColumnId="82"/>
      <queryTableField id="83" name="202410" tableColumnId="83"/>
      <queryTableField id="84" name="202411" tableColumnId="84"/>
      <queryTableField id="85" name="202412" tableColumnId="85"/>
      <queryTableField id="86" name="2025" tableColumnId="86"/>
      <queryTableField id="87" name="202501" tableColumnId="87"/>
      <queryTableField id="88" name="202502" tableColumnId="88"/>
      <queryTableField id="89" name="202503" tableColumnId="89"/>
      <queryTableField id="90" name="202504" tableColumnId="90"/>
      <queryTableField id="91" name="202505" tableColumnId="91"/>
      <queryTableField id="92" name="202506" tableColumnId="92"/>
      <queryTableField id="93" name="202507" tableColumnId="93"/>
      <queryTableField id="94" name="202508" tableColumnId="94"/>
      <queryTableField id="95" name="202509" tableColumnId="95"/>
      <queryTableField id="96" name="202510" tableColumnId="96"/>
      <queryTableField id="97" name="202511" tableColumnId="97"/>
      <queryTableField id="98" name="202512" tableColumnId="98"/>
      <queryTableField id="99" name="2026" tableColumnId="99"/>
      <queryTableField id="100" name="202601" tableColumnId="100"/>
      <queryTableField id="101" name="202602" tableColumnId="101"/>
      <queryTableField id="102" name="202603" tableColumnId="102"/>
      <queryTableField id="103" name="202604" tableColumnId="103"/>
      <queryTableField id="104" name="202605" tableColumnId="104"/>
      <queryTableField id="105" name="202606" tableColumnId="105"/>
      <queryTableField id="106" name="202607" tableColumnId="106"/>
      <queryTableField id="107" name="202608" tableColumnId="107"/>
      <queryTableField id="108" name="202609" tableColumnId="108"/>
      <queryTableField id="109" name="202610" tableColumnId="109"/>
      <queryTableField id="110" name="202611" tableColumnId="110"/>
      <queryTableField id="111" name="202612" tableColumnId="111"/>
      <queryTableField id="112" name="2027" tableColumnId="112"/>
      <queryTableField id="113" name="202701" tableColumnId="113"/>
      <queryTableField id="114" name="202702" tableColumnId="114"/>
      <queryTableField id="115" name="202703" tableColumnId="115"/>
      <queryTableField id="116" name="202704" tableColumnId="116"/>
      <queryTableField id="117" name="202705" tableColumnId="117"/>
      <queryTableField id="118" name="202706" tableColumnId="118"/>
      <queryTableField id="119" name="202707" tableColumnId="119"/>
      <queryTableField id="120" name="202708" tableColumnId="120"/>
      <queryTableField id="121" name="202709" tableColumnId="121"/>
      <queryTableField id="122" name="202710" tableColumnId="122"/>
      <queryTableField id="123" name="202711" tableColumnId="123"/>
      <queryTableField id="124" name="202712" tableColumnId="124"/>
      <queryTableField id="125" name="2028" tableColumnId="125"/>
      <queryTableField id="126" name="202801" tableColumnId="126"/>
      <queryTableField id="127" name="202802" tableColumnId="127"/>
      <queryTableField id="128" name="202803" tableColumnId="128"/>
      <queryTableField id="129" name="202804" tableColumnId="129"/>
      <queryTableField id="130" name="202805" tableColumnId="130"/>
      <queryTableField id="131" name="202806" tableColumnId="131"/>
      <queryTableField id="132" name="202807" tableColumnId="132"/>
      <queryTableField id="133" name="202808" tableColumnId="133"/>
      <queryTableField id="134" name="202809" tableColumnId="134"/>
      <queryTableField id="135" name="202810" tableColumnId="135"/>
      <queryTableField id="136" name="202811" tableColumnId="136"/>
      <queryTableField id="137" name="202812" tableColumnId="137"/>
      <queryTableField id="138" name="SOMA" tableColumnId="138"/>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A3FEC-DED2-40BA-B3E2-8EC7B14BAF80}" name="Tabela1" displayName="Tabela1" ref="B3:BO289" totalsRowShown="0" headerRowDxfId="266" tableBorderDxfId="265">
  <autoFilter ref="B3:BO289" xr:uid="{533A3FEC-DED2-40BA-B3E2-8EC7B14BAF80}">
    <filterColumn colId="0">
      <filters>
        <filter val="Em andamento"/>
      </filters>
    </filterColumn>
  </autoFilter>
  <tableColumns count="66">
    <tableColumn id="1" xr3:uid="{55F75651-1ADF-4F42-A4FF-AA3B27FC40DF}" name="STATUS PROCESSO MOBILIZAÇÃO" dataDxfId="264"/>
    <tableColumn id="2" xr3:uid="{32517A79-5EDB-4AE4-8C3A-6627E715344B}" name="RESPONSÁVEL" dataDxfId="263"/>
    <tableColumn id="21" xr3:uid="{E593846D-01BF-4AF9-987D-677478661AAE}" name="MOBILIZADO / DESMOBILIZADO" dataDxfId="262"/>
    <tableColumn id="22" xr3:uid="{3D3D4100-9929-4B40-93BA-977EA1C6BC19}" name="NÚMERO DO_x000a_ CHAMADO" dataDxfId="261"/>
    <tableColumn id="3" xr3:uid="{C4A2DF29-E600-42DC-B827-BEE917D5EFC6}" name="COLABORADOR" dataDxfId="260"/>
    <tableColumn id="19" xr3:uid="{1177997E-A028-4E97-945F-FA26900B2430}" name="STATUS GERAL" dataDxfId="259">
      <calculatedColumnFormula array="1">_xlfn.IFS(Tabela1[[#This Row],[STATUS PROCESSO MOBILIZAÇÃO]]="Finalizado",1,Tabela1[[#This Row],[STATUS PROCESSO MOBILIZAÇÃO]]="Cancelado",2,Tabela1[[#This Row],[STATUS PROCESSO MOBILIZAÇÃO]]="Em andamento",3)</calculatedColumnFormula>
    </tableColumn>
    <tableColumn id="4" xr3:uid="{BFDACDB7-340D-42CD-8280-4E2E5F3C65F0}" name="Abertura de Chamado" dataDxfId="258">
      <calculatedColumnFormula array="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FORMS]]="",$AM4&gt;$AK$1),2,
AND(Tabela1[[#This Row],[STATUS PROCESSO MOBILIZAÇÃO]]="Em andamento",Tabela1[[#This Row],[DATA REAL - FORMS]]="",$AM4&lt;=$AK$1),3,
AND(Tabela1[[#This Row],[STATUS PROCESSO MOBILIZAÇÃO]]="Em andamento",Tabela1[[#This Row],[DATA REAL - FORMS]]&lt;&gt;""),1)</calculatedColumnFormula>
    </tableColumn>
    <tableColumn id="5" xr3:uid="{2698BD3A-4F69-4591-8A14-58B4BFE35828}" name="Exames" dataDxfId="257">
      <calculatedColumnFormula array="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EXAMES]]="",$AP4&gt;$AN$1),2,
AND(Tabela1[[#This Row],[STATUS PROCESSO MOBILIZAÇÃO]]="Em andamento",Tabela1[[#This Row],[DATA REAL - EXAMES]]="",$AP4&lt;=$AN$1),3,
AND(Tabela1[[#This Row],[STATUS PROCESSO MOBILIZAÇÃO]]="Em andamento",Tabela1[[#This Row],[DATA REAL - EXAMES]]&lt;&gt;""),1)</calculatedColumnFormula>
    </tableColumn>
    <tableColumn id="6" xr3:uid="{A8AADC88-8C0F-4BBD-B1E3-5E2084731110}" name="Liberação ASO" dataDxfId="256">
      <calculatedColumnFormula array="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ASO]]="",$AS4&gt;$AQ$1),2,
AND(Tabela1[[#This Row],[STATUS PROCESSO MOBILIZAÇÃO]]="Em andamento",Tabela1[[#This Row],[DATA REAL - ASO]]="",$AS4&lt;=$AQ$1),3,
AND(Tabela1[[#This Row],[STATUS PROCESSO MOBILIZAÇÃO]]="Em andamento",Tabela1[[#This Row],[DATA REAL - ASO]]&lt;&gt;""),1)</calculatedColumnFormula>
    </tableColumn>
    <tableColumn id="7" xr3:uid="{8573209F-0576-4433-8517-2D3FF1F126E5}" name="Agend. Trein." dataDxfId="255">
      <calculatedColumnFormula array="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TREINAMENTOS]]="",$AV4&gt;$AT$1),2,
AND(Tabela1[[#This Row],[STATUS PROCESSO MOBILIZAÇÃO]]="Em andamento",Tabela1[[#This Row],[DATA REAL - TREINAMENTOS]]="",$AV4&lt;=$AT$1),3,
AND(Tabela1[[#This Row],[STATUS PROCESSO MOBILIZAÇÃO]]="Em andamento",Tabela1[[#This Row],[DATA REAL - TREINAMENTOS]]&lt;&gt;""),1)</calculatedColumnFormula>
    </tableColumn>
    <tableColumn id="8" xr3:uid="{F45BFE7E-2815-4F0F-A8BB-4BCAA4C77504}" name="Conclusão Trein." dataDxfId="254">
      <calculatedColumnFormula array="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TREIN.]]="",$AY4&gt;$AW$1),2,
AND(Tabela1[[#This Row],[STATUS PROCESSO MOBILIZAÇÃO]]="Em andamento",Tabela1[[#This Row],[DATA REAL - CONCL. TREIN.]]="",$AY4&lt;=$AW$1),3,
AND(Tabela1[[#This Row],[STATUS PROCESSO MOBILIZAÇÃO]]="Em andamento",Tabela1[[#This Row],[DATA REAL - CONCL. TREIN.]]&lt;&gt;""),1)</calculatedColumnFormula>
    </tableColumn>
    <tableColumn id="9" xr3:uid="{62A593A3-4A9A-4028-AFF6-90E26238CACD}" name="Alt. Contratual" dataDxfId="253">
      <calculatedColumnFormula array="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CONTRATUAL]]="",$BB4&gt;$AZ$1),2,
AND(Tabela1[[#This Row],[STATUS PROCESSO MOBILIZAÇÃO]]="Em andamento",Tabela1[[#This Row],[DATA FIM - ALTER. CONTRATUAL]]="",$BB4&lt;=$AZ$1),3,
AND(Tabela1[[#This Row],[STATUS PROCESSO MOBILIZAÇÃO]]="Em andamento",Tabela1[[#This Row],[DATA FIM - ALTER. CONTRATUAL]]&lt;&gt;""),1)</calculatedColumnFormula>
    </tableColumn>
    <tableColumn id="10" xr3:uid="{842873EF-54E3-413D-A882-2BAC672C45F3}" name="Envio Dossiê" dataDxfId="252">
      <calculatedColumnFormula array="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DOSSIÊ]]="",$BE4&gt;$BC$1),2,
AND(Tabela1[[#This Row],[STATUS PROCESSO MOBILIZAÇÃO]]="Em andamento",Tabela1[[#This Row],[DATA REAL - DOSSIÊ]]="",$BE4&lt;=$BC$1),3,
AND(Tabela1[[#This Row],[STATUS PROCESSO MOBILIZAÇÃO]]="Em andamento",Tabela1[[#This Row],[DATA REAL - DOSSIÊ]]&lt;&gt;""),1)</calculatedColumnFormula>
    </tableColumn>
    <tableColumn id="11" xr3:uid="{F9293F28-1A47-4628-99CA-E25CF4C2952D}" name="Postagem" dataDxfId="251">
      <calculatedColumnFormula array="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POSTAGEM]]="",$BH4&gt;$BF$1),2,
AND(Tabela1[[#This Row],[STATUS PROCESSO MOBILIZAÇÃO]]="Em andamento",Tabela1[[#This Row],[DATA REAL - POSTAGEM]]="",$BH4&lt;=$BF$1),3,
AND(Tabela1[[#This Row],[STATUS PROCESSO MOBILIZAÇÃO]]="Em andamento",Tabela1[[#This Row],[DATA REAL - POSTAGEM]]&lt;&gt;""),1)</calculatedColumnFormula>
    </tableColumn>
    <tableColumn id="12" xr3:uid="{90DCEB23-7355-44A6-8FE8-85ABB08BB82B}" name="Aprovação" dataDxfId="250">
      <calculatedColumnFormula array="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FINAL]]="",$BK4&gt;$BI$1),2,
AND(Tabela1[[#This Row],[STATUS PROCESSO MOBILIZAÇÃO]]="Em andamento",Tabela1[[#This Row],[DATA REAL - APROV FINAL]]="",$BK4&lt;=$BI$1),3,
AND(Tabela1[[#This Row],[STATUS PROCESSO MOBILIZAÇÃO]]="Em andamento",Tabela1[[#This Row],[DATA REAL - APROV FINAL]]&lt;&gt;""),1)</calculatedColumnFormula>
    </tableColumn>
    <tableColumn id="13" xr3:uid="{F25139B7-E6A1-4E2E-80CA-6071A075AC6F}" name="Crachá" dataDxfId="249">
      <calculatedColumnFormula array="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CRACHÁ]]="",$BN4&gt;$BL$1),2,
AND(Tabela1[[#This Row],[STATUS PROCESSO MOBILIZAÇÃO]]="Em andamento",Tabela1[[#This Row],[DATA REAL - CRACHÁ]]="",$BN4&lt;=$BL$1),3,
AND(Tabela1[[#This Row],[STATUS PROCESSO MOBILIZAÇÃO]]="Em andamento",Tabela1[[#This Row],[DATA REAL - CRACHÁ]]&lt;&gt;""),1)</calculatedColumnFormula>
    </tableColumn>
    <tableColumn id="14" xr3:uid="{6702EC57-33E4-4CEA-BCB7-D9F6DCBAE064}" name="PREVISÃO TÉRMINO" dataDxfId="248">
      <calculatedColumnFormula>IF(Tabela1[[#This Row],[DATA REAL - FORMS]]&lt;&gt;"",Tabela1[[#This Row],[DATA REAL - FORMS]]+30,Tabela1[[#This Row],[DATA PREV - FORMS]]+35)</calculatedColumnFormula>
    </tableColumn>
    <tableColumn id="20" xr3:uid="{F628D0FA-511D-455B-9980-E12971FCB2B0}" name="DATA REAL FINALIZAÇÃO" dataDxfId="247">
      <calculatedColumnFormula>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calculatedColumnFormula>
    </tableColumn>
    <tableColumn id="15" xr3:uid="{6A8F7A32-DBC0-44A1-9492-F896788828B9}" name="Dias Decorridos" dataDxfId="246">
      <calculatedColumnFormula>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calculatedColumnFormula>
    </tableColumn>
    <tableColumn id="16" xr3:uid="{15F3FD7E-4356-4E25-B43C-5414DEAF0E2C}" name="Tempo Mobilização ADM (PHD)" dataDxfId="245">
      <calculatedColumnFormula>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calculatedColumnFormula>
    </tableColumn>
    <tableColumn id="17" xr3:uid="{67CC7202-F4CA-4317-8544-6A46760ED8F7}" name="Tempo Mobilização Cliente" dataDxfId="244">
      <calculatedColumnFormula>MAX(Tabela1[[#This Row],[DATA REAL - POSTAGEM]],Tabela1[[#This Row],[DATA REAL - APROV FINAL]],Tabela1[[#This Row],[DATA REAL - CRACHÁ]])-MIN(Tabela1[[#This Row],[DATA REAL - POSTAGEM]],Tabela1[[#This Row],[DATA REAL - APROV FINAL]],Tabela1[[#This Row],[DATA REAL - CRACHÁ]])+1</calculatedColumnFormula>
    </tableColumn>
    <tableColumn id="18" xr3:uid="{14A0072F-F9C7-4078-A103-349D3F48F3ED}" name="Dias Inicio Mobi com Contrato Assinado" dataDxfId="243">
      <calculatedColumnFormula>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calculatedColumnFormula>
    </tableColumn>
    <tableColumn id="24" xr3:uid="{4AA36470-102B-406B-8033-EFD866EB5A02}" name="COO PHD" dataDxfId="242"/>
    <tableColumn id="25" xr3:uid="{B988B8C3-679A-441C-9279-2DBFAC4396F6}" name="GER PHD" dataDxfId="241"/>
    <tableColumn id="26" xr3:uid="{DBCBFA04-B302-4B1D-9C01-8713CEF41089}" name="E-mail Coordenador" dataDxfId="240">
      <calculatedColumnFormula>_xlfn.XLOOKUP(Tabela1[[#This Row],[COO PHD]],TabControleEfetivo[NOME],TabControleEfetivo[email (PHD)],"")</calculatedColumnFormula>
    </tableColumn>
    <tableColumn id="27" xr3:uid="{7C12AE99-CA2F-4503-9245-339B33CFB77A}" name="E-mail Gerente" dataDxfId="239"/>
    <tableColumn id="28" xr3:uid="{BF4E41BB-C43A-4864-BF4E-B97223D52177}" name="EMPRESA PHD" dataDxfId="238"/>
    <tableColumn id="29" xr3:uid="{6DA0A4A3-52D8-43F0-A974-FE7CFF295A51}" name="CLIENTE PHD" dataDxfId="237"/>
    <tableColumn id="30" xr3:uid="{C81B8F8C-FB5F-40B4-81D0-5F50E001A3DC}" name="CLIENTE FINAL " dataDxfId="236"/>
    <tableColumn id="31" xr3:uid="{51E86C59-051D-45DC-8821-A961D1489BC0}" name="LOCAL DA OBRA" dataDxfId="235"/>
    <tableColumn id="33" xr3:uid="{E6B8A29C-2AC5-4FF8-87AC-D529D335E02F}" name="CÓD. CT" dataDxfId="234"/>
    <tableColumn id="32" xr3:uid="{01C2DEBD-2447-4644-9BB1-6F6479E2B773}" name="CÓD. PHD" dataDxfId="233">
      <calculatedColumnFormula>_xlfn.XLOOKUP(Tabela1[[#This Row],[CÓD. CT]],Controle_Projetos[COD CT],Controle_Projetos[COD PHD],"")</calculatedColumnFormula>
    </tableColumn>
    <tableColumn id="34" xr3:uid="{C0E24A6E-72E3-434F-9C83-3E83E9B7C171}" name="DATA PREV" dataDxfId="232"/>
    <tableColumn id="35" xr3:uid="{07B8C889-A810-45C9-89A5-A0DE15B4A924}" name="DATA REAL" dataDxfId="231"/>
    <tableColumn id="36" xr3:uid="{63F8B03D-CC59-49D2-83EA-CB899C828D88}" name="DIAS ATRASO" dataDxfId="230">
      <calculatedColumnFormula array="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calculatedColumnFormula>
    </tableColumn>
    <tableColumn id="38" xr3:uid="{19C344C7-CBD7-47CA-BFF4-4E75D40D2B1A}" name="DATA PREV - FORMS" dataDxfId="229"/>
    <tableColumn id="39" xr3:uid="{B1FD4D35-332E-44AF-902F-8674F865613B}" name="DATA REAL - FORMS" dataDxfId="228"/>
    <tableColumn id="40" xr3:uid="{C6450D88-4F70-41D5-8BC9-5F73B0A61E4A}" name="TEMPO REAL - FORMS" dataDxfId="227">
      <calculatedColumnFormula array="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calculatedColumnFormula>
    </tableColumn>
    <tableColumn id="41" xr3:uid="{6602DA95-727F-45FD-AD94-AC466B84D039}" name="DATA PREV - EXAMES" dataDxfId="226"/>
    <tableColumn id="42" xr3:uid="{9FDBDF6C-8978-4824-A1BF-C4BE2CE8C635}" name="DATA REAL - EXAMES" dataDxfId="225"/>
    <tableColumn id="43" xr3:uid="{6DE53F45-768D-4EB1-9E10-B1BC6CDC2E4C}" name="DIAS ATRASO - EXAMES" dataDxfId="224">
      <calculatedColumnFormula array="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calculatedColumnFormula>
    </tableColumn>
    <tableColumn id="44" xr3:uid="{D606A0FD-43EF-4C0A-85AC-A2CF3D8E509E}" name="DATA PREV - ASO" dataDxfId="223"/>
    <tableColumn id="45" xr3:uid="{FF99C6B3-7AEC-4259-BE21-BE212405A743}" name="DATA REAL - ASO" dataDxfId="222"/>
    <tableColumn id="46" xr3:uid="{1A82C61B-1C6E-4B5C-A19E-A044183C9CBB}" name="DIAS ATRASO - ASO" dataDxfId="221">
      <calculatedColumnFormula array="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calculatedColumnFormula>
    </tableColumn>
    <tableColumn id="47" xr3:uid="{55573E08-CE91-4CFB-865C-95CA388B3465}" name="DATA PREV - TREINAMENTOS" dataDxfId="220"/>
    <tableColumn id="48" xr3:uid="{0B0AA9BF-5A04-4D5E-94F9-AD7A95C5734C}" name="DATA REAL - TREINAMENTOS" dataDxfId="219"/>
    <tableColumn id="49" xr3:uid="{DB9D0EA8-672C-4E90-9D9B-9FF267BC7AE4}" name="DIAS ATRASO - TREINAMENTOS" dataDxfId="218">
      <calculatedColumnFormula array="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calculatedColumnFormula>
    </tableColumn>
    <tableColumn id="50" xr3:uid="{7CA4399A-0CC0-45A6-BCC0-F39868D0DD26}" name="DATA PREV - CONCL. TREIN." dataDxfId="217"/>
    <tableColumn id="51" xr3:uid="{7B0DCA59-4A9D-4B04-8A88-8EC738BF4E5D}" name="DATA REAL - CONCL. TREIN." dataDxfId="216"/>
    <tableColumn id="52" xr3:uid="{66C2618C-EE23-419B-9C2D-B46CC1E66C0E}" name="DIAS ATRASO - CONCL. TREIN." dataDxfId="215">
      <calculatedColumnFormula array="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calculatedColumnFormula>
    </tableColumn>
    <tableColumn id="53" xr3:uid="{FB1DE667-6CB4-4E91-A71D-0E06AB3AA922}" name="DATA INICIO - ALTER. CONTRATUAL" dataDxfId="214"/>
    <tableColumn id="54" xr3:uid="{924D442D-C1BD-4AC0-8D71-35F5607CB30D}" name="DATA FIM - ALTER. CONTRATUAL" dataDxfId="213"/>
    <tableColumn id="55" xr3:uid="{FF38EFBE-009B-43AA-B731-62A04DFA8F8B}" name="DIAS ATRASO - ALTER. CONTRATUAL" dataDxfId="212">
      <calculatedColumnFormula array="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calculatedColumnFormula>
    </tableColumn>
    <tableColumn id="56" xr3:uid="{000C953E-19AB-4597-9F82-90C94A7C3EB4}" name="DATA PREV - DOSSIÊ" dataDxfId="211"/>
    <tableColumn id="57" xr3:uid="{8B9E8981-2367-4F90-811E-795D980C7372}" name="DATA REAL - DOSSIÊ" dataDxfId="210"/>
    <tableColumn id="58" xr3:uid="{F05073D8-3240-4F04-834D-CCB8B6F16880}" name="DIAS ATRASO - DOSSIÊ" dataDxfId="209">
      <calculatedColumnFormula array="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calculatedColumnFormula>
    </tableColumn>
    <tableColumn id="59" xr3:uid="{088240B8-E46C-4169-A8C6-3470BE2E4993}" name="DATA PREV - POSTAGEM" dataDxfId="208"/>
    <tableColumn id="60" xr3:uid="{99AB4276-89E3-4980-96BC-C29F8312CD16}" name="DATA REAL - POSTAGEM" dataDxfId="207"/>
    <tableColumn id="61" xr3:uid="{C4CDB1FC-5742-4551-883C-6F4814E2B1D5}" name="DIAS ATRASO - POSTAGEM" dataDxfId="206">
      <calculatedColumnFormula array="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calculatedColumnFormula>
    </tableColumn>
    <tableColumn id="62" xr3:uid="{85FDFAB2-DABE-49FA-B554-902DC69BCBE3}" name="DATA PREV - APROV FINAL" dataDxfId="205"/>
    <tableColumn id="63" xr3:uid="{CAC5656E-420E-460F-BD3C-ED57EA6334FF}" name="DATA REAL - APROV FINAL" dataDxfId="204"/>
    <tableColumn id="64" xr3:uid="{48C73E4E-3D91-44C2-AC00-1E83E06B16C1}" name="DIAS ATRASO - APROV FINAL" dataDxfId="203">
      <calculatedColumnFormula array="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calculatedColumnFormula>
    </tableColumn>
    <tableColumn id="65" xr3:uid="{B7FD13CD-5449-49FF-B44B-4C3368DC488E}" name="DATA PREV - CRACHÁ" dataDxfId="202"/>
    <tableColumn id="66" xr3:uid="{38E17985-4219-47BE-8823-070D3EA24E4D}" name="DATA REAL - CRACHÁ" dataDxfId="201"/>
    <tableColumn id="67" xr3:uid="{C7661972-60A9-4EC7-B17B-D5FBB72F6DBE}" name="DIAS ATRASO - CRACHÁ" dataDxfId="200">
      <calculatedColumnFormula array="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calculatedColumnFormula>
    </tableColumn>
    <tableColumn id="68" xr3:uid="{8AE8FB69-8A9A-492A-8057-760231DB0CB0}" name="OBSERVAÇÕES" dataDxfId="19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EBB461-9F25-433D-AC82-AAEA61CFE9DC}" name="Tabela18" displayName="Tabela18" ref="B3:BA198" totalsRowShown="0" headerRowDxfId="198" tableBorderDxfId="197">
  <autoFilter ref="B3:BA198" xr:uid="{533A3FEC-DED2-40BA-B3E2-8EC7B14BAF80}">
    <filterColumn colId="0">
      <filters>
        <filter val="Em andamento"/>
      </filters>
    </filterColumn>
  </autoFilter>
  <tableColumns count="52">
    <tableColumn id="1" xr3:uid="{E275D5F6-D919-4A1A-9AF6-EF3831D74659}" name="STATUS" dataDxfId="196"/>
    <tableColumn id="2" xr3:uid="{FADCD2C7-AFCD-44F6-8A4D-03CDAFE7B396}" name="RESPONSÁVEL" dataDxfId="195"/>
    <tableColumn id="21" xr3:uid="{D34AB722-D4DF-4206-BE81-AA67884DD8B0}" name="MOBILIZADO / DESMOBILIZADO" dataDxfId="194"/>
    <tableColumn id="3" xr3:uid="{72D61E2D-3C15-4A91-B158-EB1D1E5FB86D}" name="CLIENTE" dataDxfId="193"/>
    <tableColumn id="19" xr3:uid="{7182DEB9-B570-48F6-BEC8-FDE195C11A37}" name="STATUS GERAL" dataDxfId="192">
      <calculatedColumnFormula array="1">_xlfn.IFS(Tabela18[[#This Row],[STATUS]]="Finalizado",1,Tabela18[[#This Row],[STATUS]]="Cancelado",2,Tabela18[[#This Row],[STATUS]]="Em andamento",3)</calculatedColumnFormula>
    </tableColumn>
    <tableColumn id="4" xr3:uid="{61B54A4E-31E4-4834-BF6E-25929D1ED635}" name="Abertura Forms" dataDxfId="191">
      <calculatedColumnFormula array="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-EMAIL]]="",$AH4&gt;$AF$1),2,
AND(Tabela18[[#This Row],[STATUS]]="Em andamento",Tabela18[[#This Row],[DATA REAL -EMAIL]]="",$AH4&lt;=$AF$1),3,
AND(Tabela18[[#This Row],[STATUS]]="Em andamento",Tabela18[[#This Row],[DATA REAL -EMAIL]]&lt;&gt;""),1)</calculatedColumnFormula>
    </tableColumn>
    <tableColumn id="5" xr3:uid="{F77FFEA0-4C80-462D-BB64-126C69211570}" name="Solic. Doc Cliente" dataDxfId="190">
      <calculatedColumnFormula array="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CLIENTE]]="",$AK4&gt;$AI$1),2,
AND(Tabela18[[#This Row],[STATUS]]="Em andamento",Tabela18[[#This Row],[DATA REAL - DOC CLIENTE]]="",$AK4&lt;=$AI$1),3,
AND(Tabela18[[#This Row],[STATUS]]="Em andamento",Tabela18[[#This Row],[DATA REAL - DOC CLIENTE]]&lt;&gt;""),1)</calculatedColumnFormula>
    </tableColumn>
    <tableColumn id="6" xr3:uid="{B613BBD4-C053-4836-8AE7-56225C6DEE35}" name="Envio Anexo 06" dataDxfId="189">
      <calculatedColumnFormula array="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06]]="",$AN4&gt;$AL$1),2,
AND(Tabela18[[#This Row],[STATUS]]="Em andamento",Tabela18[[#This Row],[DATA REAL - ANEXO 06]]="",$AN4&lt;=$AL$1),3,
AND(Tabela18[[#This Row],[STATUS]]="Em andamento",Tabela18[[#This Row],[DATA REAL - ANEXO 06]]&lt;&gt;""),1)</calculatedColumnFormula>
    </tableColumn>
    <tableColumn id="7" xr3:uid="{9CAEED15-4066-497C-8857-7CA564DC5598}" name="Solic. Prog. Legal" dataDxfId="188">
      <calculatedColumnFormula array="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LEGAIS]]="",$AQ4&gt;$AO$1),2,
AND(Tabela18[[#This Row],[STATUS]]="Em andamento",Tabela18[[#This Row],[DATA REAL - SOLIC. PROG LEGAIS]]="",$AQ4&lt;=$AO$1),3,
AND(Tabela18[[#This Row],[STATUS]]="Em andamento",Tabela18[[#This Row],[DATA REAL - SOLIC. PROG LEGAIS]]&lt;&gt;""),1)</calculatedColumnFormula>
    </tableColumn>
    <tableColumn id="8" xr3:uid="{387C91F2-4208-4ABD-B581-A950AB3D589C}" name="Envio Prog. Legal" dataDxfId="187">
      <calculatedColumnFormula array="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ENVIO]]="",$AT4&gt;$AR$1),2,
AND(Tabela18[[#This Row],[STATUS]]="Em andamento",Tabela18[[#This Row],[DATA REAL - ENVIO]]="",$AT4&lt;=$AR$1),3,
AND(Tabela18[[#This Row],[STATUS]]="Em andamento",Tabela18[[#This Row],[DATA REAL - ENVIO]]&lt;&gt;""),1)</calculatedColumnFormula>
    </tableColumn>
    <tableColumn id="9" xr3:uid="{B4EA99B6-0B57-4832-8892-01AE720BE0C4}" name="Postagem" dataDxfId="186">
      <calculatedColumnFormula array="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POSTAGEM]]="",$AW4&gt;$AU$1),2,
AND(Tabela18[[#This Row],[STATUS]]="Em andamento",Tabela18[[#This Row],[DATA REAL - POSTAGEM]]="",$AW4&lt;=$AU$1),3,
AND(Tabela18[[#This Row],[STATUS]]="Em andamento",Tabela18[[#This Row],[DATA REAL - POSTAGEM]]&lt;&gt;""),1)</calculatedColumnFormula>
    </tableColumn>
    <tableColumn id="10" xr3:uid="{289E2F0E-924E-490D-9F1E-CE2C4A4A72E4}" name="Aprovação" dataDxfId="185">
      <calculatedColumnFormula array="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APROVAÇÃO]]="",$AZ4&gt;$AX$1),2,
AND(Tabela18[[#This Row],[STATUS]]="Em andamento",Tabela18[[#This Row],[DATA REAL - APROVAÇÃO]]="",$AZ4&lt;=$AX$1),3,
AND(Tabela18[[#This Row],[STATUS]]="Em andamento",Tabela18[[#This Row],[DATA REAL - APROVAÇÃO]]&lt;&gt;""),1)</calculatedColumnFormula>
    </tableColumn>
    <tableColumn id="14" xr3:uid="{17199929-760F-4443-8A8C-806E285941D0}" name="PREVISÃO TÉRMINO" dataDxfId="184">
      <calculatedColumnFormula>IF(Tabela18[[#This Row],[DATA REAL -EMAIL]]&lt;&gt;"",Tabela18[[#This Row],[DATA REAL -EMAIL]]+30,Tabela18[[#This Row],[DATA PREV - EMAIL]]+30)</calculatedColumnFormula>
    </tableColumn>
    <tableColumn id="20" xr3:uid="{D7128AAE-0F95-4D0B-B7E8-BA15764D2FE8}" name="DATA REAL FINALIZAÇÃO" dataDxfId="183">
      <calculatedColumnFormula>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calculatedColumnFormula>
    </tableColumn>
    <tableColumn id="15" xr3:uid="{02B93132-8D40-408F-82A4-7341FD985F0B}" name="Dias Decorridos" dataDxfId="182">
      <calculatedColumnFormula>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calculatedColumnFormula>
    </tableColumn>
    <tableColumn id="16" xr3:uid="{40F29E89-9463-4FAB-88D0-1D7C3FC8CE1A}" name="Tempo Mobilização ADM (PHD)" dataDxfId="181">
      <calculatedColumnFormula>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calculatedColumnFormula>
    </tableColumn>
    <tableColumn id="17" xr3:uid="{0C1F58FA-DE1A-4A82-A931-F4070AB8EE32}" name="Tempo Mobilização Cliente" dataDxfId="180">
      <calculatedColumnFormula>MAX(Tabela18[[#This Row],[DATA REAL - POSTAGEM]],Tabela18[[#This Row],[DATA REAL - APROVAÇÃO]])-MIN(Tabela18[[#This Row],[DATA REAL - POSTAGEM]],Tabela18[[#This Row],[DATA REAL - APROVAÇÃO]])+1</calculatedColumnFormula>
    </tableColumn>
    <tableColumn id="24" xr3:uid="{559EDBF5-F1D3-4239-83D2-F7B3D1285A58}" name="COO PHD" dataDxfId="179"/>
    <tableColumn id="12" xr3:uid="{04789B9E-7661-48BE-9FBC-8D639D024AA8}" name="GER PHD" dataDxfId="178"/>
    <tableColumn id="11" xr3:uid="{B2BB177D-2DA6-44D3-B18F-5DAC05C5DF73}" name="E-mail Coordenador" dataDxfId="177"/>
    <tableColumn id="27" xr3:uid="{41FA643F-9D87-4589-87EC-39A2B722A9E9}" name="E-mail Gerente" dataDxfId="176"/>
    <tableColumn id="28" xr3:uid="{C0159B6B-6314-427D-A723-075056DE4D62}" name="EMPRESA PHD MOBILIZADA" dataDxfId="175"/>
    <tableColumn id="29" xr3:uid="{2F201E1F-4767-49A4-A679-72E06DD36499}" name="CLIENTE FINAL" dataDxfId="174"/>
    <tableColumn id="30" xr3:uid="{A9BEB347-B536-489D-8F66-58A9EB0B3DED}" name="LOCAL DA OBRA" dataDxfId="173"/>
    <tableColumn id="33" xr3:uid="{F41A70CD-4E03-4CE1-95D3-F7CFF0154AD3}" name="CÓD. CT" dataDxfId="172"/>
    <tableColumn id="31" xr3:uid="{436F4524-C390-47F1-BE90-A5D9827FE2F9}" name="CÓD. PHD" dataDxfId="171"/>
    <tableColumn id="32" xr3:uid="{06C4403A-4981-4583-9763-5A400512B980}" name="Nº DO CONTRATO _x000a_CLIENTE X CLIENTE FINAL" dataDxfId="170"/>
    <tableColumn id="34" xr3:uid="{5C1C355C-1BC1-49AD-9C24-A64CF4233AD7}" name="DATA PREV - CONTR" dataDxfId="169"/>
    <tableColumn id="35" xr3:uid="{B293DA99-BFCD-4DAD-9834-FC3C0936EEDB}" name="DATA REAL - CONTR" dataDxfId="168">
      <calculatedColumnFormula>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calculatedColumnFormula>
    </tableColumn>
    <tableColumn id="36" xr3:uid="{92747D9C-D2C9-41B2-B54F-A3B444BFE770}" name="DIAS ATRASO - CONTR" dataDxfId="167">
      <calculatedColumnFormula array="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calculatedColumnFormula>
    </tableColumn>
    <tableColumn id="38" xr3:uid="{DDC13688-B249-40BB-A1A7-4994DB2ED24E}" name="DATA PREV - EMAIL" dataDxfId="166"/>
    <tableColumn id="39" xr3:uid="{401BBAD0-FFED-4567-852A-D39798EA689E}" name="DATA REAL -EMAIL" dataDxfId="165"/>
    <tableColumn id="40" xr3:uid="{2FB3CE96-5283-4B6B-A527-DA5BB87BDABE}" name="DIAS ATRASO - EMAIL" dataDxfId="164">
      <calculatedColumnFormula array="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calculatedColumnFormula>
    </tableColumn>
    <tableColumn id="41" xr3:uid="{9C0441D0-9787-4735-850D-9D803DAABB87}" name="DATA PREV - DOC CLIENTE" dataDxfId="163">
      <calculatedColumnFormula>Tabela18[[#This Row],[DATA PREV - EMAIL]]+$AI$1</calculatedColumnFormula>
    </tableColumn>
    <tableColumn id="42" xr3:uid="{5CCF110F-3EE2-4CBF-8821-88477EBE7D66}" name="DATA REAL - DOC CLIENTE" dataDxfId="162"/>
    <tableColumn id="43" xr3:uid="{158C646E-DCE5-4C60-990C-9AA2A456B046}" name="DIAS ATRASO - DOC CLIENTE" dataDxfId="161">
      <calculatedColumnFormula array="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calculatedColumnFormula>
    </tableColumn>
    <tableColumn id="44" xr3:uid="{E56FA9FB-59CF-4E2F-B7D7-4618B72F105B}" name="DATA PREV - ANEXO 06" dataDxfId="160"/>
    <tableColumn id="45" xr3:uid="{610FA74B-0901-4882-96C4-CFDD4003F892}" name="DATA REAL - ANEXO 06" dataDxfId="159"/>
    <tableColumn id="46" xr3:uid="{D7455F3B-8EB5-44B5-B9A3-B875E28876B3}" name="DIAS ATRASO - ANEXO 06" dataDxfId="158">
      <calculatedColumnFormula array="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calculatedColumnFormula>
    </tableColumn>
    <tableColumn id="47" xr3:uid="{E4E849F6-5C60-421E-99C7-4F78CFC86FDB}" name="DATA PREV - SOLIC. PROG LEGAIS" dataDxfId="157"/>
    <tableColumn id="48" xr3:uid="{5F2FCBA6-2B27-426E-9669-70541B4EC92B}" name="DATA REAL - SOLIC. PROG LEGAIS" dataDxfId="156"/>
    <tableColumn id="49" xr3:uid="{E540E69F-2EB4-4358-88B0-AAC75F7C347B}" name="DIAS ATRASO  - SOLIC. PROG LEGAIS" dataDxfId="155">
      <calculatedColumnFormula array="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calculatedColumnFormula>
    </tableColumn>
    <tableColumn id="50" xr3:uid="{DA5FAB58-D5FE-47BD-9E95-98507AE0E8E0}" name="DATA PREV - ENVIO" dataDxfId="154"/>
    <tableColumn id="51" xr3:uid="{5DF7F535-9188-4570-989C-B3F2FA11C627}" name="DATA REAL - ENVIO" dataDxfId="153"/>
    <tableColumn id="52" xr3:uid="{C3BC96E6-80DD-4E43-8CCA-546A1FD80BEA}" name="DIAS ATRASO - ENVIO" dataDxfId="152">
      <calculatedColumnFormula array="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calculatedColumnFormula>
    </tableColumn>
    <tableColumn id="53" xr3:uid="{40C43643-68A5-48AA-A364-6A10FEE9954D}" name="DATA PREV - POSTAGEM" dataDxfId="151">
      <calculatedColumnFormula>IF(AR4="","",IF(AS4="",WORKDAY(AR4,AU$1,),WORKDAY(AS4,AU$1,)))</calculatedColumnFormula>
    </tableColumn>
    <tableColumn id="54" xr3:uid="{A9013726-6073-4560-A9ED-192093BB0B0F}" name="DATA REAL - POSTAGEM" dataDxfId="150"/>
    <tableColumn id="55" xr3:uid="{C2828A9D-6E3B-4A3B-99A5-84863C0F7E47}" name="DIAS ATRASO - POSTAGEM" dataDxfId="149">
      <calculatedColumnFormula array="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calculatedColumnFormula>
    </tableColumn>
    <tableColumn id="56" xr3:uid="{E6A31984-08DB-438C-B620-F7E9D5EA32B9}" name="DATA PREV - APROVAÇÃO" dataDxfId="148">
      <calculatedColumnFormula>IF(AU4="","",IF(AV4="",WORKDAY(AU4,AX$1,),WORKDAY(AV4,AX$1,)))</calculatedColumnFormula>
    </tableColumn>
    <tableColumn id="57" xr3:uid="{15B3097A-BFF1-4E26-A28D-76DE910649CE}" name="DATA REAL - APROVAÇÃO" dataDxfId="147"/>
    <tableColumn id="58" xr3:uid="{CD36C46C-34C3-494A-9966-0FCFD74BF65E}" name="DIAS ATRASO - APROVAÇÃO" dataDxfId="146">
      <calculatedColumnFormula array="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calculatedColumnFormula>
    </tableColumn>
    <tableColumn id="68" xr3:uid="{D68435FC-88F3-43BC-9717-29E5E4933C01}" name="OBSERVAÇÕES" dataDxfId="14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F60F91-AC4F-4A6F-B0C7-787FAA0A7ABC}" name="Tabela6" displayName="Tabela6" ref="B3:AL72" totalsRowShown="0" headerRowDxfId="304">
  <autoFilter ref="B3:AL72" xr:uid="{F2F60F91-AC4F-4A6F-B0C7-787FAA0A7ABC}">
    <filterColumn colId="0">
      <filters>
        <filter val="Em andamento"/>
      </filters>
    </filterColumn>
  </autoFilter>
  <tableColumns count="37">
    <tableColumn id="1" xr3:uid="{F5115DE1-E0FE-46B6-8A81-8D4293021447}" name="STATUS PROCESSO DESMOBILIZAÇÃO" dataDxfId="303"/>
    <tableColumn id="2" xr3:uid="{BA427B3F-AAD6-4260-B385-CE13BB8FFF88}" name="CRACHÁ DEVOLVIDO NA SEDE/FILIAL" dataDxfId="302"/>
    <tableColumn id="3" xr3:uid="{9115CE23-F5E6-490C-9E78-5C0878107FEB}" name="DATA DE DEVOLUÇÃO " dataDxfId="301"/>
    <tableColumn id="4" xr3:uid="{0EDF7BB4-25DF-4A31-A481-185BD1C4A029}" name="MOBILIZADO / DESMOBILIZADO" dataDxfId="300"/>
    <tableColumn id="6" xr3:uid="{CB73036B-80B5-4556-8E8C-4DACD707AC1E}" name="COLABORADOR " dataDxfId="299"/>
    <tableColumn id="7" xr3:uid="{CA279220-A88A-475B-BB59-C8BD3B246ABD}" name="CHAMADO" dataDxfId="298">
      <calculatedColumnFormula array="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FORMS]]="",$Y4&gt;$W$1),2,
AND(Tabela6[[#This Row],[STATUS PROCESSO DESMOBILIZAÇÃO]]="Em andamento",Tabela6[[#This Row],[DATA REAL - FORMS]]="",$Y4&lt;=$W$1),3,
AND(Tabela6[[#This Row],[STATUS PROCESSO DESMOBILIZAÇÃO]]="Em andamento",Tabela6[[#This Row],[DATA REAL - FORMS]]&lt;&gt;""),1)</calculatedColumnFormula>
    </tableColumn>
    <tableColumn id="8" xr3:uid="{30A8DEA6-E1AC-4FF3-9B3D-7791A4A4DE14}" name="RECEB. CRACHÁ" dataDxfId="297">
      <calculatedColumnFormula array="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CRACHÁ]]="",$AB4&gt;$Z$1),2,
AND(Tabela6[[#This Row],[STATUS PROCESSO DESMOBILIZAÇÃO]]="Em andamento",Tabela6[[#This Row],[DATA REAL - CRACHÁ]]="",$AB4&lt;=$Z$1),3,
AND(Tabela6[[#This Row],[STATUS PROCESSO DESMOBILIZAÇÃO]]="Em andamento",Tabela6[[#This Row],[DATA REAL - CRACHÁ]]&lt;&gt;""),1)</calculatedColumnFormula>
    </tableColumn>
    <tableColumn id="9" xr3:uid="{D95BB344-477D-490D-85F2-1C30EC96E107}" name="ENTREGA CRACHÁ" dataDxfId="296">
      <calculatedColumnFormula array="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CRACHÁ]]="",$AE4&gt;$AC$1),2,
AND(Tabela6[[#This Row],[STATUS PROCESSO DESMOBILIZAÇÃO]]="Em andamento",Tabela6[[#This Row],[DATA REAL - ENTR. CRACHÁ]]="",$AE4&lt;=$AC$1),3,
AND(Tabela6[[#This Row],[STATUS PROCESSO DESMOBILIZAÇÃO]]="Em andamento",Tabela6[[#This Row],[DATA REAL - ENTR. CRACHÁ]]&lt;&gt;""),1)</calculatedColumnFormula>
    </tableColumn>
    <tableColumn id="10" xr3:uid="{00CC46C9-0437-47E4-A906-3A6F52278048}" name="PROTOCOLO CRACHÁ" dataDxfId="295">
      <calculatedColumnFormula array="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CRACHÁ]]="",$AE4&gt;$AC$1),2,
AND(Tabela6[[#This Row],[STATUS PROCESSO DESMOBILIZAÇÃO]]="Em andamento",Tabela6[[#This Row],[DATA REAL - ENTR. CRACHÁ]]="",$AE4&lt;=$AC$1),3,
AND(Tabela6[[#This Row],[STATUS PROCESSO DESMOBILIZAÇÃO]]="Em andamento",Tabela6[[#This Row],[DATA REAL - ENTR. CRACHÁ]]&lt;&gt;""),1)</calculatedColumnFormula>
    </tableColumn>
    <tableColumn id="11" xr3:uid="{5315185E-D199-4314-979F-5C282475C950}" name="LIBERAÇÃO" dataDxfId="294">
      <calculatedColumnFormula array="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protocolo]]="",$AH4&gt;$AF$1),2,
AND(Tabela6[[#This Row],[STATUS PROCESSO DESMOBILIZAÇÃO]]="Em andamento",Tabela6[[#This Row],[DATA REAL - Envio do protocolo]]="",$AH4&lt;=$AF$1),3,
AND(Tabela6[[#This Row],[STATUS PROCESSO DESMOBILIZAÇÃO]]="Em andamento",Tabela6[[#This Row],[DATA REAL - Envio do protocolo]]&lt;&gt;""),1)</calculatedColumnFormula>
    </tableColumn>
    <tableColumn id="15" xr3:uid="{3EDC868C-8217-436B-A34F-E15D6C5FA5A8}" name="PREVISÃO TÉRMINO" dataDxfId="293">
      <calculatedColumnFormula>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calculatedColumnFormula>
    </tableColumn>
    <tableColumn id="16" xr3:uid="{D9357A24-0D31-4D8B-ACEE-C18759FEFD25}" name="Dias Decorridos" dataDxfId="292">
      <calculatedColumnFormula>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calculatedColumnFormula>
    </tableColumn>
    <tableColumn id="17" xr3:uid="{67125EA6-289F-416B-ABF0-D1703EC37C71}" name="Tempo Mobilização PHD" dataDxfId="291">
      <calculatedColumnFormula>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calculatedColumnFormula>
    </tableColumn>
    <tableColumn id="18" xr3:uid="{16333068-54A5-4576-BB9C-77BCBDCF018E}" name="Tempo Mobilização Cliente" dataDxfId="290">
      <calculatedColumnFormula>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calculatedColumnFormula>
    </tableColumn>
    <tableColumn id="19" xr3:uid="{922440F0-DB3E-4C1F-85CB-5BD2BBEB5D13}" name="COO PHD" dataDxfId="289"/>
    <tableColumn id="20" xr3:uid="{1C88173B-C7D8-4521-B829-2F9CE5D29D2B}" name="EMPRESA PHD" dataDxfId="288"/>
    <tableColumn id="21" xr3:uid="{E0AA2D41-803C-4982-A10C-F7A797B0A32C}" name="CLIENTE PHD" dataDxfId="287"/>
    <tableColumn id="22" xr3:uid="{770CC142-B925-45FE-ABC5-210107243F5D}" name="CLIENTE FINAL " dataDxfId="286"/>
    <tableColumn id="23" xr3:uid="{7D5D1BD8-2855-4B5F-B3BA-2F3ED99D22E8}" name="LOCAL DA _x000a_OBRA" dataDxfId="285"/>
    <tableColumn id="25" xr3:uid="{2D448F5F-9178-4EE2-AD7D-7E05249CBFB4}" name="COD. CT" dataDxfId="284"/>
    <tableColumn id="24" xr3:uid="{68ABDFE5-D9E1-46EB-A529-B37DA444474D}" name="COD. PHD" dataDxfId="283">
      <calculatedColumnFormula>_xlfn.XLOOKUP(Tabela6[[#This Row],[COD. CT]],Controle_Projetos[COD CT],Controle_Projetos[COD PHD],"")</calculatedColumnFormula>
    </tableColumn>
    <tableColumn id="35" xr3:uid="{09C8D9AC-0A5B-40EF-A768-7DE3E2E94B31}" name="DATA PREV - FORMS" dataDxfId="282"/>
    <tableColumn id="36" xr3:uid="{0ABF8161-C3E5-475A-896C-E01D2BFABB3D}" name="DATA REAL - FORMS" dataDxfId="281"/>
    <tableColumn id="37" xr3:uid="{964A49A3-07CC-4C59-AFC7-56628E22E034}" name="DIAS ATRASO - FORMS" dataDxfId="280">
      <calculatedColumnFormula array="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calculatedColumnFormula>
    </tableColumn>
    <tableColumn id="38" xr3:uid="{94E4B6A3-63BC-4EEE-9197-25B7DB3F9D60}" name="DATA PREV - CRACHÁ" dataDxfId="279">
      <calculatedColumnFormula>IF(Tabela6[[#This Row],[DATA PREV - FORMS]]&lt;&gt;"",Tabela6[[#This Row],[DATA PREV - FORMS]]+$Z$1,"")</calculatedColumnFormula>
    </tableColumn>
    <tableColumn id="39" xr3:uid="{2AB0D810-37A7-4A5B-AD47-4AEDFD6BDAC0}" name="DATA REAL - CRACHÁ" dataDxfId="278"/>
    <tableColumn id="40" xr3:uid="{EE173AE0-0FCE-4B66-BC51-871147092B1B}" name="DIAS ATRASO - EXAMES" dataDxfId="277">
      <calculatedColumnFormula array="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calculatedColumnFormula>
    </tableColumn>
    <tableColumn id="41" xr3:uid="{F84B6FB4-459D-466A-A7F1-3BF7A07BFBBE}" name="DATA PREV - ENTR. CRACHÁ" dataDxfId="276">
      <calculatedColumnFormula>IF(Tabela6[[#This Row],[DATA PREV - CRACHÁ]]="","",IF(Tabela6[[#This Row],[DATA REAL - CRACHÁ]]="",WORKDAY(Tabela6[[#This Row],[DATA PREV - CRACHÁ]],AC$1,),WORKDAY(Tabela6[[#This Row],[DATA REAL - CRACHÁ]],AC$1,)))</calculatedColumnFormula>
    </tableColumn>
    <tableColumn id="42" xr3:uid="{B9553E5B-C5C1-44A9-B459-E9E56E2CDEC1}" name="DATA REAL - ENTR. CRACHÁ" dataDxfId="275"/>
    <tableColumn id="43" xr3:uid="{102F391C-CA0B-4DAB-BB23-40FBAA614BC0}" name="DIAS ATRASO - ASO" dataDxfId="274">
      <calculatedColumnFormula array="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calculatedColumnFormula>
    </tableColumn>
    <tableColumn id="44" xr3:uid="{D7CCF7E6-6823-4ACE-9945-A51CC126AA65}" name="DATA PREV - envio do protocolo" dataDxfId="273">
      <calculatedColumnFormula>IF(Tabela6[[#This Row],[DATA PREV - ENTR. CRACHÁ]]="","",IF(Tabela6[[#This Row],[DATA REAL - ENTR. CRACHÁ]]="",WORKDAY(Tabela6[[#This Row],[DATA PREV - ENTR. CRACHÁ]],AF$1,),WORKDAY(Tabela6[[#This Row],[DATA REAL - ENTR. CRACHÁ]],AF$1,)))</calculatedColumnFormula>
    </tableColumn>
    <tableColumn id="45" xr3:uid="{78E320BF-9229-4C50-88AB-CC3DCAE2848F}" name="DATA REAL - Envio do protocolo" dataDxfId="272"/>
    <tableColumn id="46" xr3:uid="{7E9282D4-47A3-45E1-803A-DBF56FDDC1FD}" name="DIAS ATRASO - envio do protocolo" dataDxfId="271">
      <calculatedColumnFormula array="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calculatedColumnFormula>
    </tableColumn>
    <tableColumn id="47" xr3:uid="{4CB45811-BB8F-4B52-8518-B561B38A89E4}" name="DATA PREV DESBMOBILIZAÇÃO" dataDxfId="270">
      <calculatedColumnFormula>IF(Tabela6[[#This Row],[DATA PREV - envio do protocolo]]="","",IF(Tabela6[[#This Row],[DATA REAL - Envio do protocolo]]="",WORKDAY(Tabela6[[#This Row],[DATA PREV - envio do protocolo]],AI$1,),WORKDAY(Tabela6[[#This Row],[DATA REAL - Envio do protocolo]],AI$1,)))</calculatedColumnFormula>
    </tableColumn>
    <tableColumn id="48" xr3:uid="{5DF01180-E3D2-4699-BFB2-413C0C0B03C4}" name="DATA REAL DESBMOBILIZAÇÃO" dataDxfId="269"/>
    <tableColumn id="49" xr3:uid="{D2DB9B17-240F-4496-AF54-F3B0D2F3F31A}" name="DIAS ATRASO DESMOBILIZAÇÃO" dataDxfId="268">
      <calculatedColumnFormula array="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calculatedColumnFormula>
    </tableColumn>
    <tableColumn id="65" xr3:uid="{346EAF2E-210B-42E9-801E-035CD61F420B}" name="OBSERVAÇÕES" dataDxfId="26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83EB3C-F6A8-4FCA-9C3E-B79C9EC1E9A7}" name="TabControleEfetivo" displayName="TabControleEfetivo" ref="A1:AD382" tableType="queryTable" totalsRowShown="0">
  <autoFilter ref="A1:AD382" xr:uid="{8883EB3C-F6A8-4FCA-9C3E-B79C9EC1E9A7}">
    <filterColumn colId="2">
      <filters>
        <filter val="ALESSANDRO PEREIRA MOREIRA"/>
      </filters>
    </filterColumn>
  </autoFilter>
  <tableColumns count="30">
    <tableColumn id="1" xr3:uid="{345A4958-412F-4580-B894-4184F67A9488}" uniqueName="1" name="STATUS" queryTableFieldId="1" dataDxfId="144"/>
    <tableColumn id="2" xr3:uid="{36336B69-396C-4134-9C55-C325AA152062}" uniqueName="2" name="FORMATO" queryTableFieldId="2"/>
    <tableColumn id="3" xr3:uid="{FC153D8A-8EDD-48E7-9891-A4C583CD8A29}" uniqueName="3" name="NOME COMPLETO" queryTableFieldId="3" dataDxfId="143"/>
    <tableColumn id="4" xr3:uid="{4D4BD40D-FB1F-4323-ABE8-CCCFE813CD59}" uniqueName="4" name="NOME" queryTableFieldId="4" dataDxfId="142"/>
    <tableColumn id="5" xr3:uid="{AEC41D04-53FB-4F04-9ACD-2C30AC2A2C86}" uniqueName="5" name="M/F" queryTableFieldId="5" dataDxfId="141"/>
    <tableColumn id="6" xr3:uid="{616D47A4-60D7-40C0-A0E2-6FAA9F52EF11}" uniqueName="6" name="DATA ADMISSÃO" queryTableFieldId="6" dataDxfId="140"/>
    <tableColumn id="7" xr3:uid="{BCC715EB-041D-4130-A22F-251E19310E99}" uniqueName="7" name="TIPO ADMISSÃO" queryTableFieldId="7" dataDxfId="139"/>
    <tableColumn id="8" xr3:uid="{D712F89E-C3EC-4C82-9142-74B691168A88}" uniqueName="8" name="DATA ADMISSÃO2" queryTableFieldId="8" dataDxfId="138"/>
    <tableColumn id="9" xr3:uid="{FEA8F6ED-FDCF-4038-9674-CE7B5287CC5A}" uniqueName="9" name="CPF" queryTableFieldId="9"/>
    <tableColumn id="10" xr3:uid="{E868996B-1544-4BB9-BA90-BD2010C7F431}" uniqueName="10" name="IDENTIDADE" queryTableFieldId="10"/>
    <tableColumn id="11" xr3:uid="{1BF5A604-DE3B-4902-B2DA-E2EBAD447B1C}" uniqueName="11" name="DATA NASCIMENTO" queryTableFieldId="11" dataDxfId="137"/>
    <tableColumn id="12" xr3:uid="{BBF4FACE-455F-4CA7-A8F5-E040FCD6EDBA}" uniqueName="12" name="IDADE" queryTableFieldId="12"/>
    <tableColumn id="13" xr3:uid="{0A8D9A68-E824-4519-A5BB-03E168151432}" uniqueName="13" name="RANGE IDADE" queryTableFieldId="13" dataDxfId="136"/>
    <tableColumn id="14" xr3:uid="{512CC797-408F-4D9E-BDFF-670D1D535F1B}" uniqueName="14" name="GERAÇÃO" queryTableFieldId="14" dataDxfId="135"/>
    <tableColumn id="15" xr3:uid="{461711AF-EB9B-413F-9837-149395605554}" uniqueName="15" name="TELEFONE" queryTableFieldId="15" dataDxfId="134"/>
    <tableColumn id="16" xr3:uid="{5359A40D-25C9-4767-B98F-C148E8796558}" uniqueName="16" name="email (PHD)" queryTableFieldId="16" dataDxfId="133"/>
    <tableColumn id="17" xr3:uid="{E1CCF35E-1D59-476B-B5F1-C1B05F198FD3}" uniqueName="17" name="DATA DEMISSÃO" queryTableFieldId="17" dataDxfId="132"/>
    <tableColumn id="18" xr3:uid="{EA8E79B6-50BA-4D63-9C3B-79AD7B738536}" uniqueName="18" name="TIPO DESLIGAMENTO" queryTableFieldId="18" dataDxfId="131"/>
    <tableColumn id="19" xr3:uid="{FE2FE8E2-C207-4B6D-B285-53A5DA81B111}" uniqueName="19" name="CARGO" queryTableFieldId="19" dataDxfId="130"/>
    <tableColumn id="20" xr3:uid="{D1826681-AB63-403A-A37D-48A36ABA2D44}" uniqueName="20" name="TIPO FOPGA" queryTableFieldId="20" dataDxfId="129"/>
    <tableColumn id="21" xr3:uid="{B7EC8179-762E-4316-B5B9-667988CD9A7B}" uniqueName="21" name="NATURALIDADE" queryTableFieldId="21" dataDxfId="128"/>
    <tableColumn id="22" xr3:uid="{B4D00013-A1DC-4206-8B73-25ECC24A8F4E}" uniqueName="22" name="CIDADE RESIDENCIA" queryTableFieldId="22" dataDxfId="127"/>
    <tableColumn id="23" xr3:uid="{0AF830B0-46BB-4D95-9447-C3DCDB1D581A}" uniqueName="23" name="UF" queryTableFieldId="23" dataDxfId="126"/>
    <tableColumn id="24" xr3:uid="{B4E3EFC9-CF16-423C-8FAA-0A1CA57191AB}" uniqueName="24" name="Liderança/Equipe" queryTableFieldId="24" dataDxfId="125"/>
    <tableColumn id="25" xr3:uid="{59170D2A-7C6C-4163-9882-E95B222A821F}" uniqueName="25" name="ÁREA" queryTableFieldId="25" dataDxfId="124"/>
    <tableColumn id="26" xr3:uid="{D96FA531-CE32-42E0-9FFB-3C3136C1A82F}" uniqueName="26" name="LOCAL DE TRABALHO" queryTableFieldId="26" dataDxfId="123"/>
    <tableColumn id="27" xr3:uid="{60A498C7-D360-4D7F-8854-08F2F5BAB9DD}" uniqueName="27" name="CIDADE ATUAÇÃO" queryTableFieldId="27" dataDxfId="122"/>
    <tableColumn id="28" xr3:uid="{062B2942-55F5-46BA-8DAD-73482D073346}" uniqueName="28" name="ESTADO ATUAÇÃO" queryTableFieldId="28" dataDxfId="121"/>
    <tableColumn id="29" xr3:uid="{208F2F39-2C61-4627-899D-6B2C72D9D643}" uniqueName="29" name="GER PHD" queryTableFieldId="29" dataDxfId="120"/>
    <tableColumn id="30" xr3:uid="{82568BEE-0F3E-4B9D-9312-6C86B5D291EB}" uniqueName="30" name="COO PHD" queryTableFieldId="30" dataDxfId="119"/>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B9602D-A88B-4958-B7BD-8C5DCD7AC7F1}" name="Liderança" displayName="Liderança" ref="A1:D22" tableType="queryTable" totalsRowShown="0">
  <autoFilter ref="A1:D22" xr:uid="{FEB9602D-A88B-4958-B7BD-8C5DCD7AC7F1}"/>
  <sortState xmlns:xlrd2="http://schemas.microsoft.com/office/spreadsheetml/2017/richdata2" ref="A2:D22">
    <sortCondition ref="A2:A21"/>
  </sortState>
  <tableColumns count="4">
    <tableColumn id="1" xr3:uid="{8D2D6F8B-1998-49A2-8DAB-4EF17C4803C1}" uniqueName="1" name="NOME COMPLETO" queryTableFieldId="1" dataDxfId="118"/>
    <tableColumn id="2" xr3:uid="{D6AAA204-B783-4B82-9951-2938FE82636C}" uniqueName="2" name="NOME" queryTableFieldId="2" dataDxfId="117"/>
    <tableColumn id="3" xr3:uid="{06E75889-01CB-4581-BA74-5064677F8CC2}" uniqueName="3" name="email (PHD)" queryTableFieldId="3" dataDxfId="116"/>
    <tableColumn id="4" xr3:uid="{B2B02BE3-931C-4DC6-B316-6B6F7C8D06DE}" uniqueName="4" name="Liderança/Equipe" queryTableFieldId="4" dataDxfId="115"/>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E05C50-4A4C-4649-84DA-C10D3509CA10}" name="Controle_Projetos" displayName="Controle_Projetos" ref="A1:V434" tableType="queryTable" totalsRowShown="0">
  <autoFilter ref="A1:V434" xr:uid="{06E05C50-4A4C-4649-84DA-C10D3509CA10}"/>
  <tableColumns count="22">
    <tableColumn id="1" xr3:uid="{C442B581-C5F5-405D-B2D5-0C07E023CDC4}" uniqueName="1" name="COD CT" queryTableFieldId="1" dataDxfId="114"/>
    <tableColumn id="2" xr3:uid="{99E2B110-9866-4EB9-8F20-0551407B3BDA}" uniqueName="2" name="COD PHD" queryTableFieldId="2" dataDxfId="113"/>
    <tableColumn id="3" xr3:uid="{0352A684-C84D-4FA4-83E1-BDBDA36A6E3F}" uniqueName="3" name="COD PROD" queryTableFieldId="3" dataDxfId="112"/>
    <tableColumn id="4" xr3:uid="{BB81805F-6EC2-4240-9A8F-56D5F5DFA9BE}" uniqueName="4" name="Status Comercial" queryTableFieldId="4" dataDxfId="111"/>
    <tableColumn id="5" xr3:uid="{85C4AEF9-63C5-41BD-8EE1-5C1CB4D97569}" uniqueName="5" name="GER PHD" queryTableFieldId="5" dataDxfId="110"/>
    <tableColumn id="6" xr3:uid="{C6EF9E6A-F680-4AAB-8506-CEA62B5F9106}" uniqueName="6" name="COO PHD" queryTableFieldId="6"/>
    <tableColumn id="7" xr3:uid="{97AA1CFA-72D7-4868-A384-68E024A327DE}" uniqueName="7" name="Cliente" queryTableFieldId="7" dataDxfId="109"/>
    <tableColumn id="8" xr3:uid="{78DEB44C-62BE-4FD4-8199-1DF98997FF05}" uniqueName="8" name="Setor Cliente PHD" queryTableFieldId="8" dataDxfId="108"/>
    <tableColumn id="9" xr3:uid="{5D82CA44-4336-491A-A2DB-44D5E06FBE61}" uniqueName="9" name="Cliente Final" queryTableFieldId="9" dataDxfId="107"/>
    <tableColumn id="10" xr3:uid="{C1518CC5-CC2B-401A-A622-C89BDD84C953}" uniqueName="10" name="Setor Cliente Final" queryTableFieldId="10" dataDxfId="106"/>
    <tableColumn id="22" xr3:uid="{FB0E8619-6F09-4806-B407-151D513565E7}" uniqueName="22" name="Segmento" queryTableFieldId="22"/>
    <tableColumn id="11" xr3:uid="{9915F6E4-EEA6-4DD3-8B2A-6FDF65EBF6ED}" uniqueName="11" name="Produto" queryTableFieldId="11" dataDxfId="105"/>
    <tableColumn id="12" xr3:uid="{140E1851-5B48-46BD-9D65-AD466CC81F1E}" uniqueName="12" name="Prazo CT [m]" queryTableFieldId="12"/>
    <tableColumn id="13" xr3:uid="{835F6FFB-0F1A-4630-AC82-909581C24572}" uniqueName="13" name="Data Início Contrato" queryTableFieldId="13" dataDxfId="104"/>
    <tableColumn id="14" xr3:uid="{492CE51D-F6B1-47B5-A3A1-C2DC4A572AB2}" uniqueName="14" name="Data Término Contrato" queryTableFieldId="14" dataDxfId="103"/>
    <tableColumn id="15" xr3:uid="{B020399E-8D9C-479E-AF6A-9D9B92118538}" uniqueName="15" name="Mina" queryTableFieldId="15" dataDxfId="102"/>
    <tableColumn id="16" xr3:uid="{3FCA6D47-9C96-4856-8D9E-D5E6D699B560}" uniqueName="16" name="Cidade" queryTableFieldId="16" dataDxfId="101"/>
    <tableColumn id="17" xr3:uid="{90D5D8DB-418D-4731-8637-0ED5ABD1EAE1}" uniqueName="17" name="Estado" queryTableFieldId="17" dataDxfId="100"/>
    <tableColumn id="18" xr3:uid="{B43E642E-7FBA-481C-B4FB-1A723E512FE3}" uniqueName="18" name="Região" queryTableFieldId="18" dataDxfId="99"/>
    <tableColumn id="19" xr3:uid="{88A117C8-485E-4434-98AB-252A91654B2D}" uniqueName="19" name="Chave_Pro" queryTableFieldId="19" dataDxfId="98"/>
    <tableColumn id="20" xr3:uid="{4C505910-66D2-4B20-A8B2-3C10A3B52FD8}" uniqueName="20" name="Chave_Pro_COD_PHD" queryTableFieldId="20" dataDxfId="97"/>
    <tableColumn id="21" xr3:uid="{ADDAB389-1235-4670-BE5D-D37220035AAE}" uniqueName="21" name="Construtor/Owner" queryTableFieldId="21" dataDxfId="96"/>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9AC010-BB31-48E6-BA8E-C6314EFA216B}" name="GERAL_CONTRATOS" displayName="GERAL_CONTRATOS" ref="A1:EJ614" tableType="queryTable" totalsRowShown="0">
  <autoFilter ref="A1:EJ614" xr:uid="{8A9AC010-BB31-48E6-BA8E-C6314EFA216B}">
    <filterColumn colId="5">
      <filters>
        <filter val="PAIN-CT01-PLAN"/>
      </filters>
    </filterColumn>
  </autoFilter>
  <tableColumns count="140">
    <tableColumn id="1" xr3:uid="{6F9FC912-A090-4114-8D7C-ED8B36287FB8}" uniqueName="1" name="STATUS" queryTableFieldId="1" dataDxfId="95"/>
    <tableColumn id="2" xr3:uid="{70BBDC10-9F24-41C0-AA7E-F2D77B824922}" uniqueName="2" name="PENDÊNCIAS" queryTableFieldId="2" dataDxfId="94"/>
    <tableColumn id="3" xr3:uid="{FEA199A4-4B88-492F-B995-471301BE7ADE}" uniqueName="3" name="Tempo em aberto" queryTableFieldId="3"/>
    <tableColumn id="4" xr3:uid="{4D5486DC-1C82-48A5-8170-196907647ADA}" uniqueName="4" name="Nº PROPOSTA" queryTableFieldId="4" dataDxfId="93"/>
    <tableColumn id="5" xr3:uid="{88387252-2B00-4236-9246-CDA24595FF42}" uniqueName="5" name="COD CT" queryTableFieldId="5" dataDxfId="92"/>
    <tableColumn id="6" xr3:uid="{1AEEA9EA-381D-42C3-855A-B7FCF490F1B9}" uniqueName="6" name="COD PHD" queryTableFieldId="6" dataDxfId="91"/>
    <tableColumn id="7" xr3:uid="{9F017A6F-9591-4A7C-BAA2-E9652A577666}" uniqueName="7" name="COD PRODUTO" queryTableFieldId="7" dataDxfId="90"/>
    <tableColumn id="140" xr3:uid="{EA9BE1E6-7B66-4AE6-A0F1-C7AB0E0FB55E}" uniqueName="140" name="Coluna1" queryTableFieldId="141"/>
    <tableColumn id="8" xr3:uid="{9B30F61C-B2E0-4897-B7E7-4DE977557265}" uniqueName="8" name="TIPO DE CONTRATO" queryTableFieldId="8" dataDxfId="89"/>
    <tableColumn id="9" xr3:uid="{30C49CBF-A2F2-4E07-8F08-10B337E9E290}" uniqueName="9" name="PRODUTO" queryTableFieldId="9"/>
    <tableColumn id="10" xr3:uid="{B61E91A3-4687-4D4C-B3C2-89548CD73F12}" uniqueName="10" name="PRODUTO PMO" queryTableFieldId="10" dataDxfId="88"/>
    <tableColumn id="11" xr3:uid="{82EAA5DF-0327-47A2-87FE-39F4A466521D}" uniqueName="11" name="CLIENTE" queryTableFieldId="11" dataDxfId="87"/>
    <tableColumn id="12" xr3:uid="{06DAB266-95BC-4A93-AA05-4B6F83C090D3}" uniqueName="12" name="SETOR CLIENTE" queryTableFieldId="12" dataDxfId="86"/>
    <tableColumn id="13" xr3:uid="{46D06AD9-1110-43B3-BF70-B740F2AF569B}" uniqueName="13" name="CLIENTE FINAL" queryTableFieldId="13" dataDxfId="85"/>
    <tableColumn id="14" xr3:uid="{AF13CFA6-B037-4E98-8FA6-E9B5D428DA57}" uniqueName="14" name="SETOR" queryTableFieldId="14" dataDxfId="84"/>
    <tableColumn id="139" xr3:uid="{680B2B32-FA32-41FA-A2E3-88C8EB39A1BD}" uniqueName="139" name="SEGMENTO" queryTableFieldId="139"/>
    <tableColumn id="15" xr3:uid="{747AB4FC-10CF-43EF-B706-21C1987DB7C2}" uniqueName="15" name="CONSTRUTOR/OWNER" queryTableFieldId="15" dataDxfId="83"/>
    <tableColumn id="16" xr3:uid="{DC08130D-4375-4DF6-AEC5-57065A694102}" uniqueName="16" name="GER PHD" queryTableFieldId="16"/>
    <tableColumn id="17" xr3:uid="{E6CA53FC-C30E-43B8-B8DB-284B528FA6E6}" uniqueName="17" name="PROSPECÇÃO" queryTableFieldId="17"/>
    <tableColumn id="18" xr3:uid="{0E5AF534-0191-4A44-9550-FDA210EA6F6B}" uniqueName="18" name="TIPO CAPTAÇÃO" queryTableFieldId="18"/>
    <tableColumn id="19" xr3:uid="{A92505C3-67B1-4C62-A83B-BF37C9346830}" uniqueName="19" name="ESCOPO PHD" queryTableFieldId="19" dataDxfId="82"/>
    <tableColumn id="20" xr3:uid="{FD0DC524-5198-4F8D-BDCE-A18615DED354}" uniqueName="20" name="DATA FECHAMENTO" queryTableFieldId="20" dataDxfId="81"/>
    <tableColumn id="21" xr3:uid="{C11AA69A-DCAD-4BD5-A3E0-D6543387AB51}" uniqueName="21" name="DATA INÍCIO CONTRATO" queryTableFieldId="21" dataDxfId="80"/>
    <tableColumn id="22" xr3:uid="{99435466-E8A3-43BE-9C77-019DA38D21BE}" uniqueName="22" name="DATA TERMINO CONTRATO" queryTableFieldId="22" dataDxfId="79"/>
    <tableColumn id="23" xr3:uid="{B9CFE048-1668-4881-B525-9A16E2EC162B}" uniqueName="23" name="Dias Data Final" queryTableFieldId="23"/>
    <tableColumn id="24" xr3:uid="{C719A845-4C88-4A23-AD09-780996E8C9AA}" uniqueName="24" name="DURAÇÃO" queryTableFieldId="24"/>
    <tableColumn id="25" xr3:uid="{7284837F-04D7-4CCD-B680-C4697BAD3300}" uniqueName="25" name="PRAZO MESES" queryTableFieldId="25"/>
    <tableColumn id="26" xr3:uid="{8B91E9E2-CD26-426E-9C6C-AE956837853A}" uniqueName="26" name="IDADE CONTRATO" queryTableFieldId="26"/>
    <tableColumn id="27" xr3:uid="{867EDB40-D02B-4EC6-9932-5B17CAC12D9A}" uniqueName="27" name="DATA CANCEL. CONTRATO" queryTableFieldId="27" dataDxfId="78"/>
    <tableColumn id="28" xr3:uid="{6F82955B-7FB7-461D-81BC-3C7A0F970BBD}" uniqueName="28" name="DATA ENCERR. CONTRATO" queryTableFieldId="28"/>
    <tableColumn id="29" xr3:uid="{5FF57388-A810-45B6-BE57-3DDF0F73ACA3}" uniqueName="29" name="FAT per capta" queryTableFieldId="29"/>
    <tableColumn id="30" xr3:uid="{1AD89D89-EBB7-4AB4-B11B-58E1D7754A41}" uniqueName="30" name="VALOR CONTRATO" queryTableFieldId="30"/>
    <tableColumn id="31" xr3:uid="{1C393D15-3B96-4E98-98B7-AA61D750395F}" uniqueName="31" name="TICKETMEDIO" queryTableFieldId="31"/>
    <tableColumn id="32" xr3:uid="{6250AE44-75EB-48A8-8034-3E2B83C8AD5F}" uniqueName="32" name="TOTAL" queryTableFieldId="32"/>
    <tableColumn id="33" xr3:uid="{496B6A8A-B30F-4318-84AA-A66ED968CEF4}" uniqueName="33" name="Diferença" queryTableFieldId="33"/>
    <tableColumn id="34" xr3:uid="{66C9E821-6C4F-46CD-B196-2F6956AFDEFB}" uniqueName="34" name="2021" queryTableFieldId="34"/>
    <tableColumn id="35" xr3:uid="{0DF874D2-4AE3-4ED9-9327-2BF186535D4B}" uniqueName="35" name="202101" queryTableFieldId="35"/>
    <tableColumn id="36" xr3:uid="{B9B6F9D1-EE92-43E0-A195-BAC922B075A4}" uniqueName="36" name="202102" queryTableFieldId="36"/>
    <tableColumn id="37" xr3:uid="{78FD8E96-E153-41F7-8688-82E77DC6C832}" uniqueName="37" name="202103" queryTableFieldId="37"/>
    <tableColumn id="38" xr3:uid="{B46C9CE4-45E2-4AFF-B18A-5E70D055D6DE}" uniqueName="38" name="202104" queryTableFieldId="38"/>
    <tableColumn id="39" xr3:uid="{0445622A-3C6E-4B1D-B260-CF246C8D9582}" uniqueName="39" name="202105" queryTableFieldId="39"/>
    <tableColumn id="40" xr3:uid="{60EF7691-C699-4248-9510-04251D1EBD6A}" uniqueName="40" name="202106" queryTableFieldId="40"/>
    <tableColumn id="41" xr3:uid="{8F89CFFE-ACF6-4C84-BC58-14901CEF68F2}" uniqueName="41" name="202107" queryTableFieldId="41"/>
    <tableColumn id="42" xr3:uid="{20A45CC3-1659-48E3-A5BB-023F1995CF61}" uniqueName="42" name="202108" queryTableFieldId="42"/>
    <tableColumn id="43" xr3:uid="{C4065523-1F69-408A-8565-C87341A7E7E0}" uniqueName="43" name="202109" queryTableFieldId="43"/>
    <tableColumn id="44" xr3:uid="{8702DF5C-7F52-442F-9165-8D8C2C70832F}" uniqueName="44" name="202110" queryTableFieldId="44"/>
    <tableColumn id="45" xr3:uid="{B5626C2F-87A2-4000-A935-E230985D91FD}" uniqueName="45" name="202111" queryTableFieldId="45"/>
    <tableColumn id="46" xr3:uid="{41A0F8C4-00D5-4302-8182-B225C28439C5}" uniqueName="46" name="202112" queryTableFieldId="46"/>
    <tableColumn id="47" xr3:uid="{BEC31CBC-C3F2-4370-8F9A-E647AAA8D2AE}" uniqueName="47" name="2022" queryTableFieldId="47"/>
    <tableColumn id="48" xr3:uid="{E9CF24AB-DB51-4F05-A7A6-AA5FFCA1C4DD}" uniqueName="48" name="202201" queryTableFieldId="48"/>
    <tableColumn id="49" xr3:uid="{D8853887-3056-4C83-8C9D-C69292F1187F}" uniqueName="49" name="202202" queryTableFieldId="49"/>
    <tableColumn id="50" xr3:uid="{DD929232-83DB-4D7A-95E8-1F58B66FD16C}" uniqueName="50" name="202203" queryTableFieldId="50"/>
    <tableColumn id="51" xr3:uid="{2A071240-2F45-4547-AC53-E9DFF6452459}" uniqueName="51" name="202204" queryTableFieldId="51"/>
    <tableColumn id="52" xr3:uid="{680F02FF-75F4-472E-9CF7-E1BAFD6EC835}" uniqueName="52" name="202205" queryTableFieldId="52"/>
    <tableColumn id="53" xr3:uid="{94C8BC09-CD36-43CA-B11D-A34F13DB284D}" uniqueName="53" name="202206" queryTableFieldId="53"/>
    <tableColumn id="54" xr3:uid="{C54A3132-EB04-43F3-B36C-A460936E44FA}" uniqueName="54" name="202207" queryTableFieldId="54"/>
    <tableColumn id="55" xr3:uid="{9E840965-330C-4C59-B1DD-9A3339364B6C}" uniqueName="55" name="202208" queryTableFieldId="55"/>
    <tableColumn id="56" xr3:uid="{FA4D6EF5-C0B2-4FA7-9FAA-DE86F5937ED5}" uniqueName="56" name="202209" queryTableFieldId="56"/>
    <tableColumn id="57" xr3:uid="{CDE15C44-B651-4EF5-855B-F422CD1D6E4F}" uniqueName="57" name="202210" queryTableFieldId="57"/>
    <tableColumn id="58" xr3:uid="{04F64D9D-8579-436F-A473-0A9A4D59F181}" uniqueName="58" name="202211" queryTableFieldId="58"/>
    <tableColumn id="59" xr3:uid="{A5FC74C0-3909-4EC9-9A62-76D821D38D28}" uniqueName="59" name="202212" queryTableFieldId="59"/>
    <tableColumn id="60" xr3:uid="{7DDB3E68-E923-4348-BC40-36EAA6BF289B}" uniqueName="60" name="2023" queryTableFieldId="60"/>
    <tableColumn id="61" xr3:uid="{066FACF4-7779-4D8A-9976-BFB776706091}" uniqueName="61" name="202301" queryTableFieldId="61"/>
    <tableColumn id="62" xr3:uid="{FCF6FE34-3005-4D2B-A0C9-0D32631A50A6}" uniqueName="62" name="202302" queryTableFieldId="62"/>
    <tableColumn id="63" xr3:uid="{C04DBBA0-E7DB-4E99-B310-273BE789864A}" uniqueName="63" name="202303" queryTableFieldId="63"/>
    <tableColumn id="64" xr3:uid="{57C299F2-AD45-4825-B8EF-4D63E5850AB1}" uniqueName="64" name="202304" queryTableFieldId="64"/>
    <tableColumn id="65" xr3:uid="{65C7E717-AD0F-497D-9BDF-677638918294}" uniqueName="65" name="202305" queryTableFieldId="65"/>
    <tableColumn id="66" xr3:uid="{81E153C5-B582-4087-A4A2-E2CD9613257E}" uniqueName="66" name="202306" queryTableFieldId="66"/>
    <tableColumn id="67" xr3:uid="{FBDBA416-2197-4556-A2E3-8C96AB3BA238}" uniqueName="67" name="202307" queryTableFieldId="67"/>
    <tableColumn id="68" xr3:uid="{BC460398-84A9-4718-9B00-B5C9DCBBC625}" uniqueName="68" name="202308" queryTableFieldId="68"/>
    <tableColumn id="69" xr3:uid="{00BB3F9F-64CF-415B-BB4F-1BEF2CF2BD01}" uniqueName="69" name="202309" queryTableFieldId="69"/>
    <tableColumn id="70" xr3:uid="{97B33762-5F70-4B99-98A9-45BFEE72E4C6}" uniqueName="70" name="202310" queryTableFieldId="70"/>
    <tableColumn id="71" xr3:uid="{5E137CE6-5492-4985-8EB5-47D620AC05F7}" uniqueName="71" name="202311" queryTableFieldId="71"/>
    <tableColumn id="72" xr3:uid="{2E317783-10C2-4F18-84FB-C5901181699F}" uniqueName="72" name="202312" queryTableFieldId="72"/>
    <tableColumn id="73" xr3:uid="{336C7998-2E5B-45BE-AE14-71B68EB95082}" uniqueName="73" name="2024" queryTableFieldId="73"/>
    <tableColumn id="74" xr3:uid="{CD13073D-6CFA-4DC9-81A2-AF446481D6A4}" uniqueName="74" name="202401" queryTableFieldId="74"/>
    <tableColumn id="75" xr3:uid="{D554732A-1616-4CE5-A9EA-F6F7BA4ECC5A}" uniqueName="75" name="202402" queryTableFieldId="75"/>
    <tableColumn id="76" xr3:uid="{5536C4EE-2719-4EB9-8DA0-B348F4480B15}" uniqueName="76" name="202403" queryTableFieldId="76"/>
    <tableColumn id="77" xr3:uid="{E68762E0-F575-4F71-A444-991D5CB38568}" uniqueName="77" name="202404" queryTableFieldId="77"/>
    <tableColumn id="78" xr3:uid="{22645ADA-53EF-4B1E-B30E-A1DB4E197B94}" uniqueName="78" name="202405" queryTableFieldId="78"/>
    <tableColumn id="79" xr3:uid="{E8474B82-B825-43B0-912A-DE9D7EAC8AA0}" uniqueName="79" name="202406" queryTableFieldId="79"/>
    <tableColumn id="80" xr3:uid="{025E2BF0-1847-4E8C-AE06-1D0886B0C6B4}" uniqueName="80" name="202407" queryTableFieldId="80"/>
    <tableColumn id="81" xr3:uid="{AC71A328-06B4-4DF5-86EA-4984EC760FFB}" uniqueName="81" name="202408" queryTableFieldId="81"/>
    <tableColumn id="82" xr3:uid="{FA03BFD5-9CE8-452D-BB30-BDA0DFB30BBB}" uniqueName="82" name="202409" queryTableFieldId="82"/>
    <tableColumn id="83" xr3:uid="{0DC58DDF-47EC-4D56-8BE1-30E2EE45C664}" uniqueName="83" name="202410" queryTableFieldId="83"/>
    <tableColumn id="84" xr3:uid="{D63BD8C8-724A-44BC-9F7D-9ACD2A225080}" uniqueName="84" name="202411" queryTableFieldId="84"/>
    <tableColumn id="85" xr3:uid="{15ACF0A6-6940-40B8-A9BC-2A4E63F97ECD}" uniqueName="85" name="202412" queryTableFieldId="85"/>
    <tableColumn id="86" xr3:uid="{0C0FFDCE-CDF6-42B9-9F26-6F049CF69A94}" uniqueName="86" name="2025" queryTableFieldId="86"/>
    <tableColumn id="87" xr3:uid="{4E8F37AA-E707-4C8C-8DA2-E9C98758F83D}" uniqueName="87" name="202501" queryTableFieldId="87"/>
    <tableColumn id="88" xr3:uid="{A3D7AD15-7BBA-4EFD-8788-B785F91E8927}" uniqueName="88" name="202502" queryTableFieldId="88"/>
    <tableColumn id="89" xr3:uid="{117B999D-9007-4360-AD8A-F5AF7A2D80D7}" uniqueName="89" name="202503" queryTableFieldId="89"/>
    <tableColumn id="90" xr3:uid="{10E3D284-FFC1-4187-8BA7-F3911528A65C}" uniqueName="90" name="202504" queryTableFieldId="90"/>
    <tableColumn id="91" xr3:uid="{6A882B91-4A0D-4125-9ED6-E264CC0B62E4}" uniqueName="91" name="202505" queryTableFieldId="91"/>
    <tableColumn id="92" xr3:uid="{36B27307-A81A-4EE4-8E80-686A87444F29}" uniqueName="92" name="202506" queryTableFieldId="92"/>
    <tableColumn id="93" xr3:uid="{4BBBE101-C3C0-4D83-9C91-8AB5ED68ADB0}" uniqueName="93" name="202507" queryTableFieldId="93"/>
    <tableColumn id="94" xr3:uid="{71CF3D93-8ED8-4898-82D2-FE469E815EA6}" uniqueName="94" name="202508" queryTableFieldId="94"/>
    <tableColumn id="95" xr3:uid="{F28208E9-3EE7-46ED-8640-B64B98341603}" uniqueName="95" name="202509" queryTableFieldId="95"/>
    <tableColumn id="96" xr3:uid="{FA6A3E56-881A-4105-8064-1EB208538DCD}" uniqueName="96" name="202510" queryTableFieldId="96"/>
    <tableColumn id="97" xr3:uid="{D9FC5749-E215-4770-94B5-D0E3F69B4FA1}" uniqueName="97" name="202511" queryTableFieldId="97"/>
    <tableColumn id="98" xr3:uid="{8695AC1C-2200-4360-8B96-FBEC6ED54BC9}" uniqueName="98" name="202512" queryTableFieldId="98"/>
    <tableColumn id="99" xr3:uid="{CCE794A8-2BAB-4382-A50A-30E66432BD46}" uniqueName="99" name="2026" queryTableFieldId="99"/>
    <tableColumn id="100" xr3:uid="{CBDDE078-446C-4D0E-AA21-EBCC43A9BB4E}" uniqueName="100" name="202601" queryTableFieldId="100"/>
    <tableColumn id="101" xr3:uid="{D2326D48-CCD7-4FAE-BCD8-9FE5D23D7C1C}" uniqueName="101" name="202602" queryTableFieldId="101"/>
    <tableColumn id="102" xr3:uid="{49905E81-C9F9-4351-9A29-E8BAD1789782}" uniqueName="102" name="202603" queryTableFieldId="102"/>
    <tableColumn id="103" xr3:uid="{63CA2A83-A6FF-4240-A92B-DE27CB4B8A83}" uniqueName="103" name="202604" queryTableFieldId="103"/>
    <tableColumn id="104" xr3:uid="{E9810148-F63F-4D12-947E-AB03C33C092E}" uniqueName="104" name="202605" queryTableFieldId="104"/>
    <tableColumn id="105" xr3:uid="{614FE724-228E-4166-9F7A-3DBBF1DEC578}" uniqueName="105" name="202606" queryTableFieldId="105"/>
    <tableColumn id="106" xr3:uid="{EF2453E8-6EE2-407E-97F7-3888DD300360}" uniqueName="106" name="202607" queryTableFieldId="106"/>
    <tableColumn id="107" xr3:uid="{913FB3DE-239C-4C45-8A50-7B4102C75829}" uniqueName="107" name="202608" queryTableFieldId="107"/>
    <tableColumn id="108" xr3:uid="{9F4E3764-A35E-46D4-A830-274C57FE3A9F}" uniqueName="108" name="202609" queryTableFieldId="108"/>
    <tableColumn id="109" xr3:uid="{BFC7FE96-8DF4-474F-B4CB-39F62962D291}" uniqueName="109" name="202610" queryTableFieldId="109"/>
    <tableColumn id="110" xr3:uid="{CD0D2CB7-D1D0-496A-A841-2B2E15CF6E58}" uniqueName="110" name="202611" queryTableFieldId="110"/>
    <tableColumn id="111" xr3:uid="{E6212532-E8E2-49CC-8927-A842A5AFDBC8}" uniqueName="111" name="202612" queryTableFieldId="111"/>
    <tableColumn id="112" xr3:uid="{74589B9A-0384-499C-B35D-4EE6E760E367}" uniqueName="112" name="2027" queryTableFieldId="112"/>
    <tableColumn id="113" xr3:uid="{CE320E8F-CD75-476C-B122-37FD68561C48}" uniqueName="113" name="202701" queryTableFieldId="113"/>
    <tableColumn id="114" xr3:uid="{E0A9BDD8-466F-4F1A-A805-119ED7581799}" uniqueName="114" name="202702" queryTableFieldId="114"/>
    <tableColumn id="115" xr3:uid="{B8CF3EF1-A2AC-4FE7-96B0-F8B31C1B1B74}" uniqueName="115" name="202703" queryTableFieldId="115"/>
    <tableColumn id="116" xr3:uid="{2A0DA698-29A4-4BC7-80D3-9FB58541D66E}" uniqueName="116" name="202704" queryTableFieldId="116"/>
    <tableColumn id="117" xr3:uid="{C6F9D5F6-CF44-468E-9BF1-4031CD34F704}" uniqueName="117" name="202705" queryTableFieldId="117"/>
    <tableColumn id="118" xr3:uid="{4E75D810-F164-4378-881F-B71DD2FF8F8F}" uniqueName="118" name="202706" queryTableFieldId="118"/>
    <tableColumn id="119" xr3:uid="{9F7D222C-9053-41BB-9CAB-5E188B4A1FA5}" uniqueName="119" name="202707" queryTableFieldId="119"/>
    <tableColumn id="120" xr3:uid="{648DE35F-1615-4728-873E-7D61825FB0D2}" uniqueName="120" name="202708" queryTableFieldId="120"/>
    <tableColumn id="121" xr3:uid="{922EA971-9FF5-40E9-A264-80638D5A735F}" uniqueName="121" name="202709" queryTableFieldId="121"/>
    <tableColumn id="122" xr3:uid="{E9525BE4-343E-4F93-9AA0-30A63DB06A22}" uniqueName="122" name="202710" queryTableFieldId="122"/>
    <tableColumn id="123" xr3:uid="{AA50288B-AF7B-425A-BE60-6E750E1FAFA6}" uniqueName="123" name="202711" queryTableFieldId="123"/>
    <tableColumn id="124" xr3:uid="{D2215CB5-6AAA-4BEF-8BAA-74C634958F88}" uniqueName="124" name="202712" queryTableFieldId="124"/>
    <tableColumn id="125" xr3:uid="{70F12997-37C9-4B7A-9D1C-1BDE2462E534}" uniqueName="125" name="2028" queryTableFieldId="125"/>
    <tableColumn id="126" xr3:uid="{5FF019AD-2053-4A0C-8280-4D8E73948FB8}" uniqueName="126" name="202801" queryTableFieldId="126"/>
    <tableColumn id="127" xr3:uid="{B5B139F9-E4B9-4981-8EAB-D1E7FFBB1FFF}" uniqueName="127" name="202802" queryTableFieldId="127"/>
    <tableColumn id="128" xr3:uid="{7BBC2607-CEE0-42C3-A4E9-4F597D13F0E7}" uniqueName="128" name="202803" queryTableFieldId="128"/>
    <tableColumn id="129" xr3:uid="{FECF4B0B-1022-4518-8C1F-24A7F3F38B4E}" uniqueName="129" name="202804" queryTableFieldId="129"/>
    <tableColumn id="130" xr3:uid="{82724AB6-B38B-49E8-A770-6506AF49C097}" uniqueName="130" name="202805" queryTableFieldId="130"/>
    <tableColumn id="131" xr3:uid="{0579C080-72CE-4628-B9ED-045A096EAA1C}" uniqueName="131" name="202806" queryTableFieldId="131"/>
    <tableColumn id="132" xr3:uid="{72B4497C-396D-4FB1-BFBB-0CE8273B1903}" uniqueName="132" name="202807" queryTableFieldId="132"/>
    <tableColumn id="133" xr3:uid="{19FE9B7F-41C3-4DF3-8C8C-A42F36090E7B}" uniqueName="133" name="202808" queryTableFieldId="133"/>
    <tableColumn id="134" xr3:uid="{0043153B-6B8E-4A06-B59C-E26439FC927D}" uniqueName="134" name="202809" queryTableFieldId="134"/>
    <tableColumn id="135" xr3:uid="{BDBBE6DF-3C92-43E5-9BAD-8CF1A9A1A4D4}" uniqueName="135" name="202810" queryTableFieldId="135"/>
    <tableColumn id="136" xr3:uid="{345DED33-1D41-4494-BD7F-888A8DA969A5}" uniqueName="136" name="202811" queryTableFieldId="136"/>
    <tableColumn id="137" xr3:uid="{D30B1230-C3A0-4A11-9F05-DF61479B58AA}" uniqueName="137" name="202812" queryTableFieldId="137"/>
    <tableColumn id="138" xr3:uid="{0D13C7E5-22D9-4D49-B32C-2F11722AC5E2}" uniqueName="138" name="SOMA" queryTableFieldId="138"/>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bruno.azevedo@phdengenharia.eng.br" TargetMode="External"/><Relationship Id="rId21" Type="http://schemas.openxmlformats.org/officeDocument/2006/relationships/hyperlink" Target="mailto:paulo.paiva@phdengenharia.eng.br" TargetMode="External"/><Relationship Id="rId42" Type="http://schemas.openxmlformats.org/officeDocument/2006/relationships/hyperlink" Target="mailto:paulo.paiva@phdengenharia.eng.br" TargetMode="External"/><Relationship Id="rId47" Type="http://schemas.openxmlformats.org/officeDocument/2006/relationships/hyperlink" Target="mailto:paulo.paiva@phdengenharia.eng.br" TargetMode="External"/><Relationship Id="rId63" Type="http://schemas.openxmlformats.org/officeDocument/2006/relationships/hyperlink" Target="mailto:leonardo.drumond@phdengenharia.eng.br" TargetMode="External"/><Relationship Id="rId68" Type="http://schemas.openxmlformats.org/officeDocument/2006/relationships/hyperlink" Target="mailto:paulo.paiva@phdengenharia.eng.br" TargetMode="External"/><Relationship Id="rId84" Type="http://schemas.openxmlformats.org/officeDocument/2006/relationships/hyperlink" Target="mailto:leonardo.drumond@phdengenharia.eng.br" TargetMode="External"/><Relationship Id="rId89" Type="http://schemas.openxmlformats.org/officeDocument/2006/relationships/hyperlink" Target="mailto:leonardo.drumond@phdengenharia.eng.br" TargetMode="External"/><Relationship Id="rId112" Type="http://schemas.openxmlformats.org/officeDocument/2006/relationships/hyperlink" Target="mailto:paulo.paiva@phdengenharia.eng.br" TargetMode="External"/><Relationship Id="rId16" Type="http://schemas.openxmlformats.org/officeDocument/2006/relationships/hyperlink" Target="mailto:bruno.azevedo@phdengenharia.eng.br" TargetMode="External"/><Relationship Id="rId107" Type="http://schemas.openxmlformats.org/officeDocument/2006/relationships/hyperlink" Target="mailto:eduardo.eler@phdengenharia.eng.br" TargetMode="External"/><Relationship Id="rId11" Type="http://schemas.openxmlformats.org/officeDocument/2006/relationships/hyperlink" Target="mailto:ronaldo.machado@phdengenharia.eng.br" TargetMode="External"/><Relationship Id="rId32" Type="http://schemas.openxmlformats.org/officeDocument/2006/relationships/hyperlink" Target="mailto:alessandro.moreira@phdengenharia.eng.br" TargetMode="External"/><Relationship Id="rId37" Type="http://schemas.openxmlformats.org/officeDocument/2006/relationships/hyperlink" Target="mailto:diego.bernardes@phdengenharia.eng.br" TargetMode="External"/><Relationship Id="rId53" Type="http://schemas.openxmlformats.org/officeDocument/2006/relationships/hyperlink" Target="mailto:leonardo.drumond@phdengenharia.eng.br" TargetMode="External"/><Relationship Id="rId58" Type="http://schemas.openxmlformats.org/officeDocument/2006/relationships/hyperlink" Target="mailto:diego.bernardes@phdengenharia.eng.br" TargetMode="External"/><Relationship Id="rId74" Type="http://schemas.openxmlformats.org/officeDocument/2006/relationships/hyperlink" Target="mailto:eduardo.eler@phdengenharia.eng.br" TargetMode="External"/><Relationship Id="rId79" Type="http://schemas.openxmlformats.org/officeDocument/2006/relationships/hyperlink" Target="mailto:leonardo.drumond@phdengenharia.eng.br" TargetMode="External"/><Relationship Id="rId102" Type="http://schemas.openxmlformats.org/officeDocument/2006/relationships/hyperlink" Target="mailto:leonardo.drumond@phdengenharia.eng.br" TargetMode="External"/><Relationship Id="rId5" Type="http://schemas.openxmlformats.org/officeDocument/2006/relationships/hyperlink" Target="mailto:tulio.rafael@phdengenharia.eng.br" TargetMode="External"/><Relationship Id="rId90" Type="http://schemas.openxmlformats.org/officeDocument/2006/relationships/hyperlink" Target="mailto:leonardo.drumond@phdengenharia.eng.br" TargetMode="External"/><Relationship Id="rId95" Type="http://schemas.openxmlformats.org/officeDocument/2006/relationships/hyperlink" Target="mailto:leonardo.drumond@phdengenharia.eng.br" TargetMode="External"/><Relationship Id="rId22" Type="http://schemas.openxmlformats.org/officeDocument/2006/relationships/hyperlink" Target="mailto:eduardo.eler@phdengenharia.eng.br" TargetMode="External"/><Relationship Id="rId27" Type="http://schemas.openxmlformats.org/officeDocument/2006/relationships/hyperlink" Target="mailto:eduardo.eler@phdengenharia.eng.br" TargetMode="External"/><Relationship Id="rId43" Type="http://schemas.openxmlformats.org/officeDocument/2006/relationships/hyperlink" Target="mailto:diego.bernardes@phdengenharia.eng.br" TargetMode="External"/><Relationship Id="rId48" Type="http://schemas.openxmlformats.org/officeDocument/2006/relationships/hyperlink" Target="mailto:bruno.azevedo@phdengenharia.eng.br" TargetMode="External"/><Relationship Id="rId64" Type="http://schemas.openxmlformats.org/officeDocument/2006/relationships/hyperlink" Target="mailto:leonardo.drumond@phdengenharia.eng.br" TargetMode="External"/><Relationship Id="rId69" Type="http://schemas.openxmlformats.org/officeDocument/2006/relationships/hyperlink" Target="mailto:paulo.paiva@phdengenharia.eng.br" TargetMode="External"/><Relationship Id="rId113" Type="http://schemas.openxmlformats.org/officeDocument/2006/relationships/hyperlink" Target="mailto:eduardo.eler@phdengenharia.eng.br" TargetMode="External"/><Relationship Id="rId80" Type="http://schemas.openxmlformats.org/officeDocument/2006/relationships/hyperlink" Target="mailto:leonardo.drumond@phdengenharia.eng.br" TargetMode="External"/><Relationship Id="rId85" Type="http://schemas.openxmlformats.org/officeDocument/2006/relationships/hyperlink" Target="mailto:leonardo.drumond@phdengenharia.eng.br" TargetMode="External"/><Relationship Id="rId12" Type="http://schemas.openxmlformats.org/officeDocument/2006/relationships/hyperlink" Target="mailto:bruno.azevedo@phdengenharia.eng.br" TargetMode="External"/><Relationship Id="rId17" Type="http://schemas.openxmlformats.org/officeDocument/2006/relationships/hyperlink" Target="mailto:leonardo.drumond@phdengenharia.eng.br" TargetMode="External"/><Relationship Id="rId33" Type="http://schemas.openxmlformats.org/officeDocument/2006/relationships/hyperlink" Target="mailto:leonardo.drumond@phdengenharia.eng.br" TargetMode="External"/><Relationship Id="rId38" Type="http://schemas.openxmlformats.org/officeDocument/2006/relationships/hyperlink" Target="mailto:diego.bernardes@phdengenharia.eng.br" TargetMode="External"/><Relationship Id="rId59" Type="http://schemas.openxmlformats.org/officeDocument/2006/relationships/hyperlink" Target="mailto:paulo.paiva@phdengenharia.eng.br" TargetMode="External"/><Relationship Id="rId103" Type="http://schemas.openxmlformats.org/officeDocument/2006/relationships/hyperlink" Target="mailto:leonardo.drumond@phdengenharia.eng.br" TargetMode="External"/><Relationship Id="rId108" Type="http://schemas.openxmlformats.org/officeDocument/2006/relationships/hyperlink" Target="mailto:ivano.cruz@phdengenharia.eng.br" TargetMode="External"/><Relationship Id="rId54" Type="http://schemas.openxmlformats.org/officeDocument/2006/relationships/hyperlink" Target="mailto:leonardo.drumond@phdengenharia.eng.br" TargetMode="External"/><Relationship Id="rId70" Type="http://schemas.openxmlformats.org/officeDocument/2006/relationships/hyperlink" Target="mailto:paulo.paiva@phdengenharia.eng.br" TargetMode="External"/><Relationship Id="rId75" Type="http://schemas.openxmlformats.org/officeDocument/2006/relationships/hyperlink" Target="mailto:paulo.paiva@phdengenharia.eng.br" TargetMode="External"/><Relationship Id="rId91" Type="http://schemas.openxmlformats.org/officeDocument/2006/relationships/hyperlink" Target="mailto:eduardo.eler@phdengenharia.eng.br" TargetMode="External"/><Relationship Id="rId96" Type="http://schemas.openxmlformats.org/officeDocument/2006/relationships/hyperlink" Target="mailto:leonardo.drumond@phdengenharia.eng.br" TargetMode="External"/><Relationship Id="rId1" Type="http://schemas.openxmlformats.org/officeDocument/2006/relationships/hyperlink" Target="mailto:thales.padua@phdengenharia.eng.br" TargetMode="External"/><Relationship Id="rId6" Type="http://schemas.openxmlformats.org/officeDocument/2006/relationships/hyperlink" Target="mailto:wantuil.oliveira@phdengenharia.eng.br" TargetMode="External"/><Relationship Id="rId15" Type="http://schemas.openxmlformats.org/officeDocument/2006/relationships/hyperlink" Target="mailto:ronaldo.machado@phdengenharia.eng.br" TargetMode="External"/><Relationship Id="rId23" Type="http://schemas.openxmlformats.org/officeDocument/2006/relationships/hyperlink" Target="mailto:paulo.paiva@phdengenharia.eng.br" TargetMode="External"/><Relationship Id="rId28" Type="http://schemas.openxmlformats.org/officeDocument/2006/relationships/hyperlink" Target="mailto:leonardo.drumond@phdengenharia.eng.br" TargetMode="External"/><Relationship Id="rId36" Type="http://schemas.openxmlformats.org/officeDocument/2006/relationships/hyperlink" Target="mailto:diego.bernardes@phdengenharia.eng.br" TargetMode="External"/><Relationship Id="rId49" Type="http://schemas.openxmlformats.org/officeDocument/2006/relationships/hyperlink" Target="mailto:diego.bernardes@phdengenharia.eng.br" TargetMode="External"/><Relationship Id="rId57" Type="http://schemas.openxmlformats.org/officeDocument/2006/relationships/hyperlink" Target="mailto:eduardo.eler@phdengenharia.eng.br" TargetMode="External"/><Relationship Id="rId106" Type="http://schemas.openxmlformats.org/officeDocument/2006/relationships/hyperlink" Target="mailto:eduardo.eler@phdengenharia.eng.br" TargetMode="External"/><Relationship Id="rId114" Type="http://schemas.openxmlformats.org/officeDocument/2006/relationships/hyperlink" Target="mailto:leonardo.drumond@phdengenharia.eng.br" TargetMode="External"/><Relationship Id="rId10" Type="http://schemas.openxmlformats.org/officeDocument/2006/relationships/hyperlink" Target="mailto:silas.moreira@phdengenharia.eng.br" TargetMode="External"/><Relationship Id="rId31" Type="http://schemas.openxmlformats.org/officeDocument/2006/relationships/hyperlink" Target="mailto:paulo.paiva@phdengenharia.eng.br" TargetMode="External"/><Relationship Id="rId44" Type="http://schemas.openxmlformats.org/officeDocument/2006/relationships/hyperlink" Target="mailto:leonardo.drumond@phdengenharia.eng.br" TargetMode="External"/><Relationship Id="rId52" Type="http://schemas.openxmlformats.org/officeDocument/2006/relationships/hyperlink" Target="mailto:eduardo.eler@phdengenharia.eng.br" TargetMode="External"/><Relationship Id="rId60" Type="http://schemas.openxmlformats.org/officeDocument/2006/relationships/hyperlink" Target="mailto:diego.bernardes@phdengenharia.eng.br" TargetMode="External"/><Relationship Id="rId65" Type="http://schemas.openxmlformats.org/officeDocument/2006/relationships/hyperlink" Target="mailto:leonardo.drumond@phdengenharia.eng.br" TargetMode="External"/><Relationship Id="rId73" Type="http://schemas.openxmlformats.org/officeDocument/2006/relationships/hyperlink" Target="mailto:leonardo.drumond@phdengenharia.eng.br" TargetMode="External"/><Relationship Id="rId78" Type="http://schemas.openxmlformats.org/officeDocument/2006/relationships/hyperlink" Target="mailto:leonardo.drumond@phdengenharia.eng.br" TargetMode="External"/><Relationship Id="rId81" Type="http://schemas.openxmlformats.org/officeDocument/2006/relationships/hyperlink" Target="mailto:leonardo.drumond@phdengenharia.eng.br" TargetMode="External"/><Relationship Id="rId86" Type="http://schemas.openxmlformats.org/officeDocument/2006/relationships/hyperlink" Target="mailto:paulo.paiva@phdengenharia.eng.br" TargetMode="External"/><Relationship Id="rId94" Type="http://schemas.openxmlformats.org/officeDocument/2006/relationships/hyperlink" Target="mailto:leonardo.drumond@phdengenharia.eng.br" TargetMode="External"/><Relationship Id="rId99" Type="http://schemas.openxmlformats.org/officeDocument/2006/relationships/hyperlink" Target="mailto:leonardo.drumond@phdengenharia.eng.br" TargetMode="External"/><Relationship Id="rId101" Type="http://schemas.openxmlformats.org/officeDocument/2006/relationships/hyperlink" Target="mailto:paulo.paiva@phdengenharia.eng.br" TargetMode="External"/><Relationship Id="rId4" Type="http://schemas.openxmlformats.org/officeDocument/2006/relationships/hyperlink" Target="mailto:eduardo.eler@phdengenharia.eng.br" TargetMode="External"/><Relationship Id="rId9" Type="http://schemas.openxmlformats.org/officeDocument/2006/relationships/hyperlink" Target="mailto:eduardo.eler@phdengenharia.eng.br" TargetMode="External"/><Relationship Id="rId13" Type="http://schemas.openxmlformats.org/officeDocument/2006/relationships/hyperlink" Target="mailto:ronaldo.machado@phdengenharia.eng.br" TargetMode="External"/><Relationship Id="rId18" Type="http://schemas.openxmlformats.org/officeDocument/2006/relationships/hyperlink" Target="mailto:leonardo.drumond@phdengenharia.eng.br" TargetMode="External"/><Relationship Id="rId39" Type="http://schemas.openxmlformats.org/officeDocument/2006/relationships/hyperlink" Target="mailto:diego.bernardes@phdengenharia.eng.br" TargetMode="External"/><Relationship Id="rId109" Type="http://schemas.openxmlformats.org/officeDocument/2006/relationships/hyperlink" Target="mailto:leonardo.drumond@phdengenharia.eng.br" TargetMode="External"/><Relationship Id="rId34" Type="http://schemas.openxmlformats.org/officeDocument/2006/relationships/hyperlink" Target="mailto:leonardo.drumond@phdengenharia.eng.br" TargetMode="External"/><Relationship Id="rId50" Type="http://schemas.openxmlformats.org/officeDocument/2006/relationships/hyperlink" Target="mailto:bruno.azevedo@phdengenharia.eng.br" TargetMode="External"/><Relationship Id="rId55" Type="http://schemas.openxmlformats.org/officeDocument/2006/relationships/hyperlink" Target="mailto:leonardo.drumond@phdengenharia.eng.br" TargetMode="External"/><Relationship Id="rId76" Type="http://schemas.openxmlformats.org/officeDocument/2006/relationships/hyperlink" Target="mailto:paulo.paiva@phdengenharia.eng.br" TargetMode="External"/><Relationship Id="rId97" Type="http://schemas.openxmlformats.org/officeDocument/2006/relationships/hyperlink" Target="mailto:eduardo.eler@phdengenharia.eng.br" TargetMode="External"/><Relationship Id="rId104" Type="http://schemas.openxmlformats.org/officeDocument/2006/relationships/hyperlink" Target="mailto:leonardo.drumond@phdengenharia.eng.br" TargetMode="External"/><Relationship Id="rId7" Type="http://schemas.openxmlformats.org/officeDocument/2006/relationships/hyperlink" Target="mailto:paulo.paiva@phdengenharia.eng.br" TargetMode="External"/><Relationship Id="rId71" Type="http://schemas.openxmlformats.org/officeDocument/2006/relationships/hyperlink" Target="mailto:leonardo.drumond@phdengenharia.eng.br" TargetMode="External"/><Relationship Id="rId92" Type="http://schemas.openxmlformats.org/officeDocument/2006/relationships/hyperlink" Target="mailto:eduardo.eler@phdengenharia.eng.br" TargetMode="External"/><Relationship Id="rId2" Type="http://schemas.openxmlformats.org/officeDocument/2006/relationships/hyperlink" Target="mailto:eduardo.eler@phdengenharia.eng.br" TargetMode="External"/><Relationship Id="rId29" Type="http://schemas.openxmlformats.org/officeDocument/2006/relationships/hyperlink" Target="mailto:leonardo.drumond@phdengenharia.eng.br" TargetMode="External"/><Relationship Id="rId24" Type="http://schemas.openxmlformats.org/officeDocument/2006/relationships/hyperlink" Target="mailto:paulo.paiva@phdengenharia.eng.br" TargetMode="External"/><Relationship Id="rId40" Type="http://schemas.openxmlformats.org/officeDocument/2006/relationships/hyperlink" Target="mailto:leonardo.drumond@phdengenharia.eng.br" TargetMode="External"/><Relationship Id="rId45" Type="http://schemas.openxmlformats.org/officeDocument/2006/relationships/hyperlink" Target="mailto:paulo.paiva@phdengenharia.eng.br" TargetMode="External"/><Relationship Id="rId66" Type="http://schemas.openxmlformats.org/officeDocument/2006/relationships/hyperlink" Target="mailto:paulo.paiva@phdengenharia.eng.br" TargetMode="External"/><Relationship Id="rId87" Type="http://schemas.openxmlformats.org/officeDocument/2006/relationships/hyperlink" Target="mailto:leonardo.drumond@phdengenharia.eng.br" TargetMode="External"/><Relationship Id="rId110" Type="http://schemas.openxmlformats.org/officeDocument/2006/relationships/hyperlink" Target="mailto:leonardo.drumond@phdengenharia.eng.br" TargetMode="External"/><Relationship Id="rId115" Type="http://schemas.openxmlformats.org/officeDocument/2006/relationships/printerSettings" Target="../printerSettings/printerSettings1.bin"/><Relationship Id="rId61" Type="http://schemas.openxmlformats.org/officeDocument/2006/relationships/hyperlink" Target="mailto:bruno.azevedo@phdengenharia.eng.br" TargetMode="External"/><Relationship Id="rId82" Type="http://schemas.openxmlformats.org/officeDocument/2006/relationships/hyperlink" Target="mailto:leonardo.drumond@phdengenharia.eng.br" TargetMode="External"/><Relationship Id="rId19" Type="http://schemas.openxmlformats.org/officeDocument/2006/relationships/hyperlink" Target="mailto:paulo.paiva@phdengenharia.eng.br" TargetMode="External"/><Relationship Id="rId14" Type="http://schemas.openxmlformats.org/officeDocument/2006/relationships/hyperlink" Target="mailto:bruno.azevedo@phdengenharia.eng.br" TargetMode="External"/><Relationship Id="rId30" Type="http://schemas.openxmlformats.org/officeDocument/2006/relationships/hyperlink" Target="mailto:leonardo.drumond@phdengenharia.eng.br" TargetMode="External"/><Relationship Id="rId35" Type="http://schemas.openxmlformats.org/officeDocument/2006/relationships/hyperlink" Target="mailto:diego.bernardes@phdengenharia.eng.br" TargetMode="External"/><Relationship Id="rId56" Type="http://schemas.openxmlformats.org/officeDocument/2006/relationships/hyperlink" Target="mailto:leonardo.drumond@phdengenharia.eng.br" TargetMode="External"/><Relationship Id="rId77" Type="http://schemas.openxmlformats.org/officeDocument/2006/relationships/hyperlink" Target="mailto:leonardo.drumond@phdengenharia.eng.br" TargetMode="External"/><Relationship Id="rId100" Type="http://schemas.openxmlformats.org/officeDocument/2006/relationships/hyperlink" Target="mailto:leonardo.drumond@phdengenharia.eng.br" TargetMode="External"/><Relationship Id="rId105" Type="http://schemas.openxmlformats.org/officeDocument/2006/relationships/hyperlink" Target="mailto:eduardo.eler@phdengenharia.eng.br" TargetMode="External"/><Relationship Id="rId8" Type="http://schemas.openxmlformats.org/officeDocument/2006/relationships/hyperlink" Target="mailto:silas.moreira@phdengenharia.eng.br" TargetMode="External"/><Relationship Id="rId51" Type="http://schemas.openxmlformats.org/officeDocument/2006/relationships/hyperlink" Target="mailto:paulo.paiva@phdengenharia.eng.br" TargetMode="External"/><Relationship Id="rId72" Type="http://schemas.openxmlformats.org/officeDocument/2006/relationships/hyperlink" Target="mailto:paulo.paiva@phdengenharia.eng.br" TargetMode="External"/><Relationship Id="rId93" Type="http://schemas.openxmlformats.org/officeDocument/2006/relationships/hyperlink" Target="mailto:leonardo.drumond@phdengenharia.eng.br" TargetMode="External"/><Relationship Id="rId98" Type="http://schemas.openxmlformats.org/officeDocument/2006/relationships/hyperlink" Target="mailto:leonardo.drumond@phdengenharia.eng.br" TargetMode="External"/><Relationship Id="rId3" Type="http://schemas.openxmlformats.org/officeDocument/2006/relationships/hyperlink" Target="mailto:thales.padua@phdengenharia.eng.br" TargetMode="External"/><Relationship Id="rId25" Type="http://schemas.openxmlformats.org/officeDocument/2006/relationships/hyperlink" Target="mailto:eduardo.eler@phdengenharia.eng.br" TargetMode="External"/><Relationship Id="rId46" Type="http://schemas.openxmlformats.org/officeDocument/2006/relationships/hyperlink" Target="mailto:bruno.azevedo@phdengenharia.eng.br" TargetMode="External"/><Relationship Id="rId67" Type="http://schemas.openxmlformats.org/officeDocument/2006/relationships/hyperlink" Target="mailto:paulo.paiva@phdengenharia.eng.br" TargetMode="External"/><Relationship Id="rId116" Type="http://schemas.openxmlformats.org/officeDocument/2006/relationships/table" Target="../tables/table1.xml"/><Relationship Id="rId20" Type="http://schemas.openxmlformats.org/officeDocument/2006/relationships/hyperlink" Target="mailto:paulo.paiva@phdengenharia.eng.br" TargetMode="External"/><Relationship Id="rId41" Type="http://schemas.openxmlformats.org/officeDocument/2006/relationships/hyperlink" Target="mailto:leonardo.drumond@phdengenharia.eng.br" TargetMode="External"/><Relationship Id="rId62" Type="http://schemas.openxmlformats.org/officeDocument/2006/relationships/hyperlink" Target="mailto:bruno.azevedo@phdengenharia.eng.br" TargetMode="External"/><Relationship Id="rId83" Type="http://schemas.openxmlformats.org/officeDocument/2006/relationships/hyperlink" Target="mailto:paulo.paiva@phdengenharia.eng.br" TargetMode="External"/><Relationship Id="rId88" Type="http://schemas.openxmlformats.org/officeDocument/2006/relationships/hyperlink" Target="mailto:paulo.paiva@phdengenharia.eng.br" TargetMode="External"/><Relationship Id="rId111" Type="http://schemas.openxmlformats.org/officeDocument/2006/relationships/hyperlink" Target="mailto:paulo.paiva@phdengenharia.eng.br"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leonardo.drumond@phdengenharia.eng.br" TargetMode="External"/><Relationship Id="rId21" Type="http://schemas.openxmlformats.org/officeDocument/2006/relationships/hyperlink" Target="mailto:bruno.azevedo@phdengenharia.eng.br" TargetMode="External"/><Relationship Id="rId42" Type="http://schemas.openxmlformats.org/officeDocument/2006/relationships/hyperlink" Target="mailto:paulo.paiva@phdengenharia.eng.br" TargetMode="External"/><Relationship Id="rId63" Type="http://schemas.openxmlformats.org/officeDocument/2006/relationships/hyperlink" Target="mailto:paulo.paiva@phdengenharia.eng.br" TargetMode="External"/><Relationship Id="rId84" Type="http://schemas.openxmlformats.org/officeDocument/2006/relationships/hyperlink" Target="mailto:paulo.paiva@phdengenharia.eng.br" TargetMode="External"/><Relationship Id="rId138" Type="http://schemas.openxmlformats.org/officeDocument/2006/relationships/hyperlink" Target="mailto:eduardo.eler@phdengenharia.eng.br" TargetMode="External"/><Relationship Id="rId16" Type="http://schemas.openxmlformats.org/officeDocument/2006/relationships/hyperlink" Target="mailto:paulo.paiva@phdengenharia.eng.br" TargetMode="External"/><Relationship Id="rId107" Type="http://schemas.openxmlformats.org/officeDocument/2006/relationships/hyperlink" Target="mailto:eduardo.eler@phdengenharia.eng.br" TargetMode="External"/><Relationship Id="rId11" Type="http://schemas.openxmlformats.org/officeDocument/2006/relationships/hyperlink" Target="mailto:leonardo.drumond@phdengenharia.eng.br" TargetMode="External"/><Relationship Id="rId32" Type="http://schemas.openxmlformats.org/officeDocument/2006/relationships/hyperlink" Target="mailto:lennonmms7@gmail.com" TargetMode="External"/><Relationship Id="rId37" Type="http://schemas.openxmlformats.org/officeDocument/2006/relationships/hyperlink" Target="mailto:paulo.paiva@phdengenharia.eng.br" TargetMode="External"/><Relationship Id="rId53" Type="http://schemas.openxmlformats.org/officeDocument/2006/relationships/hyperlink" Target="mailto:paulo.paiva@phdengenharia.eng.br" TargetMode="External"/><Relationship Id="rId58" Type="http://schemas.openxmlformats.org/officeDocument/2006/relationships/hyperlink" Target="mailto:paulo.paiva@phdengenharia.eng.br" TargetMode="External"/><Relationship Id="rId74" Type="http://schemas.openxmlformats.org/officeDocument/2006/relationships/hyperlink" Target="mailto:bruno.azevedo@phdengenharia.eng.br" TargetMode="External"/><Relationship Id="rId79" Type="http://schemas.openxmlformats.org/officeDocument/2006/relationships/hyperlink" Target="mailto:bruno.azevedo@phdengenharia.eng.br" TargetMode="External"/><Relationship Id="rId102" Type="http://schemas.openxmlformats.org/officeDocument/2006/relationships/hyperlink" Target="mailto:paulo.paiva@phdengenharia.eng.br" TargetMode="External"/><Relationship Id="rId123" Type="http://schemas.openxmlformats.org/officeDocument/2006/relationships/hyperlink" Target="mailto:bruno.azevedo@phdengenharia.eng.br" TargetMode="External"/><Relationship Id="rId128" Type="http://schemas.openxmlformats.org/officeDocument/2006/relationships/hyperlink" Target="mailto:eduardo.eler@phdengenharia.eng.br" TargetMode="External"/><Relationship Id="rId5" Type="http://schemas.openxmlformats.org/officeDocument/2006/relationships/hyperlink" Target="mailto:lennonmms7@gmail.com" TargetMode="External"/><Relationship Id="rId90" Type="http://schemas.openxmlformats.org/officeDocument/2006/relationships/hyperlink" Target="mailto:paulo.paiva@phdengenharia.eng.br" TargetMode="External"/><Relationship Id="rId95" Type="http://schemas.openxmlformats.org/officeDocument/2006/relationships/hyperlink" Target="mailto:paulo.paiva@phdengenharia.eng.br" TargetMode="External"/><Relationship Id="rId22" Type="http://schemas.openxmlformats.org/officeDocument/2006/relationships/hyperlink" Target="mailto:paulo.paiva@phdengenharia.eng.br" TargetMode="External"/><Relationship Id="rId27" Type="http://schemas.openxmlformats.org/officeDocument/2006/relationships/hyperlink" Target="mailto:leonardo.drumond@phdengenharia.eng.br" TargetMode="External"/><Relationship Id="rId43" Type="http://schemas.openxmlformats.org/officeDocument/2006/relationships/hyperlink" Target="mailto:paulo.paiva@phdengenharia.eng.br" TargetMode="External"/><Relationship Id="rId48" Type="http://schemas.openxmlformats.org/officeDocument/2006/relationships/hyperlink" Target="mailto:paulo.paiva@phdengenharia.eng.br" TargetMode="External"/><Relationship Id="rId64" Type="http://schemas.openxmlformats.org/officeDocument/2006/relationships/hyperlink" Target="mailto:paulo.paiva@phdengenharia.eng.br" TargetMode="External"/><Relationship Id="rId69" Type="http://schemas.openxmlformats.org/officeDocument/2006/relationships/hyperlink" Target="mailto:paulo.paiva@phdengenharia.eng.br" TargetMode="External"/><Relationship Id="rId113" Type="http://schemas.openxmlformats.org/officeDocument/2006/relationships/hyperlink" Target="mailto:thales.padua@phdengenharia.eng.br" TargetMode="External"/><Relationship Id="rId118" Type="http://schemas.openxmlformats.org/officeDocument/2006/relationships/hyperlink" Target="mailto:paulo.paiva@phdengenharia.eng.br" TargetMode="External"/><Relationship Id="rId134" Type="http://schemas.openxmlformats.org/officeDocument/2006/relationships/hyperlink" Target="mailto:Julio.cesar@phdengenharia.eng.br" TargetMode="External"/><Relationship Id="rId139" Type="http://schemas.openxmlformats.org/officeDocument/2006/relationships/printerSettings" Target="../printerSettings/printerSettings2.bin"/><Relationship Id="rId80" Type="http://schemas.openxmlformats.org/officeDocument/2006/relationships/hyperlink" Target="mailto:bruno.azevedo@phdengenharia.eng.br" TargetMode="External"/><Relationship Id="rId85" Type="http://schemas.openxmlformats.org/officeDocument/2006/relationships/hyperlink" Target="mailto:paulo.paiva@phdengenharia.eng.br" TargetMode="External"/><Relationship Id="rId12" Type="http://schemas.openxmlformats.org/officeDocument/2006/relationships/hyperlink" Target="mailto:leonardo.drumond@phdengenharia.eng.br" TargetMode="External"/><Relationship Id="rId17" Type="http://schemas.openxmlformats.org/officeDocument/2006/relationships/hyperlink" Target="mailto:paulo.paiva@phdengenharia.eng.br" TargetMode="External"/><Relationship Id="rId33" Type="http://schemas.openxmlformats.org/officeDocument/2006/relationships/hyperlink" Target="mailto:lennonmms7@gmail.com" TargetMode="External"/><Relationship Id="rId38" Type="http://schemas.openxmlformats.org/officeDocument/2006/relationships/hyperlink" Target="mailto:leonardo.drumond@phdengenharia.eng.br" TargetMode="External"/><Relationship Id="rId59" Type="http://schemas.openxmlformats.org/officeDocument/2006/relationships/hyperlink" Target="mailto:eduardo.eler@phdengenharia.eng.br" TargetMode="External"/><Relationship Id="rId103" Type="http://schemas.openxmlformats.org/officeDocument/2006/relationships/hyperlink" Target="mailto:leonardo.drumond@phdengenharia.eng.br" TargetMode="External"/><Relationship Id="rId108" Type="http://schemas.openxmlformats.org/officeDocument/2006/relationships/hyperlink" Target="mailto:paulo.paiva@phdengenharia.eng.br" TargetMode="External"/><Relationship Id="rId124" Type="http://schemas.openxmlformats.org/officeDocument/2006/relationships/hyperlink" Target="mailto:tulio.rafael@phdengenharia.eng.br" TargetMode="External"/><Relationship Id="rId129" Type="http://schemas.openxmlformats.org/officeDocument/2006/relationships/hyperlink" Target="mailto:eduardo.eler@phdengenharia.eng.br" TargetMode="External"/><Relationship Id="rId54" Type="http://schemas.openxmlformats.org/officeDocument/2006/relationships/hyperlink" Target="mailto:eduardo.eler@phdengenharia.eng.br" TargetMode="External"/><Relationship Id="rId70" Type="http://schemas.openxmlformats.org/officeDocument/2006/relationships/hyperlink" Target="mailto:paulo.paiva@phdengenharia.eng.br" TargetMode="External"/><Relationship Id="rId75" Type="http://schemas.openxmlformats.org/officeDocument/2006/relationships/hyperlink" Target="mailto:bruno.azevedo@phdengenharia.eng.br" TargetMode="External"/><Relationship Id="rId91" Type="http://schemas.openxmlformats.org/officeDocument/2006/relationships/hyperlink" Target="mailto:paulo.paiva@phdengenharia.eng.br" TargetMode="External"/><Relationship Id="rId96" Type="http://schemas.openxmlformats.org/officeDocument/2006/relationships/hyperlink" Target="mailto:bruno.azevedo@phdengenharia.eng.br" TargetMode="External"/><Relationship Id="rId140" Type="http://schemas.openxmlformats.org/officeDocument/2006/relationships/table" Target="../tables/table2.xml"/><Relationship Id="rId1" Type="http://schemas.openxmlformats.org/officeDocument/2006/relationships/hyperlink" Target="mailto:lennonmms7@gmail.com" TargetMode="External"/><Relationship Id="rId6" Type="http://schemas.openxmlformats.org/officeDocument/2006/relationships/hyperlink" Target="mailto:paulo.paiva@phdengenharia.eng.br" TargetMode="External"/><Relationship Id="rId23" Type="http://schemas.openxmlformats.org/officeDocument/2006/relationships/hyperlink" Target="mailto:bruno.azevedo@phdengenharia.eng.br" TargetMode="External"/><Relationship Id="rId28" Type="http://schemas.openxmlformats.org/officeDocument/2006/relationships/hyperlink" Target="mailto:leonardo.drumond@phdengenharia.eng.br" TargetMode="External"/><Relationship Id="rId49" Type="http://schemas.openxmlformats.org/officeDocument/2006/relationships/hyperlink" Target="mailto:paulo.paiva@phdengenharia.eng.br" TargetMode="External"/><Relationship Id="rId114" Type="http://schemas.openxmlformats.org/officeDocument/2006/relationships/hyperlink" Target="mailto:tulio.rafael@phdengenharia.eng.br" TargetMode="External"/><Relationship Id="rId119" Type="http://schemas.openxmlformats.org/officeDocument/2006/relationships/hyperlink" Target="mailto:julio.cesar@phdengenharia.eng.br" TargetMode="External"/><Relationship Id="rId44" Type="http://schemas.openxmlformats.org/officeDocument/2006/relationships/hyperlink" Target="mailto:leonardo.drumond@phdengenharia.eng.br" TargetMode="External"/><Relationship Id="rId60" Type="http://schemas.openxmlformats.org/officeDocument/2006/relationships/hyperlink" Target="mailto:leonardo.drumond@phdengenharia.eng.br" TargetMode="External"/><Relationship Id="rId65" Type="http://schemas.openxmlformats.org/officeDocument/2006/relationships/hyperlink" Target="mailto:bruno.azevedo@phdengenharia.eng.br" TargetMode="External"/><Relationship Id="rId81" Type="http://schemas.openxmlformats.org/officeDocument/2006/relationships/hyperlink" Target="mailto:paulo.paiva@phdengenharia.eng.br" TargetMode="External"/><Relationship Id="rId86" Type="http://schemas.openxmlformats.org/officeDocument/2006/relationships/hyperlink" Target="mailto:bruno.azevedo@phdengenharia.eng.br" TargetMode="External"/><Relationship Id="rId130" Type="http://schemas.openxmlformats.org/officeDocument/2006/relationships/hyperlink" Target="mailto:Julio.cesar@phdengenharia.eng.br" TargetMode="External"/><Relationship Id="rId135" Type="http://schemas.openxmlformats.org/officeDocument/2006/relationships/hyperlink" Target="mailto:paulo.paiva@phdengenharia.eng.br" TargetMode="External"/><Relationship Id="rId13" Type="http://schemas.openxmlformats.org/officeDocument/2006/relationships/hyperlink" Target="mailto:leonardo.drumond@phdengenharia.eng.br" TargetMode="External"/><Relationship Id="rId18" Type="http://schemas.openxmlformats.org/officeDocument/2006/relationships/hyperlink" Target="mailto:paulo.paiva@phdengenharia.eng.br" TargetMode="External"/><Relationship Id="rId39" Type="http://schemas.openxmlformats.org/officeDocument/2006/relationships/hyperlink" Target="mailto:leonardo.drumond@phdengenharia.eng.br" TargetMode="External"/><Relationship Id="rId109" Type="http://schemas.openxmlformats.org/officeDocument/2006/relationships/hyperlink" Target="mailto:leonardo.drumond@phdengenharia.eng.br" TargetMode="External"/><Relationship Id="rId34" Type="http://schemas.openxmlformats.org/officeDocument/2006/relationships/hyperlink" Target="mailto:lennonmms7@gmail.com" TargetMode="External"/><Relationship Id="rId50" Type="http://schemas.openxmlformats.org/officeDocument/2006/relationships/hyperlink" Target="mailto:leonardo.drumond@phdengenharia.eng.br" TargetMode="External"/><Relationship Id="rId55" Type="http://schemas.openxmlformats.org/officeDocument/2006/relationships/hyperlink" Target="mailto:paulo.paiva@phdengenharia.eng.br" TargetMode="External"/><Relationship Id="rId76" Type="http://schemas.openxmlformats.org/officeDocument/2006/relationships/hyperlink" Target="mailto:bruno.azevedo@phdengenharia.eng.br" TargetMode="External"/><Relationship Id="rId97" Type="http://schemas.openxmlformats.org/officeDocument/2006/relationships/hyperlink" Target="mailto:bruno.azevedo@phdengenharia.eng.br" TargetMode="External"/><Relationship Id="rId104" Type="http://schemas.openxmlformats.org/officeDocument/2006/relationships/hyperlink" Target="mailto:leonardo.drumond@phdengenharia.eng.br" TargetMode="External"/><Relationship Id="rId120" Type="http://schemas.openxmlformats.org/officeDocument/2006/relationships/hyperlink" Target="mailto:julio.cesar@phdengenharia.eng.br" TargetMode="External"/><Relationship Id="rId125" Type="http://schemas.openxmlformats.org/officeDocument/2006/relationships/hyperlink" Target="mailto:leonardo.drumond@phdengenharia.eng.br" TargetMode="External"/><Relationship Id="rId7" Type="http://schemas.openxmlformats.org/officeDocument/2006/relationships/hyperlink" Target="mailto:paulo.paiva@phdengenharia.eng.br" TargetMode="External"/><Relationship Id="rId71" Type="http://schemas.openxmlformats.org/officeDocument/2006/relationships/hyperlink" Target="mailto:bruno.azevedo@phdengenharia.eng.br" TargetMode="External"/><Relationship Id="rId92" Type="http://schemas.openxmlformats.org/officeDocument/2006/relationships/hyperlink" Target="mailto:eduardo.eler@phdengenharia.eng.br" TargetMode="External"/><Relationship Id="rId2" Type="http://schemas.openxmlformats.org/officeDocument/2006/relationships/hyperlink" Target="mailto:paulo.paiva@phdengenharia.eng.br" TargetMode="External"/><Relationship Id="rId29" Type="http://schemas.openxmlformats.org/officeDocument/2006/relationships/hyperlink" Target="mailto:lennonmms7@gmail.com" TargetMode="External"/><Relationship Id="rId24" Type="http://schemas.openxmlformats.org/officeDocument/2006/relationships/hyperlink" Target="mailto:bruno.azevedo@phdengenharia.eng.br" TargetMode="External"/><Relationship Id="rId40" Type="http://schemas.openxmlformats.org/officeDocument/2006/relationships/hyperlink" Target="mailto:leonardo.drumond@phdengenharia.eng.br" TargetMode="External"/><Relationship Id="rId45" Type="http://schemas.openxmlformats.org/officeDocument/2006/relationships/hyperlink" Target="mailto:paulo.paiva@phdengenharia.eng.br" TargetMode="External"/><Relationship Id="rId66" Type="http://schemas.openxmlformats.org/officeDocument/2006/relationships/hyperlink" Target="mailto:paulo.paiva@phdengenharia.eng.br" TargetMode="External"/><Relationship Id="rId87" Type="http://schemas.openxmlformats.org/officeDocument/2006/relationships/hyperlink" Target="mailto:bruno.azevedo@phdengenharia.eng.br" TargetMode="External"/><Relationship Id="rId110" Type="http://schemas.openxmlformats.org/officeDocument/2006/relationships/hyperlink" Target="mailto:bruno.azevedo@phdengenharia.eng.br" TargetMode="External"/><Relationship Id="rId115" Type="http://schemas.openxmlformats.org/officeDocument/2006/relationships/hyperlink" Target="mailto:leonardo.drumond@phdengenharia.eng.br" TargetMode="External"/><Relationship Id="rId131" Type="http://schemas.openxmlformats.org/officeDocument/2006/relationships/hyperlink" Target="mailto:paulo.paiva@phdengenharia.eng.br" TargetMode="External"/><Relationship Id="rId136" Type="http://schemas.openxmlformats.org/officeDocument/2006/relationships/hyperlink" Target="mailto:eduardo.eler@phdengenharia.eng.br" TargetMode="External"/><Relationship Id="rId61" Type="http://schemas.openxmlformats.org/officeDocument/2006/relationships/hyperlink" Target="mailto:leonardo.drumond@phdengenharia.eng.br" TargetMode="External"/><Relationship Id="rId82" Type="http://schemas.openxmlformats.org/officeDocument/2006/relationships/hyperlink" Target="mailto:eduardo.eler@phdengenharia.eng.br" TargetMode="External"/><Relationship Id="rId19" Type="http://schemas.openxmlformats.org/officeDocument/2006/relationships/hyperlink" Target="mailto:eduardo.eler@phdengenharia.eng.br" TargetMode="External"/><Relationship Id="rId14" Type="http://schemas.openxmlformats.org/officeDocument/2006/relationships/hyperlink" Target="mailto:lennonmms7@gmail.com" TargetMode="External"/><Relationship Id="rId30" Type="http://schemas.openxmlformats.org/officeDocument/2006/relationships/hyperlink" Target="mailto:lennonmms7@gmail.com" TargetMode="External"/><Relationship Id="rId35" Type="http://schemas.openxmlformats.org/officeDocument/2006/relationships/hyperlink" Target="mailto:eduardo.eler@phdengenharia.eng.br" TargetMode="External"/><Relationship Id="rId56" Type="http://schemas.openxmlformats.org/officeDocument/2006/relationships/hyperlink" Target="mailto:paulo.paiva@phdengenharia.eng.br" TargetMode="External"/><Relationship Id="rId77" Type="http://schemas.openxmlformats.org/officeDocument/2006/relationships/hyperlink" Target="mailto:bruno.azevedo@phdengenharia.eng.br" TargetMode="External"/><Relationship Id="rId100" Type="http://schemas.openxmlformats.org/officeDocument/2006/relationships/hyperlink" Target="mailto:paulo.paiva@phdengenharia.eng.br" TargetMode="External"/><Relationship Id="rId105" Type="http://schemas.openxmlformats.org/officeDocument/2006/relationships/hyperlink" Target="mailto:alex.silva@phdengenharia.eng.br" TargetMode="External"/><Relationship Id="rId126" Type="http://schemas.openxmlformats.org/officeDocument/2006/relationships/hyperlink" Target="mailto:eduardo.eler@phdengenharia.eng.br" TargetMode="External"/><Relationship Id="rId8" Type="http://schemas.openxmlformats.org/officeDocument/2006/relationships/hyperlink" Target="mailto:paulo.paiva@phdengenharia.eng.br" TargetMode="External"/><Relationship Id="rId51" Type="http://schemas.openxmlformats.org/officeDocument/2006/relationships/hyperlink" Target="mailto:leonardo.drumond@phdengenharia.eng.br" TargetMode="External"/><Relationship Id="rId72" Type="http://schemas.openxmlformats.org/officeDocument/2006/relationships/hyperlink" Target="mailto:bruno.azevedo@phdengenharia.eng.br" TargetMode="External"/><Relationship Id="rId93" Type="http://schemas.openxmlformats.org/officeDocument/2006/relationships/hyperlink" Target="mailto:leonardo.drumond@phdengenharia.eng.br" TargetMode="External"/><Relationship Id="rId98" Type="http://schemas.openxmlformats.org/officeDocument/2006/relationships/hyperlink" Target="mailto:paulo.paiva@phdengenharia.eng.br" TargetMode="External"/><Relationship Id="rId121" Type="http://schemas.openxmlformats.org/officeDocument/2006/relationships/hyperlink" Target="mailto:ronaldo.machado@phdengenharia" TargetMode="External"/><Relationship Id="rId3" Type="http://schemas.openxmlformats.org/officeDocument/2006/relationships/hyperlink" Target="mailto:lennonmms7@gmail.com" TargetMode="External"/><Relationship Id="rId25" Type="http://schemas.openxmlformats.org/officeDocument/2006/relationships/hyperlink" Target="mailto:leonardo.drumond@phdengenharia.eng.br" TargetMode="External"/><Relationship Id="rId46" Type="http://schemas.openxmlformats.org/officeDocument/2006/relationships/hyperlink" Target="mailto:bruno.azevedo@phdengenharia.eng.br" TargetMode="External"/><Relationship Id="rId67" Type="http://schemas.openxmlformats.org/officeDocument/2006/relationships/hyperlink" Target="mailto:leonardo.drumond@phdengenharia.eng.br" TargetMode="External"/><Relationship Id="rId116" Type="http://schemas.openxmlformats.org/officeDocument/2006/relationships/hyperlink" Target="mailto:paulo.paiva@phdengenharia.eng.br" TargetMode="External"/><Relationship Id="rId137" Type="http://schemas.openxmlformats.org/officeDocument/2006/relationships/hyperlink" Target="mailto:eduardo.eler@phdengenharia.eng.br" TargetMode="External"/><Relationship Id="rId20" Type="http://schemas.openxmlformats.org/officeDocument/2006/relationships/hyperlink" Target="mailto:paulo.paiva@phdengenharia.eng.br" TargetMode="External"/><Relationship Id="rId41" Type="http://schemas.openxmlformats.org/officeDocument/2006/relationships/hyperlink" Target="mailto:eduardo.eler@phdengenharia.eng.br" TargetMode="External"/><Relationship Id="rId62" Type="http://schemas.openxmlformats.org/officeDocument/2006/relationships/hyperlink" Target="mailto:paulo.paiva@phdengenharia.eng.br" TargetMode="External"/><Relationship Id="rId83" Type="http://schemas.openxmlformats.org/officeDocument/2006/relationships/hyperlink" Target="mailto:eduardo.eler@phdengenharia.eng.br" TargetMode="External"/><Relationship Id="rId88" Type="http://schemas.openxmlformats.org/officeDocument/2006/relationships/hyperlink" Target="mailto:bruno.azevedo@phdengenharia.eng.br" TargetMode="External"/><Relationship Id="rId111" Type="http://schemas.openxmlformats.org/officeDocument/2006/relationships/hyperlink" Target="mailto:ronaldo.machado@phdengenharia" TargetMode="External"/><Relationship Id="rId132" Type="http://schemas.openxmlformats.org/officeDocument/2006/relationships/hyperlink" Target="mailto:eduardo.eler@phdengenharia.eng.br" TargetMode="External"/><Relationship Id="rId15" Type="http://schemas.openxmlformats.org/officeDocument/2006/relationships/hyperlink" Target="mailto:lennonmms7@gmail.com" TargetMode="External"/><Relationship Id="rId36" Type="http://schemas.openxmlformats.org/officeDocument/2006/relationships/hyperlink" Target="mailto:leonardo.drumond@phdengenharia.eng.br" TargetMode="External"/><Relationship Id="rId57" Type="http://schemas.openxmlformats.org/officeDocument/2006/relationships/hyperlink" Target="mailto:leonardo.drumond@phdengenharia.eng.br" TargetMode="External"/><Relationship Id="rId106" Type="http://schemas.openxmlformats.org/officeDocument/2006/relationships/hyperlink" Target="mailto:diego.bernardes@phdengenharia.eng.br" TargetMode="External"/><Relationship Id="rId127" Type="http://schemas.openxmlformats.org/officeDocument/2006/relationships/hyperlink" Target="mailto:eduardo.eler@phdengenharia.eng.br" TargetMode="External"/><Relationship Id="rId10" Type="http://schemas.openxmlformats.org/officeDocument/2006/relationships/hyperlink" Target="mailto:leonardo.drumond@phdengenharia.eng.br" TargetMode="External"/><Relationship Id="rId31" Type="http://schemas.openxmlformats.org/officeDocument/2006/relationships/hyperlink" Target="mailto:lennonmms7@gmail.com" TargetMode="External"/><Relationship Id="rId52" Type="http://schemas.openxmlformats.org/officeDocument/2006/relationships/hyperlink" Target="mailto:leonardo.drumond@phdengenharia.eng.br" TargetMode="External"/><Relationship Id="rId73" Type="http://schemas.openxmlformats.org/officeDocument/2006/relationships/hyperlink" Target="mailto:bruno.azevedo@phdengenharia.eng.br" TargetMode="External"/><Relationship Id="rId78" Type="http://schemas.openxmlformats.org/officeDocument/2006/relationships/hyperlink" Target="mailto:bruno.azevedo@phdengenharia.eng.br" TargetMode="External"/><Relationship Id="rId94" Type="http://schemas.openxmlformats.org/officeDocument/2006/relationships/hyperlink" Target="mailto:paulo.paiva@phdengenharia.eng.br" TargetMode="External"/><Relationship Id="rId99" Type="http://schemas.openxmlformats.org/officeDocument/2006/relationships/hyperlink" Target="mailto:bruno.azevedo@phdengenharia.eng.br" TargetMode="External"/><Relationship Id="rId101" Type="http://schemas.openxmlformats.org/officeDocument/2006/relationships/hyperlink" Target="mailto:eduardo.eler@phdengenharia.eng.br" TargetMode="External"/><Relationship Id="rId122" Type="http://schemas.openxmlformats.org/officeDocument/2006/relationships/hyperlink" Target="mailto:diogo.soares@phdengenharia.eng.br" TargetMode="External"/><Relationship Id="rId4" Type="http://schemas.openxmlformats.org/officeDocument/2006/relationships/hyperlink" Target="mailto:lennonmms7@gmail.com" TargetMode="External"/><Relationship Id="rId9" Type="http://schemas.openxmlformats.org/officeDocument/2006/relationships/hyperlink" Target="mailto:leonardo.drumond@phdengenharia.eng.br" TargetMode="External"/><Relationship Id="rId26" Type="http://schemas.openxmlformats.org/officeDocument/2006/relationships/hyperlink" Target="mailto:leonardo.drumond@phdengenharia.eng.br" TargetMode="External"/><Relationship Id="rId47" Type="http://schemas.openxmlformats.org/officeDocument/2006/relationships/hyperlink" Target="mailto:bruno.azevedo@phdengenharia.eng.br" TargetMode="External"/><Relationship Id="rId68" Type="http://schemas.openxmlformats.org/officeDocument/2006/relationships/hyperlink" Target="mailto:eduardo.eler@phdengenharia.eng.br" TargetMode="External"/><Relationship Id="rId89" Type="http://schemas.openxmlformats.org/officeDocument/2006/relationships/hyperlink" Target="mailto:bruno.azevedo@phdengenharia.eng.br" TargetMode="External"/><Relationship Id="rId112" Type="http://schemas.openxmlformats.org/officeDocument/2006/relationships/hyperlink" Target="mailto:tulio.rafael@phdengenharia.eng.br" TargetMode="External"/><Relationship Id="rId133" Type="http://schemas.openxmlformats.org/officeDocument/2006/relationships/hyperlink" Target="mailto:marcio.junior@phdengenharia.eng.br"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hyperlink" Target="mailto:marcio.junior@phdengenharia.eng.br" TargetMode="External"/><Relationship Id="rId2" Type="http://schemas.openxmlformats.org/officeDocument/2006/relationships/hyperlink" Target="mailto:diogo.soares@phdengenharia.eng.br" TargetMode="External"/><Relationship Id="rId1" Type="http://schemas.openxmlformats.org/officeDocument/2006/relationships/hyperlink" Target="mailto:paulo.paiva@phdengenharia.eng.br" TargetMode="External"/><Relationship Id="rId6" Type="http://schemas.openxmlformats.org/officeDocument/2006/relationships/hyperlink" Target="mailto:alessandro.moreira@phdengenharia.eng.br" TargetMode="External"/><Relationship Id="rId5" Type="http://schemas.openxmlformats.org/officeDocument/2006/relationships/hyperlink" Target="mailto:ivano.cruz@phdengenharia.eng.br" TargetMode="External"/><Relationship Id="rId4" Type="http://schemas.openxmlformats.org/officeDocument/2006/relationships/hyperlink" Target="mailto:thales.padua@phdengenharia.eng.br"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3" Type="http://schemas.openxmlformats.org/officeDocument/2006/relationships/hyperlink" Target="mailto:wanderson.lima@terrabel.com.br" TargetMode="External"/><Relationship Id="rId18" Type="http://schemas.openxmlformats.org/officeDocument/2006/relationships/hyperlink" Target="mailto:kcnpalma@construcap.com.br%3E" TargetMode="External"/><Relationship Id="rId26" Type="http://schemas.openxmlformats.org/officeDocument/2006/relationships/hyperlink" Target="mailto:ana.rosa@imcsaste.com.br" TargetMode="External"/><Relationship Id="rId39" Type="http://schemas.openxmlformats.org/officeDocument/2006/relationships/hyperlink" Target="mailto:jose.pena@niplan.com.br" TargetMode="External"/><Relationship Id="rId21" Type="http://schemas.openxmlformats.org/officeDocument/2006/relationships/hyperlink" Target="mailto:juliasantana@terrabel.com" TargetMode="External"/><Relationship Id="rId34" Type="http://schemas.openxmlformats.org/officeDocument/2006/relationships/hyperlink" Target="mailto:Maria.Silva2@alcoa.com" TargetMode="External"/><Relationship Id="rId42" Type="http://schemas.openxmlformats.org/officeDocument/2006/relationships/hyperlink" Target="mailto:Antonia.Sousa.Contractor@adm.com" TargetMode="External"/><Relationship Id="rId47" Type="http://schemas.openxmlformats.org/officeDocument/2006/relationships/printerSettings" Target="../printerSettings/printerSettings3.bin"/><Relationship Id="rId7" Type="http://schemas.openxmlformats.org/officeDocument/2006/relationships/hyperlink" Target="mailto:rita.barros@imcsaste.com.br" TargetMode="External"/><Relationship Id="rId2" Type="http://schemas.openxmlformats.org/officeDocument/2006/relationships/hyperlink" Target="mailto:vinicius.prista@imcsaste.com.br" TargetMode="External"/><Relationship Id="rId16" Type="http://schemas.openxmlformats.org/officeDocument/2006/relationships/hyperlink" Target="mailto:claudio@parex.com.br" TargetMode="External"/><Relationship Id="rId29" Type="http://schemas.openxmlformats.org/officeDocument/2006/relationships/hyperlink" Target="mailto:jorge.Piva@adm.com" TargetMode="External"/><Relationship Id="rId1" Type="http://schemas.openxmlformats.org/officeDocument/2006/relationships/hyperlink" Target="mailto:dennise.teixeira@imcsaste.com.br" TargetMode="External"/><Relationship Id="rId6" Type="http://schemas.openxmlformats.org/officeDocument/2006/relationships/hyperlink" Target="mailto:adriana.rodrigues@imcsaste.com.br" TargetMode="External"/><Relationship Id="rId11" Type="http://schemas.openxmlformats.org/officeDocument/2006/relationships/hyperlink" Target="mailto:junior@salumconstru&#231;&#245;es.com.br" TargetMode="External"/><Relationship Id="rId24" Type="http://schemas.openxmlformats.org/officeDocument/2006/relationships/hyperlink" Target="mailto:matheusb@salumconstrucoes.com.br" TargetMode="External"/><Relationship Id="rId32" Type="http://schemas.openxmlformats.org/officeDocument/2006/relationships/hyperlink" Target="mailto:carolina@ceminas.com.br" TargetMode="External"/><Relationship Id="rId37" Type="http://schemas.openxmlformats.org/officeDocument/2006/relationships/hyperlink" Target="mailto:mauriceia@salumconstrucoes.com.br" TargetMode="External"/><Relationship Id="rId40" Type="http://schemas.openxmlformats.org/officeDocument/2006/relationships/hyperlink" Target="mailto:jaimara.cota@aterpa.com.br" TargetMode="External"/><Relationship Id="rId45" Type="http://schemas.openxmlformats.org/officeDocument/2006/relationships/hyperlink" Target="mailto:lucas.souza@cretaengenharia.com.br" TargetMode="External"/><Relationship Id="rId5" Type="http://schemas.openxmlformats.org/officeDocument/2006/relationships/hyperlink" Target="mailto:lucas.sousa@imcsaste.com.br" TargetMode="External"/><Relationship Id="rId15" Type="http://schemas.openxmlformats.org/officeDocument/2006/relationships/hyperlink" Target="mailto:seg08@construtoravaleverde.com.br" TargetMode="External"/><Relationship Id="rId23" Type="http://schemas.openxmlformats.org/officeDocument/2006/relationships/hyperlink" Target="mailto:iaferreira@construcap.com.br" TargetMode="External"/><Relationship Id="rId28" Type="http://schemas.openxmlformats.org/officeDocument/2006/relationships/hyperlink" Target="mailto:giovanna.Rosa@adm.com" TargetMode="External"/><Relationship Id="rId36" Type="http://schemas.openxmlformats.org/officeDocument/2006/relationships/hyperlink" Target="mailto:emsilva@empa.com.br" TargetMode="External"/><Relationship Id="rId10" Type="http://schemas.openxmlformats.org/officeDocument/2006/relationships/hyperlink" Target="mailto:konaraujo@construcap.com.br" TargetMode="External"/><Relationship Id="rId19" Type="http://schemas.openxmlformats.org/officeDocument/2006/relationships/hyperlink" Target="mailto:sayonara@salumconstrucoes.com.br" TargetMode="External"/><Relationship Id="rId31" Type="http://schemas.openxmlformats.org/officeDocument/2006/relationships/hyperlink" Target="mailto:edmar.santos@alfaengenharia.ind.br" TargetMode="External"/><Relationship Id="rId44" Type="http://schemas.openxmlformats.org/officeDocument/2006/relationships/hyperlink" Target="mailto:tatiana.almeida@cretaengenharia.com.br" TargetMode="External"/><Relationship Id="rId4" Type="http://schemas.openxmlformats.org/officeDocument/2006/relationships/hyperlink" Target="mailto:dennise.teixeira@imcsaste.com.br" TargetMode="External"/><Relationship Id="rId9" Type="http://schemas.openxmlformats.org/officeDocument/2006/relationships/hyperlink" Target="mailto:andreza@ceminas.com.br" TargetMode="External"/><Relationship Id="rId14" Type="http://schemas.openxmlformats.org/officeDocument/2006/relationships/hyperlink" Target="mailto:keli.fernandes@terrabel.com.br" TargetMode="External"/><Relationship Id="rId22" Type="http://schemas.openxmlformats.org/officeDocument/2006/relationships/hyperlink" Target="mailto:olivier.Camargo.Contractor@adm.com" TargetMode="External"/><Relationship Id="rId27" Type="http://schemas.openxmlformats.org/officeDocument/2006/relationships/hyperlink" Target="mailto:matheus.couto@mroscoe.com.br" TargetMode="External"/><Relationship Id="rId30" Type="http://schemas.openxmlformats.org/officeDocument/2006/relationships/hyperlink" Target="mailto:franciele.Camara@adm.com" TargetMode="External"/><Relationship Id="rId35" Type="http://schemas.openxmlformats.org/officeDocument/2006/relationships/hyperlink" Target="mailto:ccsantana@construcap.com.br" TargetMode="External"/><Relationship Id="rId43" Type="http://schemas.openxmlformats.org/officeDocument/2006/relationships/hyperlink" Target="mailto:Aldesson.miranda@parex.com.br" TargetMode="External"/><Relationship Id="rId8" Type="http://schemas.openxmlformats.org/officeDocument/2006/relationships/hyperlink" Target="mailto:joao.mota@nobregapimenta.com.br" TargetMode="External"/><Relationship Id="rId3" Type="http://schemas.openxmlformats.org/officeDocument/2006/relationships/hyperlink" Target="mailto:vinicius.prista@imcsaste.com.br" TargetMode="External"/><Relationship Id="rId12" Type="http://schemas.openxmlformats.org/officeDocument/2006/relationships/hyperlink" Target="mailto:jonathan@salumconstrucoes.com.br" TargetMode="External"/><Relationship Id="rId17" Type="http://schemas.openxmlformats.org/officeDocument/2006/relationships/hyperlink" Target="mailto:gissilva@grupoconstrucap.mail.onmicrosoft.com" TargetMode="External"/><Relationship Id="rId25" Type="http://schemas.openxmlformats.org/officeDocument/2006/relationships/hyperlink" Target="mailto:matheusb@salumconstrucoes.com.br" TargetMode="External"/><Relationship Id="rId33" Type="http://schemas.openxmlformats.org/officeDocument/2006/relationships/hyperlink" Target="mailto:nayara.menezes@nobregapimenta.com.br" TargetMode="External"/><Relationship Id="rId38" Type="http://schemas.openxmlformats.org/officeDocument/2006/relationships/hyperlink" Target="mailto:daniele.simao@cretaengenharia.com.br" TargetMode="External"/><Relationship Id="rId46" Type="http://schemas.openxmlformats.org/officeDocument/2006/relationships/hyperlink" Target="mailto:fabiana@arclean.com" TargetMode="External"/><Relationship Id="rId20" Type="http://schemas.openxmlformats.org/officeDocument/2006/relationships/hyperlink" Target="mailto:julia@salumconstrucoes.com.br" TargetMode="External"/><Relationship Id="rId41" Type="http://schemas.openxmlformats.org/officeDocument/2006/relationships/hyperlink" Target="mailto:ivalte.deassis@skic.com"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mailto:edijane.rodrigues@phdengenharia.eng.br" TargetMode="External"/><Relationship Id="rId18" Type="http://schemas.openxmlformats.org/officeDocument/2006/relationships/hyperlink" Target="mailto:Ana02119@" TargetMode="External"/><Relationship Id="rId26" Type="http://schemas.openxmlformats.org/officeDocument/2006/relationships/hyperlink" Target="mailto:edijane.rodrigues@phdengenharia.eng.br" TargetMode="External"/><Relationship Id="rId3" Type="http://schemas.openxmlformats.org/officeDocument/2006/relationships/hyperlink" Target="https://painel.autentique.com.br/" TargetMode="External"/><Relationship Id="rId21" Type="http://schemas.openxmlformats.org/officeDocument/2006/relationships/hyperlink" Target="https://nexa-brasil.rainbowtec.com.br/" TargetMode="External"/><Relationship Id="rId34" Type="http://schemas.openxmlformats.org/officeDocument/2006/relationships/hyperlink" Target="https://docs.google.com/presentation/d/1qn9pz8O1q79WEG2hX71mTxe4M54payAAV2E98sqaIP4/embed?slide=id.p" TargetMode="External"/><Relationship Id="rId7" Type="http://schemas.openxmlformats.org/officeDocument/2006/relationships/hyperlink" Target="https://bancodoc.com.br/sistema" TargetMode="External"/><Relationship Id="rId12" Type="http://schemas.openxmlformats.org/officeDocument/2006/relationships/hyperlink" Target="https://alumar.softexpert.com/softexpert/" TargetMode="External"/><Relationship Id="rId17" Type="http://schemas.openxmlformats.org/officeDocument/2006/relationships/hyperlink" Target="mailto:anaclaudia.costa@phdengenharia.eng.br" TargetMode="External"/><Relationship Id="rId25" Type="http://schemas.openxmlformats.org/officeDocument/2006/relationships/hyperlink" Target="https://www.mosaicfertilizantes.miisy.com/portaldemobilizacao/do/dashboard" TargetMode="External"/><Relationship Id="rId33" Type="http://schemas.openxmlformats.org/officeDocument/2006/relationships/hyperlink" Target="https://cta.aperam.com/" TargetMode="External"/><Relationship Id="rId2" Type="http://schemas.openxmlformats.org/officeDocument/2006/relationships/hyperlink" Target="mailto:leticia.nascimento@phdengenharia.eng.br" TargetMode="External"/><Relationship Id="rId16" Type="http://schemas.openxmlformats.org/officeDocument/2006/relationships/hyperlink" Target="https://bancodoc.com.br/sistema" TargetMode="External"/><Relationship Id="rId20" Type="http://schemas.openxmlformats.org/officeDocument/2006/relationships/hyperlink" Target="https://avalgrupo.com.br/" TargetMode="External"/><Relationship Id="rId29" Type="http://schemas.openxmlformats.org/officeDocument/2006/relationships/hyperlink" Target="https://newcontract.vli.contractweb.com.br/?ReturnUrl=%2FAtualizarColaborador%3FTipoCompetencia%3D1" TargetMode="External"/><Relationship Id="rId1" Type="http://schemas.openxmlformats.org/officeDocument/2006/relationships/hyperlink" Target="mailto:adm@phdengenharia.eng.br" TargetMode="External"/><Relationship Id="rId6" Type="http://schemas.openxmlformats.org/officeDocument/2006/relationships/hyperlink" Target="mailto:adm@phdengenharia.eng.br" TargetMode="External"/><Relationship Id="rId11" Type="http://schemas.openxmlformats.org/officeDocument/2006/relationships/hyperlink" Target="mailto:edijane.rodrigues@phdengenharia.eng.br" TargetMode="External"/><Relationship Id="rId24" Type="http://schemas.openxmlformats.org/officeDocument/2006/relationships/hyperlink" Target="https://portal.metax.ind.br/Credenciamento/Index" TargetMode="External"/><Relationship Id="rId32" Type="http://schemas.openxmlformats.org/officeDocument/2006/relationships/hyperlink" Target="mailto:Phd@2026" TargetMode="External"/><Relationship Id="rId5" Type="http://schemas.openxmlformats.org/officeDocument/2006/relationships/hyperlink" Target="https://www.gntreinamentos.com.br/login.html" TargetMode="External"/><Relationship Id="rId15" Type="http://schemas.openxmlformats.org/officeDocument/2006/relationships/hyperlink" Target="https://vale-forms.valeglobal.net/public?id=h81WgFWg7dkhWYiGIHrUjQ%3D%3D&amp;lang=pt-BR" TargetMode="External"/><Relationship Id="rId23" Type="http://schemas.openxmlformats.org/officeDocument/2006/relationships/hyperlink" Target="https://nexa-brasil.rainbowtec.com.br/" TargetMode="External"/><Relationship Id="rId28" Type="http://schemas.openxmlformats.org/officeDocument/2006/relationships/hyperlink" Target="mailto:phd.engenharia@grupoherculano.com.br" TargetMode="External"/><Relationship Id="rId10" Type="http://schemas.openxmlformats.org/officeDocument/2006/relationships/hyperlink" Target="https://bancodoc.com.br/sistema" TargetMode="External"/><Relationship Id="rId19" Type="http://schemas.openxmlformats.org/officeDocument/2006/relationships/hyperlink" Target="https://bancodoc.com.br/sistema" TargetMode="External"/><Relationship Id="rId31" Type="http://schemas.openxmlformats.org/officeDocument/2006/relationships/hyperlink" Target="https://ami-singular-001.auraminerals.com/borborema/aut_syg/atualizacao" TargetMode="External"/><Relationship Id="rId4" Type="http://schemas.openxmlformats.org/officeDocument/2006/relationships/hyperlink" Target="https://sistema.soc.com.br/WebSoc" TargetMode="External"/><Relationship Id="rId9" Type="http://schemas.openxmlformats.org/officeDocument/2006/relationships/hyperlink" Target="mailto:ivone.lacerda@phdengenharia.eng.br" TargetMode="External"/><Relationship Id="rId14" Type="http://schemas.openxmlformats.org/officeDocument/2006/relationships/hyperlink" Target="https://fornecedor.vertech-it.com.br/apex/f?p=157:1:664044664974" TargetMode="External"/><Relationship Id="rId22" Type="http://schemas.openxmlformats.org/officeDocument/2006/relationships/hyperlink" Target="mailto:edijane.rodrigues@phdengenharia.eng.br" TargetMode="External"/><Relationship Id="rId27" Type="http://schemas.openxmlformats.org/officeDocument/2006/relationships/hyperlink" Target="https://platform.senior.com.br/login/?redirectTo=https%3A%2F%2Fplatform.senior.com.br%2Fsenior-x%2F%23%2F" TargetMode="External"/><Relationship Id="rId30" Type="http://schemas.openxmlformats.org/officeDocument/2006/relationships/hyperlink" Target="mailto:edijane.rodrigues@phdengenharia.eng.br" TargetMode="External"/><Relationship Id="rId8" Type="http://schemas.openxmlformats.org/officeDocument/2006/relationships/hyperlink" Target="https://bancodoc.com.br/siste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6766A-019D-47F3-8BED-0CB834C4CF34}">
  <dimension ref="B1:BO299"/>
  <sheetViews>
    <sheetView showGridLines="0" zoomScale="70" zoomScaleNormal="70" workbookViewId="0">
      <pane xSplit="17" ySplit="3" topLeftCell="R276" activePane="bottomRight" state="frozen"/>
      <selection pane="topRight" activeCell="O1" sqref="O1"/>
      <selection pane="bottomLeft" activeCell="A4" sqref="A4"/>
      <selection pane="bottomRight" activeCell="R276" sqref="R276"/>
    </sheetView>
  </sheetViews>
  <sheetFormatPr defaultRowHeight="14.5" x14ac:dyDescent="0.35"/>
  <cols>
    <col min="1" max="1" width="5.26953125" customWidth="1"/>
    <col min="2" max="2" width="24.26953125" customWidth="1"/>
    <col min="3" max="5" width="20" customWidth="1"/>
    <col min="6" max="6" width="43.81640625" bestFit="1" customWidth="1"/>
    <col min="7" max="17" width="4.7265625" customWidth="1"/>
    <col min="18" max="23" width="15.7265625" customWidth="1"/>
    <col min="24" max="25" width="24" bestFit="1" customWidth="1"/>
    <col min="26" max="26" width="43.1796875" customWidth="1"/>
    <col min="27" max="27" width="43.1796875" bestFit="1" customWidth="1"/>
    <col min="28" max="28" width="25.26953125" bestFit="1" customWidth="1"/>
    <col min="29" max="29" width="25.453125" bestFit="1" customWidth="1"/>
    <col min="30" max="30" width="20.54296875" customWidth="1"/>
    <col min="31" max="31" width="40.54296875" bestFit="1" customWidth="1"/>
    <col min="32" max="32" width="17.26953125" bestFit="1" customWidth="1"/>
    <col min="33" max="33" width="20.26953125" bestFit="1" customWidth="1"/>
    <col min="34" max="34" width="18.54296875" style="17" customWidth="1"/>
    <col min="35" max="35" width="15.7265625" style="17" customWidth="1"/>
    <col min="36" max="66" width="15.7265625" customWidth="1"/>
    <col min="67" max="67" width="255.7265625" style="63" bestFit="1" customWidth="1"/>
    <col min="68" max="68" width="20.1796875" customWidth="1"/>
  </cols>
  <sheetData>
    <row r="1" spans="2:67" ht="31" x14ac:dyDescent="0.7">
      <c r="B1" s="1" t="s">
        <v>0</v>
      </c>
      <c r="AI1" s="17" t="s">
        <v>1</v>
      </c>
      <c r="AK1" s="22">
        <v>1</v>
      </c>
      <c r="AN1" s="22">
        <v>7</v>
      </c>
      <c r="AQ1" s="22">
        <v>2</v>
      </c>
      <c r="AT1" s="22">
        <v>1</v>
      </c>
      <c r="AW1" s="22">
        <v>7</v>
      </c>
      <c r="AZ1" s="22">
        <v>25</v>
      </c>
      <c r="BC1" s="22">
        <v>2</v>
      </c>
      <c r="BF1" s="22">
        <v>3</v>
      </c>
      <c r="BI1" s="22">
        <v>6</v>
      </c>
      <c r="BL1" s="22">
        <v>1</v>
      </c>
    </row>
    <row r="2" spans="2:67" x14ac:dyDescent="0.35">
      <c r="AH2" s="138" t="s">
        <v>2</v>
      </c>
      <c r="AI2" s="138"/>
      <c r="AJ2" s="138"/>
      <c r="AK2" s="135" t="s">
        <v>3</v>
      </c>
      <c r="AL2" s="135"/>
      <c r="AM2" s="135"/>
      <c r="AN2" s="135" t="s">
        <v>4</v>
      </c>
      <c r="AO2" s="135"/>
      <c r="AP2" s="135"/>
      <c r="AQ2" s="137" t="s">
        <v>5</v>
      </c>
      <c r="AR2" s="137"/>
      <c r="AS2" s="137"/>
      <c r="AT2" s="135" t="s">
        <v>6</v>
      </c>
      <c r="AU2" s="135"/>
      <c r="AV2" s="135"/>
      <c r="AW2" s="135" t="s">
        <v>7</v>
      </c>
      <c r="AX2" s="135"/>
      <c r="AY2" s="135"/>
      <c r="AZ2" s="133" t="s">
        <v>8</v>
      </c>
      <c r="BA2" s="133"/>
      <c r="BB2" s="134"/>
      <c r="BC2" s="135" t="s">
        <v>9</v>
      </c>
      <c r="BD2" s="135"/>
      <c r="BE2" s="135"/>
      <c r="BF2" s="136" t="s">
        <v>10</v>
      </c>
      <c r="BG2" s="137"/>
      <c r="BH2" s="137"/>
      <c r="BI2" s="137" t="s">
        <v>11</v>
      </c>
      <c r="BJ2" s="137"/>
      <c r="BK2" s="137"/>
      <c r="BL2" s="137" t="s">
        <v>12</v>
      </c>
      <c r="BM2" s="137"/>
      <c r="BN2" s="137"/>
    </row>
    <row r="3" spans="2:67" ht="108.75" customHeight="1" x14ac:dyDescent="0.35">
      <c r="B3" s="12" t="s">
        <v>13</v>
      </c>
      <c r="C3" s="3" t="s">
        <v>14</v>
      </c>
      <c r="D3" s="3" t="s">
        <v>15</v>
      </c>
      <c r="E3" s="3" t="s">
        <v>16</v>
      </c>
      <c r="F3" s="4" t="s">
        <v>17</v>
      </c>
      <c r="G3" s="5" t="s">
        <v>18</v>
      </c>
      <c r="H3" s="5" t="s">
        <v>19</v>
      </c>
      <c r="I3" s="5" t="s">
        <v>20</v>
      </c>
      <c r="J3" s="5" t="s">
        <v>21</v>
      </c>
      <c r="K3" s="5" t="s">
        <v>22</v>
      </c>
      <c r="L3" s="5" t="s">
        <v>23</v>
      </c>
      <c r="M3" s="5" t="s">
        <v>24</v>
      </c>
      <c r="N3" s="5" t="s">
        <v>25</v>
      </c>
      <c r="O3" s="5" t="s">
        <v>26</v>
      </c>
      <c r="P3" s="5" t="s">
        <v>27</v>
      </c>
      <c r="Q3" s="5" t="s">
        <v>28</v>
      </c>
      <c r="R3" s="4" t="s">
        <v>29</v>
      </c>
      <c r="S3" s="4" t="s">
        <v>30</v>
      </c>
      <c r="T3" s="4" t="s">
        <v>31</v>
      </c>
      <c r="U3" s="4" t="s">
        <v>32</v>
      </c>
      <c r="V3" s="4" t="s">
        <v>33</v>
      </c>
      <c r="W3" s="4" t="s">
        <v>34</v>
      </c>
      <c r="X3" s="4" t="s">
        <v>35</v>
      </c>
      <c r="Y3" s="4" t="s">
        <v>36</v>
      </c>
      <c r="Z3" s="4" t="s">
        <v>37</v>
      </c>
      <c r="AA3" s="4" t="s">
        <v>38</v>
      </c>
      <c r="AB3" s="4" t="s">
        <v>39</v>
      </c>
      <c r="AC3" s="4" t="s">
        <v>40</v>
      </c>
      <c r="AD3" s="4" t="s">
        <v>41</v>
      </c>
      <c r="AE3" s="4" t="s">
        <v>42</v>
      </c>
      <c r="AF3" s="4" t="s">
        <v>43</v>
      </c>
      <c r="AG3" s="4" t="s">
        <v>44</v>
      </c>
      <c r="AH3" s="19" t="s">
        <v>45</v>
      </c>
      <c r="AI3" s="19" t="s">
        <v>46</v>
      </c>
      <c r="AJ3" s="6" t="s">
        <v>47</v>
      </c>
      <c r="AK3" s="7" t="s">
        <v>48</v>
      </c>
      <c r="AL3" s="7" t="s">
        <v>49</v>
      </c>
      <c r="AM3" s="7" t="s">
        <v>50</v>
      </c>
      <c r="AN3" s="7" t="s">
        <v>51</v>
      </c>
      <c r="AO3" s="7" t="s">
        <v>52</v>
      </c>
      <c r="AP3" s="7" t="s">
        <v>53</v>
      </c>
      <c r="AQ3" s="8" t="s">
        <v>54</v>
      </c>
      <c r="AR3" s="8" t="s">
        <v>55</v>
      </c>
      <c r="AS3" s="8" t="s">
        <v>56</v>
      </c>
      <c r="AT3" s="7" t="s">
        <v>57</v>
      </c>
      <c r="AU3" s="7" t="s">
        <v>58</v>
      </c>
      <c r="AV3" s="7" t="s">
        <v>59</v>
      </c>
      <c r="AW3" s="7" t="s">
        <v>60</v>
      </c>
      <c r="AX3" s="7" t="s">
        <v>61</v>
      </c>
      <c r="AY3" s="7" t="s">
        <v>62</v>
      </c>
      <c r="AZ3" s="9" t="s">
        <v>63</v>
      </c>
      <c r="BA3" s="10" t="s">
        <v>64</v>
      </c>
      <c r="BB3" s="11" t="s">
        <v>65</v>
      </c>
      <c r="BC3" s="7" t="s">
        <v>66</v>
      </c>
      <c r="BD3" s="7" t="s">
        <v>67</v>
      </c>
      <c r="BE3" s="7" t="s">
        <v>68</v>
      </c>
      <c r="BF3" s="2" t="s">
        <v>69</v>
      </c>
      <c r="BG3" s="8" t="s">
        <v>70</v>
      </c>
      <c r="BH3" s="8" t="s">
        <v>71</v>
      </c>
      <c r="BI3" s="8" t="s">
        <v>72</v>
      </c>
      <c r="BJ3" s="8" t="s">
        <v>73</v>
      </c>
      <c r="BK3" s="8" t="s">
        <v>74</v>
      </c>
      <c r="BL3" s="8" t="s">
        <v>75</v>
      </c>
      <c r="BM3" s="8" t="s">
        <v>76</v>
      </c>
      <c r="BN3" s="8" t="s">
        <v>77</v>
      </c>
      <c r="BO3" s="78" t="s">
        <v>78</v>
      </c>
    </row>
    <row r="4" spans="2:67" ht="18" hidden="1" customHeight="1" x14ac:dyDescent="0.35">
      <c r="B4" s="13" t="s">
        <v>79</v>
      </c>
      <c r="C4" s="15" t="s">
        <v>80</v>
      </c>
      <c r="D4" s="15" t="s">
        <v>81</v>
      </c>
      <c r="E4" s="15"/>
      <c r="F4" s="15" t="s">
        <v>82</v>
      </c>
      <c r="G4" s="15" cm="1">
        <f t="array" ref="G4">_xlfn.IFS(Tabela1[[#This Row],[STATUS PROCESSO MOBILIZAÇÃO]]="Finalizado",1,Tabela1[[#This Row],[STATUS PROCESSO MOBILIZAÇÃO]]="Cancelado",2,Tabela1[[#This Row],[STATUS PROCESSO MOBILIZAÇÃO]]="Em andamento",3)</f>
        <v>1</v>
      </c>
      <c r="H4" s="15" cm="1">
        <f t="array" aca="1" ref="H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FORMS]]="",$AM4&gt;$AK$1),2,
AND(Tabela1[[#This Row],[STATUS PROCESSO MOBILIZAÇÃO]]="Em andamento",Tabela1[[#This Row],[DATA REAL - FORMS]]="",$AM4&lt;=$AK$1),3,
AND(Tabela1[[#This Row],[STATUS PROCESSO MOBILIZAÇÃO]]="Em andamento",Tabela1[[#This Row],[DATA REAL - FORMS]]&lt;&gt;""),1)</f>
        <v>1</v>
      </c>
      <c r="I4" s="15" cm="1">
        <f t="array" aca="1" ref="I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EXAMES]]="",$AP4&gt;$AN$1),2,
AND(Tabela1[[#This Row],[STATUS PROCESSO MOBILIZAÇÃO]]="Em andamento",Tabela1[[#This Row],[DATA REAL - EXAMES]]="",$AP4&lt;=$AN$1),3,
AND(Tabela1[[#This Row],[STATUS PROCESSO MOBILIZAÇÃO]]="Em andamento",Tabela1[[#This Row],[DATA REAL - EXAMES]]&lt;&gt;""),1)</f>
        <v>1</v>
      </c>
      <c r="J4" s="15" cm="1">
        <f t="array" aca="1" ref="J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ASO]]="",$AS4&gt;$AQ$1),2,
AND(Tabela1[[#This Row],[STATUS PROCESSO MOBILIZAÇÃO]]="Em andamento",Tabela1[[#This Row],[DATA REAL - ASO]]="",$AS4&lt;=$AQ$1),3,
AND(Tabela1[[#This Row],[STATUS PROCESSO MOBILIZAÇÃO]]="Em andamento",Tabela1[[#This Row],[DATA REAL - ASO]]&lt;&gt;""),1)</f>
        <v>1</v>
      </c>
      <c r="K4" s="15" cm="1">
        <f t="array" aca="1" ref="K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TREINAMENTOS]]="",$AV4&gt;$AT$1),2,
AND(Tabela1[[#This Row],[STATUS PROCESSO MOBILIZAÇÃO]]="Em andamento",Tabela1[[#This Row],[DATA REAL - TREINAMENTOS]]="",$AV4&lt;=$AT$1),3,
AND(Tabela1[[#This Row],[STATUS PROCESSO MOBILIZAÇÃO]]="Em andamento",Tabela1[[#This Row],[DATA REAL - TREINAMENTOS]]&lt;&gt;""),1)</f>
        <v>1</v>
      </c>
      <c r="L4" s="15" cm="1">
        <f t="array" aca="1" ref="L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TREIN.]]="",$AY4&gt;$AW$1),2,
AND(Tabela1[[#This Row],[STATUS PROCESSO MOBILIZAÇÃO]]="Em andamento",Tabela1[[#This Row],[DATA REAL - CONCL. TREIN.]]="",$AY4&lt;=$AW$1),3,
AND(Tabela1[[#This Row],[STATUS PROCESSO MOBILIZAÇÃO]]="Em andamento",Tabela1[[#This Row],[DATA REAL - CONCL. TREIN.]]&lt;&gt;""),1)</f>
        <v>1</v>
      </c>
      <c r="M4" s="15" cm="1">
        <f t="array" aca="1" ref="M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CONTRATUAL]]="",$BB4&gt;$AZ$1),2,
AND(Tabela1[[#This Row],[STATUS PROCESSO MOBILIZAÇÃO]]="Em andamento",Tabela1[[#This Row],[DATA FIM - ALTER. CONTRATUAL]]="",$BB4&lt;=$AZ$1),3,
AND(Tabela1[[#This Row],[STATUS PROCESSO MOBILIZAÇÃO]]="Em andamento",Tabela1[[#This Row],[DATA FIM - ALTER. CONTRATUAL]]&lt;&gt;""),1)</f>
        <v>1</v>
      </c>
      <c r="N4" s="15" cm="1">
        <f t="array" aca="1" ref="N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DOSSIÊ]]="",$BE4&gt;$BC$1),2,
AND(Tabela1[[#This Row],[STATUS PROCESSO MOBILIZAÇÃO]]="Em andamento",Tabela1[[#This Row],[DATA REAL - DOSSIÊ]]="",$BE4&lt;=$BC$1),3,
AND(Tabela1[[#This Row],[STATUS PROCESSO MOBILIZAÇÃO]]="Em andamento",Tabela1[[#This Row],[DATA REAL - DOSSIÊ]]&lt;&gt;""),1)</f>
        <v>1</v>
      </c>
      <c r="O4" s="15" cm="1">
        <f t="array" aca="1" ref="O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POSTAGEM]]="",$BH4&gt;$BF$1),2,
AND(Tabela1[[#This Row],[STATUS PROCESSO MOBILIZAÇÃO]]="Em andamento",Tabela1[[#This Row],[DATA REAL - POSTAGEM]]="",$BH4&lt;=$BF$1),3,
AND(Tabela1[[#This Row],[STATUS PROCESSO MOBILIZAÇÃO]]="Em andamento",Tabela1[[#This Row],[DATA REAL - POSTAGEM]]&lt;&gt;""),1)</f>
        <v>1</v>
      </c>
      <c r="P4" s="15" cm="1">
        <f t="array" aca="1" ref="P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FINAL]]="",$BK4&gt;$BI$1),2,
AND(Tabela1[[#This Row],[STATUS PROCESSO MOBILIZAÇÃO]]="Em andamento",Tabela1[[#This Row],[DATA REAL - APROV FINAL]]="",$BK4&lt;=$BI$1),3,
AND(Tabela1[[#This Row],[STATUS PROCESSO MOBILIZAÇÃO]]="Em andamento",Tabela1[[#This Row],[DATA REAL - APROV FINAL]]&lt;&gt;""),1)</f>
        <v>1</v>
      </c>
      <c r="Q4" s="15" cm="1">
        <f t="array" aca="1" ref="Q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CRACHÁ]]="",$BN4&gt;$BL$1),2,
AND(Tabela1[[#This Row],[STATUS PROCESSO MOBILIZAÇÃO]]="Em andamento",Tabela1[[#This Row],[DATA REAL - CRACHÁ]]="",$BN4&lt;=$BL$1),3,
AND(Tabela1[[#This Row],[STATUS PROCESSO MOBILIZAÇÃO]]="Em andamento",Tabela1[[#This Row],[DATA REAL - CRACHÁ]]&lt;&gt;""),1)</f>
        <v>1</v>
      </c>
      <c r="R4" s="20">
        <f>IF(Tabela1[[#This Row],[DATA REAL - FORMS]]&lt;&gt;"",Tabela1[[#This Row],[DATA REAL - FORMS]]+30,Tabela1[[#This Row],[DATA PREV - FORMS]]+35)</f>
        <v>45618</v>
      </c>
      <c r="S4" s="20">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45663</v>
      </c>
      <c r="T4" s="4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111</v>
      </c>
      <c r="U4" s="4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71</v>
      </c>
      <c r="V4" s="48">
        <f>MAX(Tabela1[[#This Row],[DATA REAL - POSTAGEM]],Tabela1[[#This Row],[DATA REAL - APROV FINAL]],Tabela1[[#This Row],[DATA REAL - CRACHÁ]])-MIN(Tabela1[[#This Row],[DATA REAL - POSTAGEM]],Tabela1[[#This Row],[DATA REAL - APROV FINAL]],Tabela1[[#This Row],[DATA REAL - CRACHÁ]])+1</f>
        <v>39</v>
      </c>
      <c r="W4" s="48"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 s="15" t="s">
        <v>83</v>
      </c>
      <c r="Y4" s="15" t="s">
        <v>84</v>
      </c>
      <c r="Z4" s="18" t="s">
        <v>85</v>
      </c>
      <c r="AA4" s="18" t="s">
        <v>86</v>
      </c>
      <c r="AB4" s="15" t="s">
        <v>87</v>
      </c>
      <c r="AC4" s="15" t="s">
        <v>88</v>
      </c>
      <c r="AD4" s="15" t="s">
        <v>89</v>
      </c>
      <c r="AE4" s="15" t="s">
        <v>90</v>
      </c>
      <c r="AF4" s="15" t="s">
        <v>91</v>
      </c>
      <c r="AG4" s="15" t="str">
        <f>_xlfn.XLOOKUP(Tabela1[[#This Row],[CÓD. CT]],Controle_Projetos[COD CT],Controle_Projetos[COD PHD],"")</f>
        <v>IMCS-CT08-ABOB</v>
      </c>
      <c r="AH4" s="20">
        <v>45560</v>
      </c>
      <c r="AI4" s="75">
        <v>45552</v>
      </c>
      <c r="AJ4" s="16" t="str" cm="1">
        <f t="array" aca="1" ref="AJ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 s="20">
        <v>45588</v>
      </c>
      <c r="AL4" s="73">
        <v>45588</v>
      </c>
      <c r="AM4" s="16" cm="1">
        <f t="array" aca="1" ref="AM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4" s="20">
        <f>Tabela1[[#This Row],[DATA PREV - FORMS]]+$AN$1</f>
        <v>45595</v>
      </c>
      <c r="AO4" s="73">
        <v>45623</v>
      </c>
      <c r="AP4" s="15" cm="1">
        <f t="array" aca="1" ref="AP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29</v>
      </c>
      <c r="AQ4" s="20">
        <f>Tabela1[[#This Row],[DATA PREV - EXAMES]]+$AQ$1</f>
        <v>45597</v>
      </c>
      <c r="AR4" s="73">
        <v>45622</v>
      </c>
      <c r="AS4" s="15" cm="1">
        <f t="array" aca="1" ref="AS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26</v>
      </c>
      <c r="AT4" s="20">
        <f>Tabela1[[#This Row],[DATA PREV - FORMS]]+$AT$1</f>
        <v>45589</v>
      </c>
      <c r="AU4" s="73">
        <v>45588</v>
      </c>
      <c r="AV4" s="15" cm="1">
        <f t="array" aca="1" ref="AV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4" s="20">
        <f>Tabela1[[#This Row],[DATA PREV - TREINAMENTOS]]+$AW$1</f>
        <v>45596</v>
      </c>
      <c r="AX4" s="73">
        <v>45588</v>
      </c>
      <c r="AY4" s="15" cm="1">
        <f t="array" aca="1" ref="AY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4" s="23">
        <v>45615</v>
      </c>
      <c r="BA4" s="73">
        <v>45588</v>
      </c>
      <c r="BB4" s="15" cm="1">
        <f t="array" aca="1" ref="BB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-26</v>
      </c>
      <c r="BC4" s="20">
        <f>Tabela1[[#This Row],[DATA PREV - CONCL. TREIN.]]+$BC$1</f>
        <v>45598</v>
      </c>
      <c r="BD4" s="73">
        <v>45623</v>
      </c>
      <c r="BE4" s="15" cm="1">
        <f t="array" aca="1" ref="BE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26</v>
      </c>
      <c r="BF4" s="20">
        <f>Tabela1[[#This Row],[DATA PREV - DOSSIÊ]]+$BF$1</f>
        <v>45601</v>
      </c>
      <c r="BG4" s="73">
        <v>45625</v>
      </c>
      <c r="BH4" s="15" cm="1">
        <f t="array" aca="1" ref="BH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25</v>
      </c>
      <c r="BI4" s="20">
        <f>Tabela1[[#This Row],[DATA PREV - POSTAGEM]]+$BI$1</f>
        <v>45607</v>
      </c>
      <c r="BJ4" s="73">
        <v>45663</v>
      </c>
      <c r="BK4" s="15" cm="1">
        <f t="array" aca="1" ref="BK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57</v>
      </c>
      <c r="BL4" s="20">
        <f>Tabela1[[#This Row],[DATA PREV - APROV FINAL]]+$BL$1</f>
        <v>45608</v>
      </c>
      <c r="BM4" s="73">
        <v>45663</v>
      </c>
      <c r="BN4" s="15" cm="1">
        <f t="array" aca="1" ref="BN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56</v>
      </c>
      <c r="BO4" s="79" t="s">
        <v>92</v>
      </c>
    </row>
    <row r="5" spans="2:67" ht="18" hidden="1" customHeight="1" x14ac:dyDescent="0.35">
      <c r="B5" s="14" t="s">
        <v>79</v>
      </c>
      <c r="C5" s="16" t="s">
        <v>93</v>
      </c>
      <c r="D5" s="16" t="s">
        <v>81</v>
      </c>
      <c r="E5" s="16"/>
      <c r="F5" s="16" t="s">
        <v>94</v>
      </c>
      <c r="G5" s="16" cm="1">
        <f t="array" ref="G5">_xlfn.IFS(Tabela1[[#This Row],[STATUS PROCESSO MOBILIZAÇÃO]]="Finalizado",1,Tabela1[[#This Row],[STATUS PROCESSO MOBILIZAÇÃO]]="Cancelado",2,Tabela1[[#This Row],[STATUS PROCESSO MOBILIZAÇÃO]]="Em andamento",3)</f>
        <v>1</v>
      </c>
      <c r="H5" s="16" cm="1">
        <f t="array" aca="1" ref="H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FORMS]]="",$AM5&gt;$AK$1),2,
AND(Tabela1[[#This Row],[STATUS PROCESSO MOBILIZAÇÃO]]="Em andamento",Tabela1[[#This Row],[DATA REAL - FORMS]]="",$AM5&lt;=$AK$1),3,
AND(Tabela1[[#This Row],[STATUS PROCESSO MOBILIZAÇÃO]]="Em andamento",Tabela1[[#This Row],[DATA REAL - FORMS]]&lt;&gt;""),1)</f>
        <v>1</v>
      </c>
      <c r="I5" s="16" cm="1">
        <f t="array" aca="1" ref="I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EXAMES]]="",$AP5&gt;$AN$1),2,
AND(Tabela1[[#This Row],[STATUS PROCESSO MOBILIZAÇÃO]]="Em andamento",Tabela1[[#This Row],[DATA REAL - EXAMES]]="",$AP5&lt;=$AN$1),3,
AND(Tabela1[[#This Row],[STATUS PROCESSO MOBILIZAÇÃO]]="Em andamento",Tabela1[[#This Row],[DATA REAL - EXAMES]]&lt;&gt;""),1)</f>
        <v>1</v>
      </c>
      <c r="J5" s="16" cm="1">
        <f t="array" aca="1" ref="J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ASO]]="",$AS5&gt;$AQ$1),2,
AND(Tabela1[[#This Row],[STATUS PROCESSO MOBILIZAÇÃO]]="Em andamento",Tabela1[[#This Row],[DATA REAL - ASO]]="",$AS5&lt;=$AQ$1),3,
AND(Tabela1[[#This Row],[STATUS PROCESSO MOBILIZAÇÃO]]="Em andamento",Tabela1[[#This Row],[DATA REAL - ASO]]&lt;&gt;""),1)</f>
        <v>1</v>
      </c>
      <c r="K5" s="15" cm="1">
        <f t="array" aca="1" ref="K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TREINAMENTOS]]="",$AV5&gt;$AT$1),2,
AND(Tabela1[[#This Row],[STATUS PROCESSO MOBILIZAÇÃO]]="Em andamento",Tabela1[[#This Row],[DATA REAL - TREINAMENTOS]]="",$AV5&lt;=$AT$1),3,
AND(Tabela1[[#This Row],[STATUS PROCESSO MOBILIZAÇÃO]]="Em andamento",Tabela1[[#This Row],[DATA REAL - TREINAMENTOS]]&lt;&gt;""),1)</f>
        <v>1</v>
      </c>
      <c r="L5" s="15" cm="1">
        <f t="array" aca="1" ref="L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TREIN.]]="",$AY5&gt;$AW$1),2,
AND(Tabela1[[#This Row],[STATUS PROCESSO MOBILIZAÇÃO]]="Em andamento",Tabela1[[#This Row],[DATA REAL - CONCL. TREIN.]]="",$AY5&lt;=$AW$1),3,
AND(Tabela1[[#This Row],[STATUS PROCESSO MOBILIZAÇÃO]]="Em andamento",Tabela1[[#This Row],[DATA REAL - CONCL. TREIN.]]&lt;&gt;""),1)</f>
        <v>1</v>
      </c>
      <c r="M5" s="15" cm="1">
        <f t="array" aca="1" ref="M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CONTRATUAL]]="",$BB5&gt;$AZ$1),2,
AND(Tabela1[[#This Row],[STATUS PROCESSO MOBILIZAÇÃO]]="Em andamento",Tabela1[[#This Row],[DATA FIM - ALTER. CONTRATUAL]]="",$BB5&lt;=$AZ$1),3,
AND(Tabela1[[#This Row],[STATUS PROCESSO MOBILIZAÇÃO]]="Em andamento",Tabela1[[#This Row],[DATA FIM - ALTER. CONTRATUAL]]&lt;&gt;""),1)</f>
        <v>1</v>
      </c>
      <c r="N5" s="16" cm="1">
        <f t="array" aca="1" ref="N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DOSSIÊ]]="",$BE5&gt;$BC$1),2,
AND(Tabela1[[#This Row],[STATUS PROCESSO MOBILIZAÇÃO]]="Em andamento",Tabela1[[#This Row],[DATA REAL - DOSSIÊ]]="",$BE5&lt;=$BC$1),3,
AND(Tabela1[[#This Row],[STATUS PROCESSO MOBILIZAÇÃO]]="Em andamento",Tabela1[[#This Row],[DATA REAL - DOSSIÊ]]&lt;&gt;""),1)</f>
        <v>1</v>
      </c>
      <c r="O5" s="16" cm="1">
        <f t="array" aca="1" ref="O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POSTAGEM]]="",$BH5&gt;$BF$1),2,
AND(Tabela1[[#This Row],[STATUS PROCESSO MOBILIZAÇÃO]]="Em andamento",Tabela1[[#This Row],[DATA REAL - POSTAGEM]]="",$BH5&lt;=$BF$1),3,
AND(Tabela1[[#This Row],[STATUS PROCESSO MOBILIZAÇÃO]]="Em andamento",Tabela1[[#This Row],[DATA REAL - POSTAGEM]]&lt;&gt;""),1)</f>
        <v>1</v>
      </c>
      <c r="P5" s="16" cm="1">
        <f t="array" aca="1" ref="P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FINAL]]="",$BK5&gt;$BI$1),2,
AND(Tabela1[[#This Row],[STATUS PROCESSO MOBILIZAÇÃO]]="Em andamento",Tabela1[[#This Row],[DATA REAL - APROV FINAL]]="",$BK5&lt;=$BI$1),3,
AND(Tabela1[[#This Row],[STATUS PROCESSO MOBILIZAÇÃO]]="Em andamento",Tabela1[[#This Row],[DATA REAL - APROV FINAL]]&lt;&gt;""),1)</f>
        <v>1</v>
      </c>
      <c r="Q5" s="15" cm="1">
        <f t="array" aca="1" ref="Q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CRACHÁ]]="",$BN5&gt;$BL$1),2,
AND(Tabela1[[#This Row],[STATUS PROCESSO MOBILIZAÇÃO]]="Em andamento",Tabela1[[#This Row],[DATA REAL - CRACHÁ]]="",$BN5&lt;=$BL$1),3,
AND(Tabela1[[#This Row],[STATUS PROCESSO MOBILIZAÇÃO]]="Em andamento",Tabela1[[#This Row],[DATA REAL - CRACHÁ]]&lt;&gt;""),1)</f>
        <v>1</v>
      </c>
      <c r="R5" s="21">
        <f>IF(Tabela1[[#This Row],[DATA REAL - FORMS]]&lt;&gt;"",Tabela1[[#This Row],[DATA REAL - FORMS]]+30,Tabela1[[#This Row],[DATA PREV - FORMS]]+35)</f>
        <v>45632</v>
      </c>
      <c r="S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45681</v>
      </c>
      <c r="T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128</v>
      </c>
      <c r="U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112</v>
      </c>
      <c r="V5" s="49">
        <f>MAX(Tabela1[[#This Row],[DATA REAL - POSTAGEM]],Tabela1[[#This Row],[DATA REAL - APROV FINAL]],Tabela1[[#This Row],[DATA REAL - CRACHÁ]])-MIN(Tabela1[[#This Row],[DATA REAL - POSTAGEM]],Tabela1[[#This Row],[DATA REAL - APROV FINAL]],Tabela1[[#This Row],[DATA REAL - CRACHÁ]])+1</f>
        <v>15</v>
      </c>
      <c r="W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5" s="15" t="s">
        <v>95</v>
      </c>
      <c r="Y5" s="16" t="s">
        <v>84</v>
      </c>
      <c r="Z5" s="18" t="s">
        <v>96</v>
      </c>
      <c r="AA5" s="18" t="s">
        <v>86</v>
      </c>
      <c r="AB5" s="16" t="s">
        <v>97</v>
      </c>
      <c r="AC5" s="16" t="s">
        <v>98</v>
      </c>
      <c r="AD5" s="16" t="s">
        <v>89</v>
      </c>
      <c r="AE5" s="16" t="s">
        <v>99</v>
      </c>
      <c r="AF5" s="16" t="s">
        <v>100</v>
      </c>
      <c r="AG5" s="16" t="str">
        <f>_xlfn.XLOOKUP(Tabela1[[#This Row],[CÓD. CT]],Controle_Projetos[COD CT],Controle_Projetos[COD PHD],"")</f>
        <v>SALU-CT08-TAMA</v>
      </c>
      <c r="AH5" s="21">
        <v>45596</v>
      </c>
      <c r="AI5" s="75">
        <v>45553</v>
      </c>
      <c r="AJ5" s="16" t="str" cm="1">
        <f t="array" aca="1" ref="AJ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5" s="21">
        <v>45596</v>
      </c>
      <c r="AL5" s="74">
        <v>45602</v>
      </c>
      <c r="AM5" s="16" cm="1">
        <f t="array" aca="1" ref="AM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5" s="21">
        <f>Tabela1[[#This Row],[DATA PREV - FORMS]]+$AN$1</f>
        <v>45603</v>
      </c>
      <c r="AO5" s="74">
        <v>45596</v>
      </c>
      <c r="AP5" s="16" cm="1">
        <f t="array" aca="1" ref="AP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 s="21">
        <f>Tabela1[[#This Row],[DATA PREV - EXAMES]]+$AQ$1</f>
        <v>45605</v>
      </c>
      <c r="AR5" s="74">
        <v>45621</v>
      </c>
      <c r="AS5" s="15" cm="1">
        <f t="array" aca="1" ref="AS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17</v>
      </c>
      <c r="AT5" s="21">
        <f>Tabela1[[#This Row],[DATA PREV - FORMS]]+$AT$1</f>
        <v>45597</v>
      </c>
      <c r="AU5" s="74">
        <v>45594</v>
      </c>
      <c r="AV5" s="15" cm="1">
        <f t="array" aca="1" ref="AV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5" s="21">
        <f>Tabela1[[#This Row],[DATA PREV - TREINAMENTOS]]+$AW$1</f>
        <v>45604</v>
      </c>
      <c r="AX5" s="74">
        <v>45601</v>
      </c>
      <c r="AY5" s="15" cm="1">
        <f t="array" aca="1" ref="AY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5" s="24">
        <v>45653</v>
      </c>
      <c r="BA5" s="74">
        <v>45600</v>
      </c>
      <c r="BB5" s="15" cm="1">
        <f t="array" aca="1" ref="BB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-52</v>
      </c>
      <c r="BC5" s="21">
        <f>Tabela1[[#This Row],[DATA PREV - CONCL. TREIN.]]+$BC$1</f>
        <v>45606</v>
      </c>
      <c r="BD5" s="74">
        <v>45665</v>
      </c>
      <c r="BE5" s="15" cm="1">
        <f t="array" aca="1" ref="BE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60</v>
      </c>
      <c r="BF5" s="21">
        <f>Tabela1[[#This Row],[DATA PREV - DOSSIÊ]]+$BF$1</f>
        <v>45609</v>
      </c>
      <c r="BG5" s="74">
        <v>45667</v>
      </c>
      <c r="BH5" s="15" cm="1">
        <f t="array" aca="1" ref="BH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59</v>
      </c>
      <c r="BI5" s="21">
        <f>Tabela1[[#This Row],[DATA PREV - POSTAGEM]]+$BI$1</f>
        <v>45615</v>
      </c>
      <c r="BJ5" s="74">
        <v>45680</v>
      </c>
      <c r="BK5" s="15" cm="1">
        <f t="array" aca="1" ref="BK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66</v>
      </c>
      <c r="BL5" s="21">
        <f>Tabela1[[#This Row],[DATA PREV - APROV FINAL]]+$BL$1</f>
        <v>45616</v>
      </c>
      <c r="BM5" s="74">
        <v>45681</v>
      </c>
      <c r="BN5" s="15" cm="1">
        <f t="array" aca="1" ref="BN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66</v>
      </c>
      <c r="BO5" s="80" t="s">
        <v>101</v>
      </c>
    </row>
    <row r="6" spans="2:67" ht="18" hidden="1" customHeight="1" x14ac:dyDescent="0.35">
      <c r="B6" s="14" t="s">
        <v>79</v>
      </c>
      <c r="C6" s="16" t="s">
        <v>93</v>
      </c>
      <c r="D6" s="16" t="s">
        <v>81</v>
      </c>
      <c r="E6" s="16"/>
      <c r="F6" s="16" t="s">
        <v>102</v>
      </c>
      <c r="G6" s="16" cm="1">
        <f t="array" ref="G6">_xlfn.IFS(Tabela1[[#This Row],[STATUS PROCESSO MOBILIZAÇÃO]]="Finalizado",1,Tabela1[[#This Row],[STATUS PROCESSO MOBILIZAÇÃO]]="Cancelado",2,Tabela1[[#This Row],[STATUS PROCESSO MOBILIZAÇÃO]]="Em andamento",3)</f>
        <v>1</v>
      </c>
      <c r="H6" s="16" cm="1">
        <f t="array" aca="1" ref="H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FORMS]]="",$AM6&gt;$AK$1),2,
AND(Tabela1[[#This Row],[STATUS PROCESSO MOBILIZAÇÃO]]="Em andamento",Tabela1[[#This Row],[DATA REAL - FORMS]]="",$AM6&lt;=$AK$1),3,
AND(Tabela1[[#This Row],[STATUS PROCESSO MOBILIZAÇÃO]]="Em andamento",Tabela1[[#This Row],[DATA REAL - FORMS]]&lt;&gt;""),1)</f>
        <v>1</v>
      </c>
      <c r="I6" s="16" cm="1">
        <f t="array" aca="1" ref="I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EXAMES]]="",$AP6&gt;$AN$1),2,
AND(Tabela1[[#This Row],[STATUS PROCESSO MOBILIZAÇÃO]]="Em andamento",Tabela1[[#This Row],[DATA REAL - EXAMES]]="",$AP6&lt;=$AN$1),3,
AND(Tabela1[[#This Row],[STATUS PROCESSO MOBILIZAÇÃO]]="Em andamento",Tabela1[[#This Row],[DATA REAL - EXAMES]]&lt;&gt;""),1)</f>
        <v>1</v>
      </c>
      <c r="J6" s="16" cm="1">
        <f t="array" aca="1" ref="J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ASO]]="",$AS6&gt;$AQ$1),2,
AND(Tabela1[[#This Row],[STATUS PROCESSO MOBILIZAÇÃO]]="Em andamento",Tabela1[[#This Row],[DATA REAL - ASO]]="",$AS6&lt;=$AQ$1),3,
AND(Tabela1[[#This Row],[STATUS PROCESSO MOBILIZAÇÃO]]="Em andamento",Tabela1[[#This Row],[DATA REAL - ASO]]&lt;&gt;""),1)</f>
        <v>1</v>
      </c>
      <c r="K6" s="15" cm="1">
        <f t="array" aca="1" ref="K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TREINAMENTOS]]="",$AV6&gt;$AT$1),2,
AND(Tabela1[[#This Row],[STATUS PROCESSO MOBILIZAÇÃO]]="Em andamento",Tabela1[[#This Row],[DATA REAL - TREINAMENTOS]]="",$AV6&lt;=$AT$1),3,
AND(Tabela1[[#This Row],[STATUS PROCESSO MOBILIZAÇÃO]]="Em andamento",Tabela1[[#This Row],[DATA REAL - TREINAMENTOS]]&lt;&gt;""),1)</f>
        <v>1</v>
      </c>
      <c r="L6" s="15" cm="1">
        <f t="array" aca="1" ref="L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TREIN.]]="",$AY6&gt;$AW$1),2,
AND(Tabela1[[#This Row],[STATUS PROCESSO MOBILIZAÇÃO]]="Em andamento",Tabela1[[#This Row],[DATA REAL - CONCL. TREIN.]]="",$AY6&lt;=$AW$1),3,
AND(Tabela1[[#This Row],[STATUS PROCESSO MOBILIZAÇÃO]]="Em andamento",Tabela1[[#This Row],[DATA REAL - CONCL. TREIN.]]&lt;&gt;""),1)</f>
        <v>1</v>
      </c>
      <c r="M6" s="15" cm="1">
        <f t="array" aca="1" ref="M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CONTRATUAL]]="",$BB6&gt;$AZ$1),2,
AND(Tabela1[[#This Row],[STATUS PROCESSO MOBILIZAÇÃO]]="Em andamento",Tabela1[[#This Row],[DATA FIM - ALTER. CONTRATUAL]]="",$BB6&lt;=$AZ$1),3,
AND(Tabela1[[#This Row],[STATUS PROCESSO MOBILIZAÇÃO]]="Em andamento",Tabela1[[#This Row],[DATA FIM - ALTER. CONTRATUAL]]&lt;&gt;""),1)</f>
        <v>1</v>
      </c>
      <c r="N6" s="16" cm="1">
        <f t="array" aca="1" ref="N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DOSSIÊ]]="",$BE6&gt;$BC$1),2,
AND(Tabela1[[#This Row],[STATUS PROCESSO MOBILIZAÇÃO]]="Em andamento",Tabela1[[#This Row],[DATA REAL - DOSSIÊ]]="",$BE6&lt;=$BC$1),3,
AND(Tabela1[[#This Row],[STATUS PROCESSO MOBILIZAÇÃO]]="Em andamento",Tabela1[[#This Row],[DATA REAL - DOSSIÊ]]&lt;&gt;""),1)</f>
        <v>1</v>
      </c>
      <c r="O6" s="16" cm="1">
        <f t="array" aca="1" ref="O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POSTAGEM]]="",$BH6&gt;$BF$1),2,
AND(Tabela1[[#This Row],[STATUS PROCESSO MOBILIZAÇÃO]]="Em andamento",Tabela1[[#This Row],[DATA REAL - POSTAGEM]]="",$BH6&lt;=$BF$1),3,
AND(Tabela1[[#This Row],[STATUS PROCESSO MOBILIZAÇÃO]]="Em andamento",Tabela1[[#This Row],[DATA REAL - POSTAGEM]]&lt;&gt;""),1)</f>
        <v>1</v>
      </c>
      <c r="P6" s="16" cm="1">
        <f t="array" aca="1" ref="P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FINAL]]="",$BK6&gt;$BI$1),2,
AND(Tabela1[[#This Row],[STATUS PROCESSO MOBILIZAÇÃO]]="Em andamento",Tabela1[[#This Row],[DATA REAL - APROV FINAL]]="",$BK6&lt;=$BI$1),3,
AND(Tabela1[[#This Row],[STATUS PROCESSO MOBILIZAÇÃO]]="Em andamento",Tabela1[[#This Row],[DATA REAL - APROV FINAL]]&lt;&gt;""),1)</f>
        <v>1</v>
      </c>
      <c r="Q6" s="15" cm="1">
        <f t="array" aca="1" ref="Q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CRACHÁ]]="",$BN6&gt;$BL$1),2,
AND(Tabela1[[#This Row],[STATUS PROCESSO MOBILIZAÇÃO]]="Em andamento",Tabela1[[#This Row],[DATA REAL - CRACHÁ]]="",$BN6&lt;=$BL$1),3,
AND(Tabela1[[#This Row],[STATUS PROCESSO MOBILIZAÇÃO]]="Em andamento",Tabela1[[#This Row],[DATA REAL - CRACHÁ]]&lt;&gt;""),1)</f>
        <v>1</v>
      </c>
      <c r="R6" s="21">
        <f>IF(Tabela1[[#This Row],[DATA REAL - FORMS]]&lt;&gt;"",Tabela1[[#This Row],[DATA REAL - FORMS]]+30,Tabela1[[#This Row],[DATA PREV - FORMS]]+35)</f>
        <v>45645</v>
      </c>
      <c r="S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45682</v>
      </c>
      <c r="T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201</v>
      </c>
      <c r="U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151</v>
      </c>
      <c r="V6" s="49">
        <f>MAX(Tabela1[[#This Row],[DATA REAL - POSTAGEM]],Tabela1[[#This Row],[DATA REAL - APROV FINAL]],Tabela1[[#This Row],[DATA REAL - CRACHÁ]])-MIN(Tabela1[[#This Row],[DATA REAL - POSTAGEM]],Tabela1[[#This Row],[DATA REAL - APROV FINAL]],Tabela1[[#This Row],[DATA REAL - CRACHÁ]])+1</f>
        <v>19</v>
      </c>
      <c r="W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 s="15" t="s">
        <v>103</v>
      </c>
      <c r="Y6" s="16" t="s">
        <v>84</v>
      </c>
      <c r="Z6" s="18" t="s">
        <v>104</v>
      </c>
      <c r="AA6" s="18" t="s">
        <v>86</v>
      </c>
      <c r="AB6" s="16" t="s">
        <v>97</v>
      </c>
      <c r="AC6" s="16" t="s">
        <v>88</v>
      </c>
      <c r="AD6" s="16" t="s">
        <v>89</v>
      </c>
      <c r="AE6" s="16" t="s">
        <v>105</v>
      </c>
      <c r="AF6" s="16" t="s">
        <v>106</v>
      </c>
      <c r="AG6" s="16" t="str">
        <f>_xlfn.XLOOKUP(Tabela1[[#This Row],[CÓD. CT]],Controle_Projetos[COD CT],Controle_Projetos[COD PHD],"")</f>
        <v>IMCS-CT07-SEGR</v>
      </c>
      <c r="AH6" s="21">
        <v>45615</v>
      </c>
      <c r="AI6" s="75">
        <v>45481</v>
      </c>
      <c r="AJ6" s="16" t="str" cm="1">
        <f t="array" aca="1" ref="AJ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 s="21">
        <v>45615</v>
      </c>
      <c r="AL6" s="74">
        <v>45615</v>
      </c>
      <c r="AM6" s="16" cm="1">
        <f t="array" aca="1" ref="AM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6" s="21">
        <f>Tabela1[[#This Row],[DATA PREV - FORMS]]+$AN$1</f>
        <v>45622</v>
      </c>
      <c r="AO6" s="74">
        <v>45628</v>
      </c>
      <c r="AP6" s="16" cm="1">
        <f t="array" aca="1" ref="AP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6" s="21">
        <f>Tabela1[[#This Row],[DATA PREV - EXAMES]]+$AQ$1</f>
        <v>45624</v>
      </c>
      <c r="AR6" s="74">
        <v>45628</v>
      </c>
      <c r="AS6" s="15" cm="1">
        <f t="array" aca="1" ref="AS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6" s="21">
        <f>Tabela1[[#This Row],[DATA PREV - FORMS]]+$AT$1</f>
        <v>45616</v>
      </c>
      <c r="AU6" s="74">
        <v>45615</v>
      </c>
      <c r="AV6" s="15" cm="1">
        <f t="array" aca="1" ref="AV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6" s="21">
        <f>Tabela1[[#This Row],[DATA PREV - TREINAMENTOS]]+$AW$1</f>
        <v>45623</v>
      </c>
      <c r="AX6" s="74">
        <v>45626</v>
      </c>
      <c r="AY6" s="15" cm="1">
        <f t="array" aca="1" ref="AY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6" s="24">
        <v>45663</v>
      </c>
      <c r="BA6" s="74">
        <v>45615</v>
      </c>
      <c r="BB6" s="15" cm="1">
        <f t="array" aca="1" ref="BB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-47</v>
      </c>
      <c r="BC6" s="21">
        <f>Tabela1[[#This Row],[DATA PREV - CONCL. TREIN.]]+$BC$1</f>
        <v>45625</v>
      </c>
      <c r="BD6" s="74">
        <v>45632</v>
      </c>
      <c r="BE6" s="15" cm="1">
        <f t="array" aca="1" ref="BE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6" s="21">
        <f>Tabela1[[#This Row],[DATA PREV - DOSSIÊ]]+$BF$1</f>
        <v>45628</v>
      </c>
      <c r="BG6" s="74">
        <v>45664</v>
      </c>
      <c r="BH6" s="15" cm="1">
        <f t="array" aca="1" ref="BH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37</v>
      </c>
      <c r="BI6" s="21">
        <f>Tabela1[[#This Row],[DATA PREV - POSTAGEM]]+$BI$1</f>
        <v>45634</v>
      </c>
      <c r="BJ6" s="74">
        <v>45682</v>
      </c>
      <c r="BK6" s="15" cm="1">
        <f t="array" aca="1" ref="BK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49</v>
      </c>
      <c r="BL6" s="21">
        <f>Tabela1[[#This Row],[DATA PREV - APROV FINAL]]+$BL$1</f>
        <v>45635</v>
      </c>
      <c r="BM6" s="74">
        <v>45682</v>
      </c>
      <c r="BN6" s="15" cm="1">
        <f t="array" aca="1" ref="BN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48</v>
      </c>
      <c r="BO6" s="80" t="s">
        <v>107</v>
      </c>
    </row>
    <row r="7" spans="2:67" ht="18" hidden="1" customHeight="1" x14ac:dyDescent="0.35">
      <c r="B7" s="14" t="s">
        <v>79</v>
      </c>
      <c r="C7" s="16" t="s">
        <v>93</v>
      </c>
      <c r="D7" s="16" t="s">
        <v>108</v>
      </c>
      <c r="E7" s="16"/>
      <c r="F7" s="16" t="s">
        <v>109</v>
      </c>
      <c r="G7" s="16" cm="1">
        <f t="array" ref="G7">_xlfn.IFS(Tabela1[[#This Row],[STATUS PROCESSO MOBILIZAÇÃO]]="Finalizado",1,Tabela1[[#This Row],[STATUS PROCESSO MOBILIZAÇÃO]]="Cancelado",2,Tabela1[[#This Row],[STATUS PROCESSO MOBILIZAÇÃO]]="Em andamento",3)</f>
        <v>1</v>
      </c>
      <c r="H7" s="16" cm="1">
        <f t="array" aca="1" ref="H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FORMS]]="",$AM7&gt;$AK$1),2,
AND(Tabela1[[#This Row],[STATUS PROCESSO MOBILIZAÇÃO]]="Em andamento",Tabela1[[#This Row],[DATA REAL - FORMS]]="",$AM7&lt;=$AK$1),3,
AND(Tabela1[[#This Row],[STATUS PROCESSO MOBILIZAÇÃO]]="Em andamento",Tabela1[[#This Row],[DATA REAL - FORMS]]&lt;&gt;""),1)</f>
        <v>1</v>
      </c>
      <c r="I7" s="16" cm="1">
        <f t="array" aca="1" ref="I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EXAMES]]="",$AP7&gt;$AN$1),2,
AND(Tabela1[[#This Row],[STATUS PROCESSO MOBILIZAÇÃO]]="Em andamento",Tabela1[[#This Row],[DATA REAL - EXAMES]]="",$AP7&lt;=$AN$1),3,
AND(Tabela1[[#This Row],[STATUS PROCESSO MOBILIZAÇÃO]]="Em andamento",Tabela1[[#This Row],[DATA REAL - EXAMES]]&lt;&gt;""),1)</f>
        <v>1</v>
      </c>
      <c r="J7" s="16" cm="1">
        <f t="array" aca="1" ref="J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ASO]]="",$AS7&gt;$AQ$1),2,
AND(Tabela1[[#This Row],[STATUS PROCESSO MOBILIZAÇÃO]]="Em andamento",Tabela1[[#This Row],[DATA REAL - ASO]]="",$AS7&lt;=$AQ$1),3,
AND(Tabela1[[#This Row],[STATUS PROCESSO MOBILIZAÇÃO]]="Em andamento",Tabela1[[#This Row],[DATA REAL - ASO]]&lt;&gt;""),1)</f>
        <v>1</v>
      </c>
      <c r="K7" s="15" cm="1">
        <f t="array" aca="1" ref="K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TREINAMENTOS]]="",$AV7&gt;$AT$1),2,
AND(Tabela1[[#This Row],[STATUS PROCESSO MOBILIZAÇÃO]]="Em andamento",Tabela1[[#This Row],[DATA REAL - TREINAMENTOS]]="",$AV7&lt;=$AT$1),3,
AND(Tabela1[[#This Row],[STATUS PROCESSO MOBILIZAÇÃO]]="Em andamento",Tabela1[[#This Row],[DATA REAL - TREINAMENTOS]]&lt;&gt;""),1)</f>
        <v>1</v>
      </c>
      <c r="L7" s="15" cm="1">
        <f t="array" aca="1" ref="L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TREIN.]]="",$AY7&gt;$AW$1),2,
AND(Tabela1[[#This Row],[STATUS PROCESSO MOBILIZAÇÃO]]="Em andamento",Tabela1[[#This Row],[DATA REAL - CONCL. TREIN.]]="",$AY7&lt;=$AW$1),3,
AND(Tabela1[[#This Row],[STATUS PROCESSO MOBILIZAÇÃO]]="Em andamento",Tabela1[[#This Row],[DATA REAL - CONCL. TREIN.]]&lt;&gt;""),1)</f>
        <v>1</v>
      </c>
      <c r="M7" s="15" cm="1">
        <f t="array" aca="1" ref="M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CONTRATUAL]]="",$BB7&gt;$AZ$1),2,
AND(Tabela1[[#This Row],[STATUS PROCESSO MOBILIZAÇÃO]]="Em andamento",Tabela1[[#This Row],[DATA FIM - ALTER. CONTRATUAL]]="",$BB7&lt;=$AZ$1),3,
AND(Tabela1[[#This Row],[STATUS PROCESSO MOBILIZAÇÃO]]="Em andamento",Tabela1[[#This Row],[DATA FIM - ALTER. CONTRATUAL]]&lt;&gt;""),1)</f>
        <v>1</v>
      </c>
      <c r="N7" s="16" cm="1">
        <f t="array" aca="1" ref="N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DOSSIÊ]]="",$BE7&gt;$BC$1),2,
AND(Tabela1[[#This Row],[STATUS PROCESSO MOBILIZAÇÃO]]="Em andamento",Tabela1[[#This Row],[DATA REAL - DOSSIÊ]]="",$BE7&lt;=$BC$1),3,
AND(Tabela1[[#This Row],[STATUS PROCESSO MOBILIZAÇÃO]]="Em andamento",Tabela1[[#This Row],[DATA REAL - DOSSIÊ]]&lt;&gt;""),1)</f>
        <v>1</v>
      </c>
      <c r="O7" s="16" cm="1">
        <f t="array" aca="1" ref="O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POSTAGEM]]="",$BH7&gt;$BF$1),2,
AND(Tabela1[[#This Row],[STATUS PROCESSO MOBILIZAÇÃO]]="Em andamento",Tabela1[[#This Row],[DATA REAL - POSTAGEM]]="",$BH7&lt;=$BF$1),3,
AND(Tabela1[[#This Row],[STATUS PROCESSO MOBILIZAÇÃO]]="Em andamento",Tabela1[[#This Row],[DATA REAL - POSTAGEM]]&lt;&gt;""),1)</f>
        <v>1</v>
      </c>
      <c r="P7" s="16" cm="1">
        <f t="array" aca="1" ref="P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FINAL]]="",$BK7&gt;$BI$1),2,
AND(Tabela1[[#This Row],[STATUS PROCESSO MOBILIZAÇÃO]]="Em andamento",Tabela1[[#This Row],[DATA REAL - APROV FINAL]]="",$BK7&lt;=$BI$1),3,
AND(Tabela1[[#This Row],[STATUS PROCESSO MOBILIZAÇÃO]]="Em andamento",Tabela1[[#This Row],[DATA REAL - APROV FINAL]]&lt;&gt;""),1)</f>
        <v>1</v>
      </c>
      <c r="Q7" s="15" cm="1">
        <f t="array" aca="1" ref="Q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CRACHÁ]]="",$BN7&gt;$BL$1),2,
AND(Tabela1[[#This Row],[STATUS PROCESSO MOBILIZAÇÃO]]="Em andamento",Tabela1[[#This Row],[DATA REAL - CRACHÁ]]="",$BN7&lt;=$BL$1),3,
AND(Tabela1[[#This Row],[STATUS PROCESSO MOBILIZAÇÃO]]="Em andamento",Tabela1[[#This Row],[DATA REAL - CRACHÁ]]&lt;&gt;""),1)</f>
        <v>1</v>
      </c>
      <c r="R7" s="21">
        <f>IF(Tabela1[[#This Row],[DATA REAL - FORMS]]&lt;&gt;"",Tabela1[[#This Row],[DATA REAL - FORMS]]+30,Tabela1[[#This Row],[DATA PREV - FORMS]]+35)</f>
        <v>45645</v>
      </c>
      <c r="S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45665</v>
      </c>
      <c r="T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89</v>
      </c>
      <c r="U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61</v>
      </c>
      <c r="V7" s="49">
        <f>MAX(Tabela1[[#This Row],[DATA REAL - POSTAGEM]],Tabela1[[#This Row],[DATA REAL - APROV FINAL]],Tabela1[[#This Row],[DATA REAL - CRACHÁ]])-MIN(Tabela1[[#This Row],[DATA REAL - POSTAGEM]],Tabela1[[#This Row],[DATA REAL - APROV FINAL]],Tabela1[[#This Row],[DATA REAL - CRACHÁ]])+1</f>
        <v>6</v>
      </c>
      <c r="W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 s="15" t="s">
        <v>110</v>
      </c>
      <c r="Y7" s="16" t="s">
        <v>84</v>
      </c>
      <c r="Z7" s="18"/>
      <c r="AA7" s="18" t="s">
        <v>86</v>
      </c>
      <c r="AB7" s="16" t="s">
        <v>97</v>
      </c>
      <c r="AC7" s="16" t="s">
        <v>98</v>
      </c>
      <c r="AD7" s="16" t="s">
        <v>89</v>
      </c>
      <c r="AE7" s="16" t="s">
        <v>111</v>
      </c>
      <c r="AF7" s="16" t="s">
        <v>112</v>
      </c>
      <c r="AG7" s="16" t="str">
        <f>_xlfn.XLOOKUP(Tabela1[[#This Row],[CÓD. CT]],Controle_Projetos[COD CT],Controle_Projetos[COD PHD],"")</f>
        <v>SALU-CT09-COBR</v>
      </c>
      <c r="AH7" s="21">
        <v>45615</v>
      </c>
      <c r="AI7" s="75">
        <v>45576</v>
      </c>
      <c r="AJ7" s="16" t="str" cm="1">
        <f t="array" aca="1" ref="AJ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 s="21">
        <v>45617</v>
      </c>
      <c r="AL7" s="74">
        <v>45615</v>
      </c>
      <c r="AM7" s="16" cm="1">
        <f t="array" aca="1" ref="AM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 s="21">
        <f>Tabela1[[#This Row],[DATA PREV - FORMS]]+$AN$1</f>
        <v>45624</v>
      </c>
      <c r="AO7" s="74">
        <v>45617</v>
      </c>
      <c r="AP7" s="16" cm="1">
        <f t="array" aca="1" ref="AP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7" s="21">
        <f>Tabela1[[#This Row],[DATA PREV - EXAMES]]+$AQ$1</f>
        <v>45626</v>
      </c>
      <c r="AR7" s="74">
        <v>45617</v>
      </c>
      <c r="AS7" s="15" cm="1">
        <f t="array" aca="1" ref="AS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7" s="21">
        <f>Tabela1[[#This Row],[DATA PREV - FORMS]]+$AT$1</f>
        <v>45618</v>
      </c>
      <c r="AU7" s="74">
        <v>45615</v>
      </c>
      <c r="AV7" s="15" cm="1">
        <f t="array" aca="1" ref="AV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7" s="21">
        <f>Tabela1[[#This Row],[DATA PREV - TREINAMENTOS]]+$AW$1</f>
        <v>45625</v>
      </c>
      <c r="AX7" s="74">
        <v>45636</v>
      </c>
      <c r="AY7" s="15" cm="1">
        <f t="array" aca="1" ref="AY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12</v>
      </c>
      <c r="AZ7" s="24">
        <v>45670</v>
      </c>
      <c r="BA7" s="74">
        <v>45615</v>
      </c>
      <c r="BB7" s="15" cm="1">
        <f t="array" aca="1" ref="BB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-54</v>
      </c>
      <c r="BC7" s="21">
        <f>Tabela1[[#This Row],[DATA PREV - CONCL. TREIN.]]+$BC$1</f>
        <v>45627</v>
      </c>
      <c r="BD7" s="74">
        <v>45637</v>
      </c>
      <c r="BE7" s="15" cm="1">
        <f t="array" aca="1" ref="BE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7" s="21">
        <f>Tabela1[[#This Row],[DATA PREV - DOSSIÊ]]+$BF$1</f>
        <v>45630</v>
      </c>
      <c r="BG7" s="74">
        <v>45660</v>
      </c>
      <c r="BH7" s="15" cm="1">
        <f t="array" aca="1" ref="BH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31</v>
      </c>
      <c r="BI7" s="21">
        <f>Tabela1[[#This Row],[DATA PREV - POSTAGEM]]+$BI$1</f>
        <v>45636</v>
      </c>
      <c r="BJ7" s="74">
        <v>45665</v>
      </c>
      <c r="BK7" s="15" cm="1">
        <f t="array" aca="1" ref="BK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30</v>
      </c>
      <c r="BL7" s="21">
        <f>Tabela1[[#This Row],[DATA PREV - APROV FINAL]]+$BL$1</f>
        <v>45637</v>
      </c>
      <c r="BM7" s="74">
        <v>45665</v>
      </c>
      <c r="BN7" s="15" cm="1">
        <f t="array" aca="1" ref="BN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29</v>
      </c>
      <c r="BO7" s="80" t="s">
        <v>113</v>
      </c>
    </row>
    <row r="8" spans="2:67" ht="18" hidden="1" customHeight="1" x14ac:dyDescent="0.35">
      <c r="B8" s="14" t="s">
        <v>79</v>
      </c>
      <c r="C8" s="16" t="s">
        <v>93</v>
      </c>
      <c r="D8" s="16" t="s">
        <v>81</v>
      </c>
      <c r="E8" s="16"/>
      <c r="F8" s="16" t="s">
        <v>114</v>
      </c>
      <c r="G8" s="16" cm="1">
        <f t="array" ref="G8">_xlfn.IFS(Tabela1[[#This Row],[STATUS PROCESSO MOBILIZAÇÃO]]="Finalizado",1,Tabela1[[#This Row],[STATUS PROCESSO MOBILIZAÇÃO]]="Cancelado",2,Tabela1[[#This Row],[STATUS PROCESSO MOBILIZAÇÃO]]="Em andamento",3)</f>
        <v>1</v>
      </c>
      <c r="H8" s="16" cm="1">
        <f t="array" aca="1" ref="H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FORMS]]="",$AM8&gt;$AK$1),2,
AND(Tabela1[[#This Row],[STATUS PROCESSO MOBILIZAÇÃO]]="Em andamento",Tabela1[[#This Row],[DATA REAL - FORMS]]="",$AM8&lt;=$AK$1),3,
AND(Tabela1[[#This Row],[STATUS PROCESSO MOBILIZAÇÃO]]="Em andamento",Tabela1[[#This Row],[DATA REAL - FORMS]]&lt;&gt;""),1)</f>
        <v>1</v>
      </c>
      <c r="I8" s="16" cm="1">
        <f t="array" aca="1" ref="I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EXAMES]]="",$AP8&gt;$AN$1),2,
AND(Tabela1[[#This Row],[STATUS PROCESSO MOBILIZAÇÃO]]="Em andamento",Tabela1[[#This Row],[DATA REAL - EXAMES]]="",$AP8&lt;=$AN$1),3,
AND(Tabela1[[#This Row],[STATUS PROCESSO MOBILIZAÇÃO]]="Em andamento",Tabela1[[#This Row],[DATA REAL - EXAMES]]&lt;&gt;""),1)</f>
        <v>1</v>
      </c>
      <c r="J8" s="16" cm="1">
        <f t="array" aca="1" ref="J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ASO]]="",$AS8&gt;$AQ$1),2,
AND(Tabela1[[#This Row],[STATUS PROCESSO MOBILIZAÇÃO]]="Em andamento",Tabela1[[#This Row],[DATA REAL - ASO]]="",$AS8&lt;=$AQ$1),3,
AND(Tabela1[[#This Row],[STATUS PROCESSO MOBILIZAÇÃO]]="Em andamento",Tabela1[[#This Row],[DATA REAL - ASO]]&lt;&gt;""),1)</f>
        <v>1</v>
      </c>
      <c r="K8" s="15" cm="1">
        <f t="array" aca="1" ref="K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TREINAMENTOS]]="",$AV8&gt;$AT$1),2,
AND(Tabela1[[#This Row],[STATUS PROCESSO MOBILIZAÇÃO]]="Em andamento",Tabela1[[#This Row],[DATA REAL - TREINAMENTOS]]="",$AV8&lt;=$AT$1),3,
AND(Tabela1[[#This Row],[STATUS PROCESSO MOBILIZAÇÃO]]="Em andamento",Tabela1[[#This Row],[DATA REAL - TREINAMENTOS]]&lt;&gt;""),1)</f>
        <v>1</v>
      </c>
      <c r="L8" s="15" cm="1">
        <f t="array" aca="1" ref="L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TREIN.]]="",$AY8&gt;$AW$1),2,
AND(Tabela1[[#This Row],[STATUS PROCESSO MOBILIZAÇÃO]]="Em andamento",Tabela1[[#This Row],[DATA REAL - CONCL. TREIN.]]="",$AY8&lt;=$AW$1),3,
AND(Tabela1[[#This Row],[STATUS PROCESSO MOBILIZAÇÃO]]="Em andamento",Tabela1[[#This Row],[DATA REAL - CONCL. TREIN.]]&lt;&gt;""),1)</f>
        <v>1</v>
      </c>
      <c r="M8" s="15" cm="1">
        <f t="array" aca="1" ref="M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CONTRATUAL]]="",$BB8&gt;$AZ$1),2,
AND(Tabela1[[#This Row],[STATUS PROCESSO MOBILIZAÇÃO]]="Em andamento",Tabela1[[#This Row],[DATA FIM - ALTER. CONTRATUAL]]="",$BB8&lt;=$AZ$1),3,
AND(Tabela1[[#This Row],[STATUS PROCESSO MOBILIZAÇÃO]]="Em andamento",Tabela1[[#This Row],[DATA FIM - ALTER. CONTRATUAL]]&lt;&gt;""),1)</f>
        <v>1</v>
      </c>
      <c r="N8" s="16" cm="1">
        <f t="array" aca="1" ref="N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DOSSIÊ]]="",$BE8&gt;$BC$1),2,
AND(Tabela1[[#This Row],[STATUS PROCESSO MOBILIZAÇÃO]]="Em andamento",Tabela1[[#This Row],[DATA REAL - DOSSIÊ]]="",$BE8&lt;=$BC$1),3,
AND(Tabela1[[#This Row],[STATUS PROCESSO MOBILIZAÇÃO]]="Em andamento",Tabela1[[#This Row],[DATA REAL - DOSSIÊ]]&lt;&gt;""),1)</f>
        <v>1</v>
      </c>
      <c r="O8" s="16" cm="1">
        <f t="array" aca="1" ref="O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POSTAGEM]]="",$BH8&gt;$BF$1),2,
AND(Tabela1[[#This Row],[STATUS PROCESSO MOBILIZAÇÃO]]="Em andamento",Tabela1[[#This Row],[DATA REAL - POSTAGEM]]="",$BH8&lt;=$BF$1),3,
AND(Tabela1[[#This Row],[STATUS PROCESSO MOBILIZAÇÃO]]="Em andamento",Tabela1[[#This Row],[DATA REAL - POSTAGEM]]&lt;&gt;""),1)</f>
        <v>1</v>
      </c>
      <c r="P8" s="16" cm="1">
        <f t="array" aca="1" ref="P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FINAL]]="",$BK8&gt;$BI$1),2,
AND(Tabela1[[#This Row],[STATUS PROCESSO MOBILIZAÇÃO]]="Em andamento",Tabela1[[#This Row],[DATA REAL - APROV FINAL]]="",$BK8&lt;=$BI$1),3,
AND(Tabela1[[#This Row],[STATUS PROCESSO MOBILIZAÇÃO]]="Em andamento",Tabela1[[#This Row],[DATA REAL - APROV FINAL]]&lt;&gt;""),1)</f>
        <v>1</v>
      </c>
      <c r="Q8" s="15" cm="1">
        <f t="array" aca="1" ref="Q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CRACHÁ]]="",$BN8&gt;$BL$1),2,
AND(Tabela1[[#This Row],[STATUS PROCESSO MOBILIZAÇÃO]]="Em andamento",Tabela1[[#This Row],[DATA REAL - CRACHÁ]]="",$BN8&lt;=$BL$1),3,
AND(Tabela1[[#This Row],[STATUS PROCESSO MOBILIZAÇÃO]]="Em andamento",Tabela1[[#This Row],[DATA REAL - CRACHÁ]]&lt;&gt;""),1)</f>
        <v>1</v>
      </c>
      <c r="R8" s="21">
        <f>IF(Tabela1[[#This Row],[DATA REAL - FORMS]]&lt;&gt;"",Tabela1[[#This Row],[DATA REAL - FORMS]]+30,Tabela1[[#This Row],[DATA PREV - FORMS]]+35)</f>
        <v>45665</v>
      </c>
      <c r="S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45666</v>
      </c>
      <c r="T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U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v>
      </c>
      <c r="V8" s="49">
        <f>MAX(Tabela1[[#This Row],[DATA REAL - POSTAGEM]],Tabela1[[#This Row],[DATA REAL - APROV FINAL]],Tabela1[[#This Row],[DATA REAL - CRACHÁ]])-MIN(Tabela1[[#This Row],[DATA REAL - POSTAGEM]],Tabela1[[#This Row],[DATA REAL - APROV FINAL]],Tabela1[[#This Row],[DATA REAL - CRACHÁ]])+1</f>
        <v>3</v>
      </c>
      <c r="W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X8" s="15"/>
      <c r="Y8" s="16" t="s">
        <v>84</v>
      </c>
      <c r="Z8" s="18"/>
      <c r="AA8" s="18" t="s">
        <v>86</v>
      </c>
      <c r="AB8" s="16" t="s">
        <v>97</v>
      </c>
      <c r="AC8" s="16" t="s">
        <v>115</v>
      </c>
      <c r="AD8" s="16" t="s">
        <v>89</v>
      </c>
      <c r="AE8" s="16" t="s">
        <v>116</v>
      </c>
      <c r="AF8" s="16" t="s">
        <v>117</v>
      </c>
      <c r="AG8" s="16" t="str">
        <f>_xlfn.XLOOKUP(Tabela1[[#This Row],[CÓD. CT]],Controle_Projetos[COD CT],Controle_Projetos[COD PHD],"")</f>
        <v>GCES-CT01-PLAN</v>
      </c>
      <c r="AH8" s="21">
        <v>45623</v>
      </c>
      <c r="AI8" s="75">
        <v>45635</v>
      </c>
      <c r="AJ8" s="16" cm="1">
        <f t="array" aca="1" ref="AJ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13</v>
      </c>
      <c r="AK8" s="21">
        <v>45622</v>
      </c>
      <c r="AL8" s="74">
        <v>45635</v>
      </c>
      <c r="AM8" s="16" cm="1">
        <f t="array" aca="1" ref="AM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14</v>
      </c>
      <c r="AN8" s="21">
        <f>Tabela1[[#This Row],[DATA PREV - FORMS]]+$AN$1</f>
        <v>45629</v>
      </c>
      <c r="AO8" s="74">
        <v>45638</v>
      </c>
      <c r="AP8" s="16" cm="1">
        <f t="array" aca="1" ref="AP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10</v>
      </c>
      <c r="AQ8" s="21">
        <f>Tabela1[[#This Row],[DATA PREV - EXAMES]]+$AQ$1</f>
        <v>45631</v>
      </c>
      <c r="AR8" s="74">
        <v>45642</v>
      </c>
      <c r="AS8" s="15" cm="1">
        <f t="array" aca="1" ref="AS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12</v>
      </c>
      <c r="AT8" s="21">
        <f>Tabela1[[#This Row],[DATA PREV - FORMS]]+$AT$1</f>
        <v>45623</v>
      </c>
      <c r="AU8" s="74">
        <v>45629</v>
      </c>
      <c r="AV8" s="15" cm="1">
        <f t="array" aca="1" ref="AV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8" s="21">
        <f>Tabela1[[#This Row],[DATA PREV - TREINAMENTOS]]+$AW$1</f>
        <v>45630</v>
      </c>
      <c r="AX8" s="74">
        <v>45632</v>
      </c>
      <c r="AY8" s="15" cm="1">
        <f t="array" aca="1" ref="AY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8" s="24">
        <v>45810</v>
      </c>
      <c r="BA8" s="74">
        <v>45623</v>
      </c>
      <c r="BB8" s="15" cm="1">
        <f t="array" aca="1" ref="BB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-186</v>
      </c>
      <c r="BC8" s="21">
        <f>Tabela1[[#This Row],[DATA PREV - CONCL. TREIN.]]+$BC$1</f>
        <v>45632</v>
      </c>
      <c r="BD8" s="74">
        <v>45642</v>
      </c>
      <c r="BE8" s="15" cm="1">
        <f t="array" aca="1" ref="BE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8" s="21">
        <f>Tabela1[[#This Row],[DATA PREV - DOSSIÊ]]+$BF$1</f>
        <v>45635</v>
      </c>
      <c r="BG8" s="74">
        <v>45664</v>
      </c>
      <c r="BH8" s="15" cm="1">
        <f t="array" aca="1" ref="BH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30</v>
      </c>
      <c r="BI8" s="21">
        <f>Tabela1[[#This Row],[DATA PREV - POSTAGEM]]+$BI$1</f>
        <v>45641</v>
      </c>
      <c r="BJ8" s="74">
        <v>45666</v>
      </c>
      <c r="BK8" s="15" cm="1">
        <f t="array" aca="1" ref="BK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26</v>
      </c>
      <c r="BL8" s="21">
        <f>Tabela1[[#This Row],[DATA PREV - APROV FINAL]]+$BL$1</f>
        <v>45642</v>
      </c>
      <c r="BM8" s="74">
        <v>45666</v>
      </c>
      <c r="BN8" s="15" cm="1">
        <f t="array" aca="1" ref="BN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25</v>
      </c>
      <c r="BO8" s="80" t="s">
        <v>118</v>
      </c>
    </row>
    <row r="9" spans="2:67" ht="18" hidden="1" customHeight="1" x14ac:dyDescent="0.35">
      <c r="B9" s="14" t="s">
        <v>119</v>
      </c>
      <c r="C9" s="16" t="s">
        <v>93</v>
      </c>
      <c r="D9" s="16" t="s">
        <v>119</v>
      </c>
      <c r="E9" s="16"/>
      <c r="F9" s="16" t="s">
        <v>120</v>
      </c>
      <c r="G9" s="16" cm="1">
        <f t="array" ref="G9">_xlfn.IFS(Tabela1[[#This Row],[STATUS PROCESSO MOBILIZAÇÃO]]="Finalizado",1,Tabela1[[#This Row],[STATUS PROCESSO MOBILIZAÇÃO]]="Cancelado",2,Tabela1[[#This Row],[STATUS PROCESSO MOBILIZAÇÃO]]="Em andamento",3)</f>
        <v>2</v>
      </c>
      <c r="H9" s="16" cm="1">
        <f t="array" aca="1" ref="H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FORMS]]="",$AM9&gt;$AK$1),2,
AND(Tabela1[[#This Row],[STATUS PROCESSO MOBILIZAÇÃO]]="Em andamento",Tabela1[[#This Row],[DATA REAL - FORMS]]="",$AM9&lt;=$AK$1),3,
AND(Tabela1[[#This Row],[STATUS PROCESSO MOBILIZAÇÃO]]="Em andamento",Tabela1[[#This Row],[DATA REAL - FORMS]]&lt;&gt;""),1)</f>
        <v>1</v>
      </c>
      <c r="I9" s="16" cm="1">
        <f t="array" aca="1" ref="I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EXAMES]]="",$AP9&gt;$AN$1),2,
AND(Tabela1[[#This Row],[STATUS PROCESSO MOBILIZAÇÃO]]="Em andamento",Tabela1[[#This Row],[DATA REAL - EXAMES]]="",$AP9&lt;=$AN$1),3,
AND(Tabela1[[#This Row],[STATUS PROCESSO MOBILIZAÇÃO]]="Em andamento",Tabela1[[#This Row],[DATA REAL - EXAMES]]&lt;&gt;""),1)</f>
        <v>1</v>
      </c>
      <c r="J9" s="16" cm="1">
        <f t="array" aca="1" ref="J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ASO]]="",$AS9&gt;$AQ$1),2,
AND(Tabela1[[#This Row],[STATUS PROCESSO MOBILIZAÇÃO]]="Em andamento",Tabela1[[#This Row],[DATA REAL - ASO]]="",$AS9&lt;=$AQ$1),3,
AND(Tabela1[[#This Row],[STATUS PROCESSO MOBILIZAÇÃO]]="Em andamento",Tabela1[[#This Row],[DATA REAL - ASO]]&lt;&gt;""),1)</f>
        <v>1</v>
      </c>
      <c r="K9" s="15" cm="1">
        <f t="array" aca="1" ref="K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TREINAMENTOS]]="",$AV9&gt;$AT$1),2,
AND(Tabela1[[#This Row],[STATUS PROCESSO MOBILIZAÇÃO]]="Em andamento",Tabela1[[#This Row],[DATA REAL - TREINAMENTOS]]="",$AV9&lt;=$AT$1),3,
AND(Tabela1[[#This Row],[STATUS PROCESSO MOBILIZAÇÃO]]="Em andamento",Tabela1[[#This Row],[DATA REAL - TREINAMENTOS]]&lt;&gt;""),1)</f>
        <v>1</v>
      </c>
      <c r="L9" s="15" cm="1">
        <f t="array" aca="1" ref="L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TREIN.]]="",$AY9&gt;$AW$1),2,
AND(Tabela1[[#This Row],[STATUS PROCESSO MOBILIZAÇÃO]]="Em andamento",Tabela1[[#This Row],[DATA REAL - CONCL. TREIN.]]="",$AY9&lt;=$AW$1),3,
AND(Tabela1[[#This Row],[STATUS PROCESSO MOBILIZAÇÃO]]="Em andamento",Tabela1[[#This Row],[DATA REAL - CONCL. TREIN.]]&lt;&gt;""),1)</f>
        <v>1</v>
      </c>
      <c r="M9" s="15" cm="1">
        <f t="array" aca="1" ref="M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CONTRATUAL]]="",$BB9&gt;$AZ$1),2,
AND(Tabela1[[#This Row],[STATUS PROCESSO MOBILIZAÇÃO]]="Em andamento",Tabela1[[#This Row],[DATA FIM - ALTER. CONTRATUAL]]="",$BB9&lt;=$AZ$1),3,
AND(Tabela1[[#This Row],[STATUS PROCESSO MOBILIZAÇÃO]]="Em andamento",Tabela1[[#This Row],[DATA FIM - ALTER. CONTRATUAL]]&lt;&gt;""),1)</f>
        <v>1</v>
      </c>
      <c r="N9" s="16" cm="1">
        <f t="array" aca="1" ref="N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DOSSIÊ]]="",$BE9&gt;$BC$1),2,
AND(Tabela1[[#This Row],[STATUS PROCESSO MOBILIZAÇÃO]]="Em andamento",Tabela1[[#This Row],[DATA REAL - DOSSIÊ]]="",$BE9&lt;=$BC$1),3,
AND(Tabela1[[#This Row],[STATUS PROCESSO MOBILIZAÇÃO]]="Em andamento",Tabela1[[#This Row],[DATA REAL - DOSSIÊ]]&lt;&gt;""),1)</f>
        <v>1</v>
      </c>
      <c r="O9" s="16" cm="1">
        <f t="array" aca="1" ref="O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POSTAGEM]]="",$BH9&gt;$BF$1),2,
AND(Tabela1[[#This Row],[STATUS PROCESSO MOBILIZAÇÃO]]="Em andamento",Tabela1[[#This Row],[DATA REAL - POSTAGEM]]="",$BH9&lt;=$BF$1),3,
AND(Tabela1[[#This Row],[STATUS PROCESSO MOBILIZAÇÃO]]="Em andamento",Tabela1[[#This Row],[DATA REAL - POSTAGEM]]&lt;&gt;""),1)</f>
        <v>0</v>
      </c>
      <c r="P9" s="16" cm="1">
        <f t="array" aca="1" ref="P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FINAL]]="",$BK9&gt;$BI$1),2,
AND(Tabela1[[#This Row],[STATUS PROCESSO MOBILIZAÇÃO]]="Em andamento",Tabela1[[#This Row],[DATA REAL - APROV FINAL]]="",$BK9&lt;=$BI$1),3,
AND(Tabela1[[#This Row],[STATUS PROCESSO MOBILIZAÇÃO]]="Em andamento",Tabela1[[#This Row],[DATA REAL - APROV FINAL]]&lt;&gt;""),1)</f>
        <v>0</v>
      </c>
      <c r="Q9" s="15" cm="1">
        <f t="array" aca="1" ref="Q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CRACHÁ]]="",$BN9&gt;$BL$1),2,
AND(Tabela1[[#This Row],[STATUS PROCESSO MOBILIZAÇÃO]]="Em andamento",Tabela1[[#This Row],[DATA REAL - CRACHÁ]]="",$BN9&lt;=$BL$1),3,
AND(Tabela1[[#This Row],[STATUS PROCESSO MOBILIZAÇÃO]]="Em andamento",Tabela1[[#This Row],[DATA REAL - CRACHÁ]]&lt;&gt;""),1)</f>
        <v>1</v>
      </c>
      <c r="R9" s="21">
        <f>IF(Tabela1[[#This Row],[DATA REAL - FORMS]]&lt;&gt;"",Tabela1[[#This Row],[DATA REAL - FORMS]]+30,Tabela1[[#This Row],[DATA PREV - FORMS]]+35)</f>
        <v>45666</v>
      </c>
      <c r="S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45665</v>
      </c>
      <c r="T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385</v>
      </c>
      <c r="U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372</v>
      </c>
      <c r="V9" s="49">
        <f>MAX(Tabela1[[#This Row],[DATA REAL - POSTAGEM]],Tabela1[[#This Row],[DATA REAL - APROV FINAL]],Tabela1[[#This Row],[DATA REAL - CRACHÁ]])-MIN(Tabela1[[#This Row],[DATA REAL - POSTAGEM]],Tabela1[[#This Row],[DATA REAL - APROV FINAL]],Tabela1[[#This Row],[DATA REAL - CRACHÁ]])+1</f>
        <v>1</v>
      </c>
      <c r="W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 s="15" t="s">
        <v>121</v>
      </c>
      <c r="Y9" s="16" t="s">
        <v>122</v>
      </c>
      <c r="Z9" s="18" t="s">
        <v>123</v>
      </c>
      <c r="AA9" s="18" t="s">
        <v>124</v>
      </c>
      <c r="AB9" s="16" t="s">
        <v>97</v>
      </c>
      <c r="AC9" s="16" t="s">
        <v>125</v>
      </c>
      <c r="AD9" s="16" t="s">
        <v>89</v>
      </c>
      <c r="AE9" s="16" t="s">
        <v>126</v>
      </c>
      <c r="AF9" s="16" t="s">
        <v>127</v>
      </c>
      <c r="AG9" s="16" t="str">
        <f>_xlfn.XLOOKUP(Tabela1[[#This Row],[CÓD. CT]],Controle_Projetos[COD CT],Controle_Projetos[COD PHD],"")</f>
        <v>CIMC-CT02-CCMD</v>
      </c>
      <c r="AH9" s="21">
        <v>45637</v>
      </c>
      <c r="AI9" s="75">
        <v>45280</v>
      </c>
      <c r="AJ9" s="16" t="str" cm="1">
        <f t="array" aca="1" ref="AJ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 s="21">
        <v>45637</v>
      </c>
      <c r="AL9" s="74">
        <v>45636</v>
      </c>
      <c r="AM9" s="16" cm="1">
        <f t="array" aca="1" ref="AM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9" s="21">
        <f>Tabela1[[#This Row],[DATA PREV - FORMS]]+$AN$1</f>
        <v>45644</v>
      </c>
      <c r="AO9" s="74">
        <v>45637</v>
      </c>
      <c r="AP9" s="16" cm="1">
        <f t="array" aca="1" ref="AP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9" s="21">
        <f>Tabela1[[#This Row],[DATA PREV - EXAMES]]+$AQ$1</f>
        <v>45646</v>
      </c>
      <c r="AR9" s="74">
        <v>45645</v>
      </c>
      <c r="AS9" s="15" cm="1">
        <f t="array" aca="1" ref="AS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9" s="21">
        <f>Tabela1[[#This Row],[DATA PREV - FORMS]]+$AT$1</f>
        <v>45638</v>
      </c>
      <c r="AU9" s="74">
        <v>45638</v>
      </c>
      <c r="AV9" s="15" cm="1">
        <f t="array" aca="1" ref="AV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9" s="21">
        <f>Tabela1[[#This Row],[DATA PREV - TREINAMENTOS]]+$AW$1</f>
        <v>45645</v>
      </c>
      <c r="AX9" s="74">
        <v>45643</v>
      </c>
      <c r="AY9" s="15" cm="1">
        <f t="array" aca="1" ref="AY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9" s="24">
        <v>45747</v>
      </c>
      <c r="BA9" s="74">
        <v>45637</v>
      </c>
      <c r="BB9" s="15" cm="1">
        <f t="array" aca="1" ref="BB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-109</v>
      </c>
      <c r="BC9" s="21">
        <f>Tabela1[[#This Row],[DATA PREV - CONCL. TREIN.]]+$BC$1</f>
        <v>45647</v>
      </c>
      <c r="BD9" s="74">
        <v>45652</v>
      </c>
      <c r="BE9" s="15" cm="1">
        <f t="array" aca="1" ref="BE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9" s="21">
        <f>Tabela1[[#This Row],[DATA PREV - DOSSIÊ]]+$BF$1</f>
        <v>45650</v>
      </c>
      <c r="BG9" s="74"/>
      <c r="BH9" s="15" cm="1">
        <f t="array" aca="1" ref="BH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9" s="21">
        <f>Tabela1[[#This Row],[DATA PREV - POSTAGEM]]+$BI$1</f>
        <v>45656</v>
      </c>
      <c r="BJ9" s="74"/>
      <c r="BK9" s="15" cm="1">
        <f t="array" aca="1" ref="BK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9" s="21">
        <f>Tabela1[[#This Row],[DATA PREV - APROV FINAL]]+$BL$1</f>
        <v>45657</v>
      </c>
      <c r="BM9" s="74">
        <v>45665</v>
      </c>
      <c r="BN9" s="15" cm="1">
        <f t="array" aca="1" ref="BN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9" s="80" t="s">
        <v>128</v>
      </c>
    </row>
    <row r="10" spans="2:67" ht="18" hidden="1" customHeight="1" x14ac:dyDescent="0.35">
      <c r="B10" s="14" t="s">
        <v>79</v>
      </c>
      <c r="C10" s="16" t="s">
        <v>93</v>
      </c>
      <c r="D10" s="16" t="s">
        <v>81</v>
      </c>
      <c r="E10" s="16"/>
      <c r="F10" s="16" t="s">
        <v>129</v>
      </c>
      <c r="G10" s="16" cm="1">
        <f t="array" ref="G10">_xlfn.IFS(Tabela1[[#This Row],[STATUS PROCESSO MOBILIZAÇÃO]]="Finalizado",1,Tabela1[[#This Row],[STATUS PROCESSO MOBILIZAÇÃO]]="Cancelado",2,Tabela1[[#This Row],[STATUS PROCESSO MOBILIZAÇÃO]]="Em andamento",3)</f>
        <v>1</v>
      </c>
      <c r="H10" s="16" cm="1">
        <f t="array" aca="1" ref="H1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FORMS]]="",$AM10&gt;$AK$1),2,
AND(Tabela1[[#This Row],[STATUS PROCESSO MOBILIZAÇÃO]]="Em andamento",Tabela1[[#This Row],[DATA REAL - FORMS]]="",$AM10&lt;=$AK$1),3,
AND(Tabela1[[#This Row],[STATUS PROCESSO MOBILIZAÇÃO]]="Em andamento",Tabela1[[#This Row],[DATA REAL - FORMS]]&lt;&gt;""),1)</f>
        <v>1</v>
      </c>
      <c r="I10" s="16" cm="1">
        <f t="array" aca="1" ref="I1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EXAMES]]="",$AP10&gt;$AN$1),2,
AND(Tabela1[[#This Row],[STATUS PROCESSO MOBILIZAÇÃO]]="Em andamento",Tabela1[[#This Row],[DATA REAL - EXAMES]]="",$AP10&lt;=$AN$1),3,
AND(Tabela1[[#This Row],[STATUS PROCESSO MOBILIZAÇÃO]]="Em andamento",Tabela1[[#This Row],[DATA REAL - EXAMES]]&lt;&gt;""),1)</f>
        <v>1</v>
      </c>
      <c r="J10" s="16" cm="1">
        <f t="array" aca="1" ref="J1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ASO]]="",$AS10&gt;$AQ$1),2,
AND(Tabela1[[#This Row],[STATUS PROCESSO MOBILIZAÇÃO]]="Em andamento",Tabela1[[#This Row],[DATA REAL - ASO]]="",$AS10&lt;=$AQ$1),3,
AND(Tabela1[[#This Row],[STATUS PROCESSO MOBILIZAÇÃO]]="Em andamento",Tabela1[[#This Row],[DATA REAL - ASO]]&lt;&gt;""),1)</f>
        <v>1</v>
      </c>
      <c r="K10" s="15" cm="1">
        <f t="array" aca="1" ref="K1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TREINAMENTOS]]="",$AV10&gt;$AT$1),2,
AND(Tabela1[[#This Row],[STATUS PROCESSO MOBILIZAÇÃO]]="Em andamento",Tabela1[[#This Row],[DATA REAL - TREINAMENTOS]]="",$AV10&lt;=$AT$1),3,
AND(Tabela1[[#This Row],[STATUS PROCESSO MOBILIZAÇÃO]]="Em andamento",Tabela1[[#This Row],[DATA REAL - TREINAMENTOS]]&lt;&gt;""),1)</f>
        <v>1</v>
      </c>
      <c r="L10" s="15" cm="1">
        <f t="array" aca="1" ref="L1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TREIN.]]="",$AY10&gt;$AW$1),2,
AND(Tabela1[[#This Row],[STATUS PROCESSO MOBILIZAÇÃO]]="Em andamento",Tabela1[[#This Row],[DATA REAL - CONCL. TREIN.]]="",$AY10&lt;=$AW$1),3,
AND(Tabela1[[#This Row],[STATUS PROCESSO MOBILIZAÇÃO]]="Em andamento",Tabela1[[#This Row],[DATA REAL - CONCL. TREIN.]]&lt;&gt;""),1)</f>
        <v>1</v>
      </c>
      <c r="M10" s="15" cm="1">
        <f t="array" aca="1" ref="M1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CONTRATUAL]]="",$BB10&gt;$AZ$1),2,
AND(Tabela1[[#This Row],[STATUS PROCESSO MOBILIZAÇÃO]]="Em andamento",Tabela1[[#This Row],[DATA FIM - ALTER. CONTRATUAL]]="",$BB10&lt;=$AZ$1),3,
AND(Tabela1[[#This Row],[STATUS PROCESSO MOBILIZAÇÃO]]="Em andamento",Tabela1[[#This Row],[DATA FIM - ALTER. CONTRATUAL]]&lt;&gt;""),1)</f>
        <v>1</v>
      </c>
      <c r="N10" s="16" cm="1">
        <f t="array" aca="1" ref="N1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DOSSIÊ]]="",$BE10&gt;$BC$1),2,
AND(Tabela1[[#This Row],[STATUS PROCESSO MOBILIZAÇÃO]]="Em andamento",Tabela1[[#This Row],[DATA REAL - DOSSIÊ]]="",$BE10&lt;=$BC$1),3,
AND(Tabela1[[#This Row],[STATUS PROCESSO MOBILIZAÇÃO]]="Em andamento",Tabela1[[#This Row],[DATA REAL - DOSSIÊ]]&lt;&gt;""),1)</f>
        <v>1</v>
      </c>
      <c r="O10" s="16" cm="1">
        <f t="array" aca="1" ref="O1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POSTAGEM]]="",$BH10&gt;$BF$1),2,
AND(Tabela1[[#This Row],[STATUS PROCESSO MOBILIZAÇÃO]]="Em andamento",Tabela1[[#This Row],[DATA REAL - POSTAGEM]]="",$BH10&lt;=$BF$1),3,
AND(Tabela1[[#This Row],[STATUS PROCESSO MOBILIZAÇÃO]]="Em andamento",Tabela1[[#This Row],[DATA REAL - POSTAGEM]]&lt;&gt;""),1)</f>
        <v>1</v>
      </c>
      <c r="P10" s="16" cm="1">
        <f t="array" aca="1" ref="P1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FINAL]]="",$BK10&gt;$BI$1),2,
AND(Tabela1[[#This Row],[STATUS PROCESSO MOBILIZAÇÃO]]="Em andamento",Tabela1[[#This Row],[DATA REAL - APROV FINAL]]="",$BK10&lt;=$BI$1),3,
AND(Tabela1[[#This Row],[STATUS PROCESSO MOBILIZAÇÃO]]="Em andamento",Tabela1[[#This Row],[DATA REAL - APROV FINAL]]&lt;&gt;""),1)</f>
        <v>1</v>
      </c>
      <c r="Q10" s="15" cm="1">
        <f t="array" aca="1" ref="Q1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CRACHÁ]]="",$BN10&gt;$BL$1),2,
AND(Tabela1[[#This Row],[STATUS PROCESSO MOBILIZAÇÃO]]="Em andamento",Tabela1[[#This Row],[DATA REAL - CRACHÁ]]="",$BN10&lt;=$BL$1),3,
AND(Tabela1[[#This Row],[STATUS PROCESSO MOBILIZAÇÃO]]="Em andamento",Tabela1[[#This Row],[DATA REAL - CRACHÁ]]&lt;&gt;""),1)</f>
        <v>1</v>
      </c>
      <c r="R10" s="21">
        <f>IF(Tabela1[[#This Row],[DATA REAL - FORMS]]&lt;&gt;"",Tabela1[[#This Row],[DATA REAL - FORMS]]+30,Tabela1[[#This Row],[DATA PREV - FORMS]]+35)</f>
        <v>45674</v>
      </c>
      <c r="S1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45672</v>
      </c>
      <c r="T1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34</v>
      </c>
      <c r="U1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33</v>
      </c>
      <c r="V10" s="49">
        <f>MAX(Tabela1[[#This Row],[DATA REAL - POSTAGEM]],Tabela1[[#This Row],[DATA REAL - APROV FINAL]],Tabela1[[#This Row],[DATA REAL - CRACHÁ]])-MIN(Tabela1[[#This Row],[DATA REAL - POSTAGEM]],Tabela1[[#This Row],[DATA REAL - APROV FINAL]],Tabela1[[#This Row],[DATA REAL - CRACHÁ]])+1</f>
        <v>21</v>
      </c>
      <c r="W1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v>
      </c>
      <c r="X10" s="15" t="s">
        <v>130</v>
      </c>
      <c r="Y10" s="16" t="s">
        <v>130</v>
      </c>
      <c r="Z10" s="18" t="s">
        <v>131</v>
      </c>
      <c r="AA10" s="18" t="s">
        <v>131</v>
      </c>
      <c r="AB10" s="16" t="s">
        <v>97</v>
      </c>
      <c r="AC10" s="16" t="s">
        <v>132</v>
      </c>
      <c r="AD10" s="16" t="s">
        <v>132</v>
      </c>
      <c r="AE10" s="16" t="s">
        <v>133</v>
      </c>
      <c r="AF10" s="16" t="s">
        <v>134</v>
      </c>
      <c r="AG10" s="16" t="str">
        <f>_xlfn.XLOOKUP(Tabela1[[#This Row],[CÓD. CT]],Controle_Projetos[COD CT],Controle_Projetos[COD PHD],"")</f>
        <v>GERD-CT05-TARU</v>
      </c>
      <c r="AH10" s="21">
        <v>45645</v>
      </c>
      <c r="AI10" s="75">
        <v>45642</v>
      </c>
      <c r="AJ10" s="16" t="str" cm="1">
        <f t="array" aca="1" ref="AJ1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 s="21">
        <v>45645</v>
      </c>
      <c r="AL10" s="74">
        <v>45644</v>
      </c>
      <c r="AM10" s="16" cm="1">
        <f t="array" aca="1" ref="AM1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10" s="21">
        <f>Tabela1[[#This Row],[DATA PREV - FORMS]]+$AN$1</f>
        <v>45652</v>
      </c>
      <c r="AO10" s="74">
        <v>45652</v>
      </c>
      <c r="AP10" s="16" cm="1">
        <f t="array" aca="1" ref="AP1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0" s="21">
        <f>Tabela1[[#This Row],[DATA PREV - EXAMES]]+$AQ$1</f>
        <v>45654</v>
      </c>
      <c r="AR10" s="74">
        <v>45652</v>
      </c>
      <c r="AS10" s="15" cm="1">
        <f t="array" aca="1" ref="AS1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0" s="21">
        <f>Tabela1[[#This Row],[DATA PREV - FORMS]]+$AT$1</f>
        <v>45646</v>
      </c>
      <c r="AU10" s="74">
        <v>45638</v>
      </c>
      <c r="AV10" s="15" cm="1">
        <f t="array" aca="1" ref="AV1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10" s="21">
        <f>Tabela1[[#This Row],[DATA PREV - TREINAMENTOS]]+$AW$1</f>
        <v>45653</v>
      </c>
      <c r="AX10" s="74">
        <v>45671</v>
      </c>
      <c r="AY10" s="15" cm="1">
        <f t="array" aca="1" ref="AY1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19</v>
      </c>
      <c r="AZ10" s="24">
        <v>45623</v>
      </c>
      <c r="BA10" s="74">
        <v>45645</v>
      </c>
      <c r="BB10" s="15" cm="1">
        <f t="array" aca="1" ref="BB1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23</v>
      </c>
      <c r="BC10" s="21">
        <f>Tabela1[[#This Row],[DATA PREV - CONCL. TREIN.]]+$BC$1</f>
        <v>45655</v>
      </c>
      <c r="BD10" s="74">
        <v>45652</v>
      </c>
      <c r="BE10" s="15" cm="1">
        <f t="array" aca="1" ref="BE1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0" s="21">
        <f>Tabela1[[#This Row],[DATA PREV - DOSSIÊ]]+$BF$1</f>
        <v>45658</v>
      </c>
      <c r="BG10" s="74">
        <v>45652</v>
      </c>
      <c r="BH10" s="15" cm="1">
        <f t="array" aca="1" ref="BH1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0" s="21">
        <f>Tabela1[[#This Row],[DATA PREV - POSTAGEM]]+$BI$1</f>
        <v>45664</v>
      </c>
      <c r="BJ10" s="74">
        <v>45659</v>
      </c>
      <c r="BK10" s="15" cm="1">
        <f t="array" aca="1" ref="BK1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0" s="21">
        <f>Tabela1[[#This Row],[DATA PREV - APROV FINAL]]+$BL$1</f>
        <v>45665</v>
      </c>
      <c r="BM10" s="74">
        <v>45672</v>
      </c>
      <c r="BN10" s="15" cm="1">
        <f t="array" aca="1" ref="BN1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0" s="80" t="s">
        <v>135</v>
      </c>
    </row>
    <row r="11" spans="2:67" ht="18" hidden="1" customHeight="1" x14ac:dyDescent="0.35">
      <c r="B11" s="14" t="s">
        <v>119</v>
      </c>
      <c r="C11" s="16" t="s">
        <v>136</v>
      </c>
      <c r="D11" s="16" t="s">
        <v>119</v>
      </c>
      <c r="E11" s="16"/>
      <c r="F11" s="16" t="s">
        <v>137</v>
      </c>
      <c r="G11" s="16" cm="1">
        <f t="array" ref="G11">_xlfn.IFS(Tabela1[[#This Row],[STATUS PROCESSO MOBILIZAÇÃO]]="Finalizado",1,Tabela1[[#This Row],[STATUS PROCESSO MOBILIZAÇÃO]]="Cancelado",2,Tabela1[[#This Row],[STATUS PROCESSO MOBILIZAÇÃO]]="Em andamento",3)</f>
        <v>2</v>
      </c>
      <c r="H11" s="16" cm="1">
        <f t="array" aca="1" ref="H1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FORMS]]="",$AM11&gt;$AK$1),2,
AND(Tabela1[[#This Row],[STATUS PROCESSO MOBILIZAÇÃO]]="Em andamento",Tabela1[[#This Row],[DATA REAL - FORMS]]="",$AM11&lt;=$AK$1),3,
AND(Tabela1[[#This Row],[STATUS PROCESSO MOBILIZAÇÃO]]="Em andamento",Tabela1[[#This Row],[DATA REAL - FORMS]]&lt;&gt;""),1)</f>
        <v>1</v>
      </c>
      <c r="I11" s="16" cm="1">
        <f t="array" aca="1" ref="I1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EXAMES]]="",$AP11&gt;$AN$1),2,
AND(Tabela1[[#This Row],[STATUS PROCESSO MOBILIZAÇÃO]]="Em andamento",Tabela1[[#This Row],[DATA REAL - EXAMES]]="",$AP11&lt;=$AN$1),3,
AND(Tabela1[[#This Row],[STATUS PROCESSO MOBILIZAÇÃO]]="Em andamento",Tabela1[[#This Row],[DATA REAL - EXAMES]]&lt;&gt;""),1)</f>
        <v>1</v>
      </c>
      <c r="J11" s="16" cm="1">
        <f t="array" aca="1" ref="J1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ASO]]="",$AS11&gt;$AQ$1),2,
AND(Tabela1[[#This Row],[STATUS PROCESSO MOBILIZAÇÃO]]="Em andamento",Tabela1[[#This Row],[DATA REAL - ASO]]="",$AS11&lt;=$AQ$1),3,
AND(Tabela1[[#This Row],[STATUS PROCESSO MOBILIZAÇÃO]]="Em andamento",Tabela1[[#This Row],[DATA REAL - ASO]]&lt;&gt;""),1)</f>
        <v>1</v>
      </c>
      <c r="K11" s="15" cm="1">
        <f t="array" aca="1" ref="K1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TREINAMENTOS]]="",$AV11&gt;$AT$1),2,
AND(Tabela1[[#This Row],[STATUS PROCESSO MOBILIZAÇÃO]]="Em andamento",Tabela1[[#This Row],[DATA REAL - TREINAMENTOS]]="",$AV11&lt;=$AT$1),3,
AND(Tabela1[[#This Row],[STATUS PROCESSO MOBILIZAÇÃO]]="Em andamento",Tabela1[[#This Row],[DATA REAL - TREINAMENTOS]]&lt;&gt;""),1)</f>
        <v>1</v>
      </c>
      <c r="L11" s="15" cm="1">
        <f t="array" aca="1" ref="L1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TREIN.]]="",$AY11&gt;$AW$1),2,
AND(Tabela1[[#This Row],[STATUS PROCESSO MOBILIZAÇÃO]]="Em andamento",Tabela1[[#This Row],[DATA REAL - CONCL. TREIN.]]="",$AY11&lt;=$AW$1),3,
AND(Tabela1[[#This Row],[STATUS PROCESSO MOBILIZAÇÃO]]="Em andamento",Tabela1[[#This Row],[DATA REAL - CONCL. TREIN.]]&lt;&gt;""),1)</f>
        <v>1</v>
      </c>
      <c r="M11" s="15" cm="1">
        <f t="array" aca="1" ref="M1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CONTRATUAL]]="",$BB11&gt;$AZ$1),2,
AND(Tabela1[[#This Row],[STATUS PROCESSO MOBILIZAÇÃO]]="Em andamento",Tabela1[[#This Row],[DATA FIM - ALTER. CONTRATUAL]]="",$BB11&lt;=$AZ$1),3,
AND(Tabela1[[#This Row],[STATUS PROCESSO MOBILIZAÇÃO]]="Em andamento",Tabela1[[#This Row],[DATA FIM - ALTER. CONTRATUAL]]&lt;&gt;""),1)</f>
        <v>0</v>
      </c>
      <c r="N11" s="16" cm="1">
        <f t="array" aca="1" ref="N1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DOSSIÊ]]="",$BE11&gt;$BC$1),2,
AND(Tabela1[[#This Row],[STATUS PROCESSO MOBILIZAÇÃO]]="Em andamento",Tabela1[[#This Row],[DATA REAL - DOSSIÊ]]="",$BE11&lt;=$BC$1),3,
AND(Tabela1[[#This Row],[STATUS PROCESSO MOBILIZAÇÃO]]="Em andamento",Tabela1[[#This Row],[DATA REAL - DOSSIÊ]]&lt;&gt;""),1)</f>
        <v>1</v>
      </c>
      <c r="O11" s="16" cm="1">
        <f t="array" aca="1" ref="O1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POSTAGEM]]="",$BH11&gt;$BF$1),2,
AND(Tabela1[[#This Row],[STATUS PROCESSO MOBILIZAÇÃO]]="Em andamento",Tabela1[[#This Row],[DATA REAL - POSTAGEM]]="",$BH11&lt;=$BF$1),3,
AND(Tabela1[[#This Row],[STATUS PROCESSO MOBILIZAÇÃO]]="Em andamento",Tabela1[[#This Row],[DATA REAL - POSTAGEM]]&lt;&gt;""),1)</f>
        <v>0</v>
      </c>
      <c r="P11" s="16" cm="1">
        <f t="array" aca="1" ref="P1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FINAL]]="",$BK11&gt;$BI$1),2,
AND(Tabela1[[#This Row],[STATUS PROCESSO MOBILIZAÇÃO]]="Em andamento",Tabela1[[#This Row],[DATA REAL - APROV FINAL]]="",$BK11&lt;=$BI$1),3,
AND(Tabela1[[#This Row],[STATUS PROCESSO MOBILIZAÇÃO]]="Em andamento",Tabela1[[#This Row],[DATA REAL - APROV FINAL]]&lt;&gt;""),1)</f>
        <v>0</v>
      </c>
      <c r="Q11" s="15" cm="1">
        <f t="array" aca="1" ref="Q1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CRACHÁ]]="",$BN11&gt;$BL$1),2,
AND(Tabela1[[#This Row],[STATUS PROCESSO MOBILIZAÇÃO]]="Em andamento",Tabela1[[#This Row],[DATA REAL - CRACHÁ]]="",$BN11&lt;=$BL$1),3,
AND(Tabela1[[#This Row],[STATUS PROCESSO MOBILIZAÇÃO]]="Em andamento",Tabela1[[#This Row],[DATA REAL - CRACHÁ]]&lt;&gt;""),1)</f>
        <v>1</v>
      </c>
      <c r="R11" s="21">
        <f>IF(Tabela1[[#This Row],[DATA REAL - FORMS]]&lt;&gt;"",Tabela1[[#This Row],[DATA REAL - FORMS]]+30,Tabela1[[#This Row],[DATA PREV - FORMS]]+35)</f>
        <v>45676</v>
      </c>
      <c r="S1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45677</v>
      </c>
      <c r="T1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51</v>
      </c>
      <c r="U1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44</v>
      </c>
      <c r="V11" s="49">
        <f>MAX(Tabela1[[#This Row],[DATA REAL - POSTAGEM]],Tabela1[[#This Row],[DATA REAL - APROV FINAL]],Tabela1[[#This Row],[DATA REAL - CRACHÁ]])-MIN(Tabela1[[#This Row],[DATA REAL - POSTAGEM]],Tabela1[[#This Row],[DATA REAL - APROV FINAL]],Tabela1[[#This Row],[DATA REAL - CRACHÁ]])+1</f>
        <v>1</v>
      </c>
      <c r="W1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 s="15" t="s">
        <v>83</v>
      </c>
      <c r="Y11" s="16" t="s">
        <v>84</v>
      </c>
      <c r="Z11" s="18" t="s">
        <v>85</v>
      </c>
      <c r="AA11" s="18" t="s">
        <v>86</v>
      </c>
      <c r="AB11" s="16" t="s">
        <v>97</v>
      </c>
      <c r="AC11" s="16" t="s">
        <v>138</v>
      </c>
      <c r="AD11" s="16" t="s">
        <v>139</v>
      </c>
      <c r="AE11" s="16" t="s">
        <v>140</v>
      </c>
      <c r="AF11" s="16" t="s">
        <v>141</v>
      </c>
      <c r="AG11" s="16" t="str">
        <f>_xlfn.XLOOKUP(Tabela1[[#This Row],[CÓD. CT]],Controle_Projetos[COD CT],Controle_Projetos[COD PHD],"")</f>
        <v>ATRI-CT02-PLAN</v>
      </c>
      <c r="AH11" s="21">
        <v>45636</v>
      </c>
      <c r="AI11" s="75">
        <v>45626</v>
      </c>
      <c r="AJ11" s="16" t="str" cm="1">
        <f t="array" aca="1" ref="AJ1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 s="21">
        <v>45646</v>
      </c>
      <c r="AL11" s="74">
        <v>45646</v>
      </c>
      <c r="AM11" s="16" cm="1">
        <f t="array" aca="1" ref="AM1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 s="21">
        <f>Tabela1[[#This Row],[DATA PREV - FORMS]]+$AN$1</f>
        <v>45653</v>
      </c>
      <c r="AO11" s="74">
        <v>45663</v>
      </c>
      <c r="AP11" s="16" cm="1">
        <f t="array" aca="1" ref="AP1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11</v>
      </c>
      <c r="AQ11" s="21">
        <f>Tabela1[[#This Row],[DATA PREV - EXAMES]]+$AQ$1</f>
        <v>45655</v>
      </c>
      <c r="AR11" s="74">
        <v>45670</v>
      </c>
      <c r="AS11" s="15" cm="1">
        <f t="array" aca="1" ref="AS1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16</v>
      </c>
      <c r="AT11" s="21">
        <f>Tabela1[[#This Row],[DATA PREV - FORMS]]+$AT$1</f>
        <v>45647</v>
      </c>
      <c r="AU11" s="74">
        <v>45670</v>
      </c>
      <c r="AV11" s="15" cm="1">
        <f t="array" aca="1" ref="AV1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24</v>
      </c>
      <c r="AW11" s="21">
        <f>Tabela1[[#This Row],[DATA PREV - TREINAMENTOS]]+$AW$1</f>
        <v>45654</v>
      </c>
      <c r="AX11" s="74">
        <v>45670</v>
      </c>
      <c r="AY11" s="15" cm="1">
        <f t="array" aca="1" ref="AY1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17</v>
      </c>
      <c r="AZ11" s="24">
        <v>45726</v>
      </c>
      <c r="BA11" s="74"/>
      <c r="BB11" s="15" cm="1">
        <f t="array" aca="1" ref="BB1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1" s="21">
        <f>Tabela1[[#This Row],[DATA PREV - CONCL. TREIN.]]+$BC$1</f>
        <v>45656</v>
      </c>
      <c r="BD11" s="74">
        <v>45664</v>
      </c>
      <c r="BE11" s="15" cm="1">
        <f t="array" aca="1" ref="BE1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11" s="21">
        <f>Tabela1[[#This Row],[DATA PREV - DOSSIÊ]]+$BF$1</f>
        <v>45659</v>
      </c>
      <c r="BG11" s="74"/>
      <c r="BH11" s="15" cm="1">
        <f t="array" aca="1" ref="BH1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1" s="21">
        <f>Tabela1[[#This Row],[DATA PREV - POSTAGEM]]+$BI$1</f>
        <v>45665</v>
      </c>
      <c r="BJ11" s="74"/>
      <c r="BK11" s="15" cm="1">
        <f t="array" aca="1" ref="BK1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1" s="21">
        <f>Tabela1[[#This Row],[DATA PREV - APROV FINAL]]+$BL$1</f>
        <v>45666</v>
      </c>
      <c r="BM11" s="74">
        <v>45677</v>
      </c>
      <c r="BN11" s="15" cm="1">
        <f t="array" aca="1" ref="BN1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11" s="80" t="s">
        <v>142</v>
      </c>
    </row>
    <row r="12" spans="2:67" ht="18" hidden="1" customHeight="1" x14ac:dyDescent="0.35">
      <c r="B12" s="14" t="s">
        <v>79</v>
      </c>
      <c r="C12" s="16" t="s">
        <v>93</v>
      </c>
      <c r="D12" s="16" t="s">
        <v>81</v>
      </c>
      <c r="E12" s="16"/>
      <c r="F12" s="16" t="s">
        <v>143</v>
      </c>
      <c r="G12" s="16" cm="1">
        <f t="array" ref="G12">_xlfn.IFS(Tabela1[[#This Row],[STATUS PROCESSO MOBILIZAÇÃO]]="Finalizado",1,Tabela1[[#This Row],[STATUS PROCESSO MOBILIZAÇÃO]]="Cancelado",2,Tabela1[[#This Row],[STATUS PROCESSO MOBILIZAÇÃO]]="Em andamento",3)</f>
        <v>1</v>
      </c>
      <c r="H12" s="16" cm="1">
        <f t="array" aca="1" ref="H1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FORMS]]="",$AM12&gt;$AK$1),2,
AND(Tabela1[[#This Row],[STATUS PROCESSO MOBILIZAÇÃO]]="Em andamento",Tabela1[[#This Row],[DATA REAL - FORMS]]="",$AM12&lt;=$AK$1),3,
AND(Tabela1[[#This Row],[STATUS PROCESSO MOBILIZAÇÃO]]="Em andamento",Tabela1[[#This Row],[DATA REAL - FORMS]]&lt;&gt;""),1)</f>
        <v>1</v>
      </c>
      <c r="I12" s="16" cm="1">
        <f t="array" aca="1" ref="I1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EXAMES]]="",$AP12&gt;$AN$1),2,
AND(Tabela1[[#This Row],[STATUS PROCESSO MOBILIZAÇÃO]]="Em andamento",Tabela1[[#This Row],[DATA REAL - EXAMES]]="",$AP12&lt;=$AN$1),3,
AND(Tabela1[[#This Row],[STATUS PROCESSO MOBILIZAÇÃO]]="Em andamento",Tabela1[[#This Row],[DATA REAL - EXAMES]]&lt;&gt;""),1)</f>
        <v>1</v>
      </c>
      <c r="J12" s="16" cm="1">
        <f t="array" aca="1" ref="J1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ASO]]="",$AS12&gt;$AQ$1),2,
AND(Tabela1[[#This Row],[STATUS PROCESSO MOBILIZAÇÃO]]="Em andamento",Tabela1[[#This Row],[DATA REAL - ASO]]="",$AS12&lt;=$AQ$1),3,
AND(Tabela1[[#This Row],[STATUS PROCESSO MOBILIZAÇÃO]]="Em andamento",Tabela1[[#This Row],[DATA REAL - ASO]]&lt;&gt;""),1)</f>
        <v>1</v>
      </c>
      <c r="K12" s="15" cm="1">
        <f t="array" aca="1" ref="K1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TREINAMENTOS]]="",$AV12&gt;$AT$1),2,
AND(Tabela1[[#This Row],[STATUS PROCESSO MOBILIZAÇÃO]]="Em andamento",Tabela1[[#This Row],[DATA REAL - TREINAMENTOS]]="",$AV12&lt;=$AT$1),3,
AND(Tabela1[[#This Row],[STATUS PROCESSO MOBILIZAÇÃO]]="Em andamento",Tabela1[[#This Row],[DATA REAL - TREINAMENTOS]]&lt;&gt;""),1)</f>
        <v>1</v>
      </c>
      <c r="L12" s="15" cm="1">
        <f t="array" aca="1" ref="L1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TREIN.]]="",$AY12&gt;$AW$1),2,
AND(Tabela1[[#This Row],[STATUS PROCESSO MOBILIZAÇÃO]]="Em andamento",Tabela1[[#This Row],[DATA REAL - CONCL. TREIN.]]="",$AY12&lt;=$AW$1),3,
AND(Tabela1[[#This Row],[STATUS PROCESSO MOBILIZAÇÃO]]="Em andamento",Tabela1[[#This Row],[DATA REAL - CONCL. TREIN.]]&lt;&gt;""),1)</f>
        <v>1</v>
      </c>
      <c r="M12" s="15" cm="1">
        <f t="array" aca="1" ref="M1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CONTRATUAL]]="",$BB12&gt;$AZ$1),2,
AND(Tabela1[[#This Row],[STATUS PROCESSO MOBILIZAÇÃO]]="Em andamento",Tabela1[[#This Row],[DATA FIM - ALTER. CONTRATUAL]]="",$BB12&lt;=$AZ$1),3,
AND(Tabela1[[#This Row],[STATUS PROCESSO MOBILIZAÇÃO]]="Em andamento",Tabela1[[#This Row],[DATA FIM - ALTER. CONTRATUAL]]&lt;&gt;""),1)</f>
        <v>1</v>
      </c>
      <c r="N12" s="16" cm="1">
        <f t="array" aca="1" ref="N1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DOSSIÊ]]="",$BE12&gt;$BC$1),2,
AND(Tabela1[[#This Row],[STATUS PROCESSO MOBILIZAÇÃO]]="Em andamento",Tabela1[[#This Row],[DATA REAL - DOSSIÊ]]="",$BE12&lt;=$BC$1),3,
AND(Tabela1[[#This Row],[STATUS PROCESSO MOBILIZAÇÃO]]="Em andamento",Tabela1[[#This Row],[DATA REAL - DOSSIÊ]]&lt;&gt;""),1)</f>
        <v>1</v>
      </c>
      <c r="O12" s="16" cm="1">
        <f t="array" aca="1" ref="O1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POSTAGEM]]="",$BH12&gt;$BF$1),2,
AND(Tabela1[[#This Row],[STATUS PROCESSO MOBILIZAÇÃO]]="Em andamento",Tabela1[[#This Row],[DATA REAL - POSTAGEM]]="",$BH12&lt;=$BF$1),3,
AND(Tabela1[[#This Row],[STATUS PROCESSO MOBILIZAÇÃO]]="Em andamento",Tabela1[[#This Row],[DATA REAL - POSTAGEM]]&lt;&gt;""),1)</f>
        <v>1</v>
      </c>
      <c r="P12" s="16" cm="1">
        <f t="array" aca="1" ref="P1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FINAL]]="",$BK12&gt;$BI$1),2,
AND(Tabela1[[#This Row],[STATUS PROCESSO MOBILIZAÇÃO]]="Em andamento",Tabela1[[#This Row],[DATA REAL - APROV FINAL]]="",$BK12&lt;=$BI$1),3,
AND(Tabela1[[#This Row],[STATUS PROCESSO MOBILIZAÇÃO]]="Em andamento",Tabela1[[#This Row],[DATA REAL - APROV FINAL]]&lt;&gt;""),1)</f>
        <v>1</v>
      </c>
      <c r="Q12" s="15" cm="1">
        <f t="array" aca="1" ref="Q1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CRACHÁ]]="",$BN12&gt;$BL$1),2,
AND(Tabela1[[#This Row],[STATUS PROCESSO MOBILIZAÇÃO]]="Em andamento",Tabela1[[#This Row],[DATA REAL - CRACHÁ]]="",$BN12&lt;=$BL$1),3,
AND(Tabela1[[#This Row],[STATUS PROCESSO MOBILIZAÇÃO]]="Em andamento",Tabela1[[#This Row],[DATA REAL - CRACHÁ]]&lt;&gt;""),1)</f>
        <v>1</v>
      </c>
      <c r="R12" s="21">
        <f>IF(Tabela1[[#This Row],[DATA REAL - FORMS]]&lt;&gt;"",Tabela1[[#This Row],[DATA REAL - FORMS]]+30,Tabela1[[#This Row],[DATA PREV - FORMS]]+35)</f>
        <v>45683</v>
      </c>
      <c r="S1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45677</v>
      </c>
      <c r="T1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356</v>
      </c>
      <c r="U1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346</v>
      </c>
      <c r="V12" s="49">
        <f>MAX(Tabela1[[#This Row],[DATA REAL - POSTAGEM]],Tabela1[[#This Row],[DATA REAL - APROV FINAL]],Tabela1[[#This Row],[DATA REAL - CRACHÁ]])-MIN(Tabela1[[#This Row],[DATA REAL - POSTAGEM]],Tabela1[[#This Row],[DATA REAL - APROV FINAL]],Tabela1[[#This Row],[DATA REAL - CRACHÁ]])+1</f>
        <v>5</v>
      </c>
      <c r="W1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 s="15" t="s">
        <v>84</v>
      </c>
      <c r="Y12" s="16" t="s">
        <v>84</v>
      </c>
      <c r="Z12" s="18" t="s">
        <v>86</v>
      </c>
      <c r="AA12" s="18" t="s">
        <v>86</v>
      </c>
      <c r="AB12" s="16" t="s">
        <v>97</v>
      </c>
      <c r="AC12" s="16" t="s">
        <v>98</v>
      </c>
      <c r="AD12" s="16" t="s">
        <v>89</v>
      </c>
      <c r="AE12" s="16" t="s">
        <v>144</v>
      </c>
      <c r="AF12" s="16" t="s">
        <v>145</v>
      </c>
      <c r="AG12" s="16" t="str">
        <f>_xlfn.XLOOKUP(Tabela1[[#This Row],[CÓD. CT]],Controle_Projetos[COD CT],Controle_Projetos[COD PHD],"")</f>
        <v>SALU-CT06-MARA</v>
      </c>
      <c r="AH12" s="21">
        <v>45653</v>
      </c>
      <c r="AI12" s="75">
        <v>45321</v>
      </c>
      <c r="AJ12" s="16" t="str" cm="1">
        <f t="array" aca="1" ref="AJ1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 s="21">
        <v>45653</v>
      </c>
      <c r="AL12" s="74">
        <v>45653</v>
      </c>
      <c r="AM12" s="16" cm="1">
        <f t="array" aca="1" ref="AM1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2" s="21">
        <f>Tabela1[[#This Row],[DATA PREV - FORMS]]+$AN$1</f>
        <v>45660</v>
      </c>
      <c r="AO12" s="74">
        <v>45660</v>
      </c>
      <c r="AP12" s="16" cm="1">
        <f t="array" aca="1" ref="AP1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2" s="21">
        <f>Tabela1[[#This Row],[DATA PREV - EXAMES]]+$AQ$1</f>
        <v>45662</v>
      </c>
      <c r="AR12" s="74">
        <v>45667</v>
      </c>
      <c r="AS12" s="15" cm="1">
        <f t="array" aca="1" ref="AS1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2" s="21">
        <f>Tabela1[[#This Row],[DATA PREV - FORMS]]+$AT$1</f>
        <v>45654</v>
      </c>
      <c r="AU12" s="74">
        <v>45663</v>
      </c>
      <c r="AV12" s="15" cm="1">
        <f t="array" aca="1" ref="AV1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10</v>
      </c>
      <c r="AW12" s="21">
        <f>Tabela1[[#This Row],[DATA PREV - TREINAMENTOS]]+$AW$1</f>
        <v>45661</v>
      </c>
      <c r="AX12" s="74">
        <v>45663</v>
      </c>
      <c r="AY12" s="15" cm="1">
        <f t="array" aca="1" ref="AY1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2" s="24">
        <v>45727</v>
      </c>
      <c r="BA12" s="74">
        <v>45653</v>
      </c>
      <c r="BB12" s="15" cm="1">
        <f t="array" aca="1" ref="BB1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-73</v>
      </c>
      <c r="BC12" s="21">
        <f>Tabela1[[#This Row],[DATA PREV - CONCL. TREIN.]]+$BC$1</f>
        <v>45663</v>
      </c>
      <c r="BD12" s="74">
        <v>45667</v>
      </c>
      <c r="BE12" s="15" cm="1">
        <f t="array" aca="1" ref="BE1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2" s="21">
        <f>Tabela1[[#This Row],[DATA PREV - DOSSIÊ]]+$BF$1</f>
        <v>45666</v>
      </c>
      <c r="BG12" s="74">
        <v>45673</v>
      </c>
      <c r="BH12" s="15" cm="1">
        <f t="array" aca="1" ref="BH1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2" s="21">
        <f>Tabela1[[#This Row],[DATA PREV - POSTAGEM]]+$BI$1</f>
        <v>45672</v>
      </c>
      <c r="BJ12" s="74">
        <v>45677</v>
      </c>
      <c r="BK12" s="15" cm="1">
        <f t="array" aca="1" ref="BK1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12" s="21">
        <f>Tabela1[[#This Row],[DATA PREV - APROV FINAL]]+$BL$1</f>
        <v>45673</v>
      </c>
      <c r="BM12" s="74">
        <v>45677</v>
      </c>
      <c r="BN12" s="15" cm="1">
        <f t="array" aca="1" ref="BN1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2" s="80" t="s">
        <v>146</v>
      </c>
    </row>
    <row r="13" spans="2:67" ht="18" hidden="1" customHeight="1" x14ac:dyDescent="0.35">
      <c r="B13" s="14" t="s">
        <v>79</v>
      </c>
      <c r="C13" s="16" t="s">
        <v>147</v>
      </c>
      <c r="D13" s="16" t="s">
        <v>81</v>
      </c>
      <c r="E13" s="16"/>
      <c r="F13" s="16" t="s">
        <v>148</v>
      </c>
      <c r="G13" s="16" cm="1">
        <f t="array" ref="G13">_xlfn.IFS(Tabela1[[#This Row],[STATUS PROCESSO MOBILIZAÇÃO]]="Finalizado",1,Tabela1[[#This Row],[STATUS PROCESSO MOBILIZAÇÃO]]="Cancelado",2,Tabela1[[#This Row],[STATUS PROCESSO MOBILIZAÇÃO]]="Em andamento",3)</f>
        <v>1</v>
      </c>
      <c r="H13" s="16" cm="1">
        <f t="array" aca="1" ref="H1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FORMS]]="",$AM13&gt;$AK$1),2,
AND(Tabela1[[#This Row],[STATUS PROCESSO MOBILIZAÇÃO]]="Em andamento",Tabela1[[#This Row],[DATA REAL - FORMS]]="",$AM13&lt;=$AK$1),3,
AND(Tabela1[[#This Row],[STATUS PROCESSO MOBILIZAÇÃO]]="Em andamento",Tabela1[[#This Row],[DATA REAL - FORMS]]&lt;&gt;""),1)</f>
        <v>1</v>
      </c>
      <c r="I13" s="16" cm="1">
        <f t="array" aca="1" ref="I1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EXAMES]]="",$AP13&gt;$AN$1),2,
AND(Tabela1[[#This Row],[STATUS PROCESSO MOBILIZAÇÃO]]="Em andamento",Tabela1[[#This Row],[DATA REAL - EXAMES]]="",$AP13&lt;=$AN$1),3,
AND(Tabela1[[#This Row],[STATUS PROCESSO MOBILIZAÇÃO]]="Em andamento",Tabela1[[#This Row],[DATA REAL - EXAMES]]&lt;&gt;""),1)</f>
        <v>1</v>
      </c>
      <c r="J13" s="16" cm="1">
        <f t="array" aca="1" ref="J1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ASO]]="",$AS13&gt;$AQ$1),2,
AND(Tabela1[[#This Row],[STATUS PROCESSO MOBILIZAÇÃO]]="Em andamento",Tabela1[[#This Row],[DATA REAL - ASO]]="",$AS13&lt;=$AQ$1),3,
AND(Tabela1[[#This Row],[STATUS PROCESSO MOBILIZAÇÃO]]="Em andamento",Tabela1[[#This Row],[DATA REAL - ASO]]&lt;&gt;""),1)</f>
        <v>1</v>
      </c>
      <c r="K13" s="15" cm="1">
        <f t="array" aca="1" ref="K1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TREINAMENTOS]]="",$AV13&gt;$AT$1),2,
AND(Tabela1[[#This Row],[STATUS PROCESSO MOBILIZAÇÃO]]="Em andamento",Tabela1[[#This Row],[DATA REAL - TREINAMENTOS]]="",$AV13&lt;=$AT$1),3,
AND(Tabela1[[#This Row],[STATUS PROCESSO MOBILIZAÇÃO]]="Em andamento",Tabela1[[#This Row],[DATA REAL - TREINAMENTOS]]&lt;&gt;""),1)</f>
        <v>1</v>
      </c>
      <c r="L13" s="15" cm="1">
        <f t="array" aca="1" ref="L1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TREIN.]]="",$AY13&gt;$AW$1),2,
AND(Tabela1[[#This Row],[STATUS PROCESSO MOBILIZAÇÃO]]="Em andamento",Tabela1[[#This Row],[DATA REAL - CONCL. TREIN.]]="",$AY13&lt;=$AW$1),3,
AND(Tabela1[[#This Row],[STATUS PROCESSO MOBILIZAÇÃO]]="Em andamento",Tabela1[[#This Row],[DATA REAL - CONCL. TREIN.]]&lt;&gt;""),1)</f>
        <v>1</v>
      </c>
      <c r="M13" s="15" cm="1">
        <f t="array" aca="1" ref="M1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CONTRATUAL]]="",$BB13&gt;$AZ$1),2,
AND(Tabela1[[#This Row],[STATUS PROCESSO MOBILIZAÇÃO]]="Em andamento",Tabela1[[#This Row],[DATA FIM - ALTER. CONTRATUAL]]="",$BB13&lt;=$AZ$1),3,
AND(Tabela1[[#This Row],[STATUS PROCESSO MOBILIZAÇÃO]]="Em andamento",Tabela1[[#This Row],[DATA FIM - ALTER. CONTRATUAL]]&lt;&gt;""),1)</f>
        <v>1</v>
      </c>
      <c r="N13" s="16" cm="1">
        <f t="array" aca="1" ref="N1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DOSSIÊ]]="",$BE13&gt;$BC$1),2,
AND(Tabela1[[#This Row],[STATUS PROCESSO MOBILIZAÇÃO]]="Em andamento",Tabela1[[#This Row],[DATA REAL - DOSSIÊ]]="",$BE13&lt;=$BC$1),3,
AND(Tabela1[[#This Row],[STATUS PROCESSO MOBILIZAÇÃO]]="Em andamento",Tabela1[[#This Row],[DATA REAL - DOSSIÊ]]&lt;&gt;""),1)</f>
        <v>1</v>
      </c>
      <c r="O13" s="16" cm="1">
        <f t="array" aca="1" ref="O1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POSTAGEM]]="",$BH13&gt;$BF$1),2,
AND(Tabela1[[#This Row],[STATUS PROCESSO MOBILIZAÇÃO]]="Em andamento",Tabela1[[#This Row],[DATA REAL - POSTAGEM]]="",$BH13&lt;=$BF$1),3,
AND(Tabela1[[#This Row],[STATUS PROCESSO MOBILIZAÇÃO]]="Em andamento",Tabela1[[#This Row],[DATA REAL - POSTAGEM]]&lt;&gt;""),1)</f>
        <v>1</v>
      </c>
      <c r="P13" s="16" cm="1">
        <f t="array" aca="1" ref="P1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FINAL]]="",$BK13&gt;$BI$1),2,
AND(Tabela1[[#This Row],[STATUS PROCESSO MOBILIZAÇÃO]]="Em andamento",Tabela1[[#This Row],[DATA REAL - APROV FINAL]]="",$BK13&lt;=$BI$1),3,
AND(Tabela1[[#This Row],[STATUS PROCESSO MOBILIZAÇÃO]]="Em andamento",Tabela1[[#This Row],[DATA REAL - APROV FINAL]]&lt;&gt;""),1)</f>
        <v>1</v>
      </c>
      <c r="Q13" s="15" cm="1">
        <f t="array" aca="1" ref="Q1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CRACHÁ]]="",$BN13&gt;$BL$1),2,
AND(Tabela1[[#This Row],[STATUS PROCESSO MOBILIZAÇÃO]]="Em andamento",Tabela1[[#This Row],[DATA REAL - CRACHÁ]]="",$BN13&lt;=$BL$1),3,
AND(Tabela1[[#This Row],[STATUS PROCESSO MOBILIZAÇÃO]]="Em andamento",Tabela1[[#This Row],[DATA REAL - CRACHÁ]]&lt;&gt;""),1)</f>
        <v>1</v>
      </c>
      <c r="R13" s="21">
        <f>IF(Tabela1[[#This Row],[DATA REAL - FORMS]]&lt;&gt;"",Tabela1[[#This Row],[DATA REAL - FORMS]]+30,Tabela1[[#This Row],[DATA PREV - FORMS]]+35)</f>
        <v>45693</v>
      </c>
      <c r="S1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45679</v>
      </c>
      <c r="T1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v>
      </c>
      <c r="U1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40</v>
      </c>
      <c r="V13" s="49">
        <f>MAX(Tabela1[[#This Row],[DATA REAL - POSTAGEM]],Tabela1[[#This Row],[DATA REAL - APROV FINAL]],Tabela1[[#This Row],[DATA REAL - CRACHÁ]])-MIN(Tabela1[[#This Row],[DATA REAL - POSTAGEM]],Tabela1[[#This Row],[DATA REAL - APROV FINAL]],Tabela1[[#This Row],[DATA REAL - CRACHÁ]])+1</f>
        <v>5</v>
      </c>
      <c r="W1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 s="15" t="s">
        <v>149</v>
      </c>
      <c r="Y13" s="16" t="s">
        <v>150</v>
      </c>
      <c r="Z13" s="18" t="s">
        <v>151</v>
      </c>
      <c r="AA13" s="18" t="s">
        <v>152</v>
      </c>
      <c r="AB13" s="16" t="s">
        <v>97</v>
      </c>
      <c r="AC13" s="16" t="s">
        <v>153</v>
      </c>
      <c r="AD13" s="16" t="s">
        <v>153</v>
      </c>
      <c r="AE13" s="16" t="s">
        <v>154</v>
      </c>
      <c r="AF13" s="16" t="s">
        <v>155</v>
      </c>
      <c r="AG13" s="16" t="str">
        <f>_xlfn.XLOOKUP(Tabela1[[#This Row],[CÓD. CT]],Controle_Projetos[COD CT],Controle_Projetos[COD PHD],"")</f>
        <v>ADMB-CT01-GERE</v>
      </c>
      <c r="AH13" s="21">
        <v>45663</v>
      </c>
      <c r="AI13" s="75">
        <v>45634</v>
      </c>
      <c r="AJ13" s="16" t="str" cm="1">
        <f t="array" aca="1" ref="AJ1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 s="21">
        <v>45663</v>
      </c>
      <c r="AL13" s="74">
        <v>45663</v>
      </c>
      <c r="AM13" s="16" cm="1">
        <f t="array" aca="1" ref="AM1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 s="21">
        <f>Tabela1[[#This Row],[DATA PREV - FORMS]]+$AN$1</f>
        <v>45670</v>
      </c>
      <c r="AO13" s="74">
        <v>45663</v>
      </c>
      <c r="AP13" s="16" cm="1">
        <f t="array" aca="1" ref="AP1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 s="21">
        <f>Tabela1[[#This Row],[DATA PREV - EXAMES]]+$AQ$1</f>
        <v>45672</v>
      </c>
      <c r="AR13" s="74">
        <v>45663</v>
      </c>
      <c r="AS13" s="15" cm="1">
        <f t="array" aca="1" ref="AS1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3" s="21">
        <f>Tabela1[[#This Row],[DATA PREV - FORMS]]+$AT$1</f>
        <v>45664</v>
      </c>
      <c r="AU13" s="74">
        <v>45663</v>
      </c>
      <c r="AV13" s="15" cm="1">
        <f t="array" aca="1" ref="AV1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 s="21">
        <f>Tabela1[[#This Row],[DATA PREV - TREINAMENTOS]]+$AW$1</f>
        <v>45671</v>
      </c>
      <c r="AX13" s="74">
        <v>45665</v>
      </c>
      <c r="AY13" s="15" cm="1">
        <f t="array" aca="1" ref="AY1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3" s="24">
        <v>45663</v>
      </c>
      <c r="BA13" s="74">
        <v>45674</v>
      </c>
      <c r="BB13" s="15" cm="1">
        <f t="array" aca="1" ref="BB1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12</v>
      </c>
      <c r="BC13" s="21">
        <f>Tabela1[[#This Row],[DATA PREV - CONCL. TREIN.]]+$BC$1</f>
        <v>45673</v>
      </c>
      <c r="BD13" s="74">
        <v>45674</v>
      </c>
      <c r="BE13" s="15" cm="1">
        <f t="array" aca="1" ref="BE1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3" s="21">
        <f>Tabela1[[#This Row],[DATA PREV - DOSSIÊ]]+$BF$1</f>
        <v>45676</v>
      </c>
      <c r="BG13" s="74">
        <v>45675</v>
      </c>
      <c r="BH13" s="15" cm="1">
        <f t="array" aca="1" ref="BH1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3" s="21">
        <f>Tabela1[[#This Row],[DATA PREV - POSTAGEM]]+$BI$1</f>
        <v>45682</v>
      </c>
      <c r="BJ13" s="74">
        <v>45679</v>
      </c>
      <c r="BK13" s="15" cm="1">
        <f t="array" aca="1" ref="BK1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3" s="21">
        <f>Tabela1[[#This Row],[DATA PREV - APROV FINAL]]+$BL$1</f>
        <v>45683</v>
      </c>
      <c r="BM13" s="74">
        <v>45679</v>
      </c>
      <c r="BN13" s="15" cm="1">
        <f t="array" aca="1" ref="BN1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3" s="80" t="s">
        <v>156</v>
      </c>
    </row>
    <row r="14" spans="2:67" ht="18" hidden="1" customHeight="1" x14ac:dyDescent="0.35">
      <c r="B14" s="14" t="s">
        <v>79</v>
      </c>
      <c r="C14" s="16" t="s">
        <v>147</v>
      </c>
      <c r="D14" s="16" t="s">
        <v>81</v>
      </c>
      <c r="E14" s="16"/>
      <c r="F14" s="16" t="s">
        <v>157</v>
      </c>
      <c r="G14" s="16" cm="1">
        <f t="array" ref="G14">_xlfn.IFS(Tabela1[[#This Row],[STATUS PROCESSO MOBILIZAÇÃO]]="Finalizado",1,Tabela1[[#This Row],[STATUS PROCESSO MOBILIZAÇÃO]]="Cancelado",2,Tabela1[[#This Row],[STATUS PROCESSO MOBILIZAÇÃO]]="Em andamento",3)</f>
        <v>1</v>
      </c>
      <c r="H14" s="16" cm="1">
        <f t="array" aca="1" ref="H1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FORMS]]="",$AM14&gt;$AK$1),2,
AND(Tabela1[[#This Row],[STATUS PROCESSO MOBILIZAÇÃO]]="Em andamento",Tabela1[[#This Row],[DATA REAL - FORMS]]="",$AM14&lt;=$AK$1),3,
AND(Tabela1[[#This Row],[STATUS PROCESSO MOBILIZAÇÃO]]="Em andamento",Tabela1[[#This Row],[DATA REAL - FORMS]]&lt;&gt;""),1)</f>
        <v>1</v>
      </c>
      <c r="I14" s="16" cm="1">
        <f t="array" aca="1" ref="I1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EXAMES]]="",$AP14&gt;$AN$1),2,
AND(Tabela1[[#This Row],[STATUS PROCESSO MOBILIZAÇÃO]]="Em andamento",Tabela1[[#This Row],[DATA REAL - EXAMES]]="",$AP14&lt;=$AN$1),3,
AND(Tabela1[[#This Row],[STATUS PROCESSO MOBILIZAÇÃO]]="Em andamento",Tabela1[[#This Row],[DATA REAL - EXAMES]]&lt;&gt;""),1)</f>
        <v>1</v>
      </c>
      <c r="J14" s="16" cm="1">
        <f t="array" aca="1" ref="J1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ASO]]="",$AS14&gt;$AQ$1),2,
AND(Tabela1[[#This Row],[STATUS PROCESSO MOBILIZAÇÃO]]="Em andamento",Tabela1[[#This Row],[DATA REAL - ASO]]="",$AS14&lt;=$AQ$1),3,
AND(Tabela1[[#This Row],[STATUS PROCESSO MOBILIZAÇÃO]]="Em andamento",Tabela1[[#This Row],[DATA REAL - ASO]]&lt;&gt;""),1)</f>
        <v>1</v>
      </c>
      <c r="K14" s="15" cm="1">
        <f t="array" aca="1" ref="K1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TREINAMENTOS]]="",$AV14&gt;$AT$1),2,
AND(Tabela1[[#This Row],[STATUS PROCESSO MOBILIZAÇÃO]]="Em andamento",Tabela1[[#This Row],[DATA REAL - TREINAMENTOS]]="",$AV14&lt;=$AT$1),3,
AND(Tabela1[[#This Row],[STATUS PROCESSO MOBILIZAÇÃO]]="Em andamento",Tabela1[[#This Row],[DATA REAL - TREINAMENTOS]]&lt;&gt;""),1)</f>
        <v>1</v>
      </c>
      <c r="L14" s="15" cm="1">
        <f t="array" aca="1" ref="L1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TREIN.]]="",$AY14&gt;$AW$1),2,
AND(Tabela1[[#This Row],[STATUS PROCESSO MOBILIZAÇÃO]]="Em andamento",Tabela1[[#This Row],[DATA REAL - CONCL. TREIN.]]="",$AY14&lt;=$AW$1),3,
AND(Tabela1[[#This Row],[STATUS PROCESSO MOBILIZAÇÃO]]="Em andamento",Tabela1[[#This Row],[DATA REAL - CONCL. TREIN.]]&lt;&gt;""),1)</f>
        <v>1</v>
      </c>
      <c r="M14" s="15" cm="1">
        <f t="array" aca="1" ref="M1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CONTRATUAL]]="",$BB14&gt;$AZ$1),2,
AND(Tabela1[[#This Row],[STATUS PROCESSO MOBILIZAÇÃO]]="Em andamento",Tabela1[[#This Row],[DATA FIM - ALTER. CONTRATUAL]]="",$BB14&lt;=$AZ$1),3,
AND(Tabela1[[#This Row],[STATUS PROCESSO MOBILIZAÇÃO]]="Em andamento",Tabela1[[#This Row],[DATA FIM - ALTER. CONTRATUAL]]&lt;&gt;""),1)</f>
        <v>1</v>
      </c>
      <c r="N14" s="16" cm="1">
        <f t="array" aca="1" ref="N1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DOSSIÊ]]="",$BE14&gt;$BC$1),2,
AND(Tabela1[[#This Row],[STATUS PROCESSO MOBILIZAÇÃO]]="Em andamento",Tabela1[[#This Row],[DATA REAL - DOSSIÊ]]="",$BE14&lt;=$BC$1),3,
AND(Tabela1[[#This Row],[STATUS PROCESSO MOBILIZAÇÃO]]="Em andamento",Tabela1[[#This Row],[DATA REAL - DOSSIÊ]]&lt;&gt;""),1)</f>
        <v>1</v>
      </c>
      <c r="O14" s="16" cm="1">
        <f t="array" aca="1" ref="O1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POSTAGEM]]="",$BH14&gt;$BF$1),2,
AND(Tabela1[[#This Row],[STATUS PROCESSO MOBILIZAÇÃO]]="Em andamento",Tabela1[[#This Row],[DATA REAL - POSTAGEM]]="",$BH14&lt;=$BF$1),3,
AND(Tabela1[[#This Row],[STATUS PROCESSO MOBILIZAÇÃO]]="Em andamento",Tabela1[[#This Row],[DATA REAL - POSTAGEM]]&lt;&gt;""),1)</f>
        <v>1</v>
      </c>
      <c r="P14" s="16" cm="1">
        <f t="array" aca="1" ref="P1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FINAL]]="",$BK14&gt;$BI$1),2,
AND(Tabela1[[#This Row],[STATUS PROCESSO MOBILIZAÇÃO]]="Em andamento",Tabela1[[#This Row],[DATA REAL - APROV FINAL]]="",$BK14&lt;=$BI$1),3,
AND(Tabela1[[#This Row],[STATUS PROCESSO MOBILIZAÇÃO]]="Em andamento",Tabela1[[#This Row],[DATA REAL - APROV FINAL]]&lt;&gt;""),1)</f>
        <v>1</v>
      </c>
      <c r="Q14" s="15" cm="1">
        <f t="array" aca="1" ref="Q1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CRACHÁ]]="",$BN14&gt;$BL$1),2,
AND(Tabela1[[#This Row],[STATUS PROCESSO MOBILIZAÇÃO]]="Em andamento",Tabela1[[#This Row],[DATA REAL - CRACHÁ]]="",$BN14&lt;=$BL$1),3,
AND(Tabela1[[#This Row],[STATUS PROCESSO MOBILIZAÇÃO]]="Em andamento",Tabela1[[#This Row],[DATA REAL - CRACHÁ]]&lt;&gt;""),1)</f>
        <v>1</v>
      </c>
      <c r="R14" s="21">
        <f>IF(Tabela1[[#This Row],[DATA REAL - FORMS]]&lt;&gt;"",Tabela1[[#This Row],[DATA REAL - FORMS]]+30,Tabela1[[#This Row],[DATA PREV - FORMS]]+35)</f>
        <v>45693</v>
      </c>
      <c r="S1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45680</v>
      </c>
      <c r="T1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371</v>
      </c>
      <c r="U1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365</v>
      </c>
      <c r="V14" s="49">
        <f>MAX(Tabela1[[#This Row],[DATA REAL - POSTAGEM]],Tabela1[[#This Row],[DATA REAL - APROV FINAL]],Tabela1[[#This Row],[DATA REAL - CRACHÁ]])-MIN(Tabela1[[#This Row],[DATA REAL - POSTAGEM]],Tabela1[[#This Row],[DATA REAL - APROV FINAL]],Tabela1[[#This Row],[DATA REAL - CRACHÁ]])+1</f>
        <v>4</v>
      </c>
      <c r="W1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 s="15" t="s">
        <v>158</v>
      </c>
      <c r="Y14" s="16" t="s">
        <v>150</v>
      </c>
      <c r="Z14" s="18" t="s">
        <v>159</v>
      </c>
      <c r="AA14" s="18" t="s">
        <v>152</v>
      </c>
      <c r="AB14" s="16" t="s">
        <v>87</v>
      </c>
      <c r="AC14" s="16" t="s">
        <v>88</v>
      </c>
      <c r="AD14" s="16" t="s">
        <v>89</v>
      </c>
      <c r="AE14" s="16" t="s">
        <v>160</v>
      </c>
      <c r="AF14" s="16" t="s">
        <v>161</v>
      </c>
      <c r="AG14" s="16" t="str">
        <f>_xlfn.XLOOKUP(Tabela1[[#This Row],[CÓD. CT]],Controle_Projetos[COD CT],Controle_Projetos[COD PHD],"")</f>
        <v>IMCS-CT06-GCIT</v>
      </c>
      <c r="AH14" s="21">
        <v>45663</v>
      </c>
      <c r="AI14" s="75">
        <v>45309</v>
      </c>
      <c r="AJ14" s="16" t="str" cm="1">
        <f t="array" aca="1" ref="AJ1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 s="21">
        <v>45663</v>
      </c>
      <c r="AL14" s="74">
        <v>45663</v>
      </c>
      <c r="AM14" s="16" cm="1">
        <f t="array" aca="1" ref="AM1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 s="21">
        <f>Tabela1[[#This Row],[DATA PREV - FORMS]]+$AN$1</f>
        <v>45670</v>
      </c>
      <c r="AO14" s="74">
        <v>45663</v>
      </c>
      <c r="AP14" s="16" cm="1">
        <f t="array" aca="1" ref="AP1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 s="21">
        <f>Tabela1[[#This Row],[DATA PREV - EXAMES]]+$AQ$1</f>
        <v>45672</v>
      </c>
      <c r="AR14" s="74">
        <v>45674</v>
      </c>
      <c r="AS14" s="15" cm="1">
        <f t="array" aca="1" ref="AS1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4" s="21">
        <f>Tabela1[[#This Row],[DATA PREV - FORMS]]+$AT$1</f>
        <v>45664</v>
      </c>
      <c r="AU14" s="74">
        <v>45664</v>
      </c>
      <c r="AV14" s="15" cm="1">
        <f t="array" aca="1" ref="AV1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4" s="21">
        <f>Tabela1[[#This Row],[DATA PREV - TREINAMENTOS]]+$AW$1</f>
        <v>45671</v>
      </c>
      <c r="AX14" s="74">
        <v>45666</v>
      </c>
      <c r="AY14" s="15" cm="1">
        <f t="array" aca="1" ref="AY1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14" s="24">
        <v>45684</v>
      </c>
      <c r="BA14" s="74">
        <v>45663</v>
      </c>
      <c r="BB14" s="15" cm="1">
        <f t="array" aca="1" ref="BB1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-20</v>
      </c>
      <c r="BC14" s="21">
        <f>Tabela1[[#This Row],[DATA PREV - CONCL. TREIN.]]+$BC$1</f>
        <v>45673</v>
      </c>
      <c r="BD14" s="74">
        <v>45674</v>
      </c>
      <c r="BE14" s="15" cm="1">
        <f t="array" aca="1" ref="BE1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4" s="21">
        <f>Tabela1[[#This Row],[DATA PREV - DOSSIÊ]]+$BF$1</f>
        <v>45676</v>
      </c>
      <c r="BG14" s="74">
        <v>45677</v>
      </c>
      <c r="BH14" s="15" cm="1">
        <f t="array" aca="1" ref="BH1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14" s="21">
        <f>Tabela1[[#This Row],[DATA PREV - POSTAGEM]]+$BI$1</f>
        <v>45682</v>
      </c>
      <c r="BJ14" s="74">
        <v>45680</v>
      </c>
      <c r="BK14" s="15" cm="1">
        <f t="array" aca="1" ref="BK1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4" s="21">
        <f>Tabela1[[#This Row],[DATA PREV - APROV FINAL]]+$BL$1</f>
        <v>45683</v>
      </c>
      <c r="BM14" s="74">
        <v>45680</v>
      </c>
      <c r="BN14" s="15" cm="1">
        <f t="array" aca="1" ref="BN1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4" s="80" t="s">
        <v>162</v>
      </c>
    </row>
    <row r="15" spans="2:67" ht="18" hidden="1" customHeight="1" x14ac:dyDescent="0.35">
      <c r="B15" s="14" t="s">
        <v>119</v>
      </c>
      <c r="C15" s="16" t="s">
        <v>147</v>
      </c>
      <c r="D15" s="16" t="s">
        <v>81</v>
      </c>
      <c r="E15" s="16"/>
      <c r="F15" s="16" t="s">
        <v>163</v>
      </c>
      <c r="G15" s="16" cm="1">
        <f t="array" ref="G15">_xlfn.IFS(Tabela1[[#This Row],[STATUS PROCESSO MOBILIZAÇÃO]]="Finalizado",1,Tabela1[[#This Row],[STATUS PROCESSO MOBILIZAÇÃO]]="Cancelado",2,Tabela1[[#This Row],[STATUS PROCESSO MOBILIZAÇÃO]]="Em andamento",3)</f>
        <v>2</v>
      </c>
      <c r="H15" s="16" cm="1">
        <f t="array" aca="1" ref="H1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FORMS]]="",$AM15&gt;$AK$1),2,
AND(Tabela1[[#This Row],[STATUS PROCESSO MOBILIZAÇÃO]]="Em andamento",Tabela1[[#This Row],[DATA REAL - FORMS]]="",$AM15&lt;=$AK$1),3,
AND(Tabela1[[#This Row],[STATUS PROCESSO MOBILIZAÇÃO]]="Em andamento",Tabela1[[#This Row],[DATA REAL - FORMS]]&lt;&gt;""),1)</f>
        <v>1</v>
      </c>
      <c r="I15" s="16" cm="1">
        <f t="array" aca="1" ref="I1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EXAMES]]="",$AP15&gt;$AN$1),2,
AND(Tabela1[[#This Row],[STATUS PROCESSO MOBILIZAÇÃO]]="Em andamento",Tabela1[[#This Row],[DATA REAL - EXAMES]]="",$AP15&lt;=$AN$1),3,
AND(Tabela1[[#This Row],[STATUS PROCESSO MOBILIZAÇÃO]]="Em andamento",Tabela1[[#This Row],[DATA REAL - EXAMES]]&lt;&gt;""),1)</f>
        <v>1</v>
      </c>
      <c r="J15" s="16" cm="1">
        <f t="array" aca="1" ref="J1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ASO]]="",$AS15&gt;$AQ$1),2,
AND(Tabela1[[#This Row],[STATUS PROCESSO MOBILIZAÇÃO]]="Em andamento",Tabela1[[#This Row],[DATA REAL - ASO]]="",$AS15&lt;=$AQ$1),3,
AND(Tabela1[[#This Row],[STATUS PROCESSO MOBILIZAÇÃO]]="Em andamento",Tabela1[[#This Row],[DATA REAL - ASO]]&lt;&gt;""),1)</f>
        <v>0</v>
      </c>
      <c r="K15" s="15" cm="1">
        <f t="array" aca="1" ref="K1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TREINAMENTOS]]="",$AV15&gt;$AT$1),2,
AND(Tabela1[[#This Row],[STATUS PROCESSO MOBILIZAÇÃO]]="Em andamento",Tabela1[[#This Row],[DATA REAL - TREINAMENTOS]]="",$AV15&lt;=$AT$1),3,
AND(Tabela1[[#This Row],[STATUS PROCESSO MOBILIZAÇÃO]]="Em andamento",Tabela1[[#This Row],[DATA REAL - TREINAMENTOS]]&lt;&gt;""),1)</f>
        <v>0</v>
      </c>
      <c r="L15" s="15" cm="1">
        <f t="array" aca="1" ref="L1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TREIN.]]="",$AY15&gt;$AW$1),2,
AND(Tabela1[[#This Row],[STATUS PROCESSO MOBILIZAÇÃO]]="Em andamento",Tabela1[[#This Row],[DATA REAL - CONCL. TREIN.]]="",$AY15&lt;=$AW$1),3,
AND(Tabela1[[#This Row],[STATUS PROCESSO MOBILIZAÇÃO]]="Em andamento",Tabela1[[#This Row],[DATA REAL - CONCL. TREIN.]]&lt;&gt;""),1)</f>
        <v>0</v>
      </c>
      <c r="M15" s="15" cm="1">
        <f t="array" aca="1" ref="M1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CONTRATUAL]]="",$BB15&gt;$AZ$1),2,
AND(Tabela1[[#This Row],[STATUS PROCESSO MOBILIZAÇÃO]]="Em andamento",Tabela1[[#This Row],[DATA FIM - ALTER. CONTRATUAL]]="",$BB15&lt;=$AZ$1),3,
AND(Tabela1[[#This Row],[STATUS PROCESSO MOBILIZAÇÃO]]="Em andamento",Tabela1[[#This Row],[DATA FIM - ALTER. CONTRATUAL]]&lt;&gt;""),1)</f>
        <v>1</v>
      </c>
      <c r="N15" s="16" cm="1">
        <f t="array" aca="1" ref="N1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DOSSIÊ]]="",$BE15&gt;$BC$1),2,
AND(Tabela1[[#This Row],[STATUS PROCESSO MOBILIZAÇÃO]]="Em andamento",Tabela1[[#This Row],[DATA REAL - DOSSIÊ]]="",$BE15&lt;=$BC$1),3,
AND(Tabela1[[#This Row],[STATUS PROCESSO MOBILIZAÇÃO]]="Em andamento",Tabela1[[#This Row],[DATA REAL - DOSSIÊ]]&lt;&gt;""),1)</f>
        <v>0</v>
      </c>
      <c r="O15" s="16" cm="1">
        <f t="array" aca="1" ref="O1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POSTAGEM]]="",$BH15&gt;$BF$1),2,
AND(Tabela1[[#This Row],[STATUS PROCESSO MOBILIZAÇÃO]]="Em andamento",Tabela1[[#This Row],[DATA REAL - POSTAGEM]]="",$BH15&lt;=$BF$1),3,
AND(Tabela1[[#This Row],[STATUS PROCESSO MOBILIZAÇÃO]]="Em andamento",Tabela1[[#This Row],[DATA REAL - POSTAGEM]]&lt;&gt;""),1)</f>
        <v>0</v>
      </c>
      <c r="P15" s="16" cm="1">
        <f t="array" aca="1" ref="P1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FINAL]]="",$BK15&gt;$BI$1),2,
AND(Tabela1[[#This Row],[STATUS PROCESSO MOBILIZAÇÃO]]="Em andamento",Tabela1[[#This Row],[DATA REAL - APROV FINAL]]="",$BK15&lt;=$BI$1),3,
AND(Tabela1[[#This Row],[STATUS PROCESSO MOBILIZAÇÃO]]="Em andamento",Tabela1[[#This Row],[DATA REAL - APROV FINAL]]&lt;&gt;""),1)</f>
        <v>0</v>
      </c>
      <c r="Q15" s="15" cm="1">
        <f t="array" aca="1" ref="Q1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CRACHÁ]]="",$BN15&gt;$BL$1),2,
AND(Tabela1[[#This Row],[STATUS PROCESSO MOBILIZAÇÃO]]="Em andamento",Tabela1[[#This Row],[DATA REAL - CRACHÁ]]="",$BN15&lt;=$BL$1),3,
AND(Tabela1[[#This Row],[STATUS PROCESSO MOBILIZAÇÃO]]="Em andamento",Tabela1[[#This Row],[DATA REAL - CRACHÁ]]&lt;&gt;""),1)</f>
        <v>1</v>
      </c>
      <c r="R15" s="21">
        <f>IF(Tabela1[[#This Row],[DATA REAL - FORMS]]&lt;&gt;"",Tabela1[[#This Row],[DATA REAL - FORMS]]+30,Tabela1[[#This Row],[DATA PREV - FORMS]]+35)</f>
        <v>45694</v>
      </c>
      <c r="S1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45677</v>
      </c>
      <c r="T1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U1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31</v>
      </c>
      <c r="V15" s="49">
        <f>MAX(Tabela1[[#This Row],[DATA REAL - POSTAGEM]],Tabela1[[#This Row],[DATA REAL - APROV FINAL]],Tabela1[[#This Row],[DATA REAL - CRACHÁ]])-MIN(Tabela1[[#This Row],[DATA REAL - POSTAGEM]],Tabela1[[#This Row],[DATA REAL - APROV FINAL]],Tabela1[[#This Row],[DATA REAL - CRACHÁ]])+1</f>
        <v>1</v>
      </c>
      <c r="W1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5" s="15" t="s">
        <v>149</v>
      </c>
      <c r="Y15" s="16" t="s">
        <v>150</v>
      </c>
      <c r="Z15" s="18" t="s">
        <v>151</v>
      </c>
      <c r="AA15" s="18" t="s">
        <v>152</v>
      </c>
      <c r="AB15" s="16" t="s">
        <v>97</v>
      </c>
      <c r="AC15" s="16" t="s">
        <v>153</v>
      </c>
      <c r="AD15" s="16" t="s">
        <v>153</v>
      </c>
      <c r="AE15" s="16" t="s">
        <v>154</v>
      </c>
      <c r="AF15" s="16" t="s">
        <v>155</v>
      </c>
      <c r="AG15" s="16" t="str">
        <f>_xlfn.XLOOKUP(Tabela1[[#This Row],[CÓD. CT]],Controle_Projetos[COD CT],Controle_Projetos[COD PHD],"")</f>
        <v>ADMB-CT01-GERE</v>
      </c>
      <c r="AH15" s="21">
        <v>45664</v>
      </c>
      <c r="AI15" s="75">
        <v>45634</v>
      </c>
      <c r="AJ15" s="16" t="str" cm="1">
        <f t="array" aca="1" ref="AJ1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5" s="21">
        <v>45664</v>
      </c>
      <c r="AL15" s="74">
        <v>45664</v>
      </c>
      <c r="AM15" s="16" cm="1">
        <f t="array" aca="1" ref="AM1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 s="21">
        <f>Tabela1[[#This Row],[DATA PREV - FORMS]]+$AN$1</f>
        <v>45671</v>
      </c>
      <c r="AO15" s="74">
        <v>45665</v>
      </c>
      <c r="AP15" s="16" cm="1">
        <f t="array" aca="1" ref="AP1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5" s="21">
        <f>Tabela1[[#This Row],[DATA PREV - EXAMES]]+$AQ$1</f>
        <v>45673</v>
      </c>
      <c r="AR15" s="74"/>
      <c r="AS15" s="15" cm="1">
        <f t="array" aca="1" ref="AS1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5" s="21">
        <f>Tabela1[[#This Row],[DATA PREV - FORMS]]+$AT$1</f>
        <v>45665</v>
      </c>
      <c r="AU15" s="74"/>
      <c r="AV15" s="15" cm="1">
        <f t="array" aca="1" ref="AV1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5" s="21">
        <f>Tabela1[[#This Row],[DATA PREV - TREINAMENTOS]]+$AW$1</f>
        <v>45672</v>
      </c>
      <c r="AX15" s="74"/>
      <c r="AY15" s="15" cm="1">
        <f t="array" aca="1" ref="AY1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5" s="24">
        <v>45664</v>
      </c>
      <c r="BA15" s="74">
        <v>45664</v>
      </c>
      <c r="BB15" s="15" cm="1">
        <f t="array" aca="1" ref="BB1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5" s="21">
        <f>Tabela1[[#This Row],[DATA PREV - CONCL. TREIN.]]+$BC$1</f>
        <v>45674</v>
      </c>
      <c r="BD15" s="74"/>
      <c r="BE15" s="15" cm="1">
        <f t="array" aca="1" ref="BE1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5" s="21">
        <f>Tabela1[[#This Row],[DATA PREV - DOSSIÊ]]+$BF$1</f>
        <v>45677</v>
      </c>
      <c r="BG15" s="74"/>
      <c r="BH15" s="15" cm="1">
        <f t="array" aca="1" ref="BH1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5" s="21">
        <f>Tabela1[[#This Row],[DATA PREV - POSTAGEM]]+$BI$1</f>
        <v>45683</v>
      </c>
      <c r="BJ15" s="74"/>
      <c r="BK15" s="15" cm="1">
        <f t="array" aca="1" ref="BK1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5" s="21">
        <f>Tabela1[[#This Row],[DATA PREV - APROV FINAL]]+$BL$1</f>
        <v>45684</v>
      </c>
      <c r="BM15" s="74">
        <v>45677</v>
      </c>
      <c r="BN15" s="15" cm="1">
        <f t="array" aca="1" ref="BN1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5" s="80" t="s">
        <v>164</v>
      </c>
    </row>
    <row r="16" spans="2:67" ht="18" hidden="1" customHeight="1" x14ac:dyDescent="0.35">
      <c r="B16" s="14" t="s">
        <v>79</v>
      </c>
      <c r="C16" s="16" t="s">
        <v>136</v>
      </c>
      <c r="D16" s="16" t="s">
        <v>81</v>
      </c>
      <c r="E16" s="16"/>
      <c r="F16" s="16" t="s">
        <v>165</v>
      </c>
      <c r="G16" s="16" cm="1">
        <f t="array" ref="G16">_xlfn.IFS(Tabela1[[#This Row],[STATUS PROCESSO MOBILIZAÇÃO]]="Finalizado",1,Tabela1[[#This Row],[STATUS PROCESSO MOBILIZAÇÃO]]="Cancelado",2,Tabela1[[#This Row],[STATUS PROCESSO MOBILIZAÇÃO]]="Em andamento",3)</f>
        <v>1</v>
      </c>
      <c r="H16" s="16" cm="1">
        <f t="array" aca="1" ref="H1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FORMS]]="",$AM16&gt;$AK$1),2,
AND(Tabela1[[#This Row],[STATUS PROCESSO MOBILIZAÇÃO]]="Em andamento",Tabela1[[#This Row],[DATA REAL - FORMS]]="",$AM16&lt;=$AK$1),3,
AND(Tabela1[[#This Row],[STATUS PROCESSO MOBILIZAÇÃO]]="Em andamento",Tabela1[[#This Row],[DATA REAL - FORMS]]&lt;&gt;""),1)</f>
        <v>1</v>
      </c>
      <c r="I16" s="16" cm="1">
        <f t="array" aca="1" ref="I1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EXAMES]]="",$AP16&gt;$AN$1),2,
AND(Tabela1[[#This Row],[STATUS PROCESSO MOBILIZAÇÃO]]="Em andamento",Tabela1[[#This Row],[DATA REAL - EXAMES]]="",$AP16&lt;=$AN$1),3,
AND(Tabela1[[#This Row],[STATUS PROCESSO MOBILIZAÇÃO]]="Em andamento",Tabela1[[#This Row],[DATA REAL - EXAMES]]&lt;&gt;""),1)</f>
        <v>1</v>
      </c>
      <c r="J16" s="16" cm="1">
        <f t="array" aca="1" ref="J1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ASO]]="",$AS16&gt;$AQ$1),2,
AND(Tabela1[[#This Row],[STATUS PROCESSO MOBILIZAÇÃO]]="Em andamento",Tabela1[[#This Row],[DATA REAL - ASO]]="",$AS16&lt;=$AQ$1),3,
AND(Tabela1[[#This Row],[STATUS PROCESSO MOBILIZAÇÃO]]="Em andamento",Tabela1[[#This Row],[DATA REAL - ASO]]&lt;&gt;""),1)</f>
        <v>1</v>
      </c>
      <c r="K16" s="15" cm="1">
        <f t="array" aca="1" ref="K1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TREINAMENTOS]]="",$AV16&gt;$AT$1),2,
AND(Tabela1[[#This Row],[STATUS PROCESSO MOBILIZAÇÃO]]="Em andamento",Tabela1[[#This Row],[DATA REAL - TREINAMENTOS]]="",$AV16&lt;=$AT$1),3,
AND(Tabela1[[#This Row],[STATUS PROCESSO MOBILIZAÇÃO]]="Em andamento",Tabela1[[#This Row],[DATA REAL - TREINAMENTOS]]&lt;&gt;""),1)</f>
        <v>1</v>
      </c>
      <c r="L16" s="15" cm="1">
        <f t="array" aca="1" ref="L1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TREIN.]]="",$AY16&gt;$AW$1),2,
AND(Tabela1[[#This Row],[STATUS PROCESSO MOBILIZAÇÃO]]="Em andamento",Tabela1[[#This Row],[DATA REAL - CONCL. TREIN.]]="",$AY16&lt;=$AW$1),3,
AND(Tabela1[[#This Row],[STATUS PROCESSO MOBILIZAÇÃO]]="Em andamento",Tabela1[[#This Row],[DATA REAL - CONCL. TREIN.]]&lt;&gt;""),1)</f>
        <v>1</v>
      </c>
      <c r="M16" s="15" cm="1">
        <f t="array" aca="1" ref="M1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CONTRATUAL]]="",$BB16&gt;$AZ$1),2,
AND(Tabela1[[#This Row],[STATUS PROCESSO MOBILIZAÇÃO]]="Em andamento",Tabela1[[#This Row],[DATA FIM - ALTER. CONTRATUAL]]="",$BB16&lt;=$AZ$1),3,
AND(Tabela1[[#This Row],[STATUS PROCESSO MOBILIZAÇÃO]]="Em andamento",Tabela1[[#This Row],[DATA FIM - ALTER. CONTRATUAL]]&lt;&gt;""),1)</f>
        <v>0</v>
      </c>
      <c r="N16" s="16" cm="1">
        <f t="array" aca="1" ref="N1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DOSSIÊ]]="",$BE16&gt;$BC$1),2,
AND(Tabela1[[#This Row],[STATUS PROCESSO MOBILIZAÇÃO]]="Em andamento",Tabela1[[#This Row],[DATA REAL - DOSSIÊ]]="",$BE16&lt;=$BC$1),3,
AND(Tabela1[[#This Row],[STATUS PROCESSO MOBILIZAÇÃO]]="Em andamento",Tabela1[[#This Row],[DATA REAL - DOSSIÊ]]&lt;&gt;""),1)</f>
        <v>1</v>
      </c>
      <c r="O16" s="16" cm="1">
        <f t="array" aca="1" ref="O1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POSTAGEM]]="",$BH16&gt;$BF$1),2,
AND(Tabela1[[#This Row],[STATUS PROCESSO MOBILIZAÇÃO]]="Em andamento",Tabela1[[#This Row],[DATA REAL - POSTAGEM]]="",$BH16&lt;=$BF$1),3,
AND(Tabela1[[#This Row],[STATUS PROCESSO MOBILIZAÇÃO]]="Em andamento",Tabela1[[#This Row],[DATA REAL - POSTAGEM]]&lt;&gt;""),1)</f>
        <v>1</v>
      </c>
      <c r="P16" s="16" cm="1">
        <f t="array" aca="1" ref="P1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FINAL]]="",$BK16&gt;$BI$1),2,
AND(Tabela1[[#This Row],[STATUS PROCESSO MOBILIZAÇÃO]]="Em andamento",Tabela1[[#This Row],[DATA REAL - APROV FINAL]]="",$BK16&lt;=$BI$1),3,
AND(Tabela1[[#This Row],[STATUS PROCESSO MOBILIZAÇÃO]]="Em andamento",Tabela1[[#This Row],[DATA REAL - APROV FINAL]]&lt;&gt;""),1)</f>
        <v>1</v>
      </c>
      <c r="Q16" s="15" cm="1">
        <f t="array" aca="1" ref="Q1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CRACHÁ]]="",$BN16&gt;$BL$1),2,
AND(Tabela1[[#This Row],[STATUS PROCESSO MOBILIZAÇÃO]]="Em andamento",Tabela1[[#This Row],[DATA REAL - CRACHÁ]]="",$BN16&lt;=$BL$1),3,
AND(Tabela1[[#This Row],[STATUS PROCESSO MOBILIZAÇÃO]]="Em andamento",Tabela1[[#This Row],[DATA REAL - CRACHÁ]]&lt;&gt;""),1)</f>
        <v>1</v>
      </c>
      <c r="R16" s="21">
        <f>IF(Tabela1[[#This Row],[DATA REAL - FORMS]]&lt;&gt;"",Tabela1[[#This Row],[DATA REAL - FORMS]]+30,Tabela1[[#This Row],[DATA PREV - FORMS]]+35)</f>
        <v>45695</v>
      </c>
      <c r="S1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45681</v>
      </c>
      <c r="T1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157</v>
      </c>
      <c r="U1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149</v>
      </c>
      <c r="V16" s="49">
        <f>MAX(Tabela1[[#This Row],[DATA REAL - POSTAGEM]],Tabela1[[#This Row],[DATA REAL - APROV FINAL]],Tabela1[[#This Row],[DATA REAL - CRACHÁ]])-MIN(Tabela1[[#This Row],[DATA REAL - POSTAGEM]],Tabela1[[#This Row],[DATA REAL - APROV FINAL]],Tabela1[[#This Row],[DATA REAL - CRACHÁ]])+1</f>
        <v>2</v>
      </c>
      <c r="W1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 s="15" t="s">
        <v>121</v>
      </c>
      <c r="Y16" s="16" t="s">
        <v>122</v>
      </c>
      <c r="Z16" s="18" t="s">
        <v>123</v>
      </c>
      <c r="AA16" s="18" t="s">
        <v>124</v>
      </c>
      <c r="AB16" s="16" t="s">
        <v>97</v>
      </c>
      <c r="AC16" s="16" t="s">
        <v>166</v>
      </c>
      <c r="AD16" s="16" t="s">
        <v>167</v>
      </c>
      <c r="AE16" s="16" t="s">
        <v>168</v>
      </c>
      <c r="AF16" s="16" t="s">
        <v>169</v>
      </c>
      <c r="AG16" s="16" t="str">
        <f>_xlfn.XLOOKUP(Tabela1[[#This Row],[CÓD. CT]],Controle_Projetos[COD CT],Controle_Projetos[COD PHD],"")</f>
        <v>NIPL-CT01-LAMI</v>
      </c>
      <c r="AH16" s="21">
        <v>45665</v>
      </c>
      <c r="AI16" s="75">
        <v>45524</v>
      </c>
      <c r="AJ16" s="16" t="str" cm="1">
        <f t="array" aca="1" ref="AJ1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 s="21">
        <v>45665</v>
      </c>
      <c r="AL16" s="74">
        <v>45665</v>
      </c>
      <c r="AM16" s="16" cm="1">
        <f t="array" aca="1" ref="AM1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 s="21">
        <f>Tabela1[[#This Row],[DATA PREV - FORMS]]+$AN$1</f>
        <v>45672</v>
      </c>
      <c r="AO16" s="74">
        <v>45665</v>
      </c>
      <c r="AP16" s="16" cm="1">
        <f t="array" aca="1" ref="AP1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6" s="21">
        <f>Tabela1[[#This Row],[DATA PREV - EXAMES]]+$AQ$1</f>
        <v>45674</v>
      </c>
      <c r="AR16" s="74">
        <v>45670</v>
      </c>
      <c r="AS16" s="15" cm="1">
        <f t="array" aca="1" ref="AS1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6" s="21">
        <f>Tabela1[[#This Row],[DATA PREV - FORMS]]+$AT$1</f>
        <v>45666</v>
      </c>
      <c r="AU16" s="74">
        <v>45666</v>
      </c>
      <c r="AV16" s="15" cm="1">
        <f t="array" aca="1" ref="AV1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6" s="21">
        <f>Tabela1[[#This Row],[DATA PREV - TREINAMENTOS]]+$AW$1</f>
        <v>45673</v>
      </c>
      <c r="AX16" s="74">
        <v>45667</v>
      </c>
      <c r="AY16" s="15" cm="1">
        <f t="array" aca="1" ref="AY1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6" s="24">
        <v>45694</v>
      </c>
      <c r="BA16" s="74"/>
      <c r="BB16" s="15" cm="1">
        <f t="array" aca="1" ref="BB1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6" s="21">
        <f>Tabela1[[#This Row],[DATA PREV - CONCL. TREIN.]]+$BC$1</f>
        <v>45675</v>
      </c>
      <c r="BD16" s="74">
        <v>45673</v>
      </c>
      <c r="BE16" s="15" cm="1">
        <f t="array" aca="1" ref="BE1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6" s="21">
        <f>Tabela1[[#This Row],[DATA PREV - DOSSIÊ]]+$BF$1</f>
        <v>45678</v>
      </c>
      <c r="BG16" s="74">
        <v>45680</v>
      </c>
      <c r="BH16" s="15" cm="1">
        <f t="array" aca="1" ref="BH1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6" s="21">
        <f>Tabela1[[#This Row],[DATA PREV - POSTAGEM]]+$BI$1</f>
        <v>45684</v>
      </c>
      <c r="BJ16" s="74">
        <v>45681</v>
      </c>
      <c r="BK16" s="15" cm="1">
        <f t="array" aca="1" ref="BK1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6" s="21">
        <f>Tabela1[[#This Row],[DATA PREV - APROV FINAL]]+$BL$1</f>
        <v>45685</v>
      </c>
      <c r="BM16" s="74">
        <v>45681</v>
      </c>
      <c r="BN16" s="15" cm="1">
        <f t="array" aca="1" ref="BN1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6" s="80" t="s">
        <v>170</v>
      </c>
    </row>
    <row r="17" spans="2:67" ht="18" hidden="1" customHeight="1" x14ac:dyDescent="0.35">
      <c r="B17" s="14" t="s">
        <v>119</v>
      </c>
      <c r="C17" s="16" t="s">
        <v>136</v>
      </c>
      <c r="D17" s="16" t="s">
        <v>119</v>
      </c>
      <c r="E17" s="16"/>
      <c r="F17" s="16" t="s">
        <v>171</v>
      </c>
      <c r="G17" s="16" cm="1">
        <f t="array" ref="G17">_xlfn.IFS(Tabela1[[#This Row],[STATUS PROCESSO MOBILIZAÇÃO]]="Finalizado",1,Tabela1[[#This Row],[STATUS PROCESSO MOBILIZAÇÃO]]="Cancelado",2,Tabela1[[#This Row],[STATUS PROCESSO MOBILIZAÇÃO]]="Em andamento",3)</f>
        <v>2</v>
      </c>
      <c r="H17" s="16" cm="1">
        <f t="array" aca="1" ref="H1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FORMS]]="",$AM17&gt;$AK$1),2,
AND(Tabela1[[#This Row],[STATUS PROCESSO MOBILIZAÇÃO]]="Em andamento",Tabela1[[#This Row],[DATA REAL - FORMS]]="",$AM17&lt;=$AK$1),3,
AND(Tabela1[[#This Row],[STATUS PROCESSO MOBILIZAÇÃO]]="Em andamento",Tabela1[[#This Row],[DATA REAL - FORMS]]&lt;&gt;""),1)</f>
        <v>1</v>
      </c>
      <c r="I17" s="16" cm="1">
        <f t="array" aca="1" ref="I1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EXAMES]]="",$AP17&gt;$AN$1),2,
AND(Tabela1[[#This Row],[STATUS PROCESSO MOBILIZAÇÃO]]="Em andamento",Tabela1[[#This Row],[DATA REAL - EXAMES]]="",$AP17&lt;=$AN$1),3,
AND(Tabela1[[#This Row],[STATUS PROCESSO MOBILIZAÇÃO]]="Em andamento",Tabela1[[#This Row],[DATA REAL - EXAMES]]&lt;&gt;""),1)</f>
        <v>1</v>
      </c>
      <c r="J17" s="16" cm="1">
        <f t="array" aca="1" ref="J1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ASO]]="",$AS17&gt;$AQ$1),2,
AND(Tabela1[[#This Row],[STATUS PROCESSO MOBILIZAÇÃO]]="Em andamento",Tabela1[[#This Row],[DATA REAL - ASO]]="",$AS17&lt;=$AQ$1),3,
AND(Tabela1[[#This Row],[STATUS PROCESSO MOBILIZAÇÃO]]="Em andamento",Tabela1[[#This Row],[DATA REAL - ASO]]&lt;&gt;""),1)</f>
        <v>1</v>
      </c>
      <c r="K17" s="15" cm="1">
        <f t="array" aca="1" ref="K1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TREINAMENTOS]]="",$AV17&gt;$AT$1),2,
AND(Tabela1[[#This Row],[STATUS PROCESSO MOBILIZAÇÃO]]="Em andamento",Tabela1[[#This Row],[DATA REAL - TREINAMENTOS]]="",$AV17&lt;=$AT$1),3,
AND(Tabela1[[#This Row],[STATUS PROCESSO MOBILIZAÇÃO]]="Em andamento",Tabela1[[#This Row],[DATA REAL - TREINAMENTOS]]&lt;&gt;""),1)</f>
        <v>1</v>
      </c>
      <c r="L17" s="15" cm="1">
        <f t="array" aca="1" ref="L1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TREIN.]]="",$AY17&gt;$AW$1),2,
AND(Tabela1[[#This Row],[STATUS PROCESSO MOBILIZAÇÃO]]="Em andamento",Tabela1[[#This Row],[DATA REAL - CONCL. TREIN.]]="",$AY17&lt;=$AW$1),3,
AND(Tabela1[[#This Row],[STATUS PROCESSO MOBILIZAÇÃO]]="Em andamento",Tabela1[[#This Row],[DATA REAL - CONCL. TREIN.]]&lt;&gt;""),1)</f>
        <v>1</v>
      </c>
      <c r="M17" s="15" cm="1">
        <f t="array" aca="1" ref="M1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CONTRATUAL]]="",$BB17&gt;$AZ$1),2,
AND(Tabela1[[#This Row],[STATUS PROCESSO MOBILIZAÇÃO]]="Em andamento",Tabela1[[#This Row],[DATA FIM - ALTER. CONTRATUAL]]="",$BB17&lt;=$AZ$1),3,
AND(Tabela1[[#This Row],[STATUS PROCESSO MOBILIZAÇÃO]]="Em andamento",Tabela1[[#This Row],[DATA FIM - ALTER. CONTRATUAL]]&lt;&gt;""),1)</f>
        <v>0</v>
      </c>
      <c r="N17" s="16" cm="1">
        <f t="array" aca="1" ref="N1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DOSSIÊ]]="",$BE17&gt;$BC$1),2,
AND(Tabela1[[#This Row],[STATUS PROCESSO MOBILIZAÇÃO]]="Em andamento",Tabela1[[#This Row],[DATA REAL - DOSSIÊ]]="",$BE17&lt;=$BC$1),3,
AND(Tabela1[[#This Row],[STATUS PROCESSO MOBILIZAÇÃO]]="Em andamento",Tabela1[[#This Row],[DATA REAL - DOSSIÊ]]&lt;&gt;""),1)</f>
        <v>0</v>
      </c>
      <c r="O17" s="16" cm="1">
        <f t="array" aca="1" ref="O1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POSTAGEM]]="",$BH17&gt;$BF$1),2,
AND(Tabela1[[#This Row],[STATUS PROCESSO MOBILIZAÇÃO]]="Em andamento",Tabela1[[#This Row],[DATA REAL - POSTAGEM]]="",$BH17&lt;=$BF$1),3,
AND(Tabela1[[#This Row],[STATUS PROCESSO MOBILIZAÇÃO]]="Em andamento",Tabela1[[#This Row],[DATA REAL - POSTAGEM]]&lt;&gt;""),1)</f>
        <v>0</v>
      </c>
      <c r="P17" s="16" cm="1">
        <f t="array" aca="1" ref="P1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FINAL]]="",$BK17&gt;$BI$1),2,
AND(Tabela1[[#This Row],[STATUS PROCESSO MOBILIZAÇÃO]]="Em andamento",Tabela1[[#This Row],[DATA REAL - APROV FINAL]]="",$BK17&lt;=$BI$1),3,
AND(Tabela1[[#This Row],[STATUS PROCESSO MOBILIZAÇÃO]]="Em andamento",Tabela1[[#This Row],[DATA REAL - APROV FINAL]]&lt;&gt;""),1)</f>
        <v>0</v>
      </c>
      <c r="Q17" s="15" cm="1">
        <f t="array" aca="1" ref="Q1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CRACHÁ]]="",$BN17&gt;$BL$1),2,
AND(Tabela1[[#This Row],[STATUS PROCESSO MOBILIZAÇÃO]]="Em andamento",Tabela1[[#This Row],[DATA REAL - CRACHÁ]]="",$BN17&lt;=$BL$1),3,
AND(Tabela1[[#This Row],[STATUS PROCESSO MOBILIZAÇÃO]]="Em andamento",Tabela1[[#This Row],[DATA REAL - CRACHÁ]]&lt;&gt;""),1)</f>
        <v>1</v>
      </c>
      <c r="R17" s="21">
        <f>IF(Tabela1[[#This Row],[DATA REAL - FORMS]]&lt;&gt;"",Tabela1[[#This Row],[DATA REAL - FORMS]]+30,Tabela1[[#This Row],[DATA PREV - FORMS]]+35)</f>
        <v>45698</v>
      </c>
      <c r="S1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45691</v>
      </c>
      <c r="T1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47</v>
      </c>
      <c r="U1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37</v>
      </c>
      <c r="V17" s="49">
        <f>MAX(Tabela1[[#This Row],[DATA REAL - POSTAGEM]],Tabela1[[#This Row],[DATA REAL - APROV FINAL]],Tabela1[[#This Row],[DATA REAL - CRACHÁ]])-MIN(Tabela1[[#This Row],[DATA REAL - POSTAGEM]],Tabela1[[#This Row],[DATA REAL - APROV FINAL]],Tabela1[[#This Row],[DATA REAL - CRACHÁ]])+1</f>
        <v>1</v>
      </c>
      <c r="W1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7" s="15" t="s">
        <v>172</v>
      </c>
      <c r="Y17" s="16" t="s">
        <v>150</v>
      </c>
      <c r="Z17" s="18" t="s">
        <v>173</v>
      </c>
      <c r="AA17" s="18" t="s">
        <v>152</v>
      </c>
      <c r="AB17" s="16" t="s">
        <v>97</v>
      </c>
      <c r="AC17" s="16" t="s">
        <v>174</v>
      </c>
      <c r="AD17" s="16" t="s">
        <v>174</v>
      </c>
      <c r="AE17" s="16" t="s">
        <v>175</v>
      </c>
      <c r="AF17" s="16" t="s">
        <v>176</v>
      </c>
      <c r="AG17" s="16" t="str">
        <f>_xlfn.XLOOKUP(Tabela1[[#This Row],[CÓD. CT]],Controle_Projetos[COD CT],Controle_Projetos[COD PHD],"")</f>
        <v>ALCO-CT02-GERE</v>
      </c>
      <c r="AH17" s="21"/>
      <c r="AI17" s="75">
        <v>45644</v>
      </c>
      <c r="AJ17" s="16" t="str" cm="1">
        <f t="array" aca="1" ref="AJ1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7" s="21">
        <v>45668</v>
      </c>
      <c r="AL17" s="74">
        <v>45668</v>
      </c>
      <c r="AM17" s="16" cm="1">
        <f t="array" aca="1" ref="AM1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 s="21">
        <f>Tabela1[[#This Row],[DATA PREV - FORMS]]+$AN$1</f>
        <v>45675</v>
      </c>
      <c r="AO17" s="74">
        <v>45671</v>
      </c>
      <c r="AP17" s="16" cm="1">
        <f t="array" aca="1" ref="AP1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17" s="21">
        <f>Tabela1[[#This Row],[DATA PREV - EXAMES]]+$AQ$1</f>
        <v>45677</v>
      </c>
      <c r="AR17" s="74">
        <v>45681</v>
      </c>
      <c r="AS17" s="15" cm="1">
        <f t="array" aca="1" ref="AS1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17" s="21">
        <f>Tabela1[[#This Row],[DATA PREV - FORMS]]+$AT$1</f>
        <v>45669</v>
      </c>
      <c r="AU17" s="74">
        <v>45679</v>
      </c>
      <c r="AV17" s="15" cm="1">
        <f t="array" aca="1" ref="AV1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11</v>
      </c>
      <c r="AW17" s="21">
        <f>Tabela1[[#This Row],[DATA PREV - TREINAMENTOS]]+$AW$1</f>
        <v>45676</v>
      </c>
      <c r="AX17" s="74">
        <v>45681</v>
      </c>
      <c r="AY17" s="15" cm="1">
        <f t="array" aca="1" ref="AY1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7" s="24"/>
      <c r="BA17" s="74"/>
      <c r="BB17" s="15" t="str" cm="1">
        <f t="array" aca="1" ref="BB1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17" s="21">
        <f>Tabela1[[#This Row],[DATA PREV - CONCL. TREIN.]]+$BC$1</f>
        <v>45678</v>
      </c>
      <c r="BD17" s="74"/>
      <c r="BE17" s="15" cm="1">
        <f t="array" aca="1" ref="BE1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7" s="21">
        <f>Tabela1[[#This Row],[DATA PREV - DOSSIÊ]]+$BF$1</f>
        <v>45681</v>
      </c>
      <c r="BG17" s="74"/>
      <c r="BH17" s="15" cm="1">
        <f t="array" aca="1" ref="BH1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7" s="21">
        <f>Tabela1[[#This Row],[DATA PREV - POSTAGEM]]+$BI$1</f>
        <v>45687</v>
      </c>
      <c r="BJ17" s="74"/>
      <c r="BK17" s="15" cm="1">
        <f t="array" aca="1" ref="BK1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7" s="21">
        <f>Tabela1[[#This Row],[DATA PREV - APROV FINAL]]+$BL$1</f>
        <v>45688</v>
      </c>
      <c r="BM17" s="74">
        <v>45691</v>
      </c>
      <c r="BN17" s="15" cm="1">
        <f t="array" aca="1" ref="BN1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17" s="80" t="s">
        <v>177</v>
      </c>
    </row>
    <row r="18" spans="2:67" ht="18" hidden="1" customHeight="1" x14ac:dyDescent="0.35">
      <c r="B18" s="14" t="s">
        <v>79</v>
      </c>
      <c r="C18" s="16" t="s">
        <v>147</v>
      </c>
      <c r="D18" s="16" t="s">
        <v>81</v>
      </c>
      <c r="E18" s="16"/>
      <c r="F18" s="16" t="s">
        <v>178</v>
      </c>
      <c r="G18" s="16" cm="1">
        <f t="array" ref="G18">_xlfn.IFS(Tabela1[[#This Row],[STATUS PROCESSO MOBILIZAÇÃO]]="Finalizado",1,Tabela1[[#This Row],[STATUS PROCESSO MOBILIZAÇÃO]]="Cancelado",2,Tabela1[[#This Row],[STATUS PROCESSO MOBILIZAÇÃO]]="Em andamento",3)</f>
        <v>1</v>
      </c>
      <c r="H18" s="16" cm="1">
        <f t="array" aca="1" ref="H1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FORMS]]="",$AM18&gt;$AK$1),2,
AND(Tabela1[[#This Row],[STATUS PROCESSO MOBILIZAÇÃO]]="Em andamento",Tabela1[[#This Row],[DATA REAL - FORMS]]="",$AM18&lt;=$AK$1),3,
AND(Tabela1[[#This Row],[STATUS PROCESSO MOBILIZAÇÃO]]="Em andamento",Tabela1[[#This Row],[DATA REAL - FORMS]]&lt;&gt;""),1)</f>
        <v>1</v>
      </c>
      <c r="I18" s="16" cm="1">
        <f t="array" aca="1" ref="I1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EXAMES]]="",$AP18&gt;$AN$1),2,
AND(Tabela1[[#This Row],[STATUS PROCESSO MOBILIZAÇÃO]]="Em andamento",Tabela1[[#This Row],[DATA REAL - EXAMES]]="",$AP18&lt;=$AN$1),3,
AND(Tabela1[[#This Row],[STATUS PROCESSO MOBILIZAÇÃO]]="Em andamento",Tabela1[[#This Row],[DATA REAL - EXAMES]]&lt;&gt;""),1)</f>
        <v>1</v>
      </c>
      <c r="J18" s="16" cm="1">
        <f t="array" aca="1" ref="J1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ASO]]="",$AS18&gt;$AQ$1),2,
AND(Tabela1[[#This Row],[STATUS PROCESSO MOBILIZAÇÃO]]="Em andamento",Tabela1[[#This Row],[DATA REAL - ASO]]="",$AS18&lt;=$AQ$1),3,
AND(Tabela1[[#This Row],[STATUS PROCESSO MOBILIZAÇÃO]]="Em andamento",Tabela1[[#This Row],[DATA REAL - ASO]]&lt;&gt;""),1)</f>
        <v>1</v>
      </c>
      <c r="K18" s="15" cm="1">
        <f t="array" aca="1" ref="K1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TREINAMENTOS]]="",$AV18&gt;$AT$1),2,
AND(Tabela1[[#This Row],[STATUS PROCESSO MOBILIZAÇÃO]]="Em andamento",Tabela1[[#This Row],[DATA REAL - TREINAMENTOS]]="",$AV18&lt;=$AT$1),3,
AND(Tabela1[[#This Row],[STATUS PROCESSO MOBILIZAÇÃO]]="Em andamento",Tabela1[[#This Row],[DATA REAL - TREINAMENTOS]]&lt;&gt;""),1)</f>
        <v>1</v>
      </c>
      <c r="L18" s="15" cm="1">
        <f t="array" aca="1" ref="L1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TREIN.]]="",$AY18&gt;$AW$1),2,
AND(Tabela1[[#This Row],[STATUS PROCESSO MOBILIZAÇÃO]]="Em andamento",Tabela1[[#This Row],[DATA REAL - CONCL. TREIN.]]="",$AY18&lt;=$AW$1),3,
AND(Tabela1[[#This Row],[STATUS PROCESSO MOBILIZAÇÃO]]="Em andamento",Tabela1[[#This Row],[DATA REAL - CONCL. TREIN.]]&lt;&gt;""),1)</f>
        <v>1</v>
      </c>
      <c r="M18" s="15" cm="1">
        <f t="array" aca="1" ref="M1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CONTRATUAL]]="",$BB18&gt;$AZ$1),2,
AND(Tabela1[[#This Row],[STATUS PROCESSO MOBILIZAÇÃO]]="Em andamento",Tabela1[[#This Row],[DATA FIM - ALTER. CONTRATUAL]]="",$BB18&lt;=$AZ$1),3,
AND(Tabela1[[#This Row],[STATUS PROCESSO MOBILIZAÇÃO]]="Em andamento",Tabela1[[#This Row],[DATA FIM - ALTER. CONTRATUAL]]&lt;&gt;""),1)</f>
        <v>1</v>
      </c>
      <c r="N18" s="16" cm="1">
        <f t="array" aca="1" ref="N1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DOSSIÊ]]="",$BE18&gt;$BC$1),2,
AND(Tabela1[[#This Row],[STATUS PROCESSO MOBILIZAÇÃO]]="Em andamento",Tabela1[[#This Row],[DATA REAL - DOSSIÊ]]="",$BE18&lt;=$BC$1),3,
AND(Tabela1[[#This Row],[STATUS PROCESSO MOBILIZAÇÃO]]="Em andamento",Tabela1[[#This Row],[DATA REAL - DOSSIÊ]]&lt;&gt;""),1)</f>
        <v>1</v>
      </c>
      <c r="O18" s="16" cm="1">
        <f t="array" aca="1" ref="O1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POSTAGEM]]="",$BH18&gt;$BF$1),2,
AND(Tabela1[[#This Row],[STATUS PROCESSO MOBILIZAÇÃO]]="Em andamento",Tabela1[[#This Row],[DATA REAL - POSTAGEM]]="",$BH18&lt;=$BF$1),3,
AND(Tabela1[[#This Row],[STATUS PROCESSO MOBILIZAÇÃO]]="Em andamento",Tabela1[[#This Row],[DATA REAL - POSTAGEM]]&lt;&gt;""),1)</f>
        <v>1</v>
      </c>
      <c r="P18" s="16" cm="1">
        <f t="array" aca="1" ref="P1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FINAL]]="",$BK18&gt;$BI$1),2,
AND(Tabela1[[#This Row],[STATUS PROCESSO MOBILIZAÇÃO]]="Em andamento",Tabela1[[#This Row],[DATA REAL - APROV FINAL]]="",$BK18&lt;=$BI$1),3,
AND(Tabela1[[#This Row],[STATUS PROCESSO MOBILIZAÇÃO]]="Em andamento",Tabela1[[#This Row],[DATA REAL - APROV FINAL]]&lt;&gt;""),1)</f>
        <v>1</v>
      </c>
      <c r="Q18" s="15" cm="1">
        <f t="array" aca="1" ref="Q1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CRACHÁ]]="",$BN18&gt;$BL$1),2,
AND(Tabela1[[#This Row],[STATUS PROCESSO MOBILIZAÇÃO]]="Em andamento",Tabela1[[#This Row],[DATA REAL - CRACHÁ]]="",$BN18&lt;=$BL$1),3,
AND(Tabela1[[#This Row],[STATUS PROCESSO MOBILIZAÇÃO]]="Em andamento",Tabela1[[#This Row],[DATA REAL - CRACHÁ]]&lt;&gt;""),1)</f>
        <v>1</v>
      </c>
      <c r="R18" s="21">
        <f>IF(Tabela1[[#This Row],[DATA REAL - FORMS]]&lt;&gt;"",Tabela1[[#This Row],[DATA REAL - FORMS]]+30,Tabela1[[#This Row],[DATA PREV - FORMS]]+35)</f>
        <v>45702</v>
      </c>
      <c r="S1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45698</v>
      </c>
      <c r="T1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98</v>
      </c>
      <c r="U1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94</v>
      </c>
      <c r="V18" s="49">
        <f>MAX(Tabela1[[#This Row],[DATA REAL - POSTAGEM]],Tabela1[[#This Row],[DATA REAL - APROV FINAL]],Tabela1[[#This Row],[DATA REAL - CRACHÁ]])-MIN(Tabela1[[#This Row],[DATA REAL - POSTAGEM]],Tabela1[[#This Row],[DATA REAL - APROV FINAL]],Tabela1[[#This Row],[DATA REAL - CRACHÁ]])+1</f>
        <v>5</v>
      </c>
      <c r="W1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8" s="15" t="s">
        <v>121</v>
      </c>
      <c r="Y18" s="16" t="s">
        <v>122</v>
      </c>
      <c r="Z18" s="18" t="s">
        <v>123</v>
      </c>
      <c r="AA18" s="18" t="s">
        <v>124</v>
      </c>
      <c r="AB18" s="16" t="s">
        <v>87</v>
      </c>
      <c r="AC18" s="16" t="s">
        <v>179</v>
      </c>
      <c r="AD18" s="16" t="s">
        <v>132</v>
      </c>
      <c r="AE18" s="16" t="s">
        <v>180</v>
      </c>
      <c r="AF18" s="16" t="s">
        <v>181</v>
      </c>
      <c r="AG18" s="16" t="str">
        <f>_xlfn.XLOOKUP(Tabela1[[#This Row],[CÓD. CT]],Controle_Projetos[COD CT],Controle_Projetos[COD PHD],"")</f>
        <v>PARE-CT08-MINE</v>
      </c>
      <c r="AH18" s="21">
        <v>45673</v>
      </c>
      <c r="AI18" s="75">
        <v>45600</v>
      </c>
      <c r="AJ18" s="16" t="str" cm="1">
        <f t="array" aca="1" ref="AJ1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8" s="21">
        <v>45670</v>
      </c>
      <c r="AL18" s="74">
        <v>45672</v>
      </c>
      <c r="AM18" s="16" cm="1">
        <f t="array" aca="1" ref="AM1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8" s="21">
        <f>Tabela1[[#This Row],[DATA PREV - FORMS]]+$AN$1</f>
        <v>45677</v>
      </c>
      <c r="AO18" s="74">
        <v>45670</v>
      </c>
      <c r="AP18" s="16" cm="1">
        <f t="array" aca="1" ref="AP1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 s="21">
        <f>Tabela1[[#This Row],[DATA PREV - EXAMES]]+$AQ$1</f>
        <v>45679</v>
      </c>
      <c r="AR18" s="74">
        <v>45680</v>
      </c>
      <c r="AS18" s="15" cm="1">
        <f t="array" aca="1" ref="AS1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8" s="21">
        <f>Tabela1[[#This Row],[DATA PREV - FORMS]]+$AT$1</f>
        <v>45671</v>
      </c>
      <c r="AU18" s="74">
        <v>45672</v>
      </c>
      <c r="AV18" s="15" cm="1">
        <f t="array" aca="1" ref="AV1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18" s="21">
        <f>Tabela1[[#This Row],[DATA PREV - TREINAMENTOS]]+$AW$1</f>
        <v>45678</v>
      </c>
      <c r="AX18" s="74">
        <v>45674</v>
      </c>
      <c r="AY18" s="15" cm="1">
        <f t="array" aca="1" ref="AY1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8" s="24">
        <v>45722</v>
      </c>
      <c r="BA18" s="74">
        <v>45670</v>
      </c>
      <c r="BB18" s="15" cm="1">
        <f t="array" aca="1" ref="BB1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-51</v>
      </c>
      <c r="BC18" s="21">
        <f>Tabela1[[#This Row],[DATA PREV - CONCL. TREIN.]]+$BC$1</f>
        <v>45680</v>
      </c>
      <c r="BD18" s="74">
        <v>45694</v>
      </c>
      <c r="BE18" s="15" cm="1">
        <f t="array" aca="1" ref="BE1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15</v>
      </c>
      <c r="BF18" s="21">
        <f>Tabela1[[#This Row],[DATA PREV - DOSSIÊ]]+$BF$1</f>
        <v>45683</v>
      </c>
      <c r="BG18" s="74">
        <v>45694</v>
      </c>
      <c r="BH18" s="15" cm="1">
        <f t="array" aca="1" ref="BH1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18" s="21">
        <f>Tabela1[[#This Row],[DATA PREV - POSTAGEM]]+$BI$1</f>
        <v>45689</v>
      </c>
      <c r="BJ18" s="74">
        <v>45698</v>
      </c>
      <c r="BK18" s="15" cm="1">
        <f t="array" aca="1" ref="BK1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8" s="21">
        <f>Tabela1[[#This Row],[DATA PREV - APROV FINAL]]+$BL$1</f>
        <v>45690</v>
      </c>
      <c r="BM18" s="74">
        <v>45698</v>
      </c>
      <c r="BN18" s="15" cm="1">
        <f t="array" aca="1" ref="BN1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18" s="80" t="s">
        <v>182</v>
      </c>
    </row>
    <row r="19" spans="2:67" ht="18" hidden="1" customHeight="1" x14ac:dyDescent="0.35">
      <c r="B19" s="14" t="s">
        <v>119</v>
      </c>
      <c r="C19" s="16" t="s">
        <v>147</v>
      </c>
      <c r="D19" s="16" t="s">
        <v>119</v>
      </c>
      <c r="E19" s="16"/>
      <c r="F19" s="16" t="s">
        <v>183</v>
      </c>
      <c r="G19" s="16" cm="1">
        <f t="array" ref="G19">_xlfn.IFS(Tabela1[[#This Row],[STATUS PROCESSO MOBILIZAÇÃO]]="Finalizado",1,Tabela1[[#This Row],[STATUS PROCESSO MOBILIZAÇÃO]]="Cancelado",2,Tabela1[[#This Row],[STATUS PROCESSO MOBILIZAÇÃO]]="Em andamento",3)</f>
        <v>2</v>
      </c>
      <c r="H19" s="16" cm="1">
        <f t="array" aca="1" ref="H1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FORMS]]="",$AM19&gt;$AK$1),2,
AND(Tabela1[[#This Row],[STATUS PROCESSO MOBILIZAÇÃO]]="Em andamento",Tabela1[[#This Row],[DATA REAL - FORMS]]="",$AM19&lt;=$AK$1),3,
AND(Tabela1[[#This Row],[STATUS PROCESSO MOBILIZAÇÃO]]="Em andamento",Tabela1[[#This Row],[DATA REAL - FORMS]]&lt;&gt;""),1)</f>
        <v>1</v>
      </c>
      <c r="I19" s="16" cm="1">
        <f t="array" aca="1" ref="I1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EXAMES]]="",$AP19&gt;$AN$1),2,
AND(Tabela1[[#This Row],[STATUS PROCESSO MOBILIZAÇÃO]]="Em andamento",Tabela1[[#This Row],[DATA REAL - EXAMES]]="",$AP19&lt;=$AN$1),3,
AND(Tabela1[[#This Row],[STATUS PROCESSO MOBILIZAÇÃO]]="Em andamento",Tabela1[[#This Row],[DATA REAL - EXAMES]]&lt;&gt;""),1)</f>
        <v>1</v>
      </c>
      <c r="J19" s="16" cm="1">
        <f t="array" aca="1" ref="J1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ASO]]="",$AS19&gt;$AQ$1),2,
AND(Tabela1[[#This Row],[STATUS PROCESSO MOBILIZAÇÃO]]="Em andamento",Tabela1[[#This Row],[DATA REAL - ASO]]="",$AS19&lt;=$AQ$1),3,
AND(Tabela1[[#This Row],[STATUS PROCESSO MOBILIZAÇÃO]]="Em andamento",Tabela1[[#This Row],[DATA REAL - ASO]]&lt;&gt;""),1)</f>
        <v>0</v>
      </c>
      <c r="K19" s="15" cm="1">
        <f t="array" aca="1" ref="K1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TREINAMENTOS]]="",$AV19&gt;$AT$1),2,
AND(Tabela1[[#This Row],[STATUS PROCESSO MOBILIZAÇÃO]]="Em andamento",Tabela1[[#This Row],[DATA REAL - TREINAMENTOS]]="",$AV19&lt;=$AT$1),3,
AND(Tabela1[[#This Row],[STATUS PROCESSO MOBILIZAÇÃO]]="Em andamento",Tabela1[[#This Row],[DATA REAL - TREINAMENTOS]]&lt;&gt;""),1)</f>
        <v>0</v>
      </c>
      <c r="L19" s="15" cm="1">
        <f t="array" aca="1" ref="L1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TREIN.]]="",$AY19&gt;$AW$1),2,
AND(Tabela1[[#This Row],[STATUS PROCESSO MOBILIZAÇÃO]]="Em andamento",Tabela1[[#This Row],[DATA REAL - CONCL. TREIN.]]="",$AY19&lt;=$AW$1),3,
AND(Tabela1[[#This Row],[STATUS PROCESSO MOBILIZAÇÃO]]="Em andamento",Tabela1[[#This Row],[DATA REAL - CONCL. TREIN.]]&lt;&gt;""),1)</f>
        <v>0</v>
      </c>
      <c r="M19" s="15" cm="1">
        <f t="array" aca="1" ref="M1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CONTRATUAL]]="",$BB19&gt;$AZ$1),2,
AND(Tabela1[[#This Row],[STATUS PROCESSO MOBILIZAÇÃO]]="Em andamento",Tabela1[[#This Row],[DATA FIM - ALTER. CONTRATUAL]]="",$BB19&lt;=$AZ$1),3,
AND(Tabela1[[#This Row],[STATUS PROCESSO MOBILIZAÇÃO]]="Em andamento",Tabela1[[#This Row],[DATA FIM - ALTER. CONTRATUAL]]&lt;&gt;""),1)</f>
        <v>1</v>
      </c>
      <c r="N19" s="16" cm="1">
        <f t="array" aca="1" ref="N1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DOSSIÊ]]="",$BE19&gt;$BC$1),2,
AND(Tabela1[[#This Row],[STATUS PROCESSO MOBILIZAÇÃO]]="Em andamento",Tabela1[[#This Row],[DATA REAL - DOSSIÊ]]="",$BE19&lt;=$BC$1),3,
AND(Tabela1[[#This Row],[STATUS PROCESSO MOBILIZAÇÃO]]="Em andamento",Tabela1[[#This Row],[DATA REAL - DOSSIÊ]]&lt;&gt;""),1)</f>
        <v>0</v>
      </c>
      <c r="O19" s="16" cm="1">
        <f t="array" aca="1" ref="O1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POSTAGEM]]="",$BH19&gt;$BF$1),2,
AND(Tabela1[[#This Row],[STATUS PROCESSO MOBILIZAÇÃO]]="Em andamento",Tabela1[[#This Row],[DATA REAL - POSTAGEM]]="",$BH19&lt;=$BF$1),3,
AND(Tabela1[[#This Row],[STATUS PROCESSO MOBILIZAÇÃO]]="Em andamento",Tabela1[[#This Row],[DATA REAL - POSTAGEM]]&lt;&gt;""),1)</f>
        <v>0</v>
      </c>
      <c r="P19" s="16" cm="1">
        <f t="array" aca="1" ref="P1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FINAL]]="",$BK19&gt;$BI$1),2,
AND(Tabela1[[#This Row],[STATUS PROCESSO MOBILIZAÇÃO]]="Em andamento",Tabela1[[#This Row],[DATA REAL - APROV FINAL]]="",$BK19&lt;=$BI$1),3,
AND(Tabela1[[#This Row],[STATUS PROCESSO MOBILIZAÇÃO]]="Em andamento",Tabela1[[#This Row],[DATA REAL - APROV FINAL]]&lt;&gt;""),1)</f>
        <v>0</v>
      </c>
      <c r="Q19" s="15" cm="1">
        <f t="array" aca="1" ref="Q1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CRACHÁ]]="",$BN19&gt;$BL$1),2,
AND(Tabela1[[#This Row],[STATUS PROCESSO MOBILIZAÇÃO]]="Em andamento",Tabela1[[#This Row],[DATA REAL - CRACHÁ]]="",$BN19&lt;=$BL$1),3,
AND(Tabela1[[#This Row],[STATUS PROCESSO MOBILIZAÇÃO]]="Em andamento",Tabela1[[#This Row],[DATA REAL - CRACHÁ]]&lt;&gt;""),1)</f>
        <v>1</v>
      </c>
      <c r="R19" s="21">
        <f>IF(Tabela1[[#This Row],[DATA REAL - FORMS]]&lt;&gt;"",Tabela1[[#This Row],[DATA REAL - FORMS]]+30,Tabela1[[#This Row],[DATA PREV - FORMS]]+35)</f>
        <v>45700</v>
      </c>
      <c r="S1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45672</v>
      </c>
      <c r="T1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71</v>
      </c>
      <c r="U1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69</v>
      </c>
      <c r="V19" s="49">
        <f>MAX(Tabela1[[#This Row],[DATA REAL - POSTAGEM]],Tabela1[[#This Row],[DATA REAL - APROV FINAL]],Tabela1[[#This Row],[DATA REAL - CRACHÁ]])-MIN(Tabela1[[#This Row],[DATA REAL - POSTAGEM]],Tabela1[[#This Row],[DATA REAL - APROV FINAL]],Tabela1[[#This Row],[DATA REAL - CRACHÁ]])+1</f>
        <v>1</v>
      </c>
      <c r="W1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9" s="15" t="s">
        <v>84</v>
      </c>
      <c r="Y19" s="16" t="s">
        <v>84</v>
      </c>
      <c r="Z19" s="18" t="s">
        <v>86</v>
      </c>
      <c r="AA19" s="18" t="s">
        <v>86</v>
      </c>
      <c r="AB19" s="16" t="s">
        <v>87</v>
      </c>
      <c r="AC19" s="16" t="s">
        <v>98</v>
      </c>
      <c r="AD19" s="16" t="s">
        <v>184</v>
      </c>
      <c r="AE19" s="16" t="s">
        <v>185</v>
      </c>
      <c r="AF19" s="16" t="s">
        <v>186</v>
      </c>
      <c r="AG19" s="16" t="str">
        <f>_xlfn.XLOOKUP(Tabela1[[#This Row],[CÓD. CT]],Controle_Projetos[COD CT],Controle_Projetos[COD PHD],"")</f>
        <v>SALU-CT04-DISP</v>
      </c>
      <c r="AH19" s="21">
        <v>45670</v>
      </c>
      <c r="AI19" s="75">
        <v>45601</v>
      </c>
      <c r="AJ19" s="16" t="str" cm="1">
        <f t="array" aca="1" ref="AJ1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9" s="21">
        <v>45670</v>
      </c>
      <c r="AL19" s="74">
        <v>45670</v>
      </c>
      <c r="AM19" s="16" cm="1">
        <f t="array" aca="1" ref="AM1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 s="21">
        <f>Tabela1[[#This Row],[DATA PREV - FORMS]]+$AN$1</f>
        <v>45677</v>
      </c>
      <c r="AO19" s="74">
        <v>45670</v>
      </c>
      <c r="AP19" s="16" cm="1">
        <f t="array" aca="1" ref="AP1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 s="21">
        <f>Tabela1[[#This Row],[DATA PREV - EXAMES]]+$AQ$1</f>
        <v>45679</v>
      </c>
      <c r="AR19" s="74"/>
      <c r="AS19" s="15" cm="1">
        <f t="array" aca="1" ref="AS1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9" s="21">
        <f>Tabela1[[#This Row],[DATA PREV - FORMS]]+$AT$1</f>
        <v>45671</v>
      </c>
      <c r="AU19" s="74"/>
      <c r="AV19" s="15" cm="1">
        <f t="array" aca="1" ref="AV1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9" s="21">
        <f>Tabela1[[#This Row],[DATA PREV - TREINAMENTOS]]+$AW$1</f>
        <v>45678</v>
      </c>
      <c r="AX19" s="74"/>
      <c r="AY19" s="15" cm="1">
        <f t="array" aca="1" ref="AY1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9" s="24">
        <v>45741</v>
      </c>
      <c r="BA19" s="74">
        <v>45670</v>
      </c>
      <c r="BB19" s="15" cm="1">
        <f t="array" aca="1" ref="BB1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-70</v>
      </c>
      <c r="BC19" s="21">
        <f>Tabela1[[#This Row],[DATA PREV - CONCL. TREIN.]]+$BC$1</f>
        <v>45680</v>
      </c>
      <c r="BD19" s="74"/>
      <c r="BE19" s="15" cm="1">
        <f t="array" aca="1" ref="BE1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 s="21">
        <f>Tabela1[[#This Row],[DATA PREV - DOSSIÊ]]+$BF$1</f>
        <v>45683</v>
      </c>
      <c r="BG19" s="74"/>
      <c r="BH19" s="15" cm="1">
        <f t="array" aca="1" ref="BH1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9" s="21">
        <f>Tabela1[[#This Row],[DATA PREV - POSTAGEM]]+$BI$1</f>
        <v>45689</v>
      </c>
      <c r="BJ19" s="74"/>
      <c r="BK19" s="15" cm="1">
        <f t="array" aca="1" ref="BK1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9" s="21">
        <f>Tabela1[[#This Row],[DATA PREV - APROV FINAL]]+$BL$1</f>
        <v>45690</v>
      </c>
      <c r="BM19" s="74">
        <v>45672</v>
      </c>
      <c r="BN19" s="15" cm="1">
        <f t="array" aca="1" ref="BN1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-17</v>
      </c>
      <c r="BO19" s="80" t="s">
        <v>187</v>
      </c>
    </row>
    <row r="20" spans="2:67" ht="18" hidden="1" customHeight="1" x14ac:dyDescent="0.35">
      <c r="B20" s="14" t="s">
        <v>119</v>
      </c>
      <c r="C20" s="16" t="s">
        <v>147</v>
      </c>
      <c r="D20" s="16" t="s">
        <v>119</v>
      </c>
      <c r="E20" s="16"/>
      <c r="F20" s="16" t="s">
        <v>188</v>
      </c>
      <c r="G20" s="16" cm="1">
        <f t="array" ref="G20">_xlfn.IFS(Tabela1[[#This Row],[STATUS PROCESSO MOBILIZAÇÃO]]="Finalizado",1,Tabela1[[#This Row],[STATUS PROCESSO MOBILIZAÇÃO]]="Cancelado",2,Tabela1[[#This Row],[STATUS PROCESSO MOBILIZAÇÃO]]="Em andamento",3)</f>
        <v>2</v>
      </c>
      <c r="H20" s="16" cm="1">
        <f t="array" aca="1" ref="H2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FORMS]]="",$AM20&gt;$AK$1),2,
AND(Tabela1[[#This Row],[STATUS PROCESSO MOBILIZAÇÃO]]="Em andamento",Tabela1[[#This Row],[DATA REAL - FORMS]]="",$AM20&lt;=$AK$1),3,
AND(Tabela1[[#This Row],[STATUS PROCESSO MOBILIZAÇÃO]]="Em andamento",Tabela1[[#This Row],[DATA REAL - FORMS]]&lt;&gt;""),1)</f>
        <v>1</v>
      </c>
      <c r="I20" s="16" cm="1">
        <f t="array" aca="1" ref="I2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EXAMES]]="",$AP20&gt;$AN$1),2,
AND(Tabela1[[#This Row],[STATUS PROCESSO MOBILIZAÇÃO]]="Em andamento",Tabela1[[#This Row],[DATA REAL - EXAMES]]="",$AP20&lt;=$AN$1),3,
AND(Tabela1[[#This Row],[STATUS PROCESSO MOBILIZAÇÃO]]="Em andamento",Tabela1[[#This Row],[DATA REAL - EXAMES]]&lt;&gt;""),1)</f>
        <v>1</v>
      </c>
      <c r="J20" s="16" cm="1">
        <f t="array" aca="1" ref="J2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ASO]]="",$AS20&gt;$AQ$1),2,
AND(Tabela1[[#This Row],[STATUS PROCESSO MOBILIZAÇÃO]]="Em andamento",Tabela1[[#This Row],[DATA REAL - ASO]]="",$AS20&lt;=$AQ$1),3,
AND(Tabela1[[#This Row],[STATUS PROCESSO MOBILIZAÇÃO]]="Em andamento",Tabela1[[#This Row],[DATA REAL - ASO]]&lt;&gt;""),1)</f>
        <v>1</v>
      </c>
      <c r="K20" s="15" cm="1">
        <f t="array" aca="1" ref="K2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TREINAMENTOS]]="",$AV20&gt;$AT$1),2,
AND(Tabela1[[#This Row],[STATUS PROCESSO MOBILIZAÇÃO]]="Em andamento",Tabela1[[#This Row],[DATA REAL - TREINAMENTOS]]="",$AV20&lt;=$AT$1),3,
AND(Tabela1[[#This Row],[STATUS PROCESSO MOBILIZAÇÃO]]="Em andamento",Tabela1[[#This Row],[DATA REAL - TREINAMENTOS]]&lt;&gt;""),1)</f>
        <v>1</v>
      </c>
      <c r="L20" s="15" cm="1">
        <f t="array" aca="1" ref="L2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TREIN.]]="",$AY20&gt;$AW$1),2,
AND(Tabela1[[#This Row],[STATUS PROCESSO MOBILIZAÇÃO]]="Em andamento",Tabela1[[#This Row],[DATA REAL - CONCL. TREIN.]]="",$AY20&lt;=$AW$1),3,
AND(Tabela1[[#This Row],[STATUS PROCESSO MOBILIZAÇÃO]]="Em andamento",Tabela1[[#This Row],[DATA REAL - CONCL. TREIN.]]&lt;&gt;""),1)</f>
        <v>1</v>
      </c>
      <c r="M20" s="15" cm="1">
        <f t="array" aca="1" ref="M2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CONTRATUAL]]="",$BB20&gt;$AZ$1),2,
AND(Tabela1[[#This Row],[STATUS PROCESSO MOBILIZAÇÃO]]="Em andamento",Tabela1[[#This Row],[DATA FIM - ALTER. CONTRATUAL]]="",$BB20&lt;=$AZ$1),3,
AND(Tabela1[[#This Row],[STATUS PROCESSO MOBILIZAÇÃO]]="Em andamento",Tabela1[[#This Row],[DATA FIM - ALTER. CONTRATUAL]]&lt;&gt;""),1)</f>
        <v>1</v>
      </c>
      <c r="N20" s="16" cm="1">
        <f t="array" aca="1" ref="N2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DOSSIÊ]]="",$BE20&gt;$BC$1),2,
AND(Tabela1[[#This Row],[STATUS PROCESSO MOBILIZAÇÃO]]="Em andamento",Tabela1[[#This Row],[DATA REAL - DOSSIÊ]]="",$BE20&lt;=$BC$1),3,
AND(Tabela1[[#This Row],[STATUS PROCESSO MOBILIZAÇÃO]]="Em andamento",Tabela1[[#This Row],[DATA REAL - DOSSIÊ]]&lt;&gt;""),1)</f>
        <v>1</v>
      </c>
      <c r="O20" s="16" cm="1">
        <f t="array" aca="1" ref="O2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POSTAGEM]]="",$BH20&gt;$BF$1),2,
AND(Tabela1[[#This Row],[STATUS PROCESSO MOBILIZAÇÃO]]="Em andamento",Tabela1[[#This Row],[DATA REAL - POSTAGEM]]="",$BH20&lt;=$BF$1),3,
AND(Tabela1[[#This Row],[STATUS PROCESSO MOBILIZAÇÃO]]="Em andamento",Tabela1[[#This Row],[DATA REAL - POSTAGEM]]&lt;&gt;""),1)</f>
        <v>0</v>
      </c>
      <c r="P20" s="16" cm="1">
        <f t="array" aca="1" ref="P2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FINAL]]="",$BK20&gt;$BI$1),2,
AND(Tabela1[[#This Row],[STATUS PROCESSO MOBILIZAÇÃO]]="Em andamento",Tabela1[[#This Row],[DATA REAL - APROV FINAL]]="",$BK20&lt;=$BI$1),3,
AND(Tabela1[[#This Row],[STATUS PROCESSO MOBILIZAÇÃO]]="Em andamento",Tabela1[[#This Row],[DATA REAL - APROV FINAL]]&lt;&gt;""),1)</f>
        <v>0</v>
      </c>
      <c r="Q20" s="15" cm="1">
        <f t="array" aca="1" ref="Q2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CRACHÁ]]="",$BN20&gt;$BL$1),2,
AND(Tabela1[[#This Row],[STATUS PROCESSO MOBILIZAÇÃO]]="Em andamento",Tabela1[[#This Row],[DATA REAL - CRACHÁ]]="",$BN20&lt;=$BL$1),3,
AND(Tabela1[[#This Row],[STATUS PROCESSO MOBILIZAÇÃO]]="Em andamento",Tabela1[[#This Row],[DATA REAL - CRACHÁ]]&lt;&gt;""),1)</f>
        <v>1</v>
      </c>
      <c r="R20" s="21">
        <f>IF(Tabela1[[#This Row],[DATA REAL - FORMS]]&lt;&gt;"",Tabela1[[#This Row],[DATA REAL - FORMS]]+30,Tabela1[[#This Row],[DATA PREV - FORMS]]+35)</f>
        <v>45707</v>
      </c>
      <c r="S2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45712</v>
      </c>
      <c r="T2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73</v>
      </c>
      <c r="U2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47</v>
      </c>
      <c r="V20" s="49">
        <f>MAX(Tabela1[[#This Row],[DATA REAL - POSTAGEM]],Tabela1[[#This Row],[DATA REAL - APROV FINAL]],Tabela1[[#This Row],[DATA REAL - CRACHÁ]])-MIN(Tabela1[[#This Row],[DATA REAL - POSTAGEM]],Tabela1[[#This Row],[DATA REAL - APROV FINAL]],Tabela1[[#This Row],[DATA REAL - CRACHÁ]])+1</f>
        <v>1</v>
      </c>
      <c r="W2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0" s="15" t="s">
        <v>122</v>
      </c>
      <c r="Y20" s="16" t="s">
        <v>122</v>
      </c>
      <c r="Z20" s="18" t="s">
        <v>124</v>
      </c>
      <c r="AA20" s="18" t="s">
        <v>124</v>
      </c>
      <c r="AB20" s="16" t="s">
        <v>87</v>
      </c>
      <c r="AC20" s="16" t="s">
        <v>189</v>
      </c>
      <c r="AD20" s="16" t="s">
        <v>189</v>
      </c>
      <c r="AE20" s="16" t="s">
        <v>190</v>
      </c>
      <c r="AF20" s="16" t="s">
        <v>191</v>
      </c>
      <c r="AG20" s="16" t="str">
        <f>_xlfn.XLOOKUP(Tabela1[[#This Row],[CÓD. CT]],Controle_Projetos[COD CT],Controle_Projetos[COD PHD],"")</f>
        <v>SNCL-CT01-OC78</v>
      </c>
      <c r="AH20" s="21">
        <v>45671</v>
      </c>
      <c r="AI20" s="75">
        <v>45639</v>
      </c>
      <c r="AJ20" s="16" t="str" cm="1">
        <f t="array" aca="1" ref="AJ2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0" s="21">
        <v>45671</v>
      </c>
      <c r="AL20" s="74">
        <v>45677</v>
      </c>
      <c r="AM20" s="16" cm="1">
        <f t="array" aca="1" ref="AM2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20" s="21">
        <f>Tabela1[[#This Row],[DATA PREV - FORMS]]+$AN$1</f>
        <v>45678</v>
      </c>
      <c r="AO20" s="74">
        <v>45672</v>
      </c>
      <c r="AP20" s="16" cm="1">
        <f t="array" aca="1" ref="AP2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0" s="21">
        <f>Tabela1[[#This Row],[DATA PREV - EXAMES]]+$AQ$1</f>
        <v>45680</v>
      </c>
      <c r="AR20" s="74">
        <v>45686</v>
      </c>
      <c r="AS20" s="15" cm="1">
        <f t="array" aca="1" ref="AS2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0" s="21">
        <f>Tabela1[[#This Row],[DATA PREV - FORMS]]+$AT$1</f>
        <v>45672</v>
      </c>
      <c r="AU20" s="74">
        <v>45672</v>
      </c>
      <c r="AV20" s="15" cm="1">
        <f t="array" aca="1" ref="AV2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0" s="21">
        <f>Tabela1[[#This Row],[DATA PREV - TREINAMENTOS]]+$AW$1</f>
        <v>45679</v>
      </c>
      <c r="AX20" s="74">
        <v>45671</v>
      </c>
      <c r="AY20" s="15" cm="1">
        <f t="array" aca="1" ref="AY2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0" s="24">
        <v>45813</v>
      </c>
      <c r="BA20" s="74">
        <v>45671</v>
      </c>
      <c r="BB20" s="15" cm="1">
        <f t="array" aca="1" ref="BB2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-141</v>
      </c>
      <c r="BC20" s="21">
        <f>Tabela1[[#This Row],[DATA PREV - CONCL. TREIN.]]+$BC$1</f>
        <v>45681</v>
      </c>
      <c r="BD20" s="74">
        <v>45686</v>
      </c>
      <c r="BE20" s="15" cm="1">
        <f t="array" aca="1" ref="BE2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20" s="21">
        <f>Tabela1[[#This Row],[DATA PREV - DOSSIÊ]]+$BF$1</f>
        <v>45684</v>
      </c>
      <c r="BG20" s="74"/>
      <c r="BH20" s="15" cm="1">
        <f t="array" aca="1" ref="BH2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0" s="21">
        <f>Tabela1[[#This Row],[DATA PREV - POSTAGEM]]+$BI$1</f>
        <v>45690</v>
      </c>
      <c r="BJ20" s="74"/>
      <c r="BK20" s="15" cm="1">
        <f t="array" aca="1" ref="BK2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 s="21">
        <f>Tabela1[[#This Row],[DATA PREV - APROV FINAL]]+$BL$1</f>
        <v>45691</v>
      </c>
      <c r="BM20" s="74">
        <v>45712</v>
      </c>
      <c r="BN20" s="15" cm="1">
        <f t="array" aca="1" ref="BN2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22</v>
      </c>
      <c r="BO20" s="80" t="s">
        <v>192</v>
      </c>
    </row>
    <row r="21" spans="2:67" ht="18" hidden="1" customHeight="1" x14ac:dyDescent="0.35">
      <c r="B21" s="14" t="s">
        <v>79</v>
      </c>
      <c r="C21" s="16" t="s">
        <v>147</v>
      </c>
      <c r="D21" s="16" t="s">
        <v>81</v>
      </c>
      <c r="E21" s="16"/>
      <c r="F21" s="16" t="s">
        <v>193</v>
      </c>
      <c r="G21" s="16" cm="1">
        <f t="array" ref="G21">_xlfn.IFS(Tabela1[[#This Row],[STATUS PROCESSO MOBILIZAÇÃO]]="Finalizado",1,Tabela1[[#This Row],[STATUS PROCESSO MOBILIZAÇÃO]]="Cancelado",2,Tabela1[[#This Row],[STATUS PROCESSO MOBILIZAÇÃO]]="Em andamento",3)</f>
        <v>1</v>
      </c>
      <c r="H21" s="16" cm="1">
        <f t="array" aca="1" ref="H2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FORMS]]="",$AM21&gt;$AK$1),2,
AND(Tabela1[[#This Row],[STATUS PROCESSO MOBILIZAÇÃO]]="Em andamento",Tabela1[[#This Row],[DATA REAL - FORMS]]="",$AM21&lt;=$AK$1),3,
AND(Tabela1[[#This Row],[STATUS PROCESSO MOBILIZAÇÃO]]="Em andamento",Tabela1[[#This Row],[DATA REAL - FORMS]]&lt;&gt;""),1)</f>
        <v>1</v>
      </c>
      <c r="I21" s="16" cm="1">
        <f t="array" aca="1" ref="I2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EXAMES]]="",$AP21&gt;$AN$1),2,
AND(Tabela1[[#This Row],[STATUS PROCESSO MOBILIZAÇÃO]]="Em andamento",Tabela1[[#This Row],[DATA REAL - EXAMES]]="",$AP21&lt;=$AN$1),3,
AND(Tabela1[[#This Row],[STATUS PROCESSO MOBILIZAÇÃO]]="Em andamento",Tabela1[[#This Row],[DATA REAL - EXAMES]]&lt;&gt;""),1)</f>
        <v>1</v>
      </c>
      <c r="J21" s="16" cm="1">
        <f t="array" aca="1" ref="J2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ASO]]="",$AS21&gt;$AQ$1),2,
AND(Tabela1[[#This Row],[STATUS PROCESSO MOBILIZAÇÃO]]="Em andamento",Tabela1[[#This Row],[DATA REAL - ASO]]="",$AS21&lt;=$AQ$1),3,
AND(Tabela1[[#This Row],[STATUS PROCESSO MOBILIZAÇÃO]]="Em andamento",Tabela1[[#This Row],[DATA REAL - ASO]]&lt;&gt;""),1)</f>
        <v>1</v>
      </c>
      <c r="K21" s="15" cm="1">
        <f t="array" aca="1" ref="K2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TREINAMENTOS]]="",$AV21&gt;$AT$1),2,
AND(Tabela1[[#This Row],[STATUS PROCESSO MOBILIZAÇÃO]]="Em andamento",Tabela1[[#This Row],[DATA REAL - TREINAMENTOS]]="",$AV21&lt;=$AT$1),3,
AND(Tabela1[[#This Row],[STATUS PROCESSO MOBILIZAÇÃO]]="Em andamento",Tabela1[[#This Row],[DATA REAL - TREINAMENTOS]]&lt;&gt;""),1)</f>
        <v>1</v>
      </c>
      <c r="L21" s="15" cm="1">
        <f t="array" aca="1" ref="L2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TREIN.]]="",$AY21&gt;$AW$1),2,
AND(Tabela1[[#This Row],[STATUS PROCESSO MOBILIZAÇÃO]]="Em andamento",Tabela1[[#This Row],[DATA REAL - CONCL. TREIN.]]="",$AY21&lt;=$AW$1),3,
AND(Tabela1[[#This Row],[STATUS PROCESSO MOBILIZAÇÃO]]="Em andamento",Tabela1[[#This Row],[DATA REAL - CONCL. TREIN.]]&lt;&gt;""),1)</f>
        <v>1</v>
      </c>
      <c r="M21" s="15" cm="1">
        <f t="array" aca="1" ref="M2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CONTRATUAL]]="",$BB21&gt;$AZ$1),2,
AND(Tabela1[[#This Row],[STATUS PROCESSO MOBILIZAÇÃO]]="Em andamento",Tabela1[[#This Row],[DATA FIM - ALTER. CONTRATUAL]]="",$BB21&lt;=$AZ$1),3,
AND(Tabela1[[#This Row],[STATUS PROCESSO MOBILIZAÇÃO]]="Em andamento",Tabela1[[#This Row],[DATA FIM - ALTER. CONTRATUAL]]&lt;&gt;""),1)</f>
        <v>1</v>
      </c>
      <c r="N21" s="16" cm="1">
        <f t="array" aca="1" ref="N2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DOSSIÊ]]="",$BE21&gt;$BC$1),2,
AND(Tabela1[[#This Row],[STATUS PROCESSO MOBILIZAÇÃO]]="Em andamento",Tabela1[[#This Row],[DATA REAL - DOSSIÊ]]="",$BE21&lt;=$BC$1),3,
AND(Tabela1[[#This Row],[STATUS PROCESSO MOBILIZAÇÃO]]="Em andamento",Tabela1[[#This Row],[DATA REAL - DOSSIÊ]]&lt;&gt;""),1)</f>
        <v>1</v>
      </c>
      <c r="O21" s="16" cm="1">
        <f t="array" aca="1" ref="O2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POSTAGEM]]="",$BH21&gt;$BF$1),2,
AND(Tabela1[[#This Row],[STATUS PROCESSO MOBILIZAÇÃO]]="Em andamento",Tabela1[[#This Row],[DATA REAL - POSTAGEM]]="",$BH21&lt;=$BF$1),3,
AND(Tabela1[[#This Row],[STATUS PROCESSO MOBILIZAÇÃO]]="Em andamento",Tabela1[[#This Row],[DATA REAL - POSTAGEM]]&lt;&gt;""),1)</f>
        <v>1</v>
      </c>
      <c r="P21" s="16" cm="1">
        <f t="array" aca="1" ref="P2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FINAL]]="",$BK21&gt;$BI$1),2,
AND(Tabela1[[#This Row],[STATUS PROCESSO MOBILIZAÇÃO]]="Em andamento",Tabela1[[#This Row],[DATA REAL - APROV FINAL]]="",$BK21&lt;=$BI$1),3,
AND(Tabela1[[#This Row],[STATUS PROCESSO MOBILIZAÇÃO]]="Em andamento",Tabela1[[#This Row],[DATA REAL - APROV FINAL]]&lt;&gt;""),1)</f>
        <v>1</v>
      </c>
      <c r="Q21" s="15" cm="1">
        <f t="array" aca="1" ref="Q2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CRACHÁ]]="",$BN21&gt;$BL$1),2,
AND(Tabela1[[#This Row],[STATUS PROCESSO MOBILIZAÇÃO]]="Em andamento",Tabela1[[#This Row],[DATA REAL - CRACHÁ]]="",$BN21&lt;=$BL$1),3,
AND(Tabela1[[#This Row],[STATUS PROCESSO MOBILIZAÇÃO]]="Em andamento",Tabela1[[#This Row],[DATA REAL - CRACHÁ]]&lt;&gt;""),1)</f>
        <v>1</v>
      </c>
      <c r="R21" s="21">
        <f>IF(Tabela1[[#This Row],[DATA REAL - FORMS]]&lt;&gt;"",Tabela1[[#This Row],[DATA REAL - FORMS]]+30,Tabela1[[#This Row],[DATA PREV - FORMS]]+35)</f>
        <v>45707</v>
      </c>
      <c r="S2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45700</v>
      </c>
      <c r="T2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61</v>
      </c>
      <c r="U2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48</v>
      </c>
      <c r="V21" s="49">
        <f>MAX(Tabela1[[#This Row],[DATA REAL - POSTAGEM]],Tabela1[[#This Row],[DATA REAL - APROV FINAL]],Tabela1[[#This Row],[DATA REAL - CRACHÁ]])-MIN(Tabela1[[#This Row],[DATA REAL - POSTAGEM]],Tabela1[[#This Row],[DATA REAL - APROV FINAL]],Tabela1[[#This Row],[DATA REAL - CRACHÁ]])+1</f>
        <v>10</v>
      </c>
      <c r="W2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1" s="15" t="s">
        <v>122</v>
      </c>
      <c r="Y21" s="16" t="s">
        <v>122</v>
      </c>
      <c r="Z21" s="18" t="s">
        <v>124</v>
      </c>
      <c r="AA21" s="18" t="s">
        <v>124</v>
      </c>
      <c r="AB21" s="16" t="s">
        <v>97</v>
      </c>
      <c r="AC21" s="16" t="s">
        <v>189</v>
      </c>
      <c r="AD21" s="16" t="s">
        <v>189</v>
      </c>
      <c r="AE21" s="16" t="s">
        <v>190</v>
      </c>
      <c r="AF21" s="16" t="s">
        <v>191</v>
      </c>
      <c r="AG21" s="16" t="str">
        <f>_xlfn.XLOOKUP(Tabela1[[#This Row],[CÓD. CT]],Controle_Projetos[COD CT],Controle_Projetos[COD PHD],"")</f>
        <v>SNCL-CT01-OC78</v>
      </c>
      <c r="AH21" s="21">
        <v>45671</v>
      </c>
      <c r="AI21" s="75">
        <v>45639</v>
      </c>
      <c r="AJ21" s="16" t="str" cm="1">
        <f t="array" aca="1" ref="AJ2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1" s="21">
        <v>45671</v>
      </c>
      <c r="AL21" s="74">
        <v>45677</v>
      </c>
      <c r="AM21" s="16" cm="1">
        <f t="array" aca="1" ref="AM2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21" s="21">
        <f>Tabela1[[#This Row],[DATA PREV - FORMS]]+$AN$1</f>
        <v>45678</v>
      </c>
      <c r="AO21" s="74">
        <v>45672</v>
      </c>
      <c r="AP21" s="16" cm="1">
        <f t="array" aca="1" ref="AP2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1" s="21">
        <f>Tabela1[[#This Row],[DATA PREV - EXAMES]]+$AQ$1</f>
        <v>45680</v>
      </c>
      <c r="AR21" s="74">
        <v>45680</v>
      </c>
      <c r="AS21" s="15" cm="1">
        <f t="array" aca="1" ref="AS2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1" s="21">
        <f>Tabela1[[#This Row],[DATA PREV - FORMS]]+$AT$1</f>
        <v>45672</v>
      </c>
      <c r="AU21" s="74">
        <v>45687</v>
      </c>
      <c r="AV21" s="15" cm="1">
        <f t="array" aca="1" ref="AV2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16</v>
      </c>
      <c r="AW21" s="21">
        <f>Tabela1[[#This Row],[DATA PREV - TREINAMENTOS]]+$AW$1</f>
        <v>45679</v>
      </c>
      <c r="AX21" s="74">
        <v>45671</v>
      </c>
      <c r="AY21" s="15" cm="1">
        <f t="array" aca="1" ref="AY2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1" s="24">
        <v>45813</v>
      </c>
      <c r="BA21" s="74">
        <v>45671</v>
      </c>
      <c r="BB21" s="15" cm="1">
        <f t="array" aca="1" ref="BB2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-141</v>
      </c>
      <c r="BC21" s="21">
        <f>Tabela1[[#This Row],[DATA PREV - CONCL. TREIN.]]+$BC$1</f>
        <v>45681</v>
      </c>
      <c r="BD21" s="74">
        <v>45680</v>
      </c>
      <c r="BE21" s="15" cm="1">
        <f t="array" aca="1" ref="BE2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1" s="21">
        <f>Tabela1[[#This Row],[DATA PREV - DOSSIÊ]]+$BF$1</f>
        <v>45684</v>
      </c>
      <c r="BG21" s="74">
        <v>45691</v>
      </c>
      <c r="BH21" s="15" cm="1">
        <f t="array" aca="1" ref="BH2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1" s="21">
        <f>Tabela1[[#This Row],[DATA PREV - POSTAGEM]]+$BI$1</f>
        <v>45690</v>
      </c>
      <c r="BJ21" s="74">
        <v>45695</v>
      </c>
      <c r="BK21" s="15" cm="1">
        <f t="array" aca="1" ref="BK2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1" s="21">
        <f>Tabela1[[#This Row],[DATA PREV - APROV FINAL]]+$BL$1</f>
        <v>45691</v>
      </c>
      <c r="BM21" s="74">
        <v>45700</v>
      </c>
      <c r="BN21" s="15" cm="1">
        <f t="array" aca="1" ref="BN2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1" s="80" t="s">
        <v>194</v>
      </c>
    </row>
    <row r="22" spans="2:67" ht="18" hidden="1" customHeight="1" x14ac:dyDescent="0.35">
      <c r="B22" s="14" t="s">
        <v>119</v>
      </c>
      <c r="C22" s="16" t="s">
        <v>147</v>
      </c>
      <c r="D22" s="16" t="s">
        <v>119</v>
      </c>
      <c r="E22" s="16"/>
      <c r="F22" s="16" t="s">
        <v>195</v>
      </c>
      <c r="G22" s="16" cm="1">
        <f t="array" ref="G22">_xlfn.IFS(Tabela1[[#This Row],[STATUS PROCESSO MOBILIZAÇÃO]]="Finalizado",1,Tabela1[[#This Row],[STATUS PROCESSO MOBILIZAÇÃO]]="Cancelado",2,Tabela1[[#This Row],[STATUS PROCESSO MOBILIZAÇÃO]]="Em andamento",3)</f>
        <v>2</v>
      </c>
      <c r="H22" s="16" cm="1">
        <f t="array" aca="1" ref="H2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FORMS]]="",$AM22&gt;$AK$1),2,
AND(Tabela1[[#This Row],[STATUS PROCESSO MOBILIZAÇÃO]]="Em andamento",Tabela1[[#This Row],[DATA REAL - FORMS]]="",$AM22&lt;=$AK$1),3,
AND(Tabela1[[#This Row],[STATUS PROCESSO MOBILIZAÇÃO]]="Em andamento",Tabela1[[#This Row],[DATA REAL - FORMS]]&lt;&gt;""),1)</f>
        <v>1</v>
      </c>
      <c r="I22" s="16" cm="1">
        <f t="array" aca="1" ref="I2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EXAMES]]="",$AP22&gt;$AN$1),2,
AND(Tabela1[[#This Row],[STATUS PROCESSO MOBILIZAÇÃO]]="Em andamento",Tabela1[[#This Row],[DATA REAL - EXAMES]]="",$AP22&lt;=$AN$1),3,
AND(Tabela1[[#This Row],[STATUS PROCESSO MOBILIZAÇÃO]]="Em andamento",Tabela1[[#This Row],[DATA REAL - EXAMES]]&lt;&gt;""),1)</f>
        <v>0</v>
      </c>
      <c r="J22" s="16" cm="1">
        <f t="array" aca="1" ref="J2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ASO]]="",$AS22&gt;$AQ$1),2,
AND(Tabela1[[#This Row],[STATUS PROCESSO MOBILIZAÇÃO]]="Em andamento",Tabela1[[#This Row],[DATA REAL - ASO]]="",$AS22&lt;=$AQ$1),3,
AND(Tabela1[[#This Row],[STATUS PROCESSO MOBILIZAÇÃO]]="Em andamento",Tabela1[[#This Row],[DATA REAL - ASO]]&lt;&gt;""),1)</f>
        <v>0</v>
      </c>
      <c r="K22" s="15" cm="1">
        <f t="array" aca="1" ref="K2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TREINAMENTOS]]="",$AV22&gt;$AT$1),2,
AND(Tabela1[[#This Row],[STATUS PROCESSO MOBILIZAÇÃO]]="Em andamento",Tabela1[[#This Row],[DATA REAL - TREINAMENTOS]]="",$AV22&lt;=$AT$1),3,
AND(Tabela1[[#This Row],[STATUS PROCESSO MOBILIZAÇÃO]]="Em andamento",Tabela1[[#This Row],[DATA REAL - TREINAMENTOS]]&lt;&gt;""),1)</f>
        <v>0</v>
      </c>
      <c r="L22" s="15" cm="1">
        <f t="array" aca="1" ref="L2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TREIN.]]="",$AY22&gt;$AW$1),2,
AND(Tabela1[[#This Row],[STATUS PROCESSO MOBILIZAÇÃO]]="Em andamento",Tabela1[[#This Row],[DATA REAL - CONCL. TREIN.]]="",$AY22&lt;=$AW$1),3,
AND(Tabela1[[#This Row],[STATUS PROCESSO MOBILIZAÇÃO]]="Em andamento",Tabela1[[#This Row],[DATA REAL - CONCL. TREIN.]]&lt;&gt;""),1)</f>
        <v>0</v>
      </c>
      <c r="M22" s="15" cm="1">
        <f t="array" aca="1" ref="M2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CONTRATUAL]]="",$BB22&gt;$AZ$1),2,
AND(Tabela1[[#This Row],[STATUS PROCESSO MOBILIZAÇÃO]]="Em andamento",Tabela1[[#This Row],[DATA FIM - ALTER. CONTRATUAL]]="",$BB22&lt;=$AZ$1),3,
AND(Tabela1[[#This Row],[STATUS PROCESSO MOBILIZAÇÃO]]="Em andamento",Tabela1[[#This Row],[DATA FIM - ALTER. CONTRATUAL]]&lt;&gt;""),1)</f>
        <v>0</v>
      </c>
      <c r="N22" s="16" cm="1">
        <f t="array" aca="1" ref="N2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DOSSIÊ]]="",$BE22&gt;$BC$1),2,
AND(Tabela1[[#This Row],[STATUS PROCESSO MOBILIZAÇÃO]]="Em andamento",Tabela1[[#This Row],[DATA REAL - DOSSIÊ]]="",$BE22&lt;=$BC$1),3,
AND(Tabela1[[#This Row],[STATUS PROCESSO MOBILIZAÇÃO]]="Em andamento",Tabela1[[#This Row],[DATA REAL - DOSSIÊ]]&lt;&gt;""),1)</f>
        <v>0</v>
      </c>
      <c r="O22" s="16" cm="1">
        <f t="array" aca="1" ref="O2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POSTAGEM]]="",$BH22&gt;$BF$1),2,
AND(Tabela1[[#This Row],[STATUS PROCESSO MOBILIZAÇÃO]]="Em andamento",Tabela1[[#This Row],[DATA REAL - POSTAGEM]]="",$BH22&lt;=$BF$1),3,
AND(Tabela1[[#This Row],[STATUS PROCESSO MOBILIZAÇÃO]]="Em andamento",Tabela1[[#This Row],[DATA REAL - POSTAGEM]]&lt;&gt;""),1)</f>
        <v>0</v>
      </c>
      <c r="P22" s="16" cm="1">
        <f t="array" aca="1" ref="P2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FINAL]]="",$BK22&gt;$BI$1),2,
AND(Tabela1[[#This Row],[STATUS PROCESSO MOBILIZAÇÃO]]="Em andamento",Tabela1[[#This Row],[DATA REAL - APROV FINAL]]="",$BK22&lt;=$BI$1),3,
AND(Tabela1[[#This Row],[STATUS PROCESSO MOBILIZAÇÃO]]="Em andamento",Tabela1[[#This Row],[DATA REAL - APROV FINAL]]&lt;&gt;""),1)</f>
        <v>0</v>
      </c>
      <c r="Q22" s="15" cm="1">
        <f t="array" aca="1" ref="Q2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CRACHÁ]]="",$BN22&gt;$BL$1),2,
AND(Tabela1[[#This Row],[STATUS PROCESSO MOBILIZAÇÃO]]="Em andamento",Tabela1[[#This Row],[DATA REAL - CRACHÁ]]="",$BN22&lt;=$BL$1),3,
AND(Tabela1[[#This Row],[STATUS PROCESSO MOBILIZAÇÃO]]="Em andamento",Tabela1[[#This Row],[DATA REAL - CRACHÁ]]&lt;&gt;""),1)</f>
        <v>1</v>
      </c>
      <c r="R22" s="21">
        <f>IF(Tabela1[[#This Row],[DATA REAL - FORMS]]&lt;&gt;"",Tabela1[[#This Row],[DATA REAL - FORMS]]+30,Tabela1[[#This Row],[DATA PREV - FORMS]]+35)</f>
        <v>45704</v>
      </c>
      <c r="S2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45679</v>
      </c>
      <c r="T2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264</v>
      </c>
      <c r="U2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259</v>
      </c>
      <c r="V22" s="49">
        <f>MAX(Tabela1[[#This Row],[DATA REAL - POSTAGEM]],Tabela1[[#This Row],[DATA REAL - APROV FINAL]],Tabela1[[#This Row],[DATA REAL - CRACHÁ]])-MIN(Tabela1[[#This Row],[DATA REAL - POSTAGEM]],Tabela1[[#This Row],[DATA REAL - APROV FINAL]],Tabela1[[#This Row],[DATA REAL - CRACHÁ]])+1</f>
        <v>1</v>
      </c>
      <c r="W2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2" s="15" t="s">
        <v>158</v>
      </c>
      <c r="Y22" s="16" t="s">
        <v>150</v>
      </c>
      <c r="Z22" s="18" t="s">
        <v>159</v>
      </c>
      <c r="AA22" s="18" t="s">
        <v>152</v>
      </c>
      <c r="AB22" s="16" t="s">
        <v>97</v>
      </c>
      <c r="AC22" s="16" t="s">
        <v>196</v>
      </c>
      <c r="AD22" s="16" t="s">
        <v>89</v>
      </c>
      <c r="AE22" s="16" t="s">
        <v>99</v>
      </c>
      <c r="AF22" s="16" t="s">
        <v>197</v>
      </c>
      <c r="AG22" s="16" t="str">
        <f>_xlfn.XLOOKUP(Tabela1[[#This Row],[CÓD. CT]],Controle_Projetos[COD CT],Controle_Projetos[COD PHD],"")</f>
        <v>VAVE-CT07-PDER</v>
      </c>
      <c r="AH22" s="21">
        <v>45673</v>
      </c>
      <c r="AI22" s="75">
        <v>45415</v>
      </c>
      <c r="AJ22" s="16" t="str" cm="1">
        <f t="array" aca="1" ref="AJ2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2" s="21">
        <v>45673</v>
      </c>
      <c r="AL22" s="74">
        <v>45674</v>
      </c>
      <c r="AM22" s="16" cm="1">
        <f t="array" aca="1" ref="AM2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22" s="21">
        <f>Tabela1[[#This Row],[DATA PREV - FORMS]]+$AN$1</f>
        <v>45680</v>
      </c>
      <c r="AO22" s="74"/>
      <c r="AP22" s="16" cm="1">
        <f t="array" aca="1" ref="AP2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22" s="21">
        <f>Tabela1[[#This Row],[DATA PREV - EXAMES]]+$AQ$1</f>
        <v>45682</v>
      </c>
      <c r="AR22" s="74"/>
      <c r="AS22" s="15" cm="1">
        <f t="array" aca="1" ref="AS2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2" s="21">
        <f>Tabela1[[#This Row],[DATA PREV - FORMS]]+$AT$1</f>
        <v>45674</v>
      </c>
      <c r="AU22" s="74"/>
      <c r="AV22" s="15" cm="1">
        <f t="array" aca="1" ref="AV2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2" s="21">
        <f>Tabela1[[#This Row],[DATA PREV - TREINAMENTOS]]+$AW$1</f>
        <v>45681</v>
      </c>
      <c r="AX22" s="74"/>
      <c r="AY22" s="15" cm="1">
        <f t="array" aca="1" ref="AY2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2" s="24">
        <v>45874</v>
      </c>
      <c r="BA22" s="74"/>
      <c r="BB22" s="15" cm="1">
        <f t="array" aca="1" ref="BB2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 s="21">
        <f>Tabela1[[#This Row],[DATA PREV - CONCL. TREIN.]]+$BC$1</f>
        <v>45683</v>
      </c>
      <c r="BD22" s="74"/>
      <c r="BE22" s="15" cm="1">
        <f t="array" aca="1" ref="BE2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2" s="21">
        <f>Tabela1[[#This Row],[DATA PREV - DOSSIÊ]]+$BF$1</f>
        <v>45686</v>
      </c>
      <c r="BG22" s="74"/>
      <c r="BH22" s="15" cm="1">
        <f t="array" aca="1" ref="BH2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2" s="21">
        <f>Tabela1[[#This Row],[DATA PREV - POSTAGEM]]+$BI$1</f>
        <v>45692</v>
      </c>
      <c r="BJ22" s="74"/>
      <c r="BK22" s="15" cm="1">
        <f t="array" aca="1" ref="BK2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2" s="21">
        <f>Tabela1[[#This Row],[DATA PREV - APROV FINAL]]+$BL$1</f>
        <v>45693</v>
      </c>
      <c r="BM22" s="74">
        <v>45679</v>
      </c>
      <c r="BN22" s="15" cm="1">
        <f t="array" aca="1" ref="BN2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22" s="80" t="s">
        <v>198</v>
      </c>
    </row>
    <row r="23" spans="2:67" ht="18" hidden="1" customHeight="1" x14ac:dyDescent="0.35">
      <c r="B23" s="14" t="s">
        <v>79</v>
      </c>
      <c r="C23" s="16" t="s">
        <v>136</v>
      </c>
      <c r="D23" s="16" t="s">
        <v>81</v>
      </c>
      <c r="E23" s="16"/>
      <c r="F23" s="16" t="s">
        <v>120</v>
      </c>
      <c r="G23" s="16" cm="1">
        <f t="array" ref="G23">_xlfn.IFS(Tabela1[[#This Row],[STATUS PROCESSO MOBILIZAÇÃO]]="Finalizado",1,Tabela1[[#This Row],[STATUS PROCESSO MOBILIZAÇÃO]]="Cancelado",2,Tabela1[[#This Row],[STATUS PROCESSO MOBILIZAÇÃO]]="Em andamento",3)</f>
        <v>1</v>
      </c>
      <c r="H23" s="16" cm="1">
        <f t="array" aca="1" ref="H2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FORMS]]="",$AM23&gt;$AK$1),2,
AND(Tabela1[[#This Row],[STATUS PROCESSO MOBILIZAÇÃO]]="Em andamento",Tabela1[[#This Row],[DATA REAL - FORMS]]="",$AM23&lt;=$AK$1),3,
AND(Tabela1[[#This Row],[STATUS PROCESSO MOBILIZAÇÃO]]="Em andamento",Tabela1[[#This Row],[DATA REAL - FORMS]]&lt;&gt;""),1)</f>
        <v>1</v>
      </c>
      <c r="I23" s="16" cm="1">
        <f t="array" aca="1" ref="I2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EXAMES]]="",$AP23&gt;$AN$1),2,
AND(Tabela1[[#This Row],[STATUS PROCESSO MOBILIZAÇÃO]]="Em andamento",Tabela1[[#This Row],[DATA REAL - EXAMES]]="",$AP23&lt;=$AN$1),3,
AND(Tabela1[[#This Row],[STATUS PROCESSO MOBILIZAÇÃO]]="Em andamento",Tabela1[[#This Row],[DATA REAL - EXAMES]]&lt;&gt;""),1)</f>
        <v>1</v>
      </c>
      <c r="J23" s="16" cm="1">
        <f t="array" aca="1" ref="J2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ASO]]="",$AS23&gt;$AQ$1),2,
AND(Tabela1[[#This Row],[STATUS PROCESSO MOBILIZAÇÃO]]="Em andamento",Tabela1[[#This Row],[DATA REAL - ASO]]="",$AS23&lt;=$AQ$1),3,
AND(Tabela1[[#This Row],[STATUS PROCESSO MOBILIZAÇÃO]]="Em andamento",Tabela1[[#This Row],[DATA REAL - ASO]]&lt;&gt;""),1)</f>
        <v>1</v>
      </c>
      <c r="K23" s="15" cm="1">
        <f t="array" aca="1" ref="K2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TREINAMENTOS]]="",$AV23&gt;$AT$1),2,
AND(Tabela1[[#This Row],[STATUS PROCESSO MOBILIZAÇÃO]]="Em andamento",Tabela1[[#This Row],[DATA REAL - TREINAMENTOS]]="",$AV23&lt;=$AT$1),3,
AND(Tabela1[[#This Row],[STATUS PROCESSO MOBILIZAÇÃO]]="Em andamento",Tabela1[[#This Row],[DATA REAL - TREINAMENTOS]]&lt;&gt;""),1)</f>
        <v>1</v>
      </c>
      <c r="L23" s="15" cm="1">
        <f t="array" aca="1" ref="L2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TREIN.]]="",$AY23&gt;$AW$1),2,
AND(Tabela1[[#This Row],[STATUS PROCESSO MOBILIZAÇÃO]]="Em andamento",Tabela1[[#This Row],[DATA REAL - CONCL. TREIN.]]="",$AY23&lt;=$AW$1),3,
AND(Tabela1[[#This Row],[STATUS PROCESSO MOBILIZAÇÃO]]="Em andamento",Tabela1[[#This Row],[DATA REAL - CONCL. TREIN.]]&lt;&gt;""),1)</f>
        <v>1</v>
      </c>
      <c r="M23" s="15" cm="1">
        <f t="array" aca="1" ref="M2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CONTRATUAL]]="",$BB23&gt;$AZ$1),2,
AND(Tabela1[[#This Row],[STATUS PROCESSO MOBILIZAÇÃO]]="Em andamento",Tabela1[[#This Row],[DATA FIM - ALTER. CONTRATUAL]]="",$BB23&lt;=$AZ$1),3,
AND(Tabela1[[#This Row],[STATUS PROCESSO MOBILIZAÇÃO]]="Em andamento",Tabela1[[#This Row],[DATA FIM - ALTER. CONTRATUAL]]&lt;&gt;""),1)</f>
        <v>1</v>
      </c>
      <c r="N23" s="16" cm="1">
        <f t="array" aca="1" ref="N2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DOSSIÊ]]="",$BE23&gt;$BC$1),2,
AND(Tabela1[[#This Row],[STATUS PROCESSO MOBILIZAÇÃO]]="Em andamento",Tabela1[[#This Row],[DATA REAL - DOSSIÊ]]="",$BE23&lt;=$BC$1),3,
AND(Tabela1[[#This Row],[STATUS PROCESSO MOBILIZAÇÃO]]="Em andamento",Tabela1[[#This Row],[DATA REAL - DOSSIÊ]]&lt;&gt;""),1)</f>
        <v>1</v>
      </c>
      <c r="O23" s="16" cm="1">
        <f t="array" aca="1" ref="O2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POSTAGEM]]="",$BH23&gt;$BF$1),2,
AND(Tabela1[[#This Row],[STATUS PROCESSO MOBILIZAÇÃO]]="Em andamento",Tabela1[[#This Row],[DATA REAL - POSTAGEM]]="",$BH23&lt;=$BF$1),3,
AND(Tabela1[[#This Row],[STATUS PROCESSO MOBILIZAÇÃO]]="Em andamento",Tabela1[[#This Row],[DATA REAL - POSTAGEM]]&lt;&gt;""),1)</f>
        <v>1</v>
      </c>
      <c r="P23" s="16" cm="1">
        <f t="array" aca="1" ref="P2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FINAL]]="",$BK23&gt;$BI$1),2,
AND(Tabela1[[#This Row],[STATUS PROCESSO MOBILIZAÇÃO]]="Em andamento",Tabela1[[#This Row],[DATA REAL - APROV FINAL]]="",$BK23&lt;=$BI$1),3,
AND(Tabela1[[#This Row],[STATUS PROCESSO MOBILIZAÇÃO]]="Em andamento",Tabela1[[#This Row],[DATA REAL - APROV FINAL]]&lt;&gt;""),1)</f>
        <v>1</v>
      </c>
      <c r="Q23" s="15" cm="1">
        <f t="array" aca="1" ref="Q2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CRACHÁ]]="",$BN23&gt;$BL$1),2,
AND(Tabela1[[#This Row],[STATUS PROCESSO MOBILIZAÇÃO]]="Em andamento",Tabela1[[#This Row],[DATA REAL - CRACHÁ]]="",$BN23&lt;=$BL$1),3,
AND(Tabela1[[#This Row],[STATUS PROCESSO MOBILIZAÇÃO]]="Em andamento",Tabela1[[#This Row],[DATA REAL - CRACHÁ]]&lt;&gt;""),1)</f>
        <v>1</v>
      </c>
      <c r="R23" s="21">
        <f>IF(Tabela1[[#This Row],[DATA REAL - FORMS]]&lt;&gt;"",Tabela1[[#This Row],[DATA REAL - FORMS]]+30,Tabela1[[#This Row],[DATA PREV - FORMS]]+35)</f>
        <v>45708</v>
      </c>
      <c r="S2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45734</v>
      </c>
      <c r="T2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56</v>
      </c>
      <c r="U2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36</v>
      </c>
      <c r="V23" s="49">
        <f>MAX(Tabela1[[#This Row],[DATA REAL - POSTAGEM]],Tabela1[[#This Row],[DATA REAL - APROV FINAL]],Tabela1[[#This Row],[DATA REAL - CRACHÁ]])-MIN(Tabela1[[#This Row],[DATA REAL - POSTAGEM]],Tabela1[[#This Row],[DATA REAL - APROV FINAL]],Tabela1[[#This Row],[DATA REAL - CRACHÁ]])+1</f>
        <v>2</v>
      </c>
      <c r="W2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X23" s="15" t="s">
        <v>122</v>
      </c>
      <c r="Y23" s="16" t="s">
        <v>122</v>
      </c>
      <c r="Z23" s="18" t="s">
        <v>124</v>
      </c>
      <c r="AA23" s="18" t="s">
        <v>124</v>
      </c>
      <c r="AB23" s="16" t="s">
        <v>97</v>
      </c>
      <c r="AC23" s="16" t="s">
        <v>199</v>
      </c>
      <c r="AD23" s="16" t="s">
        <v>89</v>
      </c>
      <c r="AE23" s="16" t="s">
        <v>200</v>
      </c>
      <c r="AF23" s="16" t="s">
        <v>201</v>
      </c>
      <c r="AG23" s="16" t="str">
        <f>_xlfn.XLOOKUP(Tabela1[[#This Row],[CÓD. CT]],Controle_Projetos[COD CT],Controle_Projetos[COD PHD],"")</f>
        <v>ENES-CT02-EXCE</v>
      </c>
      <c r="AH23" s="21">
        <v>45671</v>
      </c>
      <c r="AI23" s="75">
        <v>45714</v>
      </c>
      <c r="AJ23" s="16" cm="1">
        <f t="array" aca="1" ref="AJ2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44</v>
      </c>
      <c r="AK23" s="21">
        <v>45674</v>
      </c>
      <c r="AL23" s="74">
        <v>45678</v>
      </c>
      <c r="AM23" s="16" cm="1">
        <f t="array" aca="1" ref="AM2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5</v>
      </c>
      <c r="AN23" s="21">
        <f>Tabela1[[#This Row],[DATA PREV - FORMS]]+$AN$1</f>
        <v>45681</v>
      </c>
      <c r="AO23" s="74">
        <v>45678</v>
      </c>
      <c r="AP23" s="16" cm="1">
        <f t="array" aca="1" ref="AP2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-2</v>
      </c>
      <c r="AQ23" s="21">
        <f>Tabela1[[#This Row],[DATA PREV - EXAMES]]+$AQ$1</f>
        <v>45683</v>
      </c>
      <c r="AR23" s="74">
        <v>45686</v>
      </c>
      <c r="AS23" s="15" cm="1">
        <f t="array" aca="1" ref="AS2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3" s="21">
        <f>Tabela1[[#This Row],[DATA PREV - FORMS]]+$AT$1</f>
        <v>45675</v>
      </c>
      <c r="AU23" s="74">
        <v>45678</v>
      </c>
      <c r="AV23" s="15" cm="1">
        <f t="array" aca="1" ref="AV2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23" s="21">
        <f>Tabela1[[#This Row],[DATA PREV - TREINAMENTOS]]+$AW$1</f>
        <v>45682</v>
      </c>
      <c r="AX23" s="74">
        <v>45678</v>
      </c>
      <c r="AY23" s="15" cm="1">
        <f t="array" aca="1" ref="AY2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23" s="24">
        <v>45810</v>
      </c>
      <c r="BA23" s="74">
        <v>45678</v>
      </c>
      <c r="BB23" s="15" cm="1">
        <f t="array" aca="1" ref="BB2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-131</v>
      </c>
      <c r="BC23" s="21">
        <f>Tabela1[[#This Row],[DATA PREV - CONCL. TREIN.]]+$BC$1</f>
        <v>45684</v>
      </c>
      <c r="BD23" s="74">
        <v>45678</v>
      </c>
      <c r="BE23" s="15" cm="1">
        <f t="array" aca="1" ref="BE2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3" s="21">
        <f>Tabela1[[#This Row],[DATA PREV - DOSSIÊ]]+$BF$1</f>
        <v>45687</v>
      </c>
      <c r="BG23" s="74">
        <v>45733</v>
      </c>
      <c r="BH23" s="15" cm="1">
        <f t="array" aca="1" ref="BH2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47</v>
      </c>
      <c r="BI23" s="21">
        <f>Tabela1[[#This Row],[DATA PREV - POSTAGEM]]+$BI$1</f>
        <v>45693</v>
      </c>
      <c r="BJ23" s="74">
        <v>45733</v>
      </c>
      <c r="BK23" s="15" cm="1">
        <f t="array" aca="1" ref="BK2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41</v>
      </c>
      <c r="BL23" s="21">
        <f>Tabela1[[#This Row],[DATA PREV - APROV FINAL]]+$BL$1</f>
        <v>45694</v>
      </c>
      <c r="BM23" s="74">
        <v>45734</v>
      </c>
      <c r="BN23" s="15" cm="1">
        <f t="array" aca="1" ref="BN2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41</v>
      </c>
      <c r="BO23" s="80" t="s">
        <v>202</v>
      </c>
    </row>
    <row r="24" spans="2:67" ht="18" hidden="1" customHeight="1" x14ac:dyDescent="0.35">
      <c r="B24" s="14" t="s">
        <v>79</v>
      </c>
      <c r="C24" s="16" t="s">
        <v>147</v>
      </c>
      <c r="D24" s="16" t="s">
        <v>81</v>
      </c>
      <c r="E24" s="16"/>
      <c r="F24" s="16" t="s">
        <v>203</v>
      </c>
      <c r="G24" s="16" cm="1">
        <f t="array" ref="G24">_xlfn.IFS(Tabela1[[#This Row],[STATUS PROCESSO MOBILIZAÇÃO]]="Finalizado",1,Tabela1[[#This Row],[STATUS PROCESSO MOBILIZAÇÃO]]="Cancelado",2,Tabela1[[#This Row],[STATUS PROCESSO MOBILIZAÇÃO]]="Em andamento",3)</f>
        <v>1</v>
      </c>
      <c r="H24" s="16" cm="1">
        <f t="array" aca="1" ref="H2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FORMS]]="",$AM24&gt;$AK$1),2,
AND(Tabela1[[#This Row],[STATUS PROCESSO MOBILIZAÇÃO]]="Em andamento",Tabela1[[#This Row],[DATA REAL - FORMS]]="",$AM24&lt;=$AK$1),3,
AND(Tabela1[[#This Row],[STATUS PROCESSO MOBILIZAÇÃO]]="Em andamento",Tabela1[[#This Row],[DATA REAL - FORMS]]&lt;&gt;""),1)</f>
        <v>1</v>
      </c>
      <c r="I24" s="16" cm="1">
        <f t="array" aca="1" ref="I2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EXAMES]]="",$AP24&gt;$AN$1),2,
AND(Tabela1[[#This Row],[STATUS PROCESSO MOBILIZAÇÃO]]="Em andamento",Tabela1[[#This Row],[DATA REAL - EXAMES]]="",$AP24&lt;=$AN$1),3,
AND(Tabela1[[#This Row],[STATUS PROCESSO MOBILIZAÇÃO]]="Em andamento",Tabela1[[#This Row],[DATA REAL - EXAMES]]&lt;&gt;""),1)</f>
        <v>1</v>
      </c>
      <c r="J24" s="16" cm="1">
        <f t="array" aca="1" ref="J2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ASO]]="",$AS24&gt;$AQ$1),2,
AND(Tabela1[[#This Row],[STATUS PROCESSO MOBILIZAÇÃO]]="Em andamento",Tabela1[[#This Row],[DATA REAL - ASO]]="",$AS24&lt;=$AQ$1),3,
AND(Tabela1[[#This Row],[STATUS PROCESSO MOBILIZAÇÃO]]="Em andamento",Tabela1[[#This Row],[DATA REAL - ASO]]&lt;&gt;""),1)</f>
        <v>1</v>
      </c>
      <c r="K24" s="15" cm="1">
        <f t="array" aca="1" ref="K2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TREINAMENTOS]]="",$AV24&gt;$AT$1),2,
AND(Tabela1[[#This Row],[STATUS PROCESSO MOBILIZAÇÃO]]="Em andamento",Tabela1[[#This Row],[DATA REAL - TREINAMENTOS]]="",$AV24&lt;=$AT$1),3,
AND(Tabela1[[#This Row],[STATUS PROCESSO MOBILIZAÇÃO]]="Em andamento",Tabela1[[#This Row],[DATA REAL - TREINAMENTOS]]&lt;&gt;""),1)</f>
        <v>1</v>
      </c>
      <c r="L24" s="15" cm="1">
        <f t="array" aca="1" ref="L2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TREIN.]]="",$AY24&gt;$AW$1),2,
AND(Tabela1[[#This Row],[STATUS PROCESSO MOBILIZAÇÃO]]="Em andamento",Tabela1[[#This Row],[DATA REAL - CONCL. TREIN.]]="",$AY24&lt;=$AW$1),3,
AND(Tabela1[[#This Row],[STATUS PROCESSO MOBILIZAÇÃO]]="Em andamento",Tabela1[[#This Row],[DATA REAL - CONCL. TREIN.]]&lt;&gt;""),1)</f>
        <v>1</v>
      </c>
      <c r="M24" s="15" cm="1">
        <f t="array" aca="1" ref="M2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CONTRATUAL]]="",$BB24&gt;$AZ$1),2,
AND(Tabela1[[#This Row],[STATUS PROCESSO MOBILIZAÇÃO]]="Em andamento",Tabela1[[#This Row],[DATA FIM - ALTER. CONTRATUAL]]="",$BB24&lt;=$AZ$1),3,
AND(Tabela1[[#This Row],[STATUS PROCESSO MOBILIZAÇÃO]]="Em andamento",Tabela1[[#This Row],[DATA FIM - ALTER. CONTRATUAL]]&lt;&gt;""),1)</f>
        <v>1</v>
      </c>
      <c r="N24" s="16" cm="1">
        <f t="array" aca="1" ref="N2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DOSSIÊ]]="",$BE24&gt;$BC$1),2,
AND(Tabela1[[#This Row],[STATUS PROCESSO MOBILIZAÇÃO]]="Em andamento",Tabela1[[#This Row],[DATA REAL - DOSSIÊ]]="",$BE24&lt;=$BC$1),3,
AND(Tabela1[[#This Row],[STATUS PROCESSO MOBILIZAÇÃO]]="Em andamento",Tabela1[[#This Row],[DATA REAL - DOSSIÊ]]&lt;&gt;""),1)</f>
        <v>1</v>
      </c>
      <c r="O24" s="16" cm="1">
        <f t="array" aca="1" ref="O2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POSTAGEM]]="",$BH24&gt;$BF$1),2,
AND(Tabela1[[#This Row],[STATUS PROCESSO MOBILIZAÇÃO]]="Em andamento",Tabela1[[#This Row],[DATA REAL - POSTAGEM]]="",$BH24&lt;=$BF$1),3,
AND(Tabela1[[#This Row],[STATUS PROCESSO MOBILIZAÇÃO]]="Em andamento",Tabela1[[#This Row],[DATA REAL - POSTAGEM]]&lt;&gt;""),1)</f>
        <v>1</v>
      </c>
      <c r="P24" s="16" cm="1">
        <f t="array" aca="1" ref="P2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FINAL]]="",$BK24&gt;$BI$1),2,
AND(Tabela1[[#This Row],[STATUS PROCESSO MOBILIZAÇÃO]]="Em andamento",Tabela1[[#This Row],[DATA REAL - APROV FINAL]]="",$BK24&lt;=$BI$1),3,
AND(Tabela1[[#This Row],[STATUS PROCESSO MOBILIZAÇÃO]]="Em andamento",Tabela1[[#This Row],[DATA REAL - APROV FINAL]]&lt;&gt;""),1)</f>
        <v>1</v>
      </c>
      <c r="Q24" s="15" cm="1">
        <f t="array" aca="1" ref="Q2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CRACHÁ]]="",$BN24&gt;$BL$1),2,
AND(Tabela1[[#This Row],[STATUS PROCESSO MOBILIZAÇÃO]]="Em andamento",Tabela1[[#This Row],[DATA REAL - CRACHÁ]]="",$BN24&lt;=$BL$1),3,
AND(Tabela1[[#This Row],[STATUS PROCESSO MOBILIZAÇÃO]]="Em andamento",Tabela1[[#This Row],[DATA REAL - CRACHÁ]]&lt;&gt;""),1)</f>
        <v>1</v>
      </c>
      <c r="R24" s="21">
        <f>IF(Tabela1[[#This Row],[DATA REAL - FORMS]]&lt;&gt;"",Tabela1[[#This Row],[DATA REAL - FORMS]]+30,Tabela1[[#This Row],[DATA PREV - FORMS]]+35)</f>
        <v>45708</v>
      </c>
      <c r="S2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45695</v>
      </c>
      <c r="T2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122</v>
      </c>
      <c r="U2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111</v>
      </c>
      <c r="V24" s="49">
        <f>MAX(Tabela1[[#This Row],[DATA REAL - POSTAGEM]],Tabela1[[#This Row],[DATA REAL - APROV FINAL]],Tabela1[[#This Row],[DATA REAL - CRACHÁ]])-MIN(Tabela1[[#This Row],[DATA REAL - POSTAGEM]],Tabela1[[#This Row],[DATA REAL - APROV FINAL]],Tabela1[[#This Row],[DATA REAL - CRACHÁ]])+1</f>
        <v>11</v>
      </c>
      <c r="W2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4" s="15"/>
      <c r="Y24" s="16"/>
      <c r="Z24" s="18" t="s">
        <v>204</v>
      </c>
      <c r="AA24" s="18" t="s">
        <v>152</v>
      </c>
      <c r="AB24" s="16" t="s">
        <v>97</v>
      </c>
      <c r="AC24" s="16" t="s">
        <v>205</v>
      </c>
      <c r="AD24" s="16" t="s">
        <v>206</v>
      </c>
      <c r="AE24" s="16" t="s">
        <v>207</v>
      </c>
      <c r="AF24" s="16" t="s">
        <v>208</v>
      </c>
      <c r="AG24" s="16" t="str">
        <f>_xlfn.XLOOKUP(Tabela1[[#This Row],[CÓD. CT]],Controle_Projetos[COD CT],Controle_Projetos[COD PHD],"")</f>
        <v>CAPE-CT01-CROW</v>
      </c>
      <c r="AH24" s="21">
        <v>45679</v>
      </c>
      <c r="AI24" s="75">
        <v>45573</v>
      </c>
      <c r="AJ24" s="16" t="str" cm="1">
        <f t="array" aca="1" ref="AJ2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4" s="21">
        <v>45678</v>
      </c>
      <c r="AL24" s="74">
        <v>45678</v>
      </c>
      <c r="AM24" s="16" cm="1">
        <f t="array" aca="1" ref="AM2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 s="21">
        <f>Tabela1[[#This Row],[DATA PREV - FORMS]]+$AN$1</f>
        <v>45685</v>
      </c>
      <c r="AO24" s="74">
        <v>45679</v>
      </c>
      <c r="AP24" s="16" cm="1">
        <f t="array" aca="1" ref="AP2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4" s="21">
        <f>Tabela1[[#This Row],[DATA PREV - EXAMES]]+$AQ$1</f>
        <v>45687</v>
      </c>
      <c r="AR24" s="74">
        <v>45684</v>
      </c>
      <c r="AS24" s="15" cm="1">
        <f t="array" aca="1" ref="AS2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4" s="21">
        <f>Tabela1[[#This Row],[DATA PREV - FORMS]]+$AT$1</f>
        <v>45679</v>
      </c>
      <c r="AU24" s="74">
        <v>45679</v>
      </c>
      <c r="AV24" s="15" cm="1">
        <f t="array" aca="1" ref="AV2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4" s="21">
        <f>Tabela1[[#This Row],[DATA PREV - TREINAMENTOS]]+$AW$1</f>
        <v>45686</v>
      </c>
      <c r="AX24" s="74">
        <v>45682</v>
      </c>
      <c r="AY24" s="15" cm="1">
        <f t="array" aca="1" ref="AY2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24" s="24">
        <v>45859</v>
      </c>
      <c r="BA24" s="74">
        <v>45679</v>
      </c>
      <c r="BB24" s="15" cm="1">
        <f t="array" aca="1" ref="BB2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-179</v>
      </c>
      <c r="BC24" s="21">
        <f>Tabela1[[#This Row],[DATA PREV - CONCL. TREIN.]]+$BC$1</f>
        <v>45688</v>
      </c>
      <c r="BD24" s="74">
        <v>45684</v>
      </c>
      <c r="BE24" s="15" cm="1">
        <f t="array" aca="1" ref="BE2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4" s="21">
        <f>Tabela1[[#This Row],[DATA PREV - DOSSIÊ]]+$BF$1</f>
        <v>45691</v>
      </c>
      <c r="BG24" s="74">
        <v>45685</v>
      </c>
      <c r="BH24" s="15" cm="1">
        <f t="array" aca="1" ref="BH2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4" s="21">
        <f>Tabela1[[#This Row],[DATA PREV - POSTAGEM]]+$BI$1</f>
        <v>45697</v>
      </c>
      <c r="BJ24" s="74">
        <v>45695</v>
      </c>
      <c r="BK24" s="15" cm="1">
        <f t="array" aca="1" ref="BK2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4" s="21">
        <f>Tabela1[[#This Row],[DATA PREV - APROV FINAL]]+$BL$1</f>
        <v>45698</v>
      </c>
      <c r="BM24" s="74">
        <v>45695</v>
      </c>
      <c r="BN24" s="15" cm="1">
        <f t="array" aca="1" ref="BN2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4" s="80" t="s">
        <v>209</v>
      </c>
    </row>
    <row r="25" spans="2:67" ht="18" hidden="1" customHeight="1" x14ac:dyDescent="0.35">
      <c r="B25" s="14" t="s">
        <v>79</v>
      </c>
      <c r="C25" s="16" t="s">
        <v>136</v>
      </c>
      <c r="D25" s="16" t="s">
        <v>81</v>
      </c>
      <c r="E25" s="16"/>
      <c r="F25" s="16" t="s">
        <v>210</v>
      </c>
      <c r="G25" s="16" cm="1">
        <f t="array" ref="G25">_xlfn.IFS(Tabela1[[#This Row],[STATUS PROCESSO MOBILIZAÇÃO]]="Finalizado",1,Tabela1[[#This Row],[STATUS PROCESSO MOBILIZAÇÃO]]="Cancelado",2,Tabela1[[#This Row],[STATUS PROCESSO MOBILIZAÇÃO]]="Em andamento",3)</f>
        <v>1</v>
      </c>
      <c r="H25" s="16" cm="1">
        <f t="array" aca="1" ref="H2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FORMS]]="",$AM25&gt;$AK$1),2,
AND(Tabela1[[#This Row],[STATUS PROCESSO MOBILIZAÇÃO]]="Em andamento",Tabela1[[#This Row],[DATA REAL - FORMS]]="",$AM25&lt;=$AK$1),3,
AND(Tabela1[[#This Row],[STATUS PROCESSO MOBILIZAÇÃO]]="Em andamento",Tabela1[[#This Row],[DATA REAL - FORMS]]&lt;&gt;""),1)</f>
        <v>1</v>
      </c>
      <c r="I25" s="16" cm="1">
        <f t="array" aca="1" ref="I2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EXAMES]]="",$AP25&gt;$AN$1),2,
AND(Tabela1[[#This Row],[STATUS PROCESSO MOBILIZAÇÃO]]="Em andamento",Tabela1[[#This Row],[DATA REAL - EXAMES]]="",$AP25&lt;=$AN$1),3,
AND(Tabela1[[#This Row],[STATUS PROCESSO MOBILIZAÇÃO]]="Em andamento",Tabela1[[#This Row],[DATA REAL - EXAMES]]&lt;&gt;""),1)</f>
        <v>1</v>
      </c>
      <c r="J25" s="16" cm="1">
        <f t="array" aca="1" ref="J2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ASO]]="",$AS25&gt;$AQ$1),2,
AND(Tabela1[[#This Row],[STATUS PROCESSO MOBILIZAÇÃO]]="Em andamento",Tabela1[[#This Row],[DATA REAL - ASO]]="",$AS25&lt;=$AQ$1),3,
AND(Tabela1[[#This Row],[STATUS PROCESSO MOBILIZAÇÃO]]="Em andamento",Tabela1[[#This Row],[DATA REAL - ASO]]&lt;&gt;""),1)</f>
        <v>1</v>
      </c>
      <c r="K25" s="15" cm="1">
        <f t="array" aca="1" ref="K2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TREINAMENTOS]]="",$AV25&gt;$AT$1),2,
AND(Tabela1[[#This Row],[STATUS PROCESSO MOBILIZAÇÃO]]="Em andamento",Tabela1[[#This Row],[DATA REAL - TREINAMENTOS]]="",$AV25&lt;=$AT$1),3,
AND(Tabela1[[#This Row],[STATUS PROCESSO MOBILIZAÇÃO]]="Em andamento",Tabela1[[#This Row],[DATA REAL - TREINAMENTOS]]&lt;&gt;""),1)</f>
        <v>1</v>
      </c>
      <c r="L25" s="15" cm="1">
        <f t="array" aca="1" ref="L2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TREIN.]]="",$AY25&gt;$AW$1),2,
AND(Tabela1[[#This Row],[STATUS PROCESSO MOBILIZAÇÃO]]="Em andamento",Tabela1[[#This Row],[DATA REAL - CONCL. TREIN.]]="",$AY25&lt;=$AW$1),3,
AND(Tabela1[[#This Row],[STATUS PROCESSO MOBILIZAÇÃO]]="Em andamento",Tabela1[[#This Row],[DATA REAL - CONCL. TREIN.]]&lt;&gt;""),1)</f>
        <v>1</v>
      </c>
      <c r="M25" s="15" cm="1">
        <f t="array" aca="1" ref="M2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CONTRATUAL]]="",$BB25&gt;$AZ$1),2,
AND(Tabela1[[#This Row],[STATUS PROCESSO MOBILIZAÇÃO]]="Em andamento",Tabela1[[#This Row],[DATA FIM - ALTER. CONTRATUAL]]="",$BB25&lt;=$AZ$1),3,
AND(Tabela1[[#This Row],[STATUS PROCESSO MOBILIZAÇÃO]]="Em andamento",Tabela1[[#This Row],[DATA FIM - ALTER. CONTRATUAL]]&lt;&gt;""),1)</f>
        <v>0</v>
      </c>
      <c r="N25" s="16" cm="1">
        <f t="array" aca="1" ref="N2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DOSSIÊ]]="",$BE25&gt;$BC$1),2,
AND(Tabela1[[#This Row],[STATUS PROCESSO MOBILIZAÇÃO]]="Em andamento",Tabela1[[#This Row],[DATA REAL - DOSSIÊ]]="",$BE25&lt;=$BC$1),3,
AND(Tabela1[[#This Row],[STATUS PROCESSO MOBILIZAÇÃO]]="Em andamento",Tabela1[[#This Row],[DATA REAL - DOSSIÊ]]&lt;&gt;""),1)</f>
        <v>1</v>
      </c>
      <c r="O25" s="16" cm="1">
        <f t="array" aca="1" ref="O2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POSTAGEM]]="",$BH25&gt;$BF$1),2,
AND(Tabela1[[#This Row],[STATUS PROCESSO MOBILIZAÇÃO]]="Em andamento",Tabela1[[#This Row],[DATA REAL - POSTAGEM]]="",$BH25&lt;=$BF$1),3,
AND(Tabela1[[#This Row],[STATUS PROCESSO MOBILIZAÇÃO]]="Em andamento",Tabela1[[#This Row],[DATA REAL - POSTAGEM]]&lt;&gt;""),1)</f>
        <v>1</v>
      </c>
      <c r="P25" s="16" cm="1">
        <f t="array" aca="1" ref="P2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FINAL]]="",$BK25&gt;$BI$1),2,
AND(Tabela1[[#This Row],[STATUS PROCESSO MOBILIZAÇÃO]]="Em andamento",Tabela1[[#This Row],[DATA REAL - APROV FINAL]]="",$BK25&lt;=$BI$1),3,
AND(Tabela1[[#This Row],[STATUS PROCESSO MOBILIZAÇÃO]]="Em andamento",Tabela1[[#This Row],[DATA REAL - APROV FINAL]]&lt;&gt;""),1)</f>
        <v>1</v>
      </c>
      <c r="Q25" s="15" cm="1">
        <f t="array" aca="1" ref="Q2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CRACHÁ]]="",$BN25&gt;$BL$1),2,
AND(Tabela1[[#This Row],[STATUS PROCESSO MOBILIZAÇÃO]]="Em andamento",Tabela1[[#This Row],[DATA REAL - CRACHÁ]]="",$BN25&lt;=$BL$1),3,
AND(Tabela1[[#This Row],[STATUS PROCESSO MOBILIZAÇÃO]]="Em andamento",Tabela1[[#This Row],[DATA REAL - CRACHÁ]]&lt;&gt;""),1)</f>
        <v>1</v>
      </c>
      <c r="R25" s="21">
        <f>IF(Tabela1[[#This Row],[DATA REAL - FORMS]]&lt;&gt;"",Tabela1[[#This Row],[DATA REAL - FORMS]]+30,Tabela1[[#This Row],[DATA PREV - FORMS]]+35)</f>
        <v>45708</v>
      </c>
      <c r="S2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45692</v>
      </c>
      <c r="T2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156</v>
      </c>
      <c r="U2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150</v>
      </c>
      <c r="V25" s="49">
        <f>MAX(Tabela1[[#This Row],[DATA REAL - POSTAGEM]],Tabela1[[#This Row],[DATA REAL - APROV FINAL]],Tabela1[[#This Row],[DATA REAL - CRACHÁ]])-MIN(Tabela1[[#This Row],[DATA REAL - POSTAGEM]],Tabela1[[#This Row],[DATA REAL - APROV FINAL]],Tabela1[[#This Row],[DATA REAL - CRACHÁ]])+1</f>
        <v>7</v>
      </c>
      <c r="W2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5" s="15" t="s">
        <v>211</v>
      </c>
      <c r="Y25" s="16" t="s">
        <v>84</v>
      </c>
      <c r="Z25" s="18" t="s">
        <v>204</v>
      </c>
      <c r="AA25" s="18" t="s">
        <v>152</v>
      </c>
      <c r="AB25" s="16" t="s">
        <v>97</v>
      </c>
      <c r="AC25" s="16" t="s">
        <v>212</v>
      </c>
      <c r="AD25" s="16" t="s">
        <v>213</v>
      </c>
      <c r="AE25" s="16" t="s">
        <v>214</v>
      </c>
      <c r="AF25" s="16" t="s">
        <v>215</v>
      </c>
      <c r="AG25" s="16" t="str">
        <f>_xlfn.XLOOKUP(Tabela1[[#This Row],[CÓD. CT]],Controle_Projetos[COD CT],Controle_Projetos[COD PHD],"")</f>
        <v>NOBR-CT05-PLAN</v>
      </c>
      <c r="AH25" s="21"/>
      <c r="AI25" s="75">
        <v>45536</v>
      </c>
      <c r="AJ25" s="16" t="str" cm="1">
        <f t="array" aca="1" ref="AJ2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5" s="21">
        <v>45678</v>
      </c>
      <c r="AL25" s="74">
        <v>45678</v>
      </c>
      <c r="AM25" s="16" cm="1">
        <f t="array" aca="1" ref="AM2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 s="21">
        <f>Tabela1[[#This Row],[DATA PREV - FORMS]]+$AN$1</f>
        <v>45685</v>
      </c>
      <c r="AO25" s="74">
        <v>45678</v>
      </c>
      <c r="AP25" s="16" cm="1">
        <f t="array" aca="1" ref="AP2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 s="21">
        <f>Tabela1[[#This Row],[DATA PREV - EXAMES]]+$AQ$1</f>
        <v>45687</v>
      </c>
      <c r="AR25" s="74">
        <v>45686</v>
      </c>
      <c r="AS25" s="15" cm="1">
        <f t="array" aca="1" ref="AS2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5" s="21">
        <f>Tabela1[[#This Row],[DATA PREV - FORMS]]+$AT$1</f>
        <v>45679</v>
      </c>
      <c r="AU25" s="74">
        <v>45686</v>
      </c>
      <c r="AV25" s="15" cm="1">
        <f t="array" aca="1" ref="AV2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8</v>
      </c>
      <c r="AW25" s="21">
        <f>Tabela1[[#This Row],[DATA PREV - TREINAMENTOS]]+$AW$1</f>
        <v>45686</v>
      </c>
      <c r="AX25" s="74">
        <v>45686</v>
      </c>
      <c r="AY25" s="15" cm="1">
        <f t="array" aca="1" ref="AY2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5" s="24">
        <v>45356</v>
      </c>
      <c r="BA25" s="74"/>
      <c r="BB25" s="15" cm="1">
        <f t="array" aca="1" ref="BB2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 s="21">
        <f>Tabela1[[#This Row],[DATA PREV - CONCL. TREIN.]]+$BC$1</f>
        <v>45688</v>
      </c>
      <c r="BD25" s="74">
        <v>45686</v>
      </c>
      <c r="BE25" s="15" cm="1">
        <f t="array" aca="1" ref="BE2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5" s="21">
        <f>Tabela1[[#This Row],[DATA PREV - DOSSIÊ]]+$BF$1</f>
        <v>45691</v>
      </c>
      <c r="BG25" s="74">
        <v>45686</v>
      </c>
      <c r="BH25" s="15" cm="1">
        <f t="array" aca="1" ref="BH2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5" s="21">
        <f>Tabela1[[#This Row],[DATA PREV - POSTAGEM]]+$BI$1</f>
        <v>45697</v>
      </c>
      <c r="BJ25" s="74">
        <v>45691</v>
      </c>
      <c r="BK25" s="15" cm="1">
        <f t="array" aca="1" ref="BK2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25" s="21">
        <f>Tabela1[[#This Row],[DATA PREV - APROV FINAL]]+$BL$1</f>
        <v>45698</v>
      </c>
      <c r="BM25" s="74">
        <v>45692</v>
      </c>
      <c r="BN25" s="15" cm="1">
        <f t="array" aca="1" ref="BN2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5" s="80" t="s">
        <v>216</v>
      </c>
    </row>
    <row r="26" spans="2:67" ht="18" hidden="1" customHeight="1" x14ac:dyDescent="0.35">
      <c r="B26" s="14" t="s">
        <v>119</v>
      </c>
      <c r="C26" s="16" t="s">
        <v>147</v>
      </c>
      <c r="D26" s="16" t="s">
        <v>119</v>
      </c>
      <c r="E26" s="16"/>
      <c r="F26" s="16" t="s">
        <v>217</v>
      </c>
      <c r="G26" s="16" cm="1">
        <f t="array" ref="G26">_xlfn.IFS(Tabela1[[#This Row],[STATUS PROCESSO MOBILIZAÇÃO]]="Finalizado",1,Tabela1[[#This Row],[STATUS PROCESSO MOBILIZAÇÃO]]="Cancelado",2,Tabela1[[#This Row],[STATUS PROCESSO MOBILIZAÇÃO]]="Em andamento",3)</f>
        <v>2</v>
      </c>
      <c r="H26" s="16" cm="1">
        <f t="array" aca="1" ref="H2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FORMS]]="",$AM26&gt;$AK$1),2,
AND(Tabela1[[#This Row],[STATUS PROCESSO MOBILIZAÇÃO]]="Em andamento",Tabela1[[#This Row],[DATA REAL - FORMS]]="",$AM26&lt;=$AK$1),3,
AND(Tabela1[[#This Row],[STATUS PROCESSO MOBILIZAÇÃO]]="Em andamento",Tabela1[[#This Row],[DATA REAL - FORMS]]&lt;&gt;""),1)</f>
        <v>1</v>
      </c>
      <c r="I26" s="16" cm="1">
        <f t="array" aca="1" ref="I2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EXAMES]]="",$AP26&gt;$AN$1),2,
AND(Tabela1[[#This Row],[STATUS PROCESSO MOBILIZAÇÃO]]="Em andamento",Tabela1[[#This Row],[DATA REAL - EXAMES]]="",$AP26&lt;=$AN$1),3,
AND(Tabela1[[#This Row],[STATUS PROCESSO MOBILIZAÇÃO]]="Em andamento",Tabela1[[#This Row],[DATA REAL - EXAMES]]&lt;&gt;""),1)</f>
        <v>1</v>
      </c>
      <c r="J26" s="16" cm="1">
        <f t="array" aca="1" ref="J2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ASO]]="",$AS26&gt;$AQ$1),2,
AND(Tabela1[[#This Row],[STATUS PROCESSO MOBILIZAÇÃO]]="Em andamento",Tabela1[[#This Row],[DATA REAL - ASO]]="",$AS26&lt;=$AQ$1),3,
AND(Tabela1[[#This Row],[STATUS PROCESSO MOBILIZAÇÃO]]="Em andamento",Tabela1[[#This Row],[DATA REAL - ASO]]&lt;&gt;""),1)</f>
        <v>1</v>
      </c>
      <c r="K26" s="15" cm="1">
        <f t="array" aca="1" ref="K2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TREINAMENTOS]]="",$AV26&gt;$AT$1),2,
AND(Tabela1[[#This Row],[STATUS PROCESSO MOBILIZAÇÃO]]="Em andamento",Tabela1[[#This Row],[DATA REAL - TREINAMENTOS]]="",$AV26&lt;=$AT$1),3,
AND(Tabela1[[#This Row],[STATUS PROCESSO MOBILIZAÇÃO]]="Em andamento",Tabela1[[#This Row],[DATA REAL - TREINAMENTOS]]&lt;&gt;""),1)</f>
        <v>1</v>
      </c>
      <c r="L26" s="15" cm="1">
        <f t="array" aca="1" ref="L2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TREIN.]]="",$AY26&gt;$AW$1),2,
AND(Tabela1[[#This Row],[STATUS PROCESSO MOBILIZAÇÃO]]="Em andamento",Tabela1[[#This Row],[DATA REAL - CONCL. TREIN.]]="",$AY26&lt;=$AW$1),3,
AND(Tabela1[[#This Row],[STATUS PROCESSO MOBILIZAÇÃO]]="Em andamento",Tabela1[[#This Row],[DATA REAL - CONCL. TREIN.]]&lt;&gt;""),1)</f>
        <v>1</v>
      </c>
      <c r="M26" s="15" cm="1">
        <f t="array" aca="1" ref="M2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CONTRATUAL]]="",$BB26&gt;$AZ$1),2,
AND(Tabela1[[#This Row],[STATUS PROCESSO MOBILIZAÇÃO]]="Em andamento",Tabela1[[#This Row],[DATA FIM - ALTER. CONTRATUAL]]="",$BB26&lt;=$AZ$1),3,
AND(Tabela1[[#This Row],[STATUS PROCESSO MOBILIZAÇÃO]]="Em andamento",Tabela1[[#This Row],[DATA FIM - ALTER. CONTRATUAL]]&lt;&gt;""),1)</f>
        <v>0</v>
      </c>
      <c r="N26" s="16" cm="1">
        <f t="array" aca="1" ref="N2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DOSSIÊ]]="",$BE26&gt;$BC$1),2,
AND(Tabela1[[#This Row],[STATUS PROCESSO MOBILIZAÇÃO]]="Em andamento",Tabela1[[#This Row],[DATA REAL - DOSSIÊ]]="",$BE26&lt;=$BC$1),3,
AND(Tabela1[[#This Row],[STATUS PROCESSO MOBILIZAÇÃO]]="Em andamento",Tabela1[[#This Row],[DATA REAL - DOSSIÊ]]&lt;&gt;""),1)</f>
        <v>0</v>
      </c>
      <c r="O26" s="16" cm="1">
        <f t="array" aca="1" ref="O2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POSTAGEM]]="",$BH26&gt;$BF$1),2,
AND(Tabela1[[#This Row],[STATUS PROCESSO MOBILIZAÇÃO]]="Em andamento",Tabela1[[#This Row],[DATA REAL - POSTAGEM]]="",$BH26&lt;=$BF$1),3,
AND(Tabela1[[#This Row],[STATUS PROCESSO MOBILIZAÇÃO]]="Em andamento",Tabela1[[#This Row],[DATA REAL - POSTAGEM]]&lt;&gt;""),1)</f>
        <v>0</v>
      </c>
      <c r="P26" s="16" cm="1">
        <f t="array" aca="1" ref="P2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FINAL]]="",$BK26&gt;$BI$1),2,
AND(Tabela1[[#This Row],[STATUS PROCESSO MOBILIZAÇÃO]]="Em andamento",Tabela1[[#This Row],[DATA REAL - APROV FINAL]]="",$BK26&lt;=$BI$1),3,
AND(Tabela1[[#This Row],[STATUS PROCESSO MOBILIZAÇÃO]]="Em andamento",Tabela1[[#This Row],[DATA REAL - APROV FINAL]]&lt;&gt;""),1)</f>
        <v>0</v>
      </c>
      <c r="Q26" s="15" cm="1">
        <f t="array" aca="1" ref="Q2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CRACHÁ]]="",$BN26&gt;$BL$1),2,
AND(Tabela1[[#This Row],[STATUS PROCESSO MOBILIZAÇÃO]]="Em andamento",Tabela1[[#This Row],[DATA REAL - CRACHÁ]]="",$BN26&lt;=$BL$1),3,
AND(Tabela1[[#This Row],[STATUS PROCESSO MOBILIZAÇÃO]]="Em andamento",Tabela1[[#This Row],[DATA REAL - CRACHÁ]]&lt;&gt;""),1)</f>
        <v>1</v>
      </c>
      <c r="R26" s="21">
        <f>IF(Tabela1[[#This Row],[DATA REAL - FORMS]]&lt;&gt;"",Tabela1[[#This Row],[DATA REAL - FORMS]]+30,Tabela1[[#This Row],[DATA PREV - FORMS]]+35)</f>
        <v>45711</v>
      </c>
      <c r="S2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45734</v>
      </c>
      <c r="T2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53</v>
      </c>
      <c r="U2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36</v>
      </c>
      <c r="V26" s="49">
        <f>MAX(Tabela1[[#This Row],[DATA REAL - POSTAGEM]],Tabela1[[#This Row],[DATA REAL - APROV FINAL]],Tabela1[[#This Row],[DATA REAL - CRACHÁ]])-MIN(Tabela1[[#This Row],[DATA REAL - POSTAGEM]],Tabela1[[#This Row],[DATA REAL - APROV FINAL]],Tabela1[[#This Row],[DATA REAL - CRACHÁ]])+1</f>
        <v>1</v>
      </c>
      <c r="W2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X26" s="15" t="s">
        <v>103</v>
      </c>
      <c r="Y26" s="16" t="s">
        <v>84</v>
      </c>
      <c r="Z26" s="18" t="s">
        <v>104</v>
      </c>
      <c r="AA26" s="18" t="s">
        <v>86</v>
      </c>
      <c r="AB26" s="16" t="s">
        <v>97</v>
      </c>
      <c r="AC26" s="16" t="s">
        <v>88</v>
      </c>
      <c r="AD26" s="16" t="s">
        <v>89</v>
      </c>
      <c r="AE26" s="16" t="s">
        <v>105</v>
      </c>
      <c r="AF26" s="16" t="s">
        <v>106</v>
      </c>
      <c r="AG26" s="16" t="str">
        <f>_xlfn.XLOOKUP(Tabela1[[#This Row],[CÓD. CT]],Controle_Projetos[COD CT],Controle_Projetos[COD PHD],"")</f>
        <v>IMCS-CT07-SEGR</v>
      </c>
      <c r="AH26" s="21">
        <v>45681</v>
      </c>
      <c r="AI26" s="75">
        <v>45717</v>
      </c>
      <c r="AJ26" s="16" cm="1">
        <f t="array" aca="1" ref="AJ2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37</v>
      </c>
      <c r="AK26" s="21">
        <v>45681</v>
      </c>
      <c r="AL26" s="74">
        <v>45681</v>
      </c>
      <c r="AM26" s="16" cm="1">
        <f t="array" aca="1" ref="AM2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 s="21">
        <f>Tabela1[[#This Row],[DATA PREV - FORMS]]+$AN$1</f>
        <v>45688</v>
      </c>
      <c r="AO26" s="74">
        <v>45684</v>
      </c>
      <c r="AP26" s="16" cm="1">
        <f t="array" aca="1" ref="AP2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26" s="21">
        <f>Tabela1[[#This Row],[DATA PREV - EXAMES]]+$AQ$1</f>
        <v>45690</v>
      </c>
      <c r="AR26" s="74">
        <v>45688</v>
      </c>
      <c r="AS26" s="15" cm="1">
        <f t="array" aca="1" ref="AS2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6" s="21">
        <f>Tabela1[[#This Row],[DATA PREV - FORMS]]+$AT$1</f>
        <v>45682</v>
      </c>
      <c r="AU26" s="74">
        <v>45684</v>
      </c>
      <c r="AV26" s="15" cm="1">
        <f t="array" aca="1" ref="AV2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26" s="21">
        <f>Tabela1[[#This Row],[DATA PREV - TREINAMENTOS]]+$AW$1</f>
        <v>45689</v>
      </c>
      <c r="AX26" s="74">
        <v>45688</v>
      </c>
      <c r="AY26" s="15" cm="1">
        <f t="array" aca="1" ref="AY2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6" s="24"/>
      <c r="BA26" s="74"/>
      <c r="BB26" s="15" t="str" cm="1">
        <f t="array" aca="1" ref="BB2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26" s="21">
        <f>Tabela1[[#This Row],[DATA PREV - CONCL. TREIN.]]+$BC$1</f>
        <v>45691</v>
      </c>
      <c r="BD26" s="74"/>
      <c r="BE26" s="15" cm="1">
        <f t="array" aca="1" ref="BE2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6" s="21">
        <f>Tabela1[[#This Row],[DATA PREV - DOSSIÊ]]+$BF$1</f>
        <v>45694</v>
      </c>
      <c r="BG26" s="74"/>
      <c r="BH26" s="15" cm="1">
        <f t="array" aca="1" ref="BH2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6" s="21">
        <f>Tabela1[[#This Row],[DATA PREV - POSTAGEM]]+$BI$1</f>
        <v>45700</v>
      </c>
      <c r="BJ26" s="74"/>
      <c r="BK26" s="15" cm="1">
        <f t="array" aca="1" ref="BK2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6" s="21">
        <f>Tabela1[[#This Row],[DATA PREV - APROV FINAL]]+$BL$1</f>
        <v>45701</v>
      </c>
      <c r="BM26" s="74">
        <v>45734</v>
      </c>
      <c r="BN26" s="15" cm="1">
        <f t="array" aca="1" ref="BN2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34</v>
      </c>
      <c r="BO26" s="80" t="s">
        <v>218</v>
      </c>
    </row>
    <row r="27" spans="2:67" ht="18" hidden="1" customHeight="1" x14ac:dyDescent="0.35">
      <c r="B27" s="14" t="s">
        <v>79</v>
      </c>
      <c r="C27" s="16" t="s">
        <v>136</v>
      </c>
      <c r="D27" s="16" t="s">
        <v>81</v>
      </c>
      <c r="E27" s="16"/>
      <c r="F27" s="16" t="s">
        <v>163</v>
      </c>
      <c r="G27" s="16" cm="1">
        <f t="array" ref="G27">_xlfn.IFS(Tabela1[[#This Row],[STATUS PROCESSO MOBILIZAÇÃO]]="Finalizado",1,Tabela1[[#This Row],[STATUS PROCESSO MOBILIZAÇÃO]]="Cancelado",2,Tabela1[[#This Row],[STATUS PROCESSO MOBILIZAÇÃO]]="Em andamento",3)</f>
        <v>1</v>
      </c>
      <c r="H27" s="16" cm="1">
        <f t="array" aca="1" ref="H2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FORMS]]="",$AM27&gt;$AK$1),2,
AND(Tabela1[[#This Row],[STATUS PROCESSO MOBILIZAÇÃO]]="Em andamento",Tabela1[[#This Row],[DATA REAL - FORMS]]="",$AM27&lt;=$AK$1),3,
AND(Tabela1[[#This Row],[STATUS PROCESSO MOBILIZAÇÃO]]="Em andamento",Tabela1[[#This Row],[DATA REAL - FORMS]]&lt;&gt;""),1)</f>
        <v>1</v>
      </c>
      <c r="I27" s="16" cm="1">
        <f t="array" aca="1" ref="I2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EXAMES]]="",$AP27&gt;$AN$1),2,
AND(Tabela1[[#This Row],[STATUS PROCESSO MOBILIZAÇÃO]]="Em andamento",Tabela1[[#This Row],[DATA REAL - EXAMES]]="",$AP27&lt;=$AN$1),3,
AND(Tabela1[[#This Row],[STATUS PROCESSO MOBILIZAÇÃO]]="Em andamento",Tabela1[[#This Row],[DATA REAL - EXAMES]]&lt;&gt;""),1)</f>
        <v>1</v>
      </c>
      <c r="J27" s="16" cm="1">
        <f t="array" aca="1" ref="J2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ASO]]="",$AS27&gt;$AQ$1),2,
AND(Tabela1[[#This Row],[STATUS PROCESSO MOBILIZAÇÃO]]="Em andamento",Tabela1[[#This Row],[DATA REAL - ASO]]="",$AS27&lt;=$AQ$1),3,
AND(Tabela1[[#This Row],[STATUS PROCESSO MOBILIZAÇÃO]]="Em andamento",Tabela1[[#This Row],[DATA REAL - ASO]]&lt;&gt;""),1)</f>
        <v>1</v>
      </c>
      <c r="K27" s="15" cm="1">
        <f t="array" aca="1" ref="K2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TREINAMENTOS]]="",$AV27&gt;$AT$1),2,
AND(Tabela1[[#This Row],[STATUS PROCESSO MOBILIZAÇÃO]]="Em andamento",Tabela1[[#This Row],[DATA REAL - TREINAMENTOS]]="",$AV27&lt;=$AT$1),3,
AND(Tabela1[[#This Row],[STATUS PROCESSO MOBILIZAÇÃO]]="Em andamento",Tabela1[[#This Row],[DATA REAL - TREINAMENTOS]]&lt;&gt;""),1)</f>
        <v>1</v>
      </c>
      <c r="L27" s="15" cm="1">
        <f t="array" aca="1" ref="L2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TREIN.]]="",$AY27&gt;$AW$1),2,
AND(Tabela1[[#This Row],[STATUS PROCESSO MOBILIZAÇÃO]]="Em andamento",Tabela1[[#This Row],[DATA REAL - CONCL. TREIN.]]="",$AY27&lt;=$AW$1),3,
AND(Tabela1[[#This Row],[STATUS PROCESSO MOBILIZAÇÃO]]="Em andamento",Tabela1[[#This Row],[DATA REAL - CONCL. TREIN.]]&lt;&gt;""),1)</f>
        <v>1</v>
      </c>
      <c r="M27" s="15" cm="1">
        <f t="array" aca="1" ref="M2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CONTRATUAL]]="",$BB27&gt;$AZ$1),2,
AND(Tabela1[[#This Row],[STATUS PROCESSO MOBILIZAÇÃO]]="Em andamento",Tabela1[[#This Row],[DATA FIM - ALTER. CONTRATUAL]]="",$BB27&lt;=$AZ$1),3,
AND(Tabela1[[#This Row],[STATUS PROCESSO MOBILIZAÇÃO]]="Em andamento",Tabela1[[#This Row],[DATA FIM - ALTER. CONTRATUAL]]&lt;&gt;""),1)</f>
        <v>1</v>
      </c>
      <c r="N27" s="16" cm="1">
        <f t="array" aca="1" ref="N2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DOSSIÊ]]="",$BE27&gt;$BC$1),2,
AND(Tabela1[[#This Row],[STATUS PROCESSO MOBILIZAÇÃO]]="Em andamento",Tabela1[[#This Row],[DATA REAL - DOSSIÊ]]="",$BE27&lt;=$BC$1),3,
AND(Tabela1[[#This Row],[STATUS PROCESSO MOBILIZAÇÃO]]="Em andamento",Tabela1[[#This Row],[DATA REAL - DOSSIÊ]]&lt;&gt;""),1)</f>
        <v>1</v>
      </c>
      <c r="O27" s="16" cm="1">
        <f t="array" aca="1" ref="O2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POSTAGEM]]="",$BH27&gt;$BF$1),2,
AND(Tabela1[[#This Row],[STATUS PROCESSO MOBILIZAÇÃO]]="Em andamento",Tabela1[[#This Row],[DATA REAL - POSTAGEM]]="",$BH27&lt;=$BF$1),3,
AND(Tabela1[[#This Row],[STATUS PROCESSO MOBILIZAÇÃO]]="Em andamento",Tabela1[[#This Row],[DATA REAL - POSTAGEM]]&lt;&gt;""),1)</f>
        <v>1</v>
      </c>
      <c r="P27" s="16" cm="1">
        <f t="array" aca="1" ref="P2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FINAL]]="",$BK27&gt;$BI$1),2,
AND(Tabela1[[#This Row],[STATUS PROCESSO MOBILIZAÇÃO]]="Em andamento",Tabela1[[#This Row],[DATA REAL - APROV FINAL]]="",$BK27&lt;=$BI$1),3,
AND(Tabela1[[#This Row],[STATUS PROCESSO MOBILIZAÇÃO]]="Em andamento",Tabela1[[#This Row],[DATA REAL - APROV FINAL]]&lt;&gt;""),1)</f>
        <v>1</v>
      </c>
      <c r="Q27" s="15" cm="1">
        <f t="array" aca="1" ref="Q2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CRACHÁ]]="",$BN27&gt;$BL$1),2,
AND(Tabela1[[#This Row],[STATUS PROCESSO MOBILIZAÇÃO]]="Em andamento",Tabela1[[#This Row],[DATA REAL - CRACHÁ]]="",$BN27&lt;=$BL$1),3,
AND(Tabela1[[#This Row],[STATUS PROCESSO MOBILIZAÇÃO]]="Em andamento",Tabela1[[#This Row],[DATA REAL - CRACHÁ]]&lt;&gt;""),1)</f>
        <v>1</v>
      </c>
      <c r="R27" s="21">
        <f>IF(Tabela1[[#This Row],[DATA REAL - FORMS]]&lt;&gt;"",Tabela1[[#This Row],[DATA REAL - FORMS]]+30,Tabela1[[#This Row],[DATA PREV - FORMS]]+35)</f>
        <v>45714</v>
      </c>
      <c r="S2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45714</v>
      </c>
      <c r="T2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122</v>
      </c>
      <c r="U2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93</v>
      </c>
      <c r="V27" s="49">
        <f>MAX(Tabela1[[#This Row],[DATA REAL - POSTAGEM]],Tabela1[[#This Row],[DATA REAL - APROV FINAL]],Tabela1[[#This Row],[DATA REAL - CRACHÁ]])-MIN(Tabela1[[#This Row],[DATA REAL - POSTAGEM]],Tabela1[[#This Row],[DATA REAL - APROV FINAL]],Tabela1[[#This Row],[DATA REAL - CRACHÁ]])+1</f>
        <v>27</v>
      </c>
      <c r="W2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7" s="15" t="s">
        <v>103</v>
      </c>
      <c r="Y27" s="16" t="s">
        <v>84</v>
      </c>
      <c r="Z27" s="18" t="s">
        <v>104</v>
      </c>
      <c r="AA27" s="18" t="s">
        <v>86</v>
      </c>
      <c r="AB27" s="16" t="s">
        <v>97</v>
      </c>
      <c r="AC27" s="16" t="s">
        <v>219</v>
      </c>
      <c r="AD27" s="16" t="s">
        <v>184</v>
      </c>
      <c r="AE27" s="16" t="s">
        <v>220</v>
      </c>
      <c r="AF27" s="16" t="s">
        <v>221</v>
      </c>
      <c r="AG27" s="16" t="str">
        <f>_xlfn.XLOOKUP(Tabela1[[#This Row],[CÓD. CT]],Controle_Projetos[COD CT],Controle_Projetos[COD PHD],"")</f>
        <v>CRET-CT01-TANQ</v>
      </c>
      <c r="AH27" s="21">
        <v>45684</v>
      </c>
      <c r="AI27" s="75">
        <v>45592</v>
      </c>
      <c r="AJ27" s="16" t="str" cm="1">
        <f t="array" aca="1" ref="AJ2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7" s="21">
        <v>45684</v>
      </c>
      <c r="AL27" s="74">
        <v>45684</v>
      </c>
      <c r="AM27" s="16" cm="1">
        <f t="array" aca="1" ref="AM2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 s="21">
        <f>Tabela1[[#This Row],[DATA PREV - FORMS]]+$AN$1</f>
        <v>45691</v>
      </c>
      <c r="AO27" s="74">
        <v>45684</v>
      </c>
      <c r="AP27" s="16" cm="1">
        <f t="array" aca="1" ref="AP2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 s="21">
        <f>Tabela1[[#This Row],[DATA PREV - EXAMES]]+$AQ$1</f>
        <v>45693</v>
      </c>
      <c r="AR27" s="74">
        <v>45685</v>
      </c>
      <c r="AS27" s="15" cm="1">
        <f t="array" aca="1" ref="AS2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7" s="21">
        <f>Tabela1[[#This Row],[DATA PREV - FORMS]]+$AT$1</f>
        <v>45685</v>
      </c>
      <c r="AU27" s="74">
        <v>45685</v>
      </c>
      <c r="AV27" s="15" cm="1">
        <f t="array" aca="1" ref="AV2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7" s="21">
        <f>Tabela1[[#This Row],[DATA PREV - TREINAMENTOS]]+$AW$1</f>
        <v>45692</v>
      </c>
      <c r="AX27" s="74">
        <v>45685</v>
      </c>
      <c r="AY27" s="15" cm="1">
        <f t="array" aca="1" ref="AY2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7" s="24">
        <v>45741</v>
      </c>
      <c r="BA27" s="74">
        <v>45685</v>
      </c>
      <c r="BB27" s="15" cm="1">
        <f t="array" aca="1" ref="BB2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-55</v>
      </c>
      <c r="BC27" s="21">
        <f>Tabela1[[#This Row],[DATA PREV - CONCL. TREIN.]]+$BC$1</f>
        <v>45694</v>
      </c>
      <c r="BD27" s="74">
        <v>45685</v>
      </c>
      <c r="BE27" s="15" cm="1">
        <f t="array" aca="1" ref="BE2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7" s="21">
        <f>Tabela1[[#This Row],[DATA PREV - DOSSIÊ]]+$BF$1</f>
        <v>45697</v>
      </c>
      <c r="BG27" s="74">
        <v>45688</v>
      </c>
      <c r="BH27" s="15" cm="1">
        <f t="array" aca="1" ref="BH2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7" s="21">
        <f>Tabela1[[#This Row],[DATA PREV - POSTAGEM]]+$BI$1</f>
        <v>45703</v>
      </c>
      <c r="BJ27" s="74">
        <v>45710</v>
      </c>
      <c r="BK27" s="15" cm="1">
        <f t="array" aca="1" ref="BK2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7" s="21">
        <f>Tabela1[[#This Row],[DATA PREV - APROV FINAL]]+$BL$1</f>
        <v>45704</v>
      </c>
      <c r="BM27" s="74">
        <v>45714</v>
      </c>
      <c r="BN27" s="15" cm="1">
        <f t="array" aca="1" ref="BN2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7" s="80" t="s">
        <v>222</v>
      </c>
    </row>
    <row r="28" spans="2:67" ht="18" hidden="1" customHeight="1" x14ac:dyDescent="0.35">
      <c r="B28" s="14" t="s">
        <v>79</v>
      </c>
      <c r="C28" s="16" t="s">
        <v>147</v>
      </c>
      <c r="D28" s="16" t="s">
        <v>81</v>
      </c>
      <c r="E28" s="16"/>
      <c r="F28" s="16" t="s">
        <v>223</v>
      </c>
      <c r="G28" s="16" cm="1">
        <f t="array" ref="G28">_xlfn.IFS(Tabela1[[#This Row],[STATUS PROCESSO MOBILIZAÇÃO]]="Finalizado",1,Tabela1[[#This Row],[STATUS PROCESSO MOBILIZAÇÃO]]="Cancelado",2,Tabela1[[#This Row],[STATUS PROCESSO MOBILIZAÇÃO]]="Em andamento",3)</f>
        <v>1</v>
      </c>
      <c r="H28" s="16" cm="1">
        <f t="array" aca="1" ref="H2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FORMS]]="",$AM28&gt;$AK$1),2,
AND(Tabela1[[#This Row],[STATUS PROCESSO MOBILIZAÇÃO]]="Em andamento",Tabela1[[#This Row],[DATA REAL - FORMS]]="",$AM28&lt;=$AK$1),3,
AND(Tabela1[[#This Row],[STATUS PROCESSO MOBILIZAÇÃO]]="Em andamento",Tabela1[[#This Row],[DATA REAL - FORMS]]&lt;&gt;""),1)</f>
        <v>1</v>
      </c>
      <c r="I28" s="16" cm="1">
        <f t="array" aca="1" ref="I2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EXAMES]]="",$AP28&gt;$AN$1),2,
AND(Tabela1[[#This Row],[STATUS PROCESSO MOBILIZAÇÃO]]="Em andamento",Tabela1[[#This Row],[DATA REAL - EXAMES]]="",$AP28&lt;=$AN$1),3,
AND(Tabela1[[#This Row],[STATUS PROCESSO MOBILIZAÇÃO]]="Em andamento",Tabela1[[#This Row],[DATA REAL - EXAMES]]&lt;&gt;""),1)</f>
        <v>1</v>
      </c>
      <c r="J28" s="16" cm="1">
        <f t="array" aca="1" ref="J2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ASO]]="",$AS28&gt;$AQ$1),2,
AND(Tabela1[[#This Row],[STATUS PROCESSO MOBILIZAÇÃO]]="Em andamento",Tabela1[[#This Row],[DATA REAL - ASO]]="",$AS28&lt;=$AQ$1),3,
AND(Tabela1[[#This Row],[STATUS PROCESSO MOBILIZAÇÃO]]="Em andamento",Tabela1[[#This Row],[DATA REAL - ASO]]&lt;&gt;""),1)</f>
        <v>1</v>
      </c>
      <c r="K28" s="15" cm="1">
        <f t="array" aca="1" ref="K2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TREINAMENTOS]]="",$AV28&gt;$AT$1),2,
AND(Tabela1[[#This Row],[STATUS PROCESSO MOBILIZAÇÃO]]="Em andamento",Tabela1[[#This Row],[DATA REAL - TREINAMENTOS]]="",$AV28&lt;=$AT$1),3,
AND(Tabela1[[#This Row],[STATUS PROCESSO MOBILIZAÇÃO]]="Em andamento",Tabela1[[#This Row],[DATA REAL - TREINAMENTOS]]&lt;&gt;""),1)</f>
        <v>1</v>
      </c>
      <c r="L28" s="15" cm="1">
        <f t="array" aca="1" ref="L2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TREIN.]]="",$AY28&gt;$AW$1),2,
AND(Tabela1[[#This Row],[STATUS PROCESSO MOBILIZAÇÃO]]="Em andamento",Tabela1[[#This Row],[DATA REAL - CONCL. TREIN.]]="",$AY28&lt;=$AW$1),3,
AND(Tabela1[[#This Row],[STATUS PROCESSO MOBILIZAÇÃO]]="Em andamento",Tabela1[[#This Row],[DATA REAL - CONCL. TREIN.]]&lt;&gt;""),1)</f>
        <v>1</v>
      </c>
      <c r="M28" s="15" cm="1">
        <f t="array" aca="1" ref="M2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CONTRATUAL]]="",$BB28&gt;$AZ$1),2,
AND(Tabela1[[#This Row],[STATUS PROCESSO MOBILIZAÇÃO]]="Em andamento",Tabela1[[#This Row],[DATA FIM - ALTER. CONTRATUAL]]="",$BB28&lt;=$AZ$1),3,
AND(Tabela1[[#This Row],[STATUS PROCESSO MOBILIZAÇÃO]]="Em andamento",Tabela1[[#This Row],[DATA FIM - ALTER. CONTRATUAL]]&lt;&gt;""),1)</f>
        <v>1</v>
      </c>
      <c r="N28" s="16" cm="1">
        <f t="array" aca="1" ref="N2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DOSSIÊ]]="",$BE28&gt;$BC$1),2,
AND(Tabela1[[#This Row],[STATUS PROCESSO MOBILIZAÇÃO]]="Em andamento",Tabela1[[#This Row],[DATA REAL - DOSSIÊ]]="",$BE28&lt;=$BC$1),3,
AND(Tabela1[[#This Row],[STATUS PROCESSO MOBILIZAÇÃO]]="Em andamento",Tabela1[[#This Row],[DATA REAL - DOSSIÊ]]&lt;&gt;""),1)</f>
        <v>1</v>
      </c>
      <c r="O28" s="16" cm="1">
        <f t="array" aca="1" ref="O2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POSTAGEM]]="",$BH28&gt;$BF$1),2,
AND(Tabela1[[#This Row],[STATUS PROCESSO MOBILIZAÇÃO]]="Em andamento",Tabela1[[#This Row],[DATA REAL - POSTAGEM]]="",$BH28&lt;=$BF$1),3,
AND(Tabela1[[#This Row],[STATUS PROCESSO MOBILIZAÇÃO]]="Em andamento",Tabela1[[#This Row],[DATA REAL - POSTAGEM]]&lt;&gt;""),1)</f>
        <v>1</v>
      </c>
      <c r="P28" s="16" cm="1">
        <f t="array" aca="1" ref="P2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FINAL]]="",$BK28&gt;$BI$1),2,
AND(Tabela1[[#This Row],[STATUS PROCESSO MOBILIZAÇÃO]]="Em andamento",Tabela1[[#This Row],[DATA REAL - APROV FINAL]]="",$BK28&lt;=$BI$1),3,
AND(Tabela1[[#This Row],[STATUS PROCESSO MOBILIZAÇÃO]]="Em andamento",Tabela1[[#This Row],[DATA REAL - APROV FINAL]]&lt;&gt;""),1)</f>
        <v>1</v>
      </c>
      <c r="Q28" s="15" cm="1">
        <f t="array" aca="1" ref="Q2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CRACHÁ]]="",$BN28&gt;$BL$1),2,
AND(Tabela1[[#This Row],[STATUS PROCESSO MOBILIZAÇÃO]]="Em andamento",Tabela1[[#This Row],[DATA REAL - CRACHÁ]]="",$BN28&lt;=$BL$1),3,
AND(Tabela1[[#This Row],[STATUS PROCESSO MOBILIZAÇÃO]]="Em andamento",Tabela1[[#This Row],[DATA REAL - CRACHÁ]]&lt;&gt;""),1)</f>
        <v>1</v>
      </c>
      <c r="R28" s="21">
        <f>IF(Tabela1[[#This Row],[DATA REAL - FORMS]]&lt;&gt;"",Tabela1[[#This Row],[DATA REAL - FORMS]]+30,Tabela1[[#This Row],[DATA PREV - FORMS]]+35)</f>
        <v>45715</v>
      </c>
      <c r="S2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45695</v>
      </c>
      <c r="T2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122</v>
      </c>
      <c r="U2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118</v>
      </c>
      <c r="V28" s="49">
        <f>MAX(Tabela1[[#This Row],[DATA REAL - POSTAGEM]],Tabela1[[#This Row],[DATA REAL - APROV FINAL]],Tabela1[[#This Row],[DATA REAL - CRACHÁ]])-MIN(Tabela1[[#This Row],[DATA REAL - POSTAGEM]],Tabela1[[#This Row],[DATA REAL - APROV FINAL]],Tabela1[[#This Row],[DATA REAL - CRACHÁ]])+1</f>
        <v>5</v>
      </c>
      <c r="W2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28" s="15" t="s">
        <v>211</v>
      </c>
      <c r="Y28" s="16" t="s">
        <v>84</v>
      </c>
      <c r="Z28" s="18" t="s">
        <v>204</v>
      </c>
      <c r="AA28" s="18" t="s">
        <v>152</v>
      </c>
      <c r="AB28" s="16" t="s">
        <v>97</v>
      </c>
      <c r="AC28" s="16" t="s">
        <v>205</v>
      </c>
      <c r="AD28" s="16" t="s">
        <v>206</v>
      </c>
      <c r="AE28" s="16" t="s">
        <v>207</v>
      </c>
      <c r="AF28" s="16" t="s">
        <v>208</v>
      </c>
      <c r="AG28" s="16" t="str">
        <f>_xlfn.XLOOKUP(Tabela1[[#This Row],[CÓD. CT]],Controle_Projetos[COD CT],Controle_Projetos[COD PHD],"")</f>
        <v>CAPE-CT01-CROW</v>
      </c>
      <c r="AH28" s="21">
        <v>45685</v>
      </c>
      <c r="AI28" s="75">
        <v>45573</v>
      </c>
      <c r="AJ28" s="16" t="str" cm="1">
        <f t="array" aca="1" ref="AJ2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8" s="21">
        <v>45685</v>
      </c>
      <c r="AL28" s="74">
        <v>45685</v>
      </c>
      <c r="AM28" s="16" cm="1">
        <f t="array" aca="1" ref="AM2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 s="21">
        <f>Tabela1[[#This Row],[DATA PREV - FORMS]]+$AN$1</f>
        <v>45692</v>
      </c>
      <c r="AO28" s="74">
        <v>45685</v>
      </c>
      <c r="AP28" s="16" cm="1">
        <f t="array" aca="1" ref="AP2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 s="21">
        <f>Tabela1[[#This Row],[DATA PREV - EXAMES]]+$AQ$1</f>
        <v>45694</v>
      </c>
      <c r="AR28" s="74">
        <v>45686</v>
      </c>
      <c r="AS28" s="15" cm="1">
        <f t="array" aca="1" ref="AS2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8" s="21">
        <f>Tabela1[[#This Row],[DATA PREV - FORMS]]+$AT$1</f>
        <v>45686</v>
      </c>
      <c r="AU28" s="74">
        <v>45685</v>
      </c>
      <c r="AV28" s="15" cm="1">
        <f t="array" aca="1" ref="AV2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 s="21">
        <f>Tabela1[[#This Row],[DATA PREV - TREINAMENTOS]]+$AW$1</f>
        <v>45693</v>
      </c>
      <c r="AX28" s="74">
        <v>45687</v>
      </c>
      <c r="AY28" s="15" cm="1">
        <f t="array" aca="1" ref="AY2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8" s="24">
        <v>45679</v>
      </c>
      <c r="BA28" s="74">
        <v>45685</v>
      </c>
      <c r="BB28" s="15" cm="1">
        <f t="array" aca="1" ref="BB2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v>
      </c>
      <c r="BC28" s="21">
        <f>Tabela1[[#This Row],[DATA PREV - CONCL. TREIN.]]+$BC$1</f>
        <v>45695</v>
      </c>
      <c r="BD28" s="74">
        <v>45691</v>
      </c>
      <c r="BE28" s="15" cm="1">
        <f t="array" aca="1" ref="BE2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8" s="21">
        <f>Tabela1[[#This Row],[DATA PREV - DOSSIÊ]]+$BF$1</f>
        <v>45698</v>
      </c>
      <c r="BG28" s="74">
        <v>45691</v>
      </c>
      <c r="BH28" s="15" cm="1">
        <f t="array" aca="1" ref="BH2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8" s="21">
        <f>Tabela1[[#This Row],[DATA PREV - POSTAGEM]]+$BI$1</f>
        <v>45704</v>
      </c>
      <c r="BJ28" s="74">
        <v>45695</v>
      </c>
      <c r="BK28" s="15" cm="1">
        <f t="array" aca="1" ref="BK2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8" s="21">
        <f>Tabela1[[#This Row],[DATA PREV - APROV FINAL]]+$BL$1</f>
        <v>45705</v>
      </c>
      <c r="BM28" s="74">
        <v>45695</v>
      </c>
      <c r="BN28" s="15" cm="1">
        <f t="array" aca="1" ref="BN2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8" s="80" t="s">
        <v>224</v>
      </c>
    </row>
    <row r="29" spans="2:67" ht="18" hidden="1" customHeight="1" x14ac:dyDescent="0.35">
      <c r="B29" s="14" t="s">
        <v>79</v>
      </c>
      <c r="C29" s="16" t="s">
        <v>136</v>
      </c>
      <c r="D29" s="16" t="s">
        <v>81</v>
      </c>
      <c r="E29" s="16"/>
      <c r="F29" s="16" t="s">
        <v>225</v>
      </c>
      <c r="G29" s="16" cm="1">
        <f t="array" ref="G29">_xlfn.IFS(Tabela1[[#This Row],[STATUS PROCESSO MOBILIZAÇÃO]]="Finalizado",1,Tabela1[[#This Row],[STATUS PROCESSO MOBILIZAÇÃO]]="Cancelado",2,Tabela1[[#This Row],[STATUS PROCESSO MOBILIZAÇÃO]]="Em andamento",3)</f>
        <v>1</v>
      </c>
      <c r="H29" s="16" cm="1">
        <f t="array" aca="1" ref="H2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FORMS]]="",$AM29&gt;$AK$1),2,
AND(Tabela1[[#This Row],[STATUS PROCESSO MOBILIZAÇÃO]]="Em andamento",Tabela1[[#This Row],[DATA REAL - FORMS]]="",$AM29&lt;=$AK$1),3,
AND(Tabela1[[#This Row],[STATUS PROCESSO MOBILIZAÇÃO]]="Em andamento",Tabela1[[#This Row],[DATA REAL - FORMS]]&lt;&gt;""),1)</f>
        <v>1</v>
      </c>
      <c r="I29" s="16" cm="1">
        <f t="array" aca="1" ref="I2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EXAMES]]="",$AP29&gt;$AN$1),2,
AND(Tabela1[[#This Row],[STATUS PROCESSO MOBILIZAÇÃO]]="Em andamento",Tabela1[[#This Row],[DATA REAL - EXAMES]]="",$AP29&lt;=$AN$1),3,
AND(Tabela1[[#This Row],[STATUS PROCESSO MOBILIZAÇÃO]]="Em andamento",Tabela1[[#This Row],[DATA REAL - EXAMES]]&lt;&gt;""),1)</f>
        <v>1</v>
      </c>
      <c r="J29" s="16" cm="1">
        <f t="array" aca="1" ref="J2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ASO]]="",$AS29&gt;$AQ$1),2,
AND(Tabela1[[#This Row],[STATUS PROCESSO MOBILIZAÇÃO]]="Em andamento",Tabela1[[#This Row],[DATA REAL - ASO]]="",$AS29&lt;=$AQ$1),3,
AND(Tabela1[[#This Row],[STATUS PROCESSO MOBILIZAÇÃO]]="Em andamento",Tabela1[[#This Row],[DATA REAL - ASO]]&lt;&gt;""),1)</f>
        <v>1</v>
      </c>
      <c r="K29" s="15" cm="1">
        <f t="array" aca="1" ref="K2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TREINAMENTOS]]="",$AV29&gt;$AT$1),2,
AND(Tabela1[[#This Row],[STATUS PROCESSO MOBILIZAÇÃO]]="Em andamento",Tabela1[[#This Row],[DATA REAL - TREINAMENTOS]]="",$AV29&lt;=$AT$1),3,
AND(Tabela1[[#This Row],[STATUS PROCESSO MOBILIZAÇÃO]]="Em andamento",Tabela1[[#This Row],[DATA REAL - TREINAMENTOS]]&lt;&gt;""),1)</f>
        <v>1</v>
      </c>
      <c r="L29" s="15" cm="1">
        <f t="array" aca="1" ref="L2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TREIN.]]="",$AY29&gt;$AW$1),2,
AND(Tabela1[[#This Row],[STATUS PROCESSO MOBILIZAÇÃO]]="Em andamento",Tabela1[[#This Row],[DATA REAL - CONCL. TREIN.]]="",$AY29&lt;=$AW$1),3,
AND(Tabela1[[#This Row],[STATUS PROCESSO MOBILIZAÇÃO]]="Em andamento",Tabela1[[#This Row],[DATA REAL - CONCL. TREIN.]]&lt;&gt;""),1)</f>
        <v>1</v>
      </c>
      <c r="M29" s="15" cm="1">
        <f t="array" aca="1" ref="M2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CONTRATUAL]]="",$BB29&gt;$AZ$1),2,
AND(Tabela1[[#This Row],[STATUS PROCESSO MOBILIZAÇÃO]]="Em andamento",Tabela1[[#This Row],[DATA FIM - ALTER. CONTRATUAL]]="",$BB29&lt;=$AZ$1),3,
AND(Tabela1[[#This Row],[STATUS PROCESSO MOBILIZAÇÃO]]="Em andamento",Tabela1[[#This Row],[DATA FIM - ALTER. CONTRATUAL]]&lt;&gt;""),1)</f>
        <v>0</v>
      </c>
      <c r="N29" s="16" cm="1">
        <f t="array" aca="1" ref="N2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DOSSIÊ]]="",$BE29&gt;$BC$1),2,
AND(Tabela1[[#This Row],[STATUS PROCESSO MOBILIZAÇÃO]]="Em andamento",Tabela1[[#This Row],[DATA REAL - DOSSIÊ]]="",$BE29&lt;=$BC$1),3,
AND(Tabela1[[#This Row],[STATUS PROCESSO MOBILIZAÇÃO]]="Em andamento",Tabela1[[#This Row],[DATA REAL - DOSSIÊ]]&lt;&gt;""),1)</f>
        <v>1</v>
      </c>
      <c r="O29" s="16" cm="1">
        <f t="array" aca="1" ref="O2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POSTAGEM]]="",$BH29&gt;$BF$1),2,
AND(Tabela1[[#This Row],[STATUS PROCESSO MOBILIZAÇÃO]]="Em andamento",Tabela1[[#This Row],[DATA REAL - POSTAGEM]]="",$BH29&lt;=$BF$1),3,
AND(Tabela1[[#This Row],[STATUS PROCESSO MOBILIZAÇÃO]]="Em andamento",Tabela1[[#This Row],[DATA REAL - POSTAGEM]]&lt;&gt;""),1)</f>
        <v>1</v>
      </c>
      <c r="P29" s="16" cm="1">
        <f t="array" aca="1" ref="P2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FINAL]]="",$BK29&gt;$BI$1),2,
AND(Tabela1[[#This Row],[STATUS PROCESSO MOBILIZAÇÃO]]="Em andamento",Tabela1[[#This Row],[DATA REAL - APROV FINAL]]="",$BK29&lt;=$BI$1),3,
AND(Tabela1[[#This Row],[STATUS PROCESSO MOBILIZAÇÃO]]="Em andamento",Tabela1[[#This Row],[DATA REAL - APROV FINAL]]&lt;&gt;""),1)</f>
        <v>1</v>
      </c>
      <c r="Q29" s="15" cm="1">
        <f t="array" aca="1" ref="Q2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CRACHÁ]]="",$BN29&gt;$BL$1),2,
AND(Tabela1[[#This Row],[STATUS PROCESSO MOBILIZAÇÃO]]="Em andamento",Tabela1[[#This Row],[DATA REAL - CRACHÁ]]="",$BN29&lt;=$BL$1),3,
AND(Tabela1[[#This Row],[STATUS PROCESSO MOBILIZAÇÃO]]="Em andamento",Tabela1[[#This Row],[DATA REAL - CRACHÁ]]&lt;&gt;""),1)</f>
        <v>1</v>
      </c>
      <c r="R29" s="21">
        <f>IF(Tabela1[[#This Row],[DATA REAL - FORMS]]&lt;&gt;"",Tabela1[[#This Row],[DATA REAL - FORMS]]+30,Tabela1[[#This Row],[DATA PREV - FORMS]]+35)</f>
        <v>45716</v>
      </c>
      <c r="S2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45715</v>
      </c>
      <c r="T2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9" s="49">
        <f>MAX(Tabela1[[#This Row],[DATA REAL - POSTAGEM]],Tabela1[[#This Row],[DATA REAL - APROV FINAL]],Tabela1[[#This Row],[DATA REAL - CRACHÁ]])-MIN(Tabela1[[#This Row],[DATA REAL - POSTAGEM]],Tabela1[[#This Row],[DATA REAL - APROV FINAL]],Tabela1[[#This Row],[DATA REAL - CRACHÁ]])+1</f>
        <v>4</v>
      </c>
      <c r="W2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29" s="15" t="s">
        <v>121</v>
      </c>
      <c r="Y29" s="16" t="s">
        <v>122</v>
      </c>
      <c r="Z29" s="18" t="s">
        <v>123</v>
      </c>
      <c r="AA29" s="18" t="s">
        <v>124</v>
      </c>
      <c r="AB29" s="16" t="s">
        <v>97</v>
      </c>
      <c r="AC29" s="16" t="s">
        <v>226</v>
      </c>
      <c r="AD29" s="16" t="s">
        <v>227</v>
      </c>
      <c r="AE29" s="16" t="s">
        <v>228</v>
      </c>
      <c r="AF29" s="16" t="s">
        <v>229</v>
      </c>
      <c r="AG29" s="16" t="str">
        <f>_xlfn.XLOOKUP(Tabela1[[#This Row],[CÓD. CT]],Controle_Projetos[COD CT],Controle_Projetos[COD PHD],"")</f>
        <v>ARCL-CT02-LPSA</v>
      </c>
      <c r="AH29" s="21">
        <v>45680</v>
      </c>
      <c r="AI29" s="75">
        <v>45687</v>
      </c>
      <c r="AJ29" s="16" cm="1">
        <f t="array" aca="1" ref="AJ2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8</v>
      </c>
      <c r="AK29" s="21">
        <v>45686</v>
      </c>
      <c r="AL29" s="74">
        <v>45686</v>
      </c>
      <c r="AM29" s="16" cm="1">
        <f t="array" aca="1" ref="AM2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9" s="21">
        <f>Tabela1[[#This Row],[DATA PREV - FORMS]]+$AN$1</f>
        <v>45693</v>
      </c>
      <c r="AO29" s="74">
        <v>45687</v>
      </c>
      <c r="AP29" s="16" cm="1">
        <f t="array" aca="1" ref="AP2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9" s="21">
        <f>Tabela1[[#This Row],[DATA PREV - EXAMES]]+$AQ$1</f>
        <v>45695</v>
      </c>
      <c r="AR29" s="74">
        <v>45695</v>
      </c>
      <c r="AS29" s="15" cm="1">
        <f t="array" aca="1" ref="AS2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9" s="21">
        <f>Tabela1[[#This Row],[DATA PREV - FORMS]]+$AT$1</f>
        <v>45687</v>
      </c>
      <c r="AU29" s="74">
        <v>45688</v>
      </c>
      <c r="AV29" s="15" cm="1">
        <f t="array" aca="1" ref="AV2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9" s="21">
        <f>Tabela1[[#This Row],[DATA PREV - TREINAMENTOS]]+$AW$1</f>
        <v>45694</v>
      </c>
      <c r="AX29" s="74">
        <v>45691</v>
      </c>
      <c r="AY29" s="15" cm="1">
        <f t="array" aca="1" ref="AY2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29" s="24"/>
      <c r="BA29" s="74"/>
      <c r="BB29" s="15" t="str" cm="1">
        <f t="array" aca="1" ref="BB2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29" s="21">
        <f>Tabela1[[#This Row],[DATA PREV - CONCL. TREIN.]]+$BC$1</f>
        <v>45696</v>
      </c>
      <c r="BD29" s="74">
        <v>45695</v>
      </c>
      <c r="BE29" s="15" cm="1">
        <f t="array" aca="1" ref="BE2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9" s="21">
        <f>Tabela1[[#This Row],[DATA PREV - DOSSIÊ]]+$BF$1</f>
        <v>45699</v>
      </c>
      <c r="BG29" s="74">
        <v>45712</v>
      </c>
      <c r="BH29" s="15" cm="1">
        <f t="array" aca="1" ref="BH2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14</v>
      </c>
      <c r="BI29" s="21">
        <f>Tabela1[[#This Row],[DATA PREV - POSTAGEM]]+$BI$1</f>
        <v>45705</v>
      </c>
      <c r="BJ29" s="74">
        <v>45713</v>
      </c>
      <c r="BK29" s="15" cm="1">
        <f t="array" aca="1" ref="BK2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9" s="21">
        <f>Tabela1[[#This Row],[DATA PREV - APROV FINAL]]+$BL$1</f>
        <v>45706</v>
      </c>
      <c r="BM29" s="74">
        <v>45715</v>
      </c>
      <c r="BN29" s="15" cm="1">
        <f t="array" aca="1" ref="BN2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9" s="80" t="s">
        <v>230</v>
      </c>
    </row>
    <row r="30" spans="2:67" ht="18" hidden="1" customHeight="1" x14ac:dyDescent="0.35">
      <c r="B30" s="14" t="s">
        <v>79</v>
      </c>
      <c r="C30" s="16" t="s">
        <v>147</v>
      </c>
      <c r="D30" s="16" t="s">
        <v>81</v>
      </c>
      <c r="E30" s="16"/>
      <c r="F30" s="16" t="s">
        <v>195</v>
      </c>
      <c r="G30" s="16" cm="1">
        <f t="array" ref="G30">_xlfn.IFS(Tabela1[[#This Row],[STATUS PROCESSO MOBILIZAÇÃO]]="Finalizado",1,Tabela1[[#This Row],[STATUS PROCESSO MOBILIZAÇÃO]]="Cancelado",2,Tabela1[[#This Row],[STATUS PROCESSO MOBILIZAÇÃO]]="Em andamento",3)</f>
        <v>1</v>
      </c>
      <c r="H30" s="16" cm="1">
        <f t="array" aca="1" ref="H3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FORMS]]="",$AM30&gt;$AK$1),2,
AND(Tabela1[[#This Row],[STATUS PROCESSO MOBILIZAÇÃO]]="Em andamento",Tabela1[[#This Row],[DATA REAL - FORMS]]="",$AM30&lt;=$AK$1),3,
AND(Tabela1[[#This Row],[STATUS PROCESSO MOBILIZAÇÃO]]="Em andamento",Tabela1[[#This Row],[DATA REAL - FORMS]]&lt;&gt;""),1)</f>
        <v>1</v>
      </c>
      <c r="I30" s="16" cm="1">
        <f t="array" aca="1" ref="I3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EXAMES]]="",$AP30&gt;$AN$1),2,
AND(Tabela1[[#This Row],[STATUS PROCESSO MOBILIZAÇÃO]]="Em andamento",Tabela1[[#This Row],[DATA REAL - EXAMES]]="",$AP30&lt;=$AN$1),3,
AND(Tabela1[[#This Row],[STATUS PROCESSO MOBILIZAÇÃO]]="Em andamento",Tabela1[[#This Row],[DATA REAL - EXAMES]]&lt;&gt;""),1)</f>
        <v>1</v>
      </c>
      <c r="J30" s="16" cm="1">
        <f t="array" aca="1" ref="J3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ASO]]="",$AS30&gt;$AQ$1),2,
AND(Tabela1[[#This Row],[STATUS PROCESSO MOBILIZAÇÃO]]="Em andamento",Tabela1[[#This Row],[DATA REAL - ASO]]="",$AS30&lt;=$AQ$1),3,
AND(Tabela1[[#This Row],[STATUS PROCESSO MOBILIZAÇÃO]]="Em andamento",Tabela1[[#This Row],[DATA REAL - ASO]]&lt;&gt;""),1)</f>
        <v>1</v>
      </c>
      <c r="K30" s="15" cm="1">
        <f t="array" aca="1" ref="K3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TREINAMENTOS]]="",$AV30&gt;$AT$1),2,
AND(Tabela1[[#This Row],[STATUS PROCESSO MOBILIZAÇÃO]]="Em andamento",Tabela1[[#This Row],[DATA REAL - TREINAMENTOS]]="",$AV30&lt;=$AT$1),3,
AND(Tabela1[[#This Row],[STATUS PROCESSO MOBILIZAÇÃO]]="Em andamento",Tabela1[[#This Row],[DATA REAL - TREINAMENTOS]]&lt;&gt;""),1)</f>
        <v>1</v>
      </c>
      <c r="L30" s="15" cm="1">
        <f t="array" aca="1" ref="L3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TREIN.]]="",$AY30&gt;$AW$1),2,
AND(Tabela1[[#This Row],[STATUS PROCESSO MOBILIZAÇÃO]]="Em andamento",Tabela1[[#This Row],[DATA REAL - CONCL. TREIN.]]="",$AY30&lt;=$AW$1),3,
AND(Tabela1[[#This Row],[STATUS PROCESSO MOBILIZAÇÃO]]="Em andamento",Tabela1[[#This Row],[DATA REAL - CONCL. TREIN.]]&lt;&gt;""),1)</f>
        <v>1</v>
      </c>
      <c r="M30" s="15" cm="1">
        <f t="array" aca="1" ref="M3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CONTRATUAL]]="",$BB30&gt;$AZ$1),2,
AND(Tabela1[[#This Row],[STATUS PROCESSO MOBILIZAÇÃO]]="Em andamento",Tabela1[[#This Row],[DATA FIM - ALTER. CONTRATUAL]]="",$BB30&lt;=$AZ$1),3,
AND(Tabela1[[#This Row],[STATUS PROCESSO MOBILIZAÇÃO]]="Em andamento",Tabela1[[#This Row],[DATA FIM - ALTER. CONTRATUAL]]&lt;&gt;""),1)</f>
        <v>1</v>
      </c>
      <c r="N30" s="16" cm="1">
        <f t="array" aca="1" ref="N3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DOSSIÊ]]="",$BE30&gt;$BC$1),2,
AND(Tabela1[[#This Row],[STATUS PROCESSO MOBILIZAÇÃO]]="Em andamento",Tabela1[[#This Row],[DATA REAL - DOSSIÊ]]="",$BE30&lt;=$BC$1),3,
AND(Tabela1[[#This Row],[STATUS PROCESSO MOBILIZAÇÃO]]="Em andamento",Tabela1[[#This Row],[DATA REAL - DOSSIÊ]]&lt;&gt;""),1)</f>
        <v>1</v>
      </c>
      <c r="O30" s="16" cm="1">
        <f t="array" aca="1" ref="O3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POSTAGEM]]="",$BH30&gt;$BF$1),2,
AND(Tabela1[[#This Row],[STATUS PROCESSO MOBILIZAÇÃO]]="Em andamento",Tabela1[[#This Row],[DATA REAL - POSTAGEM]]="",$BH30&lt;=$BF$1),3,
AND(Tabela1[[#This Row],[STATUS PROCESSO MOBILIZAÇÃO]]="Em andamento",Tabela1[[#This Row],[DATA REAL - POSTAGEM]]&lt;&gt;""),1)</f>
        <v>1</v>
      </c>
      <c r="P30" s="16" cm="1">
        <f t="array" aca="1" ref="P3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FINAL]]="",$BK30&gt;$BI$1),2,
AND(Tabela1[[#This Row],[STATUS PROCESSO MOBILIZAÇÃO]]="Em andamento",Tabela1[[#This Row],[DATA REAL - APROV FINAL]]="",$BK30&lt;=$BI$1),3,
AND(Tabela1[[#This Row],[STATUS PROCESSO MOBILIZAÇÃO]]="Em andamento",Tabela1[[#This Row],[DATA REAL - APROV FINAL]]&lt;&gt;""),1)</f>
        <v>1</v>
      </c>
      <c r="Q30" s="15" cm="1">
        <f t="array" aca="1" ref="Q3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CRACHÁ]]="",$BN30&gt;$BL$1),2,
AND(Tabela1[[#This Row],[STATUS PROCESSO MOBILIZAÇÃO]]="Em andamento",Tabela1[[#This Row],[DATA REAL - CRACHÁ]]="",$BN30&lt;=$BL$1),3,
AND(Tabela1[[#This Row],[STATUS PROCESSO MOBILIZAÇÃO]]="Em andamento",Tabela1[[#This Row],[DATA REAL - CRACHÁ]]&lt;&gt;""),1)</f>
        <v>1</v>
      </c>
      <c r="R30" s="21">
        <f>IF(Tabela1[[#This Row],[DATA REAL - FORMS]]&lt;&gt;"",Tabela1[[#This Row],[DATA REAL - FORMS]]+30,Tabela1[[#This Row],[DATA PREV - FORMS]]+35)</f>
        <v>45717</v>
      </c>
      <c r="S3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45695</v>
      </c>
      <c r="T3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3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30" s="49">
        <f>MAX(Tabela1[[#This Row],[DATA REAL - POSTAGEM]],Tabela1[[#This Row],[DATA REAL - APROV FINAL]],Tabela1[[#This Row],[DATA REAL - CRACHÁ]])-MIN(Tabela1[[#This Row],[DATA REAL - POSTAGEM]],Tabela1[[#This Row],[DATA REAL - APROV FINAL]],Tabela1[[#This Row],[DATA REAL - CRACHÁ]])+1</f>
        <v>5</v>
      </c>
      <c r="W3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30" s="15" t="s">
        <v>211</v>
      </c>
      <c r="Y30" s="16" t="s">
        <v>84</v>
      </c>
      <c r="Z30" s="18" t="s">
        <v>204</v>
      </c>
      <c r="AA30" s="18" t="s">
        <v>152</v>
      </c>
      <c r="AB30" s="16" t="s">
        <v>97</v>
      </c>
      <c r="AC30" s="16" t="s">
        <v>205</v>
      </c>
      <c r="AD30" s="16" t="s">
        <v>206</v>
      </c>
      <c r="AE30" s="16" t="s">
        <v>207</v>
      </c>
      <c r="AF30" s="16" t="s">
        <v>208</v>
      </c>
      <c r="AG30" s="16" t="str">
        <f>_xlfn.XLOOKUP(Tabela1[[#This Row],[CÓD. CT]],Controle_Projetos[COD CT],Controle_Projetos[COD PHD],"")</f>
        <v>CAPE-CT01-CROW</v>
      </c>
      <c r="AH30" s="21">
        <v>45687</v>
      </c>
      <c r="AI30" s="75">
        <v>45687</v>
      </c>
      <c r="AJ30" s="16" cm="1">
        <f t="array" aca="1" ref="AJ3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30" s="21">
        <v>45687</v>
      </c>
      <c r="AL30" s="74">
        <v>45687</v>
      </c>
      <c r="AM30" s="16" cm="1">
        <f t="array" aca="1" ref="AM3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0" s="21">
        <f>Tabela1[[#This Row],[DATA PREV - FORMS]]+$AN$1</f>
        <v>45694</v>
      </c>
      <c r="AO30" s="74">
        <v>45687</v>
      </c>
      <c r="AP30" s="16" cm="1">
        <f t="array" aca="1" ref="AP3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0" s="21">
        <f>Tabela1[[#This Row],[DATA PREV - EXAMES]]+$AQ$1</f>
        <v>45696</v>
      </c>
      <c r="AR30" s="74">
        <v>45688</v>
      </c>
      <c r="AS30" s="15" cm="1">
        <f t="array" aca="1" ref="AS3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30" s="21">
        <f>Tabela1[[#This Row],[DATA PREV - FORMS]]+$AT$1</f>
        <v>45688</v>
      </c>
      <c r="AU30" s="74">
        <v>45688</v>
      </c>
      <c r="AV30" s="15" cm="1">
        <f t="array" aca="1" ref="AV3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30" s="21">
        <f>Tabela1[[#This Row],[DATA PREV - TREINAMENTOS]]+$AW$1</f>
        <v>45695</v>
      </c>
      <c r="AX30" s="74">
        <v>45688</v>
      </c>
      <c r="AY30" s="15" cm="1">
        <f t="array" aca="1" ref="AY3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30" s="24">
        <v>45685</v>
      </c>
      <c r="BA30" s="74">
        <v>45688</v>
      </c>
      <c r="BB30" s="15" cm="1">
        <f t="array" aca="1" ref="BB3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v>
      </c>
      <c r="BC30" s="21">
        <f>Tabela1[[#This Row],[DATA PREV - CONCL. TREIN.]]+$BC$1</f>
        <v>45697</v>
      </c>
      <c r="BD30" s="74">
        <v>45691</v>
      </c>
      <c r="BE30" s="15" cm="1">
        <f t="array" aca="1" ref="BE3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30" s="21">
        <f>Tabela1[[#This Row],[DATA PREV - DOSSIÊ]]+$BF$1</f>
        <v>45700</v>
      </c>
      <c r="BG30" s="74">
        <v>45691</v>
      </c>
      <c r="BH30" s="15" cm="1">
        <f t="array" aca="1" ref="BH3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30" s="21">
        <f>Tabela1[[#This Row],[DATA PREV - POSTAGEM]]+$BI$1</f>
        <v>45706</v>
      </c>
      <c r="BJ30" s="74">
        <v>45695</v>
      </c>
      <c r="BK30" s="15" cm="1">
        <f t="array" aca="1" ref="BK3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30" s="21">
        <f>Tabela1[[#This Row],[DATA PREV - APROV FINAL]]+$BL$1</f>
        <v>45707</v>
      </c>
      <c r="BM30" s="74">
        <v>45695</v>
      </c>
      <c r="BN30" s="15" cm="1">
        <f t="array" aca="1" ref="BN3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30" s="80" t="s">
        <v>231</v>
      </c>
    </row>
    <row r="31" spans="2:67" ht="18" hidden="1" customHeight="1" x14ac:dyDescent="0.35">
      <c r="B31" s="14" t="s">
        <v>79</v>
      </c>
      <c r="C31" s="16" t="s">
        <v>136</v>
      </c>
      <c r="D31" s="16" t="s">
        <v>81</v>
      </c>
      <c r="E31" s="16"/>
      <c r="F31" s="16" t="s">
        <v>232</v>
      </c>
      <c r="G31" s="16" cm="1">
        <f t="array" ref="G31">_xlfn.IFS(Tabela1[[#This Row],[STATUS PROCESSO MOBILIZAÇÃO]]="Finalizado",1,Tabela1[[#This Row],[STATUS PROCESSO MOBILIZAÇÃO]]="Cancelado",2,Tabela1[[#This Row],[STATUS PROCESSO MOBILIZAÇÃO]]="Em andamento",3)</f>
        <v>1</v>
      </c>
      <c r="H31" s="16" cm="1">
        <f t="array" aca="1" ref="H3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FORMS]]="",$AM31&gt;$AK$1),2,
AND(Tabela1[[#This Row],[STATUS PROCESSO MOBILIZAÇÃO]]="Em andamento",Tabela1[[#This Row],[DATA REAL - FORMS]]="",$AM31&lt;=$AK$1),3,
AND(Tabela1[[#This Row],[STATUS PROCESSO MOBILIZAÇÃO]]="Em andamento",Tabela1[[#This Row],[DATA REAL - FORMS]]&lt;&gt;""),1)</f>
        <v>1</v>
      </c>
      <c r="I31" s="16" cm="1">
        <f t="array" aca="1" ref="I3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EXAMES]]="",$AP31&gt;$AN$1),2,
AND(Tabela1[[#This Row],[STATUS PROCESSO MOBILIZAÇÃO]]="Em andamento",Tabela1[[#This Row],[DATA REAL - EXAMES]]="",$AP31&lt;=$AN$1),3,
AND(Tabela1[[#This Row],[STATUS PROCESSO MOBILIZAÇÃO]]="Em andamento",Tabela1[[#This Row],[DATA REAL - EXAMES]]&lt;&gt;""),1)</f>
        <v>1</v>
      </c>
      <c r="J31" s="16" cm="1">
        <f t="array" aca="1" ref="J3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ASO]]="",$AS31&gt;$AQ$1),2,
AND(Tabela1[[#This Row],[STATUS PROCESSO MOBILIZAÇÃO]]="Em andamento",Tabela1[[#This Row],[DATA REAL - ASO]]="",$AS31&lt;=$AQ$1),3,
AND(Tabela1[[#This Row],[STATUS PROCESSO MOBILIZAÇÃO]]="Em andamento",Tabela1[[#This Row],[DATA REAL - ASO]]&lt;&gt;""),1)</f>
        <v>1</v>
      </c>
      <c r="K31" s="15" cm="1">
        <f t="array" aca="1" ref="K3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TREINAMENTOS]]="",$AV31&gt;$AT$1),2,
AND(Tabela1[[#This Row],[STATUS PROCESSO MOBILIZAÇÃO]]="Em andamento",Tabela1[[#This Row],[DATA REAL - TREINAMENTOS]]="",$AV31&lt;=$AT$1),3,
AND(Tabela1[[#This Row],[STATUS PROCESSO MOBILIZAÇÃO]]="Em andamento",Tabela1[[#This Row],[DATA REAL - TREINAMENTOS]]&lt;&gt;""),1)</f>
        <v>1</v>
      </c>
      <c r="L31" s="15" cm="1">
        <f t="array" aca="1" ref="L3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TREIN.]]="",$AY31&gt;$AW$1),2,
AND(Tabela1[[#This Row],[STATUS PROCESSO MOBILIZAÇÃO]]="Em andamento",Tabela1[[#This Row],[DATA REAL - CONCL. TREIN.]]="",$AY31&lt;=$AW$1),3,
AND(Tabela1[[#This Row],[STATUS PROCESSO MOBILIZAÇÃO]]="Em andamento",Tabela1[[#This Row],[DATA REAL - CONCL. TREIN.]]&lt;&gt;""),1)</f>
        <v>1</v>
      </c>
      <c r="M31" s="15" cm="1">
        <f t="array" aca="1" ref="M3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CONTRATUAL]]="",$BB31&gt;$AZ$1),2,
AND(Tabela1[[#This Row],[STATUS PROCESSO MOBILIZAÇÃO]]="Em andamento",Tabela1[[#This Row],[DATA FIM - ALTER. CONTRATUAL]]="",$BB31&lt;=$AZ$1),3,
AND(Tabela1[[#This Row],[STATUS PROCESSO MOBILIZAÇÃO]]="Em andamento",Tabela1[[#This Row],[DATA FIM - ALTER. CONTRATUAL]]&lt;&gt;""),1)</f>
        <v>0</v>
      </c>
      <c r="N31" s="16" cm="1">
        <f t="array" aca="1" ref="N3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DOSSIÊ]]="",$BE31&gt;$BC$1),2,
AND(Tabela1[[#This Row],[STATUS PROCESSO MOBILIZAÇÃO]]="Em andamento",Tabela1[[#This Row],[DATA REAL - DOSSIÊ]]="",$BE31&lt;=$BC$1),3,
AND(Tabela1[[#This Row],[STATUS PROCESSO MOBILIZAÇÃO]]="Em andamento",Tabela1[[#This Row],[DATA REAL - DOSSIÊ]]&lt;&gt;""),1)</f>
        <v>1</v>
      </c>
      <c r="O31" s="16" cm="1">
        <f t="array" aca="1" ref="O3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POSTAGEM]]="",$BH31&gt;$BF$1),2,
AND(Tabela1[[#This Row],[STATUS PROCESSO MOBILIZAÇÃO]]="Em andamento",Tabela1[[#This Row],[DATA REAL - POSTAGEM]]="",$BH31&lt;=$BF$1),3,
AND(Tabela1[[#This Row],[STATUS PROCESSO MOBILIZAÇÃO]]="Em andamento",Tabela1[[#This Row],[DATA REAL - POSTAGEM]]&lt;&gt;""),1)</f>
        <v>1</v>
      </c>
      <c r="P31" s="16" cm="1">
        <f t="array" aca="1" ref="P3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FINAL]]="",$BK31&gt;$BI$1),2,
AND(Tabela1[[#This Row],[STATUS PROCESSO MOBILIZAÇÃO]]="Em andamento",Tabela1[[#This Row],[DATA REAL - APROV FINAL]]="",$BK31&lt;=$BI$1),3,
AND(Tabela1[[#This Row],[STATUS PROCESSO MOBILIZAÇÃO]]="Em andamento",Tabela1[[#This Row],[DATA REAL - APROV FINAL]]&lt;&gt;""),1)</f>
        <v>1</v>
      </c>
      <c r="Q31" s="15" cm="1">
        <f t="array" aca="1" ref="Q3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CRACHÁ]]="",$BN31&gt;$BL$1),2,
AND(Tabela1[[#This Row],[STATUS PROCESSO MOBILIZAÇÃO]]="Em andamento",Tabela1[[#This Row],[DATA REAL - CRACHÁ]]="",$BN31&lt;=$BL$1),3,
AND(Tabela1[[#This Row],[STATUS PROCESSO MOBILIZAÇÃO]]="Em andamento",Tabela1[[#This Row],[DATA REAL - CRACHÁ]]&lt;&gt;""),1)</f>
        <v>1</v>
      </c>
      <c r="R31" s="21">
        <f>IF(Tabela1[[#This Row],[DATA REAL - FORMS]]&lt;&gt;"",Tabela1[[#This Row],[DATA REAL - FORMS]]+30,Tabela1[[#This Row],[DATA PREV - FORMS]]+35)</f>
        <v>45718</v>
      </c>
      <c r="S3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45804</v>
      </c>
      <c r="T3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212</v>
      </c>
      <c r="U3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107</v>
      </c>
      <c r="V31" s="49">
        <f>MAX(Tabela1[[#This Row],[DATA REAL - POSTAGEM]],Tabela1[[#This Row],[DATA REAL - APROV FINAL]],Tabela1[[#This Row],[DATA REAL - CRACHÁ]])-MIN(Tabela1[[#This Row],[DATA REAL - POSTAGEM]],Tabela1[[#This Row],[DATA REAL - APROV FINAL]],Tabela1[[#This Row],[DATA REAL - CRACHÁ]])+1</f>
        <v>44</v>
      </c>
      <c r="W3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31" s="15" t="s">
        <v>103</v>
      </c>
      <c r="Y31" s="16" t="s">
        <v>84</v>
      </c>
      <c r="Z31" s="18" t="s">
        <v>104</v>
      </c>
      <c r="AA31" s="18" t="s">
        <v>86</v>
      </c>
      <c r="AB31" s="16" t="s">
        <v>97</v>
      </c>
      <c r="AC31" s="16" t="s">
        <v>219</v>
      </c>
      <c r="AD31" s="16" t="s">
        <v>184</v>
      </c>
      <c r="AE31" s="16" t="s">
        <v>220</v>
      </c>
      <c r="AF31" s="16" t="s">
        <v>221</v>
      </c>
      <c r="AG31" s="16" t="str">
        <f>_xlfn.XLOOKUP(Tabela1[[#This Row],[CÓD. CT]],Controle_Projetos[COD CT],Controle_Projetos[COD PHD],"")</f>
        <v>CRET-CT01-TANQ</v>
      </c>
      <c r="AH31" s="21"/>
      <c r="AI31" s="75">
        <v>45592</v>
      </c>
      <c r="AJ31" s="16" t="str" cm="1">
        <f t="array" aca="1" ref="AJ3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1" s="21">
        <v>45687</v>
      </c>
      <c r="AL31" s="74">
        <v>45688</v>
      </c>
      <c r="AM31" s="16" cm="1">
        <f t="array" aca="1" ref="AM3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31" s="21">
        <f>Tabela1[[#This Row],[DATA PREV - FORMS]]+$AN$1</f>
        <v>45694</v>
      </c>
      <c r="AO31" s="74">
        <v>45694</v>
      </c>
      <c r="AP31" s="16" cm="1">
        <f t="array" aca="1" ref="AP3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31" s="21">
        <f>Tabela1[[#This Row],[DATA PREV - EXAMES]]+$AQ$1</f>
        <v>45696</v>
      </c>
      <c r="AR31" s="74">
        <v>45699</v>
      </c>
      <c r="AS31" s="15" cm="1">
        <f t="array" aca="1" ref="AS3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31" s="21">
        <f>Tabela1[[#This Row],[DATA PREV - FORMS]]+$AT$1</f>
        <v>45688</v>
      </c>
      <c r="AU31" s="74">
        <v>45691</v>
      </c>
      <c r="AV31" s="15" cm="1">
        <f t="array" aca="1" ref="AV3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31" s="21">
        <f>Tabela1[[#This Row],[DATA PREV - TREINAMENTOS]]+$AW$1</f>
        <v>45695</v>
      </c>
      <c r="AX31" s="74">
        <v>45694</v>
      </c>
      <c r="AY31" s="15" cm="1">
        <f t="array" aca="1" ref="AY3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31" s="24">
        <v>45685</v>
      </c>
      <c r="BA31" s="74"/>
      <c r="BB31" s="15" cm="1">
        <f t="array" aca="1" ref="BB3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31" s="21">
        <f>Tabela1[[#This Row],[DATA PREV - CONCL. TREIN.]]+$BC$1</f>
        <v>45697</v>
      </c>
      <c r="BD31" s="74">
        <v>45699</v>
      </c>
      <c r="BE31" s="15" cm="1">
        <f t="array" aca="1" ref="BE3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31" s="21">
        <f>Tabela1[[#This Row],[DATA PREV - DOSSIÊ]]+$BF$1</f>
        <v>45700</v>
      </c>
      <c r="BG31" s="74">
        <v>45761</v>
      </c>
      <c r="BH31" s="15" cm="1">
        <f t="array" aca="1" ref="BH3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62</v>
      </c>
      <c r="BI31" s="21">
        <f>Tabela1[[#This Row],[DATA PREV - POSTAGEM]]+$BI$1</f>
        <v>45706</v>
      </c>
      <c r="BJ31" s="74">
        <v>45804</v>
      </c>
      <c r="BK31" s="15" cm="1">
        <f t="array" aca="1" ref="BK3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99</v>
      </c>
      <c r="BL31" s="21">
        <f>Tabela1[[#This Row],[DATA PREV - APROV FINAL]]+$BL$1</f>
        <v>45707</v>
      </c>
      <c r="BM31" s="74">
        <v>45804</v>
      </c>
      <c r="BN31" s="15" cm="1">
        <f t="array" aca="1" ref="BN3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98</v>
      </c>
      <c r="BO31" s="80" t="s">
        <v>233</v>
      </c>
    </row>
    <row r="32" spans="2:67" ht="18" hidden="1" customHeight="1" x14ac:dyDescent="0.35">
      <c r="B32" s="14" t="s">
        <v>79</v>
      </c>
      <c r="C32" s="16" t="s">
        <v>136</v>
      </c>
      <c r="D32" s="16" t="s">
        <v>81</v>
      </c>
      <c r="E32" s="16"/>
      <c r="F32" s="16" t="s">
        <v>234</v>
      </c>
      <c r="G32" s="16" cm="1">
        <f t="array" ref="G32">_xlfn.IFS(Tabela1[[#This Row],[STATUS PROCESSO MOBILIZAÇÃO]]="Finalizado",1,Tabela1[[#This Row],[STATUS PROCESSO MOBILIZAÇÃO]]="Cancelado",2,Tabela1[[#This Row],[STATUS PROCESSO MOBILIZAÇÃO]]="Em andamento",3)</f>
        <v>1</v>
      </c>
      <c r="H32" s="16" cm="1">
        <f t="array" aca="1" ref="H3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FORMS]]="",$AM32&gt;$AK$1),2,
AND(Tabela1[[#This Row],[STATUS PROCESSO MOBILIZAÇÃO]]="Em andamento",Tabela1[[#This Row],[DATA REAL - FORMS]]="",$AM32&lt;=$AK$1),3,
AND(Tabela1[[#This Row],[STATUS PROCESSO MOBILIZAÇÃO]]="Em andamento",Tabela1[[#This Row],[DATA REAL - FORMS]]&lt;&gt;""),1)</f>
        <v>1</v>
      </c>
      <c r="I32" s="16" cm="1">
        <f t="array" aca="1" ref="I3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EXAMES]]="",$AP32&gt;$AN$1),2,
AND(Tabela1[[#This Row],[STATUS PROCESSO MOBILIZAÇÃO]]="Em andamento",Tabela1[[#This Row],[DATA REAL - EXAMES]]="",$AP32&lt;=$AN$1),3,
AND(Tabela1[[#This Row],[STATUS PROCESSO MOBILIZAÇÃO]]="Em andamento",Tabela1[[#This Row],[DATA REAL - EXAMES]]&lt;&gt;""),1)</f>
        <v>1</v>
      </c>
      <c r="J32" s="16" cm="1">
        <f t="array" aca="1" ref="J3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ASO]]="",$AS32&gt;$AQ$1),2,
AND(Tabela1[[#This Row],[STATUS PROCESSO MOBILIZAÇÃO]]="Em andamento",Tabela1[[#This Row],[DATA REAL - ASO]]="",$AS32&lt;=$AQ$1),3,
AND(Tabela1[[#This Row],[STATUS PROCESSO MOBILIZAÇÃO]]="Em andamento",Tabela1[[#This Row],[DATA REAL - ASO]]&lt;&gt;""),1)</f>
        <v>1</v>
      </c>
      <c r="K32" s="15" cm="1">
        <f t="array" aca="1" ref="K3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TREINAMENTOS]]="",$AV32&gt;$AT$1),2,
AND(Tabela1[[#This Row],[STATUS PROCESSO MOBILIZAÇÃO]]="Em andamento",Tabela1[[#This Row],[DATA REAL - TREINAMENTOS]]="",$AV32&lt;=$AT$1),3,
AND(Tabela1[[#This Row],[STATUS PROCESSO MOBILIZAÇÃO]]="Em andamento",Tabela1[[#This Row],[DATA REAL - TREINAMENTOS]]&lt;&gt;""),1)</f>
        <v>1</v>
      </c>
      <c r="L32" s="15" cm="1">
        <f t="array" aca="1" ref="L3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TREIN.]]="",$AY32&gt;$AW$1),2,
AND(Tabela1[[#This Row],[STATUS PROCESSO MOBILIZAÇÃO]]="Em andamento",Tabela1[[#This Row],[DATA REAL - CONCL. TREIN.]]="",$AY32&lt;=$AW$1),3,
AND(Tabela1[[#This Row],[STATUS PROCESSO MOBILIZAÇÃO]]="Em andamento",Tabela1[[#This Row],[DATA REAL - CONCL. TREIN.]]&lt;&gt;""),1)</f>
        <v>1</v>
      </c>
      <c r="M32" s="15" cm="1">
        <f t="array" aca="1" ref="M3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CONTRATUAL]]="",$BB32&gt;$AZ$1),2,
AND(Tabela1[[#This Row],[STATUS PROCESSO MOBILIZAÇÃO]]="Em andamento",Tabela1[[#This Row],[DATA FIM - ALTER. CONTRATUAL]]="",$BB32&lt;=$AZ$1),3,
AND(Tabela1[[#This Row],[STATUS PROCESSO MOBILIZAÇÃO]]="Em andamento",Tabela1[[#This Row],[DATA FIM - ALTER. CONTRATUAL]]&lt;&gt;""),1)</f>
        <v>1</v>
      </c>
      <c r="N32" s="16" cm="1">
        <f t="array" aca="1" ref="N3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DOSSIÊ]]="",$BE32&gt;$BC$1),2,
AND(Tabela1[[#This Row],[STATUS PROCESSO MOBILIZAÇÃO]]="Em andamento",Tabela1[[#This Row],[DATA REAL - DOSSIÊ]]="",$BE32&lt;=$BC$1),3,
AND(Tabela1[[#This Row],[STATUS PROCESSO MOBILIZAÇÃO]]="Em andamento",Tabela1[[#This Row],[DATA REAL - DOSSIÊ]]&lt;&gt;""),1)</f>
        <v>1</v>
      </c>
      <c r="O32" s="16" cm="1">
        <f t="array" aca="1" ref="O3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POSTAGEM]]="",$BH32&gt;$BF$1),2,
AND(Tabela1[[#This Row],[STATUS PROCESSO MOBILIZAÇÃO]]="Em andamento",Tabela1[[#This Row],[DATA REAL - POSTAGEM]]="",$BH32&lt;=$BF$1),3,
AND(Tabela1[[#This Row],[STATUS PROCESSO MOBILIZAÇÃO]]="Em andamento",Tabela1[[#This Row],[DATA REAL - POSTAGEM]]&lt;&gt;""),1)</f>
        <v>1</v>
      </c>
      <c r="P32" s="16" cm="1">
        <f t="array" aca="1" ref="P3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FINAL]]="",$BK32&gt;$BI$1),2,
AND(Tabela1[[#This Row],[STATUS PROCESSO MOBILIZAÇÃO]]="Em andamento",Tabela1[[#This Row],[DATA REAL - APROV FINAL]]="",$BK32&lt;=$BI$1),3,
AND(Tabela1[[#This Row],[STATUS PROCESSO MOBILIZAÇÃO]]="Em andamento",Tabela1[[#This Row],[DATA REAL - APROV FINAL]]&lt;&gt;""),1)</f>
        <v>1</v>
      </c>
      <c r="Q32" s="15" cm="1">
        <f t="array" aca="1" ref="Q3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CRACHÁ]]="",$BN32&gt;$BL$1),2,
AND(Tabela1[[#This Row],[STATUS PROCESSO MOBILIZAÇÃO]]="Em andamento",Tabela1[[#This Row],[DATA REAL - CRACHÁ]]="",$BN32&lt;=$BL$1),3,
AND(Tabela1[[#This Row],[STATUS PROCESSO MOBILIZAÇÃO]]="Em andamento",Tabela1[[#This Row],[DATA REAL - CRACHÁ]]&lt;&gt;""),1)</f>
        <v>1</v>
      </c>
      <c r="R32" s="21">
        <f>IF(Tabela1[[#This Row],[DATA REAL - FORMS]]&lt;&gt;"",Tabela1[[#This Row],[DATA REAL - FORMS]]+30,Tabela1[[#This Row],[DATA PREV - FORMS]]+35)</f>
        <v>45723</v>
      </c>
      <c r="S3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45722</v>
      </c>
      <c r="T3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34</v>
      </c>
      <c r="U3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32" s="49">
        <f>MAX(Tabela1[[#This Row],[DATA REAL - POSTAGEM]],Tabela1[[#This Row],[DATA REAL - APROV FINAL]],Tabela1[[#This Row],[DATA REAL - CRACHÁ]])-MIN(Tabela1[[#This Row],[DATA REAL - POSTAGEM]],Tabela1[[#This Row],[DATA REAL - APROV FINAL]],Tabela1[[#This Row],[DATA REAL - CRACHÁ]])+1</f>
        <v>8</v>
      </c>
      <c r="W3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X32" s="15" t="s">
        <v>121</v>
      </c>
      <c r="Y32" s="16" t="s">
        <v>122</v>
      </c>
      <c r="Z32" s="18" t="s">
        <v>123</v>
      </c>
      <c r="AA32" s="18" t="s">
        <v>124</v>
      </c>
      <c r="AB32" s="16" t="s">
        <v>97</v>
      </c>
      <c r="AC32" s="16" t="s">
        <v>235</v>
      </c>
      <c r="AD32" s="16" t="s">
        <v>227</v>
      </c>
      <c r="AE32" s="16" t="s">
        <v>228</v>
      </c>
      <c r="AF32" s="16" t="s">
        <v>236</v>
      </c>
      <c r="AG32" s="16" t="str">
        <f>_xlfn.XLOOKUP(Tabela1[[#This Row],[CÓD. CT]],Controle_Projetos[COD CT],Controle_Projetos[COD PHD],"")</f>
        <v>CCAP-CT14-LPSA</v>
      </c>
      <c r="AH32" s="21"/>
      <c r="AI32" s="75">
        <v>45700</v>
      </c>
      <c r="AJ32" s="16" t="str" cm="1">
        <f t="array" aca="1" ref="AJ3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2" s="21">
        <v>45688</v>
      </c>
      <c r="AL32" s="74">
        <v>45693</v>
      </c>
      <c r="AM32" s="16" cm="1">
        <f t="array" aca="1" ref="AM3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6</v>
      </c>
      <c r="AN32" s="21">
        <f>Tabela1[[#This Row],[DATA PREV - FORMS]]+$AN$1</f>
        <v>45695</v>
      </c>
      <c r="AO32" s="74">
        <v>45707</v>
      </c>
      <c r="AP32" s="16" cm="1">
        <f t="array" aca="1" ref="AP3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13</v>
      </c>
      <c r="AQ32" s="21">
        <f>Tabela1[[#This Row],[DATA PREV - EXAMES]]+$AQ$1</f>
        <v>45697</v>
      </c>
      <c r="AR32" s="74">
        <v>45715</v>
      </c>
      <c r="AS32" s="15" cm="1">
        <f t="array" aca="1" ref="AS3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19</v>
      </c>
      <c r="AT32" s="21">
        <f>Tabela1[[#This Row],[DATA PREV - FORMS]]+$AT$1</f>
        <v>45689</v>
      </c>
      <c r="AU32" s="74">
        <v>45688</v>
      </c>
      <c r="AV32" s="15" cm="1">
        <f t="array" aca="1" ref="AV3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32" s="21">
        <f>Tabela1[[#This Row],[DATA PREV - TREINAMENTOS]]+$AW$1</f>
        <v>45696</v>
      </c>
      <c r="AX32" s="74">
        <v>45706</v>
      </c>
      <c r="AY32" s="15" cm="1">
        <f t="array" aca="1" ref="AY3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11</v>
      </c>
      <c r="AZ32" s="24">
        <v>45861</v>
      </c>
      <c r="BA32" s="74">
        <v>45688</v>
      </c>
      <c r="BB32" s="15" cm="1">
        <f t="array" aca="1" ref="BB3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-172</v>
      </c>
      <c r="BC32" s="21">
        <f>Tabela1[[#This Row],[DATA PREV - CONCL. TREIN.]]+$BC$1</f>
        <v>45698</v>
      </c>
      <c r="BD32" s="74">
        <v>45708</v>
      </c>
      <c r="BE32" s="15" cm="1">
        <f t="array" aca="1" ref="BE3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32" s="21">
        <f>Tabela1[[#This Row],[DATA PREV - DOSSIÊ]]+$BF$1</f>
        <v>45701</v>
      </c>
      <c r="BG32" s="74">
        <v>45715</v>
      </c>
      <c r="BH32" s="15" cm="1">
        <f t="array" aca="1" ref="BH3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15</v>
      </c>
      <c r="BI32" s="21">
        <f>Tabela1[[#This Row],[DATA PREV - POSTAGEM]]+$BI$1</f>
        <v>45707</v>
      </c>
      <c r="BJ32" s="74">
        <v>45722</v>
      </c>
      <c r="BK32" s="15" cm="1">
        <f t="array" aca="1" ref="BK3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32" s="21">
        <f>Tabela1[[#This Row],[DATA PREV - APROV FINAL]]+$BL$1</f>
        <v>45708</v>
      </c>
      <c r="BM32" s="74">
        <v>45722</v>
      </c>
      <c r="BN32" s="15" cm="1">
        <f t="array" aca="1" ref="BN3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15</v>
      </c>
      <c r="BO32" s="80" t="s">
        <v>237</v>
      </c>
    </row>
    <row r="33" spans="2:67" ht="18" hidden="1" customHeight="1" x14ac:dyDescent="0.35">
      <c r="B33" s="14" t="s">
        <v>119</v>
      </c>
      <c r="C33" s="16" t="s">
        <v>136</v>
      </c>
      <c r="D33" s="16" t="s">
        <v>119</v>
      </c>
      <c r="E33" s="16"/>
      <c r="F33" s="16" t="s">
        <v>183</v>
      </c>
      <c r="G33" s="16" cm="1">
        <f t="array" ref="G33">_xlfn.IFS(Tabela1[[#This Row],[STATUS PROCESSO MOBILIZAÇÃO]]="Finalizado",1,Tabela1[[#This Row],[STATUS PROCESSO MOBILIZAÇÃO]]="Cancelado",2,Tabela1[[#This Row],[STATUS PROCESSO MOBILIZAÇÃO]]="Em andamento",3)</f>
        <v>2</v>
      </c>
      <c r="H33" s="16" cm="1">
        <f t="array" aca="1" ref="H3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FORMS]]="",$AM33&gt;$AK$1),2,
AND(Tabela1[[#This Row],[STATUS PROCESSO MOBILIZAÇÃO]]="Em andamento",Tabela1[[#This Row],[DATA REAL - FORMS]]="",$AM33&lt;=$AK$1),3,
AND(Tabela1[[#This Row],[STATUS PROCESSO MOBILIZAÇÃO]]="Em andamento",Tabela1[[#This Row],[DATA REAL - FORMS]]&lt;&gt;""),1)</f>
        <v>1</v>
      </c>
      <c r="I33" s="16" cm="1">
        <f t="array" aca="1" ref="I3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EXAMES]]="",$AP33&gt;$AN$1),2,
AND(Tabela1[[#This Row],[STATUS PROCESSO MOBILIZAÇÃO]]="Em andamento",Tabela1[[#This Row],[DATA REAL - EXAMES]]="",$AP33&lt;=$AN$1),3,
AND(Tabela1[[#This Row],[STATUS PROCESSO MOBILIZAÇÃO]]="Em andamento",Tabela1[[#This Row],[DATA REAL - EXAMES]]&lt;&gt;""),1)</f>
        <v>1</v>
      </c>
      <c r="J33" s="16" cm="1">
        <f t="array" aca="1" ref="J3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ASO]]="",$AS33&gt;$AQ$1),2,
AND(Tabela1[[#This Row],[STATUS PROCESSO MOBILIZAÇÃO]]="Em andamento",Tabela1[[#This Row],[DATA REAL - ASO]]="",$AS33&lt;=$AQ$1),3,
AND(Tabela1[[#This Row],[STATUS PROCESSO MOBILIZAÇÃO]]="Em andamento",Tabela1[[#This Row],[DATA REAL - ASO]]&lt;&gt;""),1)</f>
        <v>0</v>
      </c>
      <c r="K33" s="15" cm="1">
        <f t="array" aca="1" ref="K3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TREINAMENTOS]]="",$AV33&gt;$AT$1),2,
AND(Tabela1[[#This Row],[STATUS PROCESSO MOBILIZAÇÃO]]="Em andamento",Tabela1[[#This Row],[DATA REAL - TREINAMENTOS]]="",$AV33&lt;=$AT$1),3,
AND(Tabela1[[#This Row],[STATUS PROCESSO MOBILIZAÇÃO]]="Em andamento",Tabela1[[#This Row],[DATA REAL - TREINAMENTOS]]&lt;&gt;""),1)</f>
        <v>0</v>
      </c>
      <c r="L33" s="15" cm="1">
        <f t="array" aca="1" ref="L3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TREIN.]]="",$AY33&gt;$AW$1),2,
AND(Tabela1[[#This Row],[STATUS PROCESSO MOBILIZAÇÃO]]="Em andamento",Tabela1[[#This Row],[DATA REAL - CONCL. TREIN.]]="",$AY33&lt;=$AW$1),3,
AND(Tabela1[[#This Row],[STATUS PROCESSO MOBILIZAÇÃO]]="Em andamento",Tabela1[[#This Row],[DATA REAL - CONCL. TREIN.]]&lt;&gt;""),1)</f>
        <v>0</v>
      </c>
      <c r="M33" s="15" cm="1">
        <f t="array" aca="1" ref="M3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CONTRATUAL]]="",$BB33&gt;$AZ$1),2,
AND(Tabela1[[#This Row],[STATUS PROCESSO MOBILIZAÇÃO]]="Em andamento",Tabela1[[#This Row],[DATA FIM - ALTER. CONTRATUAL]]="",$BB33&lt;=$AZ$1),3,
AND(Tabela1[[#This Row],[STATUS PROCESSO MOBILIZAÇÃO]]="Em andamento",Tabela1[[#This Row],[DATA FIM - ALTER. CONTRATUAL]]&lt;&gt;""),1)</f>
        <v>0</v>
      </c>
      <c r="N33" s="16" cm="1">
        <f t="array" aca="1" ref="N3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DOSSIÊ]]="",$BE33&gt;$BC$1),2,
AND(Tabela1[[#This Row],[STATUS PROCESSO MOBILIZAÇÃO]]="Em andamento",Tabela1[[#This Row],[DATA REAL - DOSSIÊ]]="",$BE33&lt;=$BC$1),3,
AND(Tabela1[[#This Row],[STATUS PROCESSO MOBILIZAÇÃO]]="Em andamento",Tabela1[[#This Row],[DATA REAL - DOSSIÊ]]&lt;&gt;""),1)</f>
        <v>0</v>
      </c>
      <c r="O33" s="16" cm="1">
        <f t="array" aca="1" ref="O3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POSTAGEM]]="",$BH33&gt;$BF$1),2,
AND(Tabela1[[#This Row],[STATUS PROCESSO MOBILIZAÇÃO]]="Em andamento",Tabela1[[#This Row],[DATA REAL - POSTAGEM]]="",$BH33&lt;=$BF$1),3,
AND(Tabela1[[#This Row],[STATUS PROCESSO MOBILIZAÇÃO]]="Em andamento",Tabela1[[#This Row],[DATA REAL - POSTAGEM]]&lt;&gt;""),1)</f>
        <v>0</v>
      </c>
      <c r="P33" s="16" cm="1">
        <f t="array" aca="1" ref="P3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FINAL]]="",$BK33&gt;$BI$1),2,
AND(Tabela1[[#This Row],[STATUS PROCESSO MOBILIZAÇÃO]]="Em andamento",Tabela1[[#This Row],[DATA REAL - APROV FINAL]]="",$BK33&lt;=$BI$1),3,
AND(Tabela1[[#This Row],[STATUS PROCESSO MOBILIZAÇÃO]]="Em andamento",Tabela1[[#This Row],[DATA REAL - APROV FINAL]]&lt;&gt;""),1)</f>
        <v>0</v>
      </c>
      <c r="Q33" s="15" cm="1">
        <f t="array" aca="1" ref="Q3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CRACHÁ]]="",$BN33&gt;$BL$1),2,
AND(Tabela1[[#This Row],[STATUS PROCESSO MOBILIZAÇÃO]]="Em andamento",Tabela1[[#This Row],[DATA REAL - CRACHÁ]]="",$BN33&lt;=$BL$1),3,
AND(Tabela1[[#This Row],[STATUS PROCESSO MOBILIZAÇÃO]]="Em andamento",Tabela1[[#This Row],[DATA REAL - CRACHÁ]]&lt;&gt;""),1)</f>
        <v>1</v>
      </c>
      <c r="R33" s="21">
        <f>IF(Tabela1[[#This Row],[DATA REAL - FORMS]]&lt;&gt;"",Tabela1[[#This Row],[DATA REAL - FORMS]]+30,Tabela1[[#This Row],[DATA PREV - FORMS]]+35)</f>
        <v>45721</v>
      </c>
      <c r="S3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45698</v>
      </c>
      <c r="T3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106</v>
      </c>
      <c r="U3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99</v>
      </c>
      <c r="V33" s="49">
        <f>MAX(Tabela1[[#This Row],[DATA REAL - POSTAGEM]],Tabela1[[#This Row],[DATA REAL - APROV FINAL]],Tabela1[[#This Row],[DATA REAL - CRACHÁ]])-MIN(Tabela1[[#This Row],[DATA REAL - POSTAGEM]],Tabela1[[#This Row],[DATA REAL - APROV FINAL]],Tabela1[[#This Row],[DATA REAL - CRACHÁ]])+1</f>
        <v>1</v>
      </c>
      <c r="W3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33" s="15" t="s">
        <v>103</v>
      </c>
      <c r="Y33" s="16" t="s">
        <v>84</v>
      </c>
      <c r="Z33" s="18" t="s">
        <v>104</v>
      </c>
      <c r="AA33" s="18" t="s">
        <v>86</v>
      </c>
      <c r="AB33" s="16" t="s">
        <v>97</v>
      </c>
      <c r="AC33" s="16" t="s">
        <v>219</v>
      </c>
      <c r="AD33" s="16" t="s">
        <v>184</v>
      </c>
      <c r="AE33" s="16" t="s">
        <v>220</v>
      </c>
      <c r="AF33" s="16" t="s">
        <v>221</v>
      </c>
      <c r="AG33" s="16" t="str">
        <f>_xlfn.XLOOKUP(Tabela1[[#This Row],[CÓD. CT]],Controle_Projetos[COD CT],Controle_Projetos[COD PHD],"")</f>
        <v>CRET-CT01-TANQ</v>
      </c>
      <c r="AH33" s="21"/>
      <c r="AI33" s="75">
        <v>45592</v>
      </c>
      <c r="AJ33" s="16" t="str" cm="1">
        <f t="array" aca="1" ref="AJ3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3" s="21">
        <v>45691</v>
      </c>
      <c r="AL33" s="74">
        <v>45691</v>
      </c>
      <c r="AM33" s="16" cm="1">
        <f t="array" aca="1" ref="AM3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3" s="21">
        <f>Tabela1[[#This Row],[DATA PREV - FORMS]]+$AN$1</f>
        <v>45698</v>
      </c>
      <c r="AO33" s="74">
        <v>45691</v>
      </c>
      <c r="AP33" s="16" cm="1">
        <f t="array" aca="1" ref="AP3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3" s="21">
        <f>Tabela1[[#This Row],[DATA PREV - EXAMES]]+$AQ$1</f>
        <v>45700</v>
      </c>
      <c r="AR33" s="74"/>
      <c r="AS33" s="15" cm="1">
        <f t="array" aca="1" ref="AS3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33" s="21">
        <f>Tabela1[[#This Row],[DATA PREV - FORMS]]+$AT$1</f>
        <v>45692</v>
      </c>
      <c r="AU33" s="74"/>
      <c r="AV33" s="15" cm="1">
        <f t="array" aca="1" ref="AV3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33" s="21">
        <f>Tabela1[[#This Row],[DATA PREV - TREINAMENTOS]]+$AW$1</f>
        <v>45699</v>
      </c>
      <c r="AX33" s="74"/>
      <c r="AY33" s="15" cm="1">
        <f t="array" aca="1" ref="AY3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33" s="24"/>
      <c r="BA33" s="74"/>
      <c r="BB33" s="15" t="str" cm="1">
        <f t="array" aca="1" ref="BB3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33" s="21">
        <f>Tabela1[[#This Row],[DATA PREV - CONCL. TREIN.]]+$BC$1</f>
        <v>45701</v>
      </c>
      <c r="BD33" s="74"/>
      <c r="BE33" s="15" cm="1">
        <f t="array" aca="1" ref="BE3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33" s="21">
        <f>Tabela1[[#This Row],[DATA PREV - DOSSIÊ]]+$BF$1</f>
        <v>45704</v>
      </c>
      <c r="BG33" s="74"/>
      <c r="BH33" s="15" cm="1">
        <f t="array" aca="1" ref="BH3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33" s="21">
        <f>Tabela1[[#This Row],[DATA PREV - POSTAGEM]]+$BI$1</f>
        <v>45710</v>
      </c>
      <c r="BJ33" s="74"/>
      <c r="BK33" s="15" cm="1">
        <f t="array" aca="1" ref="BK3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33" s="21">
        <f>Tabela1[[#This Row],[DATA PREV - APROV FINAL]]+$BL$1</f>
        <v>45711</v>
      </c>
      <c r="BM33" s="74">
        <v>45698</v>
      </c>
      <c r="BN33" s="15" cm="1">
        <f t="array" aca="1" ref="BN3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33" s="80" t="s">
        <v>238</v>
      </c>
    </row>
    <row r="34" spans="2:67" ht="18" hidden="1" customHeight="1" x14ac:dyDescent="0.35">
      <c r="B34" s="14" t="s">
        <v>79</v>
      </c>
      <c r="C34" s="16" t="s">
        <v>136</v>
      </c>
      <c r="D34" s="16" t="s">
        <v>81</v>
      </c>
      <c r="E34" s="16"/>
      <c r="F34" s="16" t="s">
        <v>239</v>
      </c>
      <c r="G34" s="16" cm="1">
        <f t="array" ref="G34">_xlfn.IFS(Tabela1[[#This Row],[STATUS PROCESSO MOBILIZAÇÃO]]="Finalizado",1,Tabela1[[#This Row],[STATUS PROCESSO MOBILIZAÇÃO]]="Cancelado",2,Tabela1[[#This Row],[STATUS PROCESSO MOBILIZAÇÃO]]="Em andamento",3)</f>
        <v>1</v>
      </c>
      <c r="H34" s="16" cm="1">
        <f t="array" aca="1" ref="H3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FORMS]]="",$AM34&gt;$AK$1),2,
AND(Tabela1[[#This Row],[STATUS PROCESSO MOBILIZAÇÃO]]="Em andamento",Tabela1[[#This Row],[DATA REAL - FORMS]]="",$AM34&lt;=$AK$1),3,
AND(Tabela1[[#This Row],[STATUS PROCESSO MOBILIZAÇÃO]]="Em andamento",Tabela1[[#This Row],[DATA REAL - FORMS]]&lt;&gt;""),1)</f>
        <v>1</v>
      </c>
      <c r="I34" s="16" cm="1">
        <f t="array" aca="1" ref="I3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EXAMES]]="",$AP34&gt;$AN$1),2,
AND(Tabela1[[#This Row],[STATUS PROCESSO MOBILIZAÇÃO]]="Em andamento",Tabela1[[#This Row],[DATA REAL - EXAMES]]="",$AP34&lt;=$AN$1),3,
AND(Tabela1[[#This Row],[STATUS PROCESSO MOBILIZAÇÃO]]="Em andamento",Tabela1[[#This Row],[DATA REAL - EXAMES]]&lt;&gt;""),1)</f>
        <v>1</v>
      </c>
      <c r="J34" s="16" cm="1">
        <f t="array" aca="1" ref="J3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ASO]]="",$AS34&gt;$AQ$1),2,
AND(Tabela1[[#This Row],[STATUS PROCESSO MOBILIZAÇÃO]]="Em andamento",Tabela1[[#This Row],[DATA REAL - ASO]]="",$AS34&lt;=$AQ$1),3,
AND(Tabela1[[#This Row],[STATUS PROCESSO MOBILIZAÇÃO]]="Em andamento",Tabela1[[#This Row],[DATA REAL - ASO]]&lt;&gt;""),1)</f>
        <v>1</v>
      </c>
      <c r="K34" s="15" cm="1">
        <f t="array" aca="1" ref="K3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TREINAMENTOS]]="",$AV34&gt;$AT$1),2,
AND(Tabela1[[#This Row],[STATUS PROCESSO MOBILIZAÇÃO]]="Em andamento",Tabela1[[#This Row],[DATA REAL - TREINAMENTOS]]="",$AV34&lt;=$AT$1),3,
AND(Tabela1[[#This Row],[STATUS PROCESSO MOBILIZAÇÃO]]="Em andamento",Tabela1[[#This Row],[DATA REAL - TREINAMENTOS]]&lt;&gt;""),1)</f>
        <v>1</v>
      </c>
      <c r="L34" s="15" cm="1">
        <f t="array" aca="1" ref="L3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TREIN.]]="",$AY34&gt;$AW$1),2,
AND(Tabela1[[#This Row],[STATUS PROCESSO MOBILIZAÇÃO]]="Em andamento",Tabela1[[#This Row],[DATA REAL - CONCL. TREIN.]]="",$AY34&lt;=$AW$1),3,
AND(Tabela1[[#This Row],[STATUS PROCESSO MOBILIZAÇÃO]]="Em andamento",Tabela1[[#This Row],[DATA REAL - CONCL. TREIN.]]&lt;&gt;""),1)</f>
        <v>1</v>
      </c>
      <c r="M34" s="15" cm="1">
        <f t="array" aca="1" ref="M3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CONTRATUAL]]="",$BB34&gt;$AZ$1),2,
AND(Tabela1[[#This Row],[STATUS PROCESSO MOBILIZAÇÃO]]="Em andamento",Tabela1[[#This Row],[DATA FIM - ALTER. CONTRATUAL]]="",$BB34&lt;=$AZ$1),3,
AND(Tabela1[[#This Row],[STATUS PROCESSO MOBILIZAÇÃO]]="Em andamento",Tabela1[[#This Row],[DATA FIM - ALTER. CONTRATUAL]]&lt;&gt;""),1)</f>
        <v>0</v>
      </c>
      <c r="N34" s="16" cm="1">
        <f t="array" aca="1" ref="N3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DOSSIÊ]]="",$BE34&gt;$BC$1),2,
AND(Tabela1[[#This Row],[STATUS PROCESSO MOBILIZAÇÃO]]="Em andamento",Tabela1[[#This Row],[DATA REAL - DOSSIÊ]]="",$BE34&lt;=$BC$1),3,
AND(Tabela1[[#This Row],[STATUS PROCESSO MOBILIZAÇÃO]]="Em andamento",Tabela1[[#This Row],[DATA REAL - DOSSIÊ]]&lt;&gt;""),1)</f>
        <v>1</v>
      </c>
      <c r="O34" s="16" cm="1">
        <f t="array" aca="1" ref="O3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POSTAGEM]]="",$BH34&gt;$BF$1),2,
AND(Tabela1[[#This Row],[STATUS PROCESSO MOBILIZAÇÃO]]="Em andamento",Tabela1[[#This Row],[DATA REAL - POSTAGEM]]="",$BH34&lt;=$BF$1),3,
AND(Tabela1[[#This Row],[STATUS PROCESSO MOBILIZAÇÃO]]="Em andamento",Tabela1[[#This Row],[DATA REAL - POSTAGEM]]&lt;&gt;""),1)</f>
        <v>1</v>
      </c>
      <c r="P34" s="16" cm="1">
        <f t="array" aca="1" ref="P3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FINAL]]="",$BK34&gt;$BI$1),2,
AND(Tabela1[[#This Row],[STATUS PROCESSO MOBILIZAÇÃO]]="Em andamento",Tabela1[[#This Row],[DATA REAL - APROV FINAL]]="",$BK34&lt;=$BI$1),3,
AND(Tabela1[[#This Row],[STATUS PROCESSO MOBILIZAÇÃO]]="Em andamento",Tabela1[[#This Row],[DATA REAL - APROV FINAL]]&lt;&gt;""),1)</f>
        <v>1</v>
      </c>
      <c r="Q34" s="15" cm="1">
        <f t="array" aca="1" ref="Q3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CRACHÁ]]="",$BN34&gt;$BL$1),2,
AND(Tabela1[[#This Row],[STATUS PROCESSO MOBILIZAÇÃO]]="Em andamento",Tabela1[[#This Row],[DATA REAL - CRACHÁ]]="",$BN34&lt;=$BL$1),3,
AND(Tabela1[[#This Row],[STATUS PROCESSO MOBILIZAÇÃO]]="Em andamento",Tabela1[[#This Row],[DATA REAL - CRACHÁ]]&lt;&gt;""),1)</f>
        <v>1</v>
      </c>
      <c r="R34" s="21">
        <f>IF(Tabela1[[#This Row],[DATA REAL - FORMS]]&lt;&gt;"",Tabela1[[#This Row],[DATA REAL - FORMS]]+30,Tabela1[[#This Row],[DATA PREV - FORMS]]+35)</f>
        <v>45722</v>
      </c>
      <c r="S3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45713</v>
      </c>
      <c r="T3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U3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32</v>
      </c>
      <c r="V34" s="49">
        <f>MAX(Tabela1[[#This Row],[DATA REAL - POSTAGEM]],Tabela1[[#This Row],[DATA REAL - APROV FINAL]],Tabela1[[#This Row],[DATA REAL - CRACHÁ]])-MIN(Tabela1[[#This Row],[DATA REAL - POSTAGEM]],Tabela1[[#This Row],[DATA REAL - APROV FINAL]],Tabela1[[#This Row],[DATA REAL - CRACHÁ]])+1</f>
        <v>5</v>
      </c>
      <c r="W3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34" s="15" t="s">
        <v>83</v>
      </c>
      <c r="Y34" s="16" t="s">
        <v>84</v>
      </c>
      <c r="Z34" s="18" t="s">
        <v>85</v>
      </c>
      <c r="AA34" s="18" t="s">
        <v>86</v>
      </c>
      <c r="AB34" s="16" t="s">
        <v>97</v>
      </c>
      <c r="AC34" s="16" t="s">
        <v>235</v>
      </c>
      <c r="AD34" s="16" t="s">
        <v>240</v>
      </c>
      <c r="AE34" s="16" t="s">
        <v>241</v>
      </c>
      <c r="AF34" s="16" t="s">
        <v>242</v>
      </c>
      <c r="AG34" s="16" t="str">
        <f>_xlfn.XLOOKUP(Tabela1[[#This Row],[CÓD. CT]],Controle_Projetos[COD CT],Controle_Projetos[COD PHD],"")</f>
        <v>CCAP-CT13-JERI</v>
      </c>
      <c r="AH34" s="21"/>
      <c r="AI34" s="75">
        <v>45677</v>
      </c>
      <c r="AJ34" s="16" t="str" cm="1">
        <f t="array" aca="1" ref="AJ3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4" s="21">
        <v>45692</v>
      </c>
      <c r="AL34" s="74">
        <v>45692</v>
      </c>
      <c r="AM34" s="16" cm="1">
        <f t="array" aca="1" ref="AM3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4" s="21">
        <f>Tabela1[[#This Row],[DATA PREV - FORMS]]+$AN$1</f>
        <v>45699</v>
      </c>
      <c r="AO34" s="74">
        <v>45693</v>
      </c>
      <c r="AP34" s="16" cm="1">
        <f t="array" aca="1" ref="AP3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34" s="21">
        <f>Tabela1[[#This Row],[DATA PREV - EXAMES]]+$AQ$1</f>
        <v>45701</v>
      </c>
      <c r="AR34" s="74">
        <v>45693</v>
      </c>
      <c r="AS34" s="15" cm="1">
        <f t="array" aca="1" ref="AS3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34" s="21">
        <f>Tabela1[[#This Row],[DATA PREV - FORMS]]+$AT$1</f>
        <v>45693</v>
      </c>
      <c r="AU34" s="74">
        <v>45692</v>
      </c>
      <c r="AV34" s="15" cm="1">
        <f t="array" aca="1" ref="AV3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34" s="21">
        <f>Tabela1[[#This Row],[DATA PREV - TREINAMENTOS]]+$AW$1</f>
        <v>45700</v>
      </c>
      <c r="AX34" s="74">
        <v>45699</v>
      </c>
      <c r="AY34" s="15" cm="1">
        <f t="array" aca="1" ref="AY3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34" s="24">
        <v>45688</v>
      </c>
      <c r="BA34" s="74"/>
      <c r="BB34" s="15" cm="1">
        <f t="array" aca="1" ref="BB3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34" s="21">
        <f>Tabela1[[#This Row],[DATA PREV - CONCL. TREIN.]]+$BC$1</f>
        <v>45702</v>
      </c>
      <c r="BD34" s="74">
        <v>45709</v>
      </c>
      <c r="BE34" s="15" cm="1">
        <f t="array" aca="1" ref="BE3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34" s="21">
        <f>Tabela1[[#This Row],[DATA PREV - DOSSIÊ]]+$BF$1</f>
        <v>45705</v>
      </c>
      <c r="BG34" s="74">
        <v>45709</v>
      </c>
      <c r="BH34" s="15" cm="1">
        <f t="array" aca="1" ref="BH3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34" s="21">
        <f>Tabela1[[#This Row],[DATA PREV - POSTAGEM]]+$BI$1</f>
        <v>45711</v>
      </c>
      <c r="BJ34" s="74">
        <v>45713</v>
      </c>
      <c r="BK34" s="15" cm="1">
        <f t="array" aca="1" ref="BK3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34" s="21">
        <f>Tabela1[[#This Row],[DATA PREV - APROV FINAL]]+$BL$1</f>
        <v>45712</v>
      </c>
      <c r="BM34" s="74">
        <v>45713</v>
      </c>
      <c r="BN34" s="15" cm="1">
        <f t="array" aca="1" ref="BN3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34" s="80" t="s">
        <v>243</v>
      </c>
    </row>
    <row r="35" spans="2:67" ht="18" hidden="1" customHeight="1" x14ac:dyDescent="0.35">
      <c r="B35" s="14" t="s">
        <v>119</v>
      </c>
      <c r="C35" s="16" t="s">
        <v>147</v>
      </c>
      <c r="D35" s="16" t="s">
        <v>119</v>
      </c>
      <c r="E35" s="16"/>
      <c r="F35" s="16" t="s">
        <v>244</v>
      </c>
      <c r="G35" s="16" cm="1">
        <f t="array" ref="G35">_xlfn.IFS(Tabela1[[#This Row],[STATUS PROCESSO MOBILIZAÇÃO]]="Finalizado",1,Tabela1[[#This Row],[STATUS PROCESSO MOBILIZAÇÃO]]="Cancelado",2,Tabela1[[#This Row],[STATUS PROCESSO MOBILIZAÇÃO]]="Em andamento",3)</f>
        <v>2</v>
      </c>
      <c r="H35" s="16" cm="1">
        <f t="array" aca="1" ref="H3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FORMS]]="",$AM35&gt;$AK$1),2,
AND(Tabela1[[#This Row],[STATUS PROCESSO MOBILIZAÇÃO]]="Em andamento",Tabela1[[#This Row],[DATA REAL - FORMS]]="",$AM35&lt;=$AK$1),3,
AND(Tabela1[[#This Row],[STATUS PROCESSO MOBILIZAÇÃO]]="Em andamento",Tabela1[[#This Row],[DATA REAL - FORMS]]&lt;&gt;""),1)</f>
        <v>1</v>
      </c>
      <c r="I35" s="16" cm="1">
        <f t="array" aca="1" ref="I3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EXAMES]]="",$AP35&gt;$AN$1),2,
AND(Tabela1[[#This Row],[STATUS PROCESSO MOBILIZAÇÃO]]="Em andamento",Tabela1[[#This Row],[DATA REAL - EXAMES]]="",$AP35&lt;=$AN$1),3,
AND(Tabela1[[#This Row],[STATUS PROCESSO MOBILIZAÇÃO]]="Em andamento",Tabela1[[#This Row],[DATA REAL - EXAMES]]&lt;&gt;""),1)</f>
        <v>1</v>
      </c>
      <c r="J35" s="16" cm="1">
        <f t="array" aca="1" ref="J3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ASO]]="",$AS35&gt;$AQ$1),2,
AND(Tabela1[[#This Row],[STATUS PROCESSO MOBILIZAÇÃO]]="Em andamento",Tabela1[[#This Row],[DATA REAL - ASO]]="",$AS35&lt;=$AQ$1),3,
AND(Tabela1[[#This Row],[STATUS PROCESSO MOBILIZAÇÃO]]="Em andamento",Tabela1[[#This Row],[DATA REAL - ASO]]&lt;&gt;""),1)</f>
        <v>1</v>
      </c>
      <c r="K35" s="15" cm="1">
        <f t="array" aca="1" ref="K3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TREINAMENTOS]]="",$AV35&gt;$AT$1),2,
AND(Tabela1[[#This Row],[STATUS PROCESSO MOBILIZAÇÃO]]="Em andamento",Tabela1[[#This Row],[DATA REAL - TREINAMENTOS]]="",$AV35&lt;=$AT$1),3,
AND(Tabela1[[#This Row],[STATUS PROCESSO MOBILIZAÇÃO]]="Em andamento",Tabela1[[#This Row],[DATA REAL - TREINAMENTOS]]&lt;&gt;""),1)</f>
        <v>1</v>
      </c>
      <c r="L35" s="15" cm="1">
        <f t="array" aca="1" ref="L3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TREIN.]]="",$AY35&gt;$AW$1),2,
AND(Tabela1[[#This Row],[STATUS PROCESSO MOBILIZAÇÃO]]="Em andamento",Tabela1[[#This Row],[DATA REAL - CONCL. TREIN.]]="",$AY35&lt;=$AW$1),3,
AND(Tabela1[[#This Row],[STATUS PROCESSO MOBILIZAÇÃO]]="Em andamento",Tabela1[[#This Row],[DATA REAL - CONCL. TREIN.]]&lt;&gt;""),1)</f>
        <v>1</v>
      </c>
      <c r="M35" s="15" cm="1">
        <f t="array" aca="1" ref="M3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CONTRATUAL]]="",$BB35&gt;$AZ$1),2,
AND(Tabela1[[#This Row],[STATUS PROCESSO MOBILIZAÇÃO]]="Em andamento",Tabela1[[#This Row],[DATA FIM - ALTER. CONTRATUAL]]="",$BB35&lt;=$AZ$1),3,
AND(Tabela1[[#This Row],[STATUS PROCESSO MOBILIZAÇÃO]]="Em andamento",Tabela1[[#This Row],[DATA FIM - ALTER. CONTRATUAL]]&lt;&gt;""),1)</f>
        <v>1</v>
      </c>
      <c r="N35" s="16" cm="1">
        <f t="array" aca="1" ref="N3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DOSSIÊ]]="",$BE35&gt;$BC$1),2,
AND(Tabela1[[#This Row],[STATUS PROCESSO MOBILIZAÇÃO]]="Em andamento",Tabela1[[#This Row],[DATA REAL - DOSSIÊ]]="",$BE35&lt;=$BC$1),3,
AND(Tabela1[[#This Row],[STATUS PROCESSO MOBILIZAÇÃO]]="Em andamento",Tabela1[[#This Row],[DATA REAL - DOSSIÊ]]&lt;&gt;""),1)</f>
        <v>0</v>
      </c>
      <c r="O35" s="16" cm="1">
        <f t="array" aca="1" ref="O3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POSTAGEM]]="",$BH35&gt;$BF$1),2,
AND(Tabela1[[#This Row],[STATUS PROCESSO MOBILIZAÇÃO]]="Em andamento",Tabela1[[#This Row],[DATA REAL - POSTAGEM]]="",$BH35&lt;=$BF$1),3,
AND(Tabela1[[#This Row],[STATUS PROCESSO MOBILIZAÇÃO]]="Em andamento",Tabela1[[#This Row],[DATA REAL - POSTAGEM]]&lt;&gt;""),1)</f>
        <v>0</v>
      </c>
      <c r="P35" s="16" cm="1">
        <f t="array" aca="1" ref="P3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FINAL]]="",$BK35&gt;$BI$1),2,
AND(Tabela1[[#This Row],[STATUS PROCESSO MOBILIZAÇÃO]]="Em andamento",Tabela1[[#This Row],[DATA REAL - APROV FINAL]]="",$BK35&lt;=$BI$1),3,
AND(Tabela1[[#This Row],[STATUS PROCESSO MOBILIZAÇÃO]]="Em andamento",Tabela1[[#This Row],[DATA REAL - APROV FINAL]]&lt;&gt;""),1)</f>
        <v>0</v>
      </c>
      <c r="Q35" s="15" cm="1">
        <f t="array" aca="1" ref="Q3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CRACHÁ]]="",$BN35&gt;$BL$1),2,
AND(Tabela1[[#This Row],[STATUS PROCESSO MOBILIZAÇÃO]]="Em andamento",Tabela1[[#This Row],[DATA REAL - CRACHÁ]]="",$BN35&lt;=$BL$1),3,
AND(Tabela1[[#This Row],[STATUS PROCESSO MOBILIZAÇÃO]]="Em andamento",Tabela1[[#This Row],[DATA REAL - CRACHÁ]]&lt;&gt;""),1)</f>
        <v>1</v>
      </c>
      <c r="R35" s="21">
        <f>IF(Tabela1[[#This Row],[DATA REAL - FORMS]]&lt;&gt;"",Tabela1[[#This Row],[DATA REAL - FORMS]]+30,Tabela1[[#This Row],[DATA PREV - FORMS]]+35)</f>
        <v>45724</v>
      </c>
      <c r="S3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45709</v>
      </c>
      <c r="T3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3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35" s="49">
        <f>MAX(Tabela1[[#This Row],[DATA REAL - POSTAGEM]],Tabela1[[#This Row],[DATA REAL - APROV FINAL]],Tabela1[[#This Row],[DATA REAL - CRACHÁ]])-MIN(Tabela1[[#This Row],[DATA REAL - POSTAGEM]],Tabela1[[#This Row],[DATA REAL - APROV FINAL]],Tabela1[[#This Row],[DATA REAL - CRACHÁ]])+1</f>
        <v>1</v>
      </c>
      <c r="W3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580</v>
      </c>
      <c r="X35" s="15" t="s">
        <v>83</v>
      </c>
      <c r="Y35" s="16" t="s">
        <v>84</v>
      </c>
      <c r="Z35" s="18" t="s">
        <v>85</v>
      </c>
      <c r="AA35" s="18" t="s">
        <v>86</v>
      </c>
      <c r="AB35" s="16" t="s">
        <v>97</v>
      </c>
      <c r="AC35" s="16" t="s">
        <v>245</v>
      </c>
      <c r="AD35" s="16" t="s">
        <v>246</v>
      </c>
      <c r="AE35" s="16" t="s">
        <v>247</v>
      </c>
      <c r="AF35" s="16" t="s">
        <v>248</v>
      </c>
      <c r="AG35" s="16" t="str">
        <f>_xlfn.XLOOKUP(Tabela1[[#This Row],[CÓD. CT]],Controle_Projetos[COD CT],Controle_Projetos[COD PHD],"")</f>
        <v>PAIN-CT01-PLAN</v>
      </c>
      <c r="AH35" s="21">
        <v>45694</v>
      </c>
      <c r="AI35" s="75" t="s">
        <v>249</v>
      </c>
      <c r="AJ35" s="16" cm="1">
        <f t="array" aca="1" ref="AJ3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35" s="21">
        <v>45694</v>
      </c>
      <c r="AL35" s="74">
        <v>45694</v>
      </c>
      <c r="AM35" s="16" cm="1">
        <f t="array" aca="1" ref="AM3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5" s="21">
        <f>Tabela1[[#This Row],[DATA PREV - FORMS]]+$AN$1</f>
        <v>45701</v>
      </c>
      <c r="AO35" s="74">
        <v>45695</v>
      </c>
      <c r="AP35" s="16" cm="1">
        <f t="array" aca="1" ref="AP3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35" s="21">
        <f>Tabela1[[#This Row],[DATA PREV - EXAMES]]+$AQ$1</f>
        <v>45703</v>
      </c>
      <c r="AR35" s="74">
        <v>45700</v>
      </c>
      <c r="AS35" s="15" cm="1">
        <f t="array" aca="1" ref="AS3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35" s="21">
        <f>Tabela1[[#This Row],[DATA PREV - FORMS]]+$AT$1</f>
        <v>45695</v>
      </c>
      <c r="AU35" s="74">
        <v>45700</v>
      </c>
      <c r="AV35" s="15" cm="1">
        <f t="array" aca="1" ref="AV3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6</v>
      </c>
      <c r="AW35" s="21">
        <f>Tabela1[[#This Row],[DATA PREV - TREINAMENTOS]]+$AW$1</f>
        <v>45702</v>
      </c>
      <c r="AX35" s="74">
        <v>45700</v>
      </c>
      <c r="AY35" s="15" cm="1">
        <f t="array" aca="1" ref="AY3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35" s="24">
        <v>45741</v>
      </c>
      <c r="BA35" s="74">
        <v>45694</v>
      </c>
      <c r="BB35" s="15" cm="1">
        <f t="array" aca="1" ref="BB3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-46</v>
      </c>
      <c r="BC35" s="21">
        <f>Tabela1[[#This Row],[DATA PREV - CONCL. TREIN.]]+$BC$1</f>
        <v>45704</v>
      </c>
      <c r="BD35" s="74"/>
      <c r="BE35" s="15" cm="1">
        <f t="array" aca="1" ref="BE3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35" s="21">
        <f>Tabela1[[#This Row],[DATA PREV - DOSSIÊ]]+$BF$1</f>
        <v>45707</v>
      </c>
      <c r="BG35" s="74"/>
      <c r="BH35" s="15" cm="1">
        <f t="array" aca="1" ref="BH3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35" s="21">
        <f>Tabela1[[#This Row],[DATA PREV - POSTAGEM]]+$BI$1</f>
        <v>45713</v>
      </c>
      <c r="BJ35" s="74"/>
      <c r="BK35" s="15" cm="1">
        <f t="array" aca="1" ref="BK3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35" s="21">
        <f>Tabela1[[#This Row],[DATA PREV - APROV FINAL]]+$BL$1</f>
        <v>45714</v>
      </c>
      <c r="BM35" s="74">
        <v>45709</v>
      </c>
      <c r="BN35" s="15" cm="1">
        <f t="array" aca="1" ref="BN3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35" s="80" t="s">
        <v>250</v>
      </c>
    </row>
    <row r="36" spans="2:67" ht="18" hidden="1" customHeight="1" x14ac:dyDescent="0.35">
      <c r="B36" s="14" t="s">
        <v>119</v>
      </c>
      <c r="C36" s="16" t="s">
        <v>136</v>
      </c>
      <c r="D36" s="16" t="s">
        <v>119</v>
      </c>
      <c r="E36" s="16"/>
      <c r="F36" s="16" t="s">
        <v>251</v>
      </c>
      <c r="G36" s="16" cm="1">
        <f t="array" ref="G36">_xlfn.IFS(Tabela1[[#This Row],[STATUS PROCESSO MOBILIZAÇÃO]]="Finalizado",1,Tabela1[[#This Row],[STATUS PROCESSO MOBILIZAÇÃO]]="Cancelado",2,Tabela1[[#This Row],[STATUS PROCESSO MOBILIZAÇÃO]]="Em andamento",3)</f>
        <v>2</v>
      </c>
      <c r="H36" s="16" cm="1">
        <f t="array" aca="1" ref="H3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FORMS]]="",$AM36&gt;$AK$1),2,
AND(Tabela1[[#This Row],[STATUS PROCESSO MOBILIZAÇÃO]]="Em andamento",Tabela1[[#This Row],[DATA REAL - FORMS]]="",$AM36&lt;=$AK$1),3,
AND(Tabela1[[#This Row],[STATUS PROCESSO MOBILIZAÇÃO]]="Em andamento",Tabela1[[#This Row],[DATA REAL - FORMS]]&lt;&gt;""),1)</f>
        <v>1</v>
      </c>
      <c r="I36" s="16" cm="1">
        <f t="array" aca="1" ref="I3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EXAMES]]="",$AP36&gt;$AN$1),2,
AND(Tabela1[[#This Row],[STATUS PROCESSO MOBILIZAÇÃO]]="Em andamento",Tabela1[[#This Row],[DATA REAL - EXAMES]]="",$AP36&lt;=$AN$1),3,
AND(Tabela1[[#This Row],[STATUS PROCESSO MOBILIZAÇÃO]]="Em andamento",Tabela1[[#This Row],[DATA REAL - EXAMES]]&lt;&gt;""),1)</f>
        <v>1</v>
      </c>
      <c r="J36" s="16" cm="1">
        <f t="array" aca="1" ref="J3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ASO]]="",$AS36&gt;$AQ$1),2,
AND(Tabela1[[#This Row],[STATUS PROCESSO MOBILIZAÇÃO]]="Em andamento",Tabela1[[#This Row],[DATA REAL - ASO]]="",$AS36&lt;=$AQ$1),3,
AND(Tabela1[[#This Row],[STATUS PROCESSO MOBILIZAÇÃO]]="Em andamento",Tabela1[[#This Row],[DATA REAL - ASO]]&lt;&gt;""),1)</f>
        <v>1</v>
      </c>
      <c r="K36" s="15" cm="1">
        <f t="array" aca="1" ref="K3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TREINAMENTOS]]="",$AV36&gt;$AT$1),2,
AND(Tabela1[[#This Row],[STATUS PROCESSO MOBILIZAÇÃO]]="Em andamento",Tabela1[[#This Row],[DATA REAL - TREINAMENTOS]]="",$AV36&lt;=$AT$1),3,
AND(Tabela1[[#This Row],[STATUS PROCESSO MOBILIZAÇÃO]]="Em andamento",Tabela1[[#This Row],[DATA REAL - TREINAMENTOS]]&lt;&gt;""),1)</f>
        <v>1</v>
      </c>
      <c r="L36" s="15" cm="1">
        <f t="array" aca="1" ref="L3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TREIN.]]="",$AY36&gt;$AW$1),2,
AND(Tabela1[[#This Row],[STATUS PROCESSO MOBILIZAÇÃO]]="Em andamento",Tabela1[[#This Row],[DATA REAL - CONCL. TREIN.]]="",$AY36&lt;=$AW$1),3,
AND(Tabela1[[#This Row],[STATUS PROCESSO MOBILIZAÇÃO]]="Em andamento",Tabela1[[#This Row],[DATA REAL - CONCL. TREIN.]]&lt;&gt;""),1)</f>
        <v>1</v>
      </c>
      <c r="M36" s="15" cm="1">
        <f t="array" aca="1" ref="M3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CONTRATUAL]]="",$BB36&gt;$AZ$1),2,
AND(Tabela1[[#This Row],[STATUS PROCESSO MOBILIZAÇÃO]]="Em andamento",Tabela1[[#This Row],[DATA FIM - ALTER. CONTRATUAL]]="",$BB36&lt;=$AZ$1),3,
AND(Tabela1[[#This Row],[STATUS PROCESSO MOBILIZAÇÃO]]="Em andamento",Tabela1[[#This Row],[DATA FIM - ALTER. CONTRATUAL]]&lt;&gt;""),1)</f>
        <v>0</v>
      </c>
      <c r="N36" s="16" cm="1">
        <f t="array" aca="1" ref="N3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DOSSIÊ]]="",$BE36&gt;$BC$1),2,
AND(Tabela1[[#This Row],[STATUS PROCESSO MOBILIZAÇÃO]]="Em andamento",Tabela1[[#This Row],[DATA REAL - DOSSIÊ]]="",$BE36&lt;=$BC$1),3,
AND(Tabela1[[#This Row],[STATUS PROCESSO MOBILIZAÇÃO]]="Em andamento",Tabela1[[#This Row],[DATA REAL - DOSSIÊ]]&lt;&gt;""),1)</f>
        <v>0</v>
      </c>
      <c r="O36" s="16" cm="1">
        <f t="array" aca="1" ref="O3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POSTAGEM]]="",$BH36&gt;$BF$1),2,
AND(Tabela1[[#This Row],[STATUS PROCESSO MOBILIZAÇÃO]]="Em andamento",Tabela1[[#This Row],[DATA REAL - POSTAGEM]]="",$BH36&lt;=$BF$1),3,
AND(Tabela1[[#This Row],[STATUS PROCESSO MOBILIZAÇÃO]]="Em andamento",Tabela1[[#This Row],[DATA REAL - POSTAGEM]]&lt;&gt;""),1)</f>
        <v>0</v>
      </c>
      <c r="P36" s="16" cm="1">
        <f t="array" aca="1" ref="P3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FINAL]]="",$BK36&gt;$BI$1),2,
AND(Tabela1[[#This Row],[STATUS PROCESSO MOBILIZAÇÃO]]="Em andamento",Tabela1[[#This Row],[DATA REAL - APROV FINAL]]="",$BK36&lt;=$BI$1),3,
AND(Tabela1[[#This Row],[STATUS PROCESSO MOBILIZAÇÃO]]="Em andamento",Tabela1[[#This Row],[DATA REAL - APROV FINAL]]&lt;&gt;""),1)</f>
        <v>0</v>
      </c>
      <c r="Q36" s="15" cm="1">
        <f t="array" aca="1" ref="Q3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CRACHÁ]]="",$BN36&gt;$BL$1),2,
AND(Tabela1[[#This Row],[STATUS PROCESSO MOBILIZAÇÃO]]="Em andamento",Tabela1[[#This Row],[DATA REAL - CRACHÁ]]="",$BN36&lt;=$BL$1),3,
AND(Tabela1[[#This Row],[STATUS PROCESSO MOBILIZAÇÃO]]="Em andamento",Tabela1[[#This Row],[DATA REAL - CRACHÁ]]&lt;&gt;""),1)</f>
        <v>1</v>
      </c>
      <c r="R36" s="21">
        <f>IF(Tabela1[[#This Row],[DATA REAL - FORMS]]&lt;&gt;"",Tabela1[[#This Row],[DATA REAL - FORMS]]+30,Tabela1[[#This Row],[DATA PREV - FORMS]]+35)</f>
        <v>45729</v>
      </c>
      <c r="S3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45726</v>
      </c>
      <c r="T3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38</v>
      </c>
      <c r="U3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v>
      </c>
      <c r="V36" s="49">
        <f>MAX(Tabela1[[#This Row],[DATA REAL - POSTAGEM]],Tabela1[[#This Row],[DATA REAL - APROV FINAL]],Tabela1[[#This Row],[DATA REAL - CRACHÁ]])-MIN(Tabela1[[#This Row],[DATA REAL - POSTAGEM]],Tabela1[[#This Row],[DATA REAL - APROV FINAL]],Tabela1[[#This Row],[DATA REAL - CRACHÁ]])+1</f>
        <v>1</v>
      </c>
      <c r="W3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36" s="15" t="s">
        <v>122</v>
      </c>
      <c r="Y36" s="16" t="s">
        <v>122</v>
      </c>
      <c r="Z36" s="18" t="s">
        <v>124</v>
      </c>
      <c r="AA36" s="18" t="s">
        <v>124</v>
      </c>
      <c r="AB36" s="16" t="s">
        <v>97</v>
      </c>
      <c r="AC36" s="16" t="s">
        <v>252</v>
      </c>
      <c r="AD36" s="16" t="s">
        <v>89</v>
      </c>
      <c r="AE36" s="16" t="s">
        <v>253</v>
      </c>
      <c r="AF36" s="16" t="s">
        <v>254</v>
      </c>
      <c r="AG36" s="16" t="str">
        <f>_xlfn.XLOOKUP(Tabela1[[#This Row],[CÓD. CT]],Controle_Projetos[COD CT],Controle_Projetos[COD PHD],"")</f>
        <v>MILP-CT04-TCLD</v>
      </c>
      <c r="AH36" s="21"/>
      <c r="AI36" s="75">
        <v>45688</v>
      </c>
      <c r="AJ36" s="16" t="str" cm="1">
        <f t="array" aca="1" ref="AJ3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6" s="21">
        <v>45699</v>
      </c>
      <c r="AL36" s="74">
        <v>45699</v>
      </c>
      <c r="AM36" s="16" cm="1">
        <f t="array" aca="1" ref="AM3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6" s="21">
        <f>Tabela1[[#This Row],[DATA PREV - FORMS]]+$AN$1</f>
        <v>45706</v>
      </c>
      <c r="AO36" s="74">
        <v>45699</v>
      </c>
      <c r="AP36" s="16" cm="1">
        <f t="array" aca="1" ref="AP3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6" s="21">
        <f>Tabela1[[#This Row],[DATA PREV - EXAMES]]+$AQ$1</f>
        <v>45708</v>
      </c>
      <c r="AR36" s="74">
        <v>45701</v>
      </c>
      <c r="AS36" s="15" cm="1">
        <f t="array" aca="1" ref="AS3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36" s="21">
        <f>Tabela1[[#This Row],[DATA PREV - FORMS]]+$AT$1</f>
        <v>45700</v>
      </c>
      <c r="AU36" s="74">
        <v>45699</v>
      </c>
      <c r="AV36" s="15" cm="1">
        <f t="array" aca="1" ref="AV3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36" s="21">
        <f>Tabela1[[#This Row],[DATA PREV - TREINAMENTOS]]+$AW$1</f>
        <v>45707</v>
      </c>
      <c r="AX36" s="74">
        <v>45700</v>
      </c>
      <c r="AY36" s="15" cm="1">
        <f t="array" aca="1" ref="AY3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36" s="24">
        <v>45758</v>
      </c>
      <c r="BA36" s="74"/>
      <c r="BB36" s="15" cm="1">
        <f t="array" aca="1" ref="BB3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36" s="21">
        <f>Tabela1[[#This Row],[DATA PREV - CONCL. TREIN.]]+$BC$1</f>
        <v>45709</v>
      </c>
      <c r="BD36" s="74"/>
      <c r="BE36" s="15" cm="1">
        <f t="array" aca="1" ref="BE3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36" s="21">
        <f>Tabela1[[#This Row],[DATA PREV - DOSSIÊ]]+$BF$1</f>
        <v>45712</v>
      </c>
      <c r="BG36" s="74"/>
      <c r="BH36" s="15" cm="1">
        <f t="array" aca="1" ref="BH3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36" s="21">
        <f>Tabela1[[#This Row],[DATA PREV - POSTAGEM]]+$BI$1</f>
        <v>45718</v>
      </c>
      <c r="BJ36" s="74"/>
      <c r="BK36" s="15" cm="1">
        <f t="array" aca="1" ref="BK3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36" s="21">
        <f>Tabela1[[#This Row],[DATA PREV - APROV FINAL]]+$BL$1</f>
        <v>45719</v>
      </c>
      <c r="BM36" s="74">
        <v>45726</v>
      </c>
      <c r="BN36" s="15" cm="1">
        <f t="array" aca="1" ref="BN3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36" s="80" t="s">
        <v>255</v>
      </c>
    </row>
    <row r="37" spans="2:67" ht="18" hidden="1" customHeight="1" x14ac:dyDescent="0.35">
      <c r="B37" s="14" t="s">
        <v>119</v>
      </c>
      <c r="C37" s="16" t="s">
        <v>147</v>
      </c>
      <c r="D37" s="16" t="s">
        <v>119</v>
      </c>
      <c r="E37" s="16"/>
      <c r="F37" s="16" t="s">
        <v>256</v>
      </c>
      <c r="G37" s="16" cm="1">
        <f t="array" ref="G37">_xlfn.IFS(Tabela1[[#This Row],[STATUS PROCESSO MOBILIZAÇÃO]]="Finalizado",1,Tabela1[[#This Row],[STATUS PROCESSO MOBILIZAÇÃO]]="Cancelado",2,Tabela1[[#This Row],[STATUS PROCESSO MOBILIZAÇÃO]]="Em andamento",3)</f>
        <v>2</v>
      </c>
      <c r="H37" s="16" cm="1">
        <f t="array" aca="1" ref="H3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FORMS]]="",$AM37&gt;$AK$1),2,
AND(Tabela1[[#This Row],[STATUS PROCESSO MOBILIZAÇÃO]]="Em andamento",Tabela1[[#This Row],[DATA REAL - FORMS]]="",$AM37&lt;=$AK$1),3,
AND(Tabela1[[#This Row],[STATUS PROCESSO MOBILIZAÇÃO]]="Em andamento",Tabela1[[#This Row],[DATA REAL - FORMS]]&lt;&gt;""),1)</f>
        <v>1</v>
      </c>
      <c r="I37" s="16" cm="1">
        <f t="array" aca="1" ref="I3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EXAMES]]="",$AP37&gt;$AN$1),2,
AND(Tabela1[[#This Row],[STATUS PROCESSO MOBILIZAÇÃO]]="Em andamento",Tabela1[[#This Row],[DATA REAL - EXAMES]]="",$AP37&lt;=$AN$1),3,
AND(Tabela1[[#This Row],[STATUS PROCESSO MOBILIZAÇÃO]]="Em andamento",Tabela1[[#This Row],[DATA REAL - EXAMES]]&lt;&gt;""),1)</f>
        <v>1</v>
      </c>
      <c r="J37" s="16" cm="1">
        <f t="array" aca="1" ref="J3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ASO]]="",$AS37&gt;$AQ$1),2,
AND(Tabela1[[#This Row],[STATUS PROCESSO MOBILIZAÇÃO]]="Em andamento",Tabela1[[#This Row],[DATA REAL - ASO]]="",$AS37&lt;=$AQ$1),3,
AND(Tabela1[[#This Row],[STATUS PROCESSO MOBILIZAÇÃO]]="Em andamento",Tabela1[[#This Row],[DATA REAL - ASO]]&lt;&gt;""),1)</f>
        <v>0</v>
      </c>
      <c r="K37" s="15" cm="1">
        <f t="array" aca="1" ref="K3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TREINAMENTOS]]="",$AV37&gt;$AT$1),2,
AND(Tabela1[[#This Row],[STATUS PROCESSO MOBILIZAÇÃO]]="Em andamento",Tabela1[[#This Row],[DATA REAL - TREINAMENTOS]]="",$AV37&lt;=$AT$1),3,
AND(Tabela1[[#This Row],[STATUS PROCESSO MOBILIZAÇÃO]]="Em andamento",Tabela1[[#This Row],[DATA REAL - TREINAMENTOS]]&lt;&gt;""),1)</f>
        <v>0</v>
      </c>
      <c r="L37" s="15" cm="1">
        <f t="array" aca="1" ref="L3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TREIN.]]="",$AY37&gt;$AW$1),2,
AND(Tabela1[[#This Row],[STATUS PROCESSO MOBILIZAÇÃO]]="Em andamento",Tabela1[[#This Row],[DATA REAL - CONCL. TREIN.]]="",$AY37&lt;=$AW$1),3,
AND(Tabela1[[#This Row],[STATUS PROCESSO MOBILIZAÇÃO]]="Em andamento",Tabela1[[#This Row],[DATA REAL - CONCL. TREIN.]]&lt;&gt;""),1)</f>
        <v>0</v>
      </c>
      <c r="M37" s="15" cm="1">
        <f t="array" aca="1" ref="M3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CONTRATUAL]]="",$BB37&gt;$AZ$1),2,
AND(Tabela1[[#This Row],[STATUS PROCESSO MOBILIZAÇÃO]]="Em andamento",Tabela1[[#This Row],[DATA FIM - ALTER. CONTRATUAL]]="",$BB37&lt;=$AZ$1),3,
AND(Tabela1[[#This Row],[STATUS PROCESSO MOBILIZAÇÃO]]="Em andamento",Tabela1[[#This Row],[DATA FIM - ALTER. CONTRATUAL]]&lt;&gt;""),1)</f>
        <v>0</v>
      </c>
      <c r="N37" s="16" cm="1">
        <f t="array" aca="1" ref="N3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DOSSIÊ]]="",$BE37&gt;$BC$1),2,
AND(Tabela1[[#This Row],[STATUS PROCESSO MOBILIZAÇÃO]]="Em andamento",Tabela1[[#This Row],[DATA REAL - DOSSIÊ]]="",$BE37&lt;=$BC$1),3,
AND(Tabela1[[#This Row],[STATUS PROCESSO MOBILIZAÇÃO]]="Em andamento",Tabela1[[#This Row],[DATA REAL - DOSSIÊ]]&lt;&gt;""),1)</f>
        <v>0</v>
      </c>
      <c r="O37" s="16" cm="1">
        <f t="array" aca="1" ref="O3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POSTAGEM]]="",$BH37&gt;$BF$1),2,
AND(Tabela1[[#This Row],[STATUS PROCESSO MOBILIZAÇÃO]]="Em andamento",Tabela1[[#This Row],[DATA REAL - POSTAGEM]]="",$BH37&lt;=$BF$1),3,
AND(Tabela1[[#This Row],[STATUS PROCESSO MOBILIZAÇÃO]]="Em andamento",Tabela1[[#This Row],[DATA REAL - POSTAGEM]]&lt;&gt;""),1)</f>
        <v>0</v>
      </c>
      <c r="P37" s="16" cm="1">
        <f t="array" aca="1" ref="P3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FINAL]]="",$BK37&gt;$BI$1),2,
AND(Tabela1[[#This Row],[STATUS PROCESSO MOBILIZAÇÃO]]="Em andamento",Tabela1[[#This Row],[DATA REAL - APROV FINAL]]="",$BK37&lt;=$BI$1),3,
AND(Tabela1[[#This Row],[STATUS PROCESSO MOBILIZAÇÃO]]="Em andamento",Tabela1[[#This Row],[DATA REAL - APROV FINAL]]&lt;&gt;""),1)</f>
        <v>0</v>
      </c>
      <c r="Q37" s="15" cm="1">
        <f t="array" aca="1" ref="Q3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CRACHÁ]]="",$BN37&gt;$BL$1),2,
AND(Tabela1[[#This Row],[STATUS PROCESSO MOBILIZAÇÃO]]="Em andamento",Tabela1[[#This Row],[DATA REAL - CRACHÁ]]="",$BN37&lt;=$BL$1),3,
AND(Tabela1[[#This Row],[STATUS PROCESSO MOBILIZAÇÃO]]="Em andamento",Tabela1[[#This Row],[DATA REAL - CRACHÁ]]&lt;&gt;""),1)</f>
        <v>1</v>
      </c>
      <c r="R37" s="21">
        <f>IF(Tabela1[[#This Row],[DATA REAL - FORMS]]&lt;&gt;"",Tabela1[[#This Row],[DATA REAL - FORMS]]+30,Tabela1[[#This Row],[DATA PREV - FORMS]]+35)</f>
        <v>45729</v>
      </c>
      <c r="S3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45709</v>
      </c>
      <c r="T3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3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37" s="49">
        <f>MAX(Tabela1[[#This Row],[DATA REAL - POSTAGEM]],Tabela1[[#This Row],[DATA REAL - APROV FINAL]],Tabela1[[#This Row],[DATA REAL - CRACHÁ]])-MIN(Tabela1[[#This Row],[DATA REAL - POSTAGEM]],Tabela1[[#This Row],[DATA REAL - APROV FINAL]],Tabela1[[#This Row],[DATA REAL - CRACHÁ]])+1</f>
        <v>1</v>
      </c>
      <c r="W3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575</v>
      </c>
      <c r="X37" s="15" t="s">
        <v>83</v>
      </c>
      <c r="Y37" s="16" t="s">
        <v>84</v>
      </c>
      <c r="Z37" s="18" t="s">
        <v>85</v>
      </c>
      <c r="AA37" s="18" t="s">
        <v>86</v>
      </c>
      <c r="AB37" s="16" t="s">
        <v>87</v>
      </c>
      <c r="AC37" s="16" t="s">
        <v>245</v>
      </c>
      <c r="AD37" s="16" t="s">
        <v>246</v>
      </c>
      <c r="AE37" s="16" t="s">
        <v>247</v>
      </c>
      <c r="AF37" s="16" t="s">
        <v>248</v>
      </c>
      <c r="AG37" s="16" t="str">
        <f>_xlfn.XLOOKUP(Tabela1[[#This Row],[CÓD. CT]],Controle_Projetos[COD CT],Controle_Projetos[COD PHD],"")</f>
        <v>PAIN-CT01-PLAN</v>
      </c>
      <c r="AH37" s="21"/>
      <c r="AI37" s="75" t="s">
        <v>249</v>
      </c>
      <c r="AJ37" s="16" t="str" cm="1">
        <f t="array" aca="1" ref="AJ3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7" s="21">
        <v>45699</v>
      </c>
      <c r="AL37" s="74">
        <v>45699</v>
      </c>
      <c r="AM37" s="16" cm="1">
        <f t="array" aca="1" ref="AM3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7" s="21">
        <f>Tabela1[[#This Row],[DATA PREV - FORMS]]+$AN$1</f>
        <v>45706</v>
      </c>
      <c r="AO37" s="74">
        <v>45699</v>
      </c>
      <c r="AP37" s="16" cm="1">
        <f t="array" aca="1" ref="AP3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7" s="21">
        <f>Tabela1[[#This Row],[DATA PREV - EXAMES]]+$AQ$1</f>
        <v>45708</v>
      </c>
      <c r="AR37" s="74"/>
      <c r="AS37" s="15" cm="1">
        <f t="array" aca="1" ref="AS3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37" s="21">
        <f>Tabela1[[#This Row],[DATA PREV - FORMS]]+$AT$1</f>
        <v>45700</v>
      </c>
      <c r="AU37" s="74"/>
      <c r="AV37" s="15" cm="1">
        <f t="array" aca="1" ref="AV3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37" s="21">
        <f>Tabela1[[#This Row],[DATA PREV - TREINAMENTOS]]+$AW$1</f>
        <v>45707</v>
      </c>
      <c r="AX37" s="74"/>
      <c r="AY37" s="15" cm="1">
        <f t="array" aca="1" ref="AY3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37" s="24">
        <v>45825</v>
      </c>
      <c r="BA37" s="74"/>
      <c r="BB37" s="15" cm="1">
        <f t="array" aca="1" ref="BB3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37" s="21">
        <f>Tabela1[[#This Row],[DATA PREV - CONCL. TREIN.]]+$BC$1</f>
        <v>45709</v>
      </c>
      <c r="BD37" s="74"/>
      <c r="BE37" s="15" cm="1">
        <f t="array" aca="1" ref="BE3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37" s="21">
        <f>Tabela1[[#This Row],[DATA PREV - DOSSIÊ]]+$BF$1</f>
        <v>45712</v>
      </c>
      <c r="BG37" s="74"/>
      <c r="BH37" s="15" cm="1">
        <f t="array" aca="1" ref="BH3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37" s="21">
        <f>Tabela1[[#This Row],[DATA PREV - POSTAGEM]]+$BI$1</f>
        <v>45718</v>
      </c>
      <c r="BJ37" s="74"/>
      <c r="BK37" s="15" cm="1">
        <f t="array" aca="1" ref="BK3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37" s="21">
        <f>Tabela1[[#This Row],[DATA PREV - APROV FINAL]]+$BL$1</f>
        <v>45719</v>
      </c>
      <c r="BM37" s="74">
        <v>45709</v>
      </c>
      <c r="BN37" s="15" cm="1">
        <f t="array" aca="1" ref="BN3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37" s="80" t="s">
        <v>257</v>
      </c>
    </row>
    <row r="38" spans="2:67" ht="18" hidden="1" customHeight="1" x14ac:dyDescent="0.35">
      <c r="B38" s="14" t="s">
        <v>79</v>
      </c>
      <c r="C38" s="16" t="s">
        <v>136</v>
      </c>
      <c r="D38" s="16" t="s">
        <v>81</v>
      </c>
      <c r="E38" s="16"/>
      <c r="F38" s="16" t="s">
        <v>258</v>
      </c>
      <c r="G38" s="16" cm="1">
        <f t="array" ref="G38">_xlfn.IFS(Tabela1[[#This Row],[STATUS PROCESSO MOBILIZAÇÃO]]="Finalizado",1,Tabela1[[#This Row],[STATUS PROCESSO MOBILIZAÇÃO]]="Cancelado",2,Tabela1[[#This Row],[STATUS PROCESSO MOBILIZAÇÃO]]="Em andamento",3)</f>
        <v>1</v>
      </c>
      <c r="H38" s="16" cm="1">
        <f t="array" aca="1" ref="H3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FORMS]]="",$AM38&gt;$AK$1),2,
AND(Tabela1[[#This Row],[STATUS PROCESSO MOBILIZAÇÃO]]="Em andamento",Tabela1[[#This Row],[DATA REAL - FORMS]]="",$AM38&lt;=$AK$1),3,
AND(Tabela1[[#This Row],[STATUS PROCESSO MOBILIZAÇÃO]]="Em andamento",Tabela1[[#This Row],[DATA REAL - FORMS]]&lt;&gt;""),1)</f>
        <v>1</v>
      </c>
      <c r="I38" s="16" cm="1">
        <f t="array" aca="1" ref="I3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EXAMES]]="",$AP38&gt;$AN$1),2,
AND(Tabela1[[#This Row],[STATUS PROCESSO MOBILIZAÇÃO]]="Em andamento",Tabela1[[#This Row],[DATA REAL - EXAMES]]="",$AP38&lt;=$AN$1),3,
AND(Tabela1[[#This Row],[STATUS PROCESSO MOBILIZAÇÃO]]="Em andamento",Tabela1[[#This Row],[DATA REAL - EXAMES]]&lt;&gt;""),1)</f>
        <v>1</v>
      </c>
      <c r="J38" s="16" cm="1">
        <f t="array" aca="1" ref="J3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ASO]]="",$AS38&gt;$AQ$1),2,
AND(Tabela1[[#This Row],[STATUS PROCESSO MOBILIZAÇÃO]]="Em andamento",Tabela1[[#This Row],[DATA REAL - ASO]]="",$AS38&lt;=$AQ$1),3,
AND(Tabela1[[#This Row],[STATUS PROCESSO MOBILIZAÇÃO]]="Em andamento",Tabela1[[#This Row],[DATA REAL - ASO]]&lt;&gt;""),1)</f>
        <v>1</v>
      </c>
      <c r="K38" s="15" cm="1">
        <f t="array" aca="1" ref="K3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TREINAMENTOS]]="",$AV38&gt;$AT$1),2,
AND(Tabela1[[#This Row],[STATUS PROCESSO MOBILIZAÇÃO]]="Em andamento",Tabela1[[#This Row],[DATA REAL - TREINAMENTOS]]="",$AV38&lt;=$AT$1),3,
AND(Tabela1[[#This Row],[STATUS PROCESSO MOBILIZAÇÃO]]="Em andamento",Tabela1[[#This Row],[DATA REAL - TREINAMENTOS]]&lt;&gt;""),1)</f>
        <v>1</v>
      </c>
      <c r="L38" s="15" cm="1">
        <f t="array" aca="1" ref="L3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TREIN.]]="",$AY38&gt;$AW$1),2,
AND(Tabela1[[#This Row],[STATUS PROCESSO MOBILIZAÇÃO]]="Em andamento",Tabela1[[#This Row],[DATA REAL - CONCL. TREIN.]]="",$AY38&lt;=$AW$1),3,
AND(Tabela1[[#This Row],[STATUS PROCESSO MOBILIZAÇÃO]]="Em andamento",Tabela1[[#This Row],[DATA REAL - CONCL. TREIN.]]&lt;&gt;""),1)</f>
        <v>1</v>
      </c>
      <c r="M38" s="15" cm="1">
        <f t="array" aca="1" ref="M3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CONTRATUAL]]="",$BB38&gt;$AZ$1),2,
AND(Tabela1[[#This Row],[STATUS PROCESSO MOBILIZAÇÃO]]="Em andamento",Tabela1[[#This Row],[DATA FIM - ALTER. CONTRATUAL]]="",$BB38&lt;=$AZ$1),3,
AND(Tabela1[[#This Row],[STATUS PROCESSO MOBILIZAÇÃO]]="Em andamento",Tabela1[[#This Row],[DATA FIM - ALTER. CONTRATUAL]]&lt;&gt;""),1)</f>
        <v>1</v>
      </c>
      <c r="N38" s="16" cm="1">
        <f t="array" aca="1" ref="N3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DOSSIÊ]]="",$BE38&gt;$BC$1),2,
AND(Tabela1[[#This Row],[STATUS PROCESSO MOBILIZAÇÃO]]="Em andamento",Tabela1[[#This Row],[DATA REAL - DOSSIÊ]]="",$BE38&lt;=$BC$1),3,
AND(Tabela1[[#This Row],[STATUS PROCESSO MOBILIZAÇÃO]]="Em andamento",Tabela1[[#This Row],[DATA REAL - DOSSIÊ]]&lt;&gt;""),1)</f>
        <v>1</v>
      </c>
      <c r="O38" s="16" cm="1">
        <f t="array" aca="1" ref="O3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POSTAGEM]]="",$BH38&gt;$BF$1),2,
AND(Tabela1[[#This Row],[STATUS PROCESSO MOBILIZAÇÃO]]="Em andamento",Tabela1[[#This Row],[DATA REAL - POSTAGEM]]="",$BH38&lt;=$BF$1),3,
AND(Tabela1[[#This Row],[STATUS PROCESSO MOBILIZAÇÃO]]="Em andamento",Tabela1[[#This Row],[DATA REAL - POSTAGEM]]&lt;&gt;""),1)</f>
        <v>1</v>
      </c>
      <c r="P38" s="16" cm="1">
        <f t="array" aca="1" ref="P3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FINAL]]="",$BK38&gt;$BI$1),2,
AND(Tabela1[[#This Row],[STATUS PROCESSO MOBILIZAÇÃO]]="Em andamento",Tabela1[[#This Row],[DATA REAL - APROV FINAL]]="",$BK38&lt;=$BI$1),3,
AND(Tabela1[[#This Row],[STATUS PROCESSO MOBILIZAÇÃO]]="Em andamento",Tabela1[[#This Row],[DATA REAL - APROV FINAL]]&lt;&gt;""),1)</f>
        <v>1</v>
      </c>
      <c r="Q38" s="15" cm="1">
        <f t="array" aca="1" ref="Q3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CRACHÁ]]="",$BN38&gt;$BL$1),2,
AND(Tabela1[[#This Row],[STATUS PROCESSO MOBILIZAÇÃO]]="Em andamento",Tabela1[[#This Row],[DATA REAL - CRACHÁ]]="",$BN38&lt;=$BL$1),3,
AND(Tabela1[[#This Row],[STATUS PROCESSO MOBILIZAÇÃO]]="Em andamento",Tabela1[[#This Row],[DATA REAL - CRACHÁ]]&lt;&gt;""),1)</f>
        <v>1</v>
      </c>
      <c r="R38" s="21">
        <f>IF(Tabela1[[#This Row],[DATA REAL - FORMS]]&lt;&gt;"",Tabela1[[#This Row],[DATA REAL - FORMS]]+30,Tabela1[[#This Row],[DATA PREV - FORMS]]+35)</f>
        <v>45739</v>
      </c>
      <c r="S3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45747</v>
      </c>
      <c r="T3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v>
      </c>
      <c r="U3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43</v>
      </c>
      <c r="V38" s="49">
        <f>MAX(Tabela1[[#This Row],[DATA REAL - POSTAGEM]],Tabela1[[#This Row],[DATA REAL - APROV FINAL]],Tabela1[[#This Row],[DATA REAL - CRACHÁ]])-MIN(Tabela1[[#This Row],[DATA REAL - POSTAGEM]],Tabela1[[#This Row],[DATA REAL - APROV FINAL]],Tabela1[[#This Row],[DATA REAL - CRACHÁ]])+1</f>
        <v>4</v>
      </c>
      <c r="W3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X38" s="15" t="s">
        <v>122</v>
      </c>
      <c r="Y38" s="16" t="s">
        <v>122</v>
      </c>
      <c r="Z38" s="18" t="s">
        <v>124</v>
      </c>
      <c r="AA38" s="18" t="s">
        <v>124</v>
      </c>
      <c r="AB38" s="16" t="s">
        <v>97</v>
      </c>
      <c r="AC38" s="16" t="s">
        <v>199</v>
      </c>
      <c r="AD38" s="16" t="s">
        <v>89</v>
      </c>
      <c r="AE38" s="16" t="s">
        <v>200</v>
      </c>
      <c r="AF38" s="16" t="s">
        <v>201</v>
      </c>
      <c r="AG38" s="16" t="str">
        <f>_xlfn.XLOOKUP(Tabela1[[#This Row],[CÓD. CT]],Controle_Projetos[COD CT],Controle_Projetos[COD PHD],"")</f>
        <v>ENES-CT02-EXCE</v>
      </c>
      <c r="AH38" s="21">
        <v>45671</v>
      </c>
      <c r="AI38" s="75">
        <v>45714</v>
      </c>
      <c r="AJ38" s="16" cm="1">
        <f t="array" aca="1" ref="AJ3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44</v>
      </c>
      <c r="AK38" s="21">
        <v>45701</v>
      </c>
      <c r="AL38" s="74">
        <v>45709</v>
      </c>
      <c r="AM38" s="16" cm="1">
        <f t="array" aca="1" ref="AM3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38" s="21">
        <f>Tabela1[[#This Row],[DATA PREV - FORMS]]+$AN$1</f>
        <v>45708</v>
      </c>
      <c r="AO38" s="74">
        <v>45701</v>
      </c>
      <c r="AP38" s="16" cm="1">
        <f t="array" aca="1" ref="AP3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8" s="21">
        <f>Tabela1[[#This Row],[DATA PREV - EXAMES]]+$AQ$1</f>
        <v>45710</v>
      </c>
      <c r="AR38" s="74">
        <v>45706</v>
      </c>
      <c r="AS38" s="15" cm="1">
        <f t="array" aca="1" ref="AS3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38" s="21">
        <f>Tabela1[[#This Row],[DATA PREV - FORMS]]+$AT$1</f>
        <v>45702</v>
      </c>
      <c r="AU38" s="74">
        <v>45702</v>
      </c>
      <c r="AV38" s="15" cm="1">
        <f t="array" aca="1" ref="AV3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38" s="21">
        <f>Tabela1[[#This Row],[DATA PREV - TREINAMENTOS]]+$AW$1</f>
        <v>45709</v>
      </c>
      <c r="AX38" s="74">
        <v>45702</v>
      </c>
      <c r="AY38" s="15" cm="1">
        <f t="array" aca="1" ref="AY3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38" s="24">
        <v>45678</v>
      </c>
      <c r="BA38" s="74">
        <v>45744</v>
      </c>
      <c r="BB38" s="15" cm="1">
        <f t="array" aca="1" ref="BB3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67</v>
      </c>
      <c r="BC38" s="21">
        <f>Tabela1[[#This Row],[DATA PREV - CONCL. TREIN.]]+$BC$1</f>
        <v>45711</v>
      </c>
      <c r="BD38" s="74">
        <v>45744</v>
      </c>
      <c r="BE38" s="15" cm="1">
        <f t="array" aca="1" ref="BE3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34</v>
      </c>
      <c r="BF38" s="21">
        <f>Tabela1[[#This Row],[DATA PREV - DOSSIÊ]]+$BF$1</f>
        <v>45714</v>
      </c>
      <c r="BG38" s="74">
        <v>45744</v>
      </c>
      <c r="BH38" s="15" cm="1">
        <f t="array" aca="1" ref="BH3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31</v>
      </c>
      <c r="BI38" s="21">
        <f>Tabela1[[#This Row],[DATA PREV - POSTAGEM]]+$BI$1</f>
        <v>45720</v>
      </c>
      <c r="BJ38" s="74">
        <v>45745</v>
      </c>
      <c r="BK38" s="15" cm="1">
        <f t="array" aca="1" ref="BK3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26</v>
      </c>
      <c r="BL38" s="21">
        <f>Tabela1[[#This Row],[DATA PREV - APROV FINAL]]+$BL$1</f>
        <v>45721</v>
      </c>
      <c r="BM38" s="74">
        <v>45747</v>
      </c>
      <c r="BN38" s="15" cm="1">
        <f t="array" aca="1" ref="BN3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27</v>
      </c>
      <c r="BO38" s="80" t="s">
        <v>259</v>
      </c>
    </row>
    <row r="39" spans="2:67" ht="18" hidden="1" customHeight="1" x14ac:dyDescent="0.35">
      <c r="B39" s="14" t="s">
        <v>119</v>
      </c>
      <c r="C39" s="16" t="s">
        <v>147</v>
      </c>
      <c r="D39" s="16" t="s">
        <v>119</v>
      </c>
      <c r="E39" s="16"/>
      <c r="F39" s="16" t="s">
        <v>260</v>
      </c>
      <c r="G39" s="16" cm="1">
        <f t="array" ref="G39">_xlfn.IFS(Tabela1[[#This Row],[STATUS PROCESSO MOBILIZAÇÃO]]="Finalizado",1,Tabela1[[#This Row],[STATUS PROCESSO MOBILIZAÇÃO]]="Cancelado",2,Tabela1[[#This Row],[STATUS PROCESSO MOBILIZAÇÃO]]="Em andamento",3)</f>
        <v>2</v>
      </c>
      <c r="H39" s="16" cm="1">
        <f t="array" aca="1" ref="H3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FORMS]]="",$AM39&gt;$AK$1),2,
AND(Tabela1[[#This Row],[STATUS PROCESSO MOBILIZAÇÃO]]="Em andamento",Tabela1[[#This Row],[DATA REAL - FORMS]]="",$AM39&lt;=$AK$1),3,
AND(Tabela1[[#This Row],[STATUS PROCESSO MOBILIZAÇÃO]]="Em andamento",Tabela1[[#This Row],[DATA REAL - FORMS]]&lt;&gt;""),1)</f>
        <v>1</v>
      </c>
      <c r="I39" s="16" cm="1">
        <f t="array" aca="1" ref="I3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EXAMES]]="",$AP39&gt;$AN$1),2,
AND(Tabela1[[#This Row],[STATUS PROCESSO MOBILIZAÇÃO]]="Em andamento",Tabela1[[#This Row],[DATA REAL - EXAMES]]="",$AP39&lt;=$AN$1),3,
AND(Tabela1[[#This Row],[STATUS PROCESSO MOBILIZAÇÃO]]="Em andamento",Tabela1[[#This Row],[DATA REAL - EXAMES]]&lt;&gt;""),1)</f>
        <v>1</v>
      </c>
      <c r="J39" s="16" cm="1">
        <f t="array" aca="1" ref="J3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ASO]]="",$AS39&gt;$AQ$1),2,
AND(Tabela1[[#This Row],[STATUS PROCESSO MOBILIZAÇÃO]]="Em andamento",Tabela1[[#This Row],[DATA REAL - ASO]]="",$AS39&lt;=$AQ$1),3,
AND(Tabela1[[#This Row],[STATUS PROCESSO MOBILIZAÇÃO]]="Em andamento",Tabela1[[#This Row],[DATA REAL - ASO]]&lt;&gt;""),1)</f>
        <v>1</v>
      </c>
      <c r="K39" s="15" cm="1">
        <f t="array" aca="1" ref="K3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TREINAMENTOS]]="",$AV39&gt;$AT$1),2,
AND(Tabela1[[#This Row],[STATUS PROCESSO MOBILIZAÇÃO]]="Em andamento",Tabela1[[#This Row],[DATA REAL - TREINAMENTOS]]="",$AV39&lt;=$AT$1),3,
AND(Tabela1[[#This Row],[STATUS PROCESSO MOBILIZAÇÃO]]="Em andamento",Tabela1[[#This Row],[DATA REAL - TREINAMENTOS]]&lt;&gt;""),1)</f>
        <v>1</v>
      </c>
      <c r="L39" s="15" cm="1">
        <f t="array" aca="1" ref="L3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TREIN.]]="",$AY39&gt;$AW$1),2,
AND(Tabela1[[#This Row],[STATUS PROCESSO MOBILIZAÇÃO]]="Em andamento",Tabela1[[#This Row],[DATA REAL - CONCL. TREIN.]]="",$AY39&lt;=$AW$1),3,
AND(Tabela1[[#This Row],[STATUS PROCESSO MOBILIZAÇÃO]]="Em andamento",Tabela1[[#This Row],[DATA REAL - CONCL. TREIN.]]&lt;&gt;""),1)</f>
        <v>1</v>
      </c>
      <c r="M39" s="15" cm="1">
        <f t="array" aca="1" ref="M3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CONTRATUAL]]="",$BB39&gt;$AZ$1),2,
AND(Tabela1[[#This Row],[STATUS PROCESSO MOBILIZAÇÃO]]="Em andamento",Tabela1[[#This Row],[DATA FIM - ALTER. CONTRATUAL]]="",$BB39&lt;=$AZ$1),3,
AND(Tabela1[[#This Row],[STATUS PROCESSO MOBILIZAÇÃO]]="Em andamento",Tabela1[[#This Row],[DATA FIM - ALTER. CONTRATUAL]]&lt;&gt;""),1)</f>
        <v>1</v>
      </c>
      <c r="N39" s="16" cm="1">
        <f t="array" aca="1" ref="N3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DOSSIÊ]]="",$BE39&gt;$BC$1),2,
AND(Tabela1[[#This Row],[STATUS PROCESSO MOBILIZAÇÃO]]="Em andamento",Tabela1[[#This Row],[DATA REAL - DOSSIÊ]]="",$BE39&lt;=$BC$1),3,
AND(Tabela1[[#This Row],[STATUS PROCESSO MOBILIZAÇÃO]]="Em andamento",Tabela1[[#This Row],[DATA REAL - DOSSIÊ]]&lt;&gt;""),1)</f>
        <v>1</v>
      </c>
      <c r="O39" s="16" cm="1">
        <f t="array" aca="1" ref="O3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POSTAGEM]]="",$BH39&gt;$BF$1),2,
AND(Tabela1[[#This Row],[STATUS PROCESSO MOBILIZAÇÃO]]="Em andamento",Tabela1[[#This Row],[DATA REAL - POSTAGEM]]="",$BH39&lt;=$BF$1),3,
AND(Tabela1[[#This Row],[STATUS PROCESSO MOBILIZAÇÃO]]="Em andamento",Tabela1[[#This Row],[DATA REAL - POSTAGEM]]&lt;&gt;""),1)</f>
        <v>0</v>
      </c>
      <c r="P39" s="16" cm="1">
        <f t="array" aca="1" ref="P3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FINAL]]="",$BK39&gt;$BI$1),2,
AND(Tabela1[[#This Row],[STATUS PROCESSO MOBILIZAÇÃO]]="Em andamento",Tabela1[[#This Row],[DATA REAL - APROV FINAL]]="",$BK39&lt;=$BI$1),3,
AND(Tabela1[[#This Row],[STATUS PROCESSO MOBILIZAÇÃO]]="Em andamento",Tabela1[[#This Row],[DATA REAL - APROV FINAL]]&lt;&gt;""),1)</f>
        <v>0</v>
      </c>
      <c r="Q39" s="15" cm="1">
        <f t="array" aca="1" ref="Q3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CRACHÁ]]="",$BN39&gt;$BL$1),2,
AND(Tabela1[[#This Row],[STATUS PROCESSO MOBILIZAÇÃO]]="Em andamento",Tabela1[[#This Row],[DATA REAL - CRACHÁ]]="",$BN39&lt;=$BL$1),3,
AND(Tabela1[[#This Row],[STATUS PROCESSO MOBILIZAÇÃO]]="Em andamento",Tabela1[[#This Row],[DATA REAL - CRACHÁ]]&lt;&gt;""),1)</f>
        <v>1</v>
      </c>
      <c r="R39" s="21">
        <f>IF(Tabela1[[#This Row],[DATA REAL - FORMS]]&lt;&gt;"",Tabela1[[#This Row],[DATA REAL - FORMS]]+30,Tabela1[[#This Row],[DATA PREV - FORMS]]+35)</f>
        <v>45735</v>
      </c>
      <c r="S3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45715</v>
      </c>
      <c r="T3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57</v>
      </c>
      <c r="U3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57</v>
      </c>
      <c r="V39" s="49">
        <f>MAX(Tabela1[[#This Row],[DATA REAL - POSTAGEM]],Tabela1[[#This Row],[DATA REAL - APROV FINAL]],Tabela1[[#This Row],[DATA REAL - CRACHÁ]])-MIN(Tabela1[[#This Row],[DATA REAL - POSTAGEM]],Tabela1[[#This Row],[DATA REAL - APROV FINAL]],Tabela1[[#This Row],[DATA REAL - CRACHÁ]])+1</f>
        <v>1</v>
      </c>
      <c r="W3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39" s="15" t="s">
        <v>103</v>
      </c>
      <c r="Y39" s="16" t="s">
        <v>84</v>
      </c>
      <c r="Z39" s="18" t="s">
        <v>104</v>
      </c>
      <c r="AA39" s="18" t="s">
        <v>86</v>
      </c>
      <c r="AB39" s="16" t="s">
        <v>97</v>
      </c>
      <c r="AC39" s="16" t="s">
        <v>261</v>
      </c>
      <c r="AD39" s="16" t="s">
        <v>89</v>
      </c>
      <c r="AE39" s="16" t="s">
        <v>262</v>
      </c>
      <c r="AF39" s="16" t="s">
        <v>263</v>
      </c>
      <c r="AG39" s="16" t="str">
        <f>_xlfn.XLOOKUP(Tabela1[[#This Row],[CÓD. CT]],Controle_Projetos[COD CT],Controle_Projetos[COD PHD],"")</f>
        <v>CEMI-CT02-CAPA</v>
      </c>
      <c r="AH39" s="21">
        <v>45705</v>
      </c>
      <c r="AI39" s="75">
        <v>45658</v>
      </c>
      <c r="AJ39" s="16" t="str" cm="1">
        <f t="array" aca="1" ref="AJ3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39" s="21">
        <v>45705</v>
      </c>
      <c r="AL39" s="74">
        <v>45705</v>
      </c>
      <c r="AM39" s="16" cm="1">
        <f t="array" aca="1" ref="AM3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39" s="21">
        <f>Tabela1[[#This Row],[DATA PREV - FORMS]]+$AN$1</f>
        <v>45712</v>
      </c>
      <c r="AO39" s="74">
        <v>45705</v>
      </c>
      <c r="AP39" s="16" cm="1">
        <f t="array" aca="1" ref="AP3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39" s="21">
        <f>Tabela1[[#This Row],[DATA PREV - EXAMES]]+$AQ$1</f>
        <v>45714</v>
      </c>
      <c r="AR39" s="74">
        <v>45708</v>
      </c>
      <c r="AS39" s="15" cm="1">
        <f t="array" aca="1" ref="AS3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39" s="21">
        <f>Tabela1[[#This Row],[DATA PREV - FORMS]]+$AT$1</f>
        <v>45706</v>
      </c>
      <c r="AU39" s="74">
        <v>45706</v>
      </c>
      <c r="AV39" s="15" cm="1">
        <f t="array" aca="1" ref="AV3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39" s="21">
        <f>Tabela1[[#This Row],[DATA PREV - TREINAMENTOS]]+$AW$1</f>
        <v>45713</v>
      </c>
      <c r="AX39" s="74">
        <v>45714</v>
      </c>
      <c r="AY39" s="15" cm="1">
        <f t="array" aca="1" ref="AY3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39" s="24">
        <v>45733</v>
      </c>
      <c r="BA39" s="74">
        <v>45705</v>
      </c>
      <c r="BB39" s="15" cm="1">
        <f t="array" aca="1" ref="BB3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-27</v>
      </c>
      <c r="BC39" s="21">
        <f>Tabela1[[#This Row],[DATA PREV - CONCL. TREIN.]]+$BC$1</f>
        <v>45715</v>
      </c>
      <c r="BD39" s="74">
        <v>45715</v>
      </c>
      <c r="BE39" s="15" cm="1">
        <f t="array" aca="1" ref="BE3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39" s="21">
        <f>Tabela1[[#This Row],[DATA PREV - DOSSIÊ]]+$BF$1</f>
        <v>45718</v>
      </c>
      <c r="BG39" s="74"/>
      <c r="BH39" s="15" cm="1">
        <f t="array" aca="1" ref="BH3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39" s="21">
        <f>Tabela1[[#This Row],[DATA PREV - POSTAGEM]]+$BI$1</f>
        <v>45724</v>
      </c>
      <c r="BJ39" s="74"/>
      <c r="BK39" s="15" cm="1">
        <f t="array" aca="1" ref="BK3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39" s="21">
        <f>Tabela1[[#This Row],[DATA PREV - APROV FINAL]]+$BL$1</f>
        <v>45725</v>
      </c>
      <c r="BM39" s="74">
        <v>45715</v>
      </c>
      <c r="BN39" s="15" cm="1">
        <f t="array" aca="1" ref="BN3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39" s="80" t="s">
        <v>264</v>
      </c>
    </row>
    <row r="40" spans="2:67" ht="18" hidden="1" customHeight="1" x14ac:dyDescent="0.35">
      <c r="B40" s="14" t="s">
        <v>119</v>
      </c>
      <c r="C40" s="16" t="s">
        <v>136</v>
      </c>
      <c r="D40" s="16" t="s">
        <v>119</v>
      </c>
      <c r="E40" s="16"/>
      <c r="F40" s="16" t="s">
        <v>265</v>
      </c>
      <c r="G40" s="16" cm="1">
        <f t="array" ref="G40">_xlfn.IFS(Tabela1[[#This Row],[STATUS PROCESSO MOBILIZAÇÃO]]="Finalizado",1,Tabela1[[#This Row],[STATUS PROCESSO MOBILIZAÇÃO]]="Cancelado",2,Tabela1[[#This Row],[STATUS PROCESSO MOBILIZAÇÃO]]="Em andamento",3)</f>
        <v>2</v>
      </c>
      <c r="H40" s="16" cm="1">
        <f t="array" aca="1" ref="H4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FORMS]]="",$AM40&gt;$AK$1),2,
AND(Tabela1[[#This Row],[STATUS PROCESSO MOBILIZAÇÃO]]="Em andamento",Tabela1[[#This Row],[DATA REAL - FORMS]]="",$AM40&lt;=$AK$1),3,
AND(Tabela1[[#This Row],[STATUS PROCESSO MOBILIZAÇÃO]]="Em andamento",Tabela1[[#This Row],[DATA REAL - FORMS]]&lt;&gt;""),1)</f>
        <v>0</v>
      </c>
      <c r="I40" s="16" cm="1">
        <f t="array" aca="1" ref="I4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EXAMES]]="",$AP40&gt;$AN$1),2,
AND(Tabela1[[#This Row],[STATUS PROCESSO MOBILIZAÇÃO]]="Em andamento",Tabela1[[#This Row],[DATA REAL - EXAMES]]="",$AP40&lt;=$AN$1),3,
AND(Tabela1[[#This Row],[STATUS PROCESSO MOBILIZAÇÃO]]="Em andamento",Tabela1[[#This Row],[DATA REAL - EXAMES]]&lt;&gt;""),1)</f>
        <v>1</v>
      </c>
      <c r="J40" s="16" cm="1">
        <f t="array" aca="1" ref="J4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ASO]]="",$AS40&gt;$AQ$1),2,
AND(Tabela1[[#This Row],[STATUS PROCESSO MOBILIZAÇÃO]]="Em andamento",Tabela1[[#This Row],[DATA REAL - ASO]]="",$AS40&lt;=$AQ$1),3,
AND(Tabela1[[#This Row],[STATUS PROCESSO MOBILIZAÇÃO]]="Em andamento",Tabela1[[#This Row],[DATA REAL - ASO]]&lt;&gt;""),1)</f>
        <v>0</v>
      </c>
      <c r="K40" s="15" cm="1">
        <f t="array" aca="1" ref="K4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TREINAMENTOS]]="",$AV40&gt;$AT$1),2,
AND(Tabela1[[#This Row],[STATUS PROCESSO MOBILIZAÇÃO]]="Em andamento",Tabela1[[#This Row],[DATA REAL - TREINAMENTOS]]="",$AV40&lt;=$AT$1),3,
AND(Tabela1[[#This Row],[STATUS PROCESSO MOBILIZAÇÃO]]="Em andamento",Tabela1[[#This Row],[DATA REAL - TREINAMENTOS]]&lt;&gt;""),1)</f>
        <v>1</v>
      </c>
      <c r="L40" s="15" cm="1">
        <f t="array" aca="1" ref="L4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TREIN.]]="",$AY40&gt;$AW$1),2,
AND(Tabela1[[#This Row],[STATUS PROCESSO MOBILIZAÇÃO]]="Em andamento",Tabela1[[#This Row],[DATA REAL - CONCL. TREIN.]]="",$AY40&lt;=$AW$1),3,
AND(Tabela1[[#This Row],[STATUS PROCESSO MOBILIZAÇÃO]]="Em andamento",Tabela1[[#This Row],[DATA REAL - CONCL. TREIN.]]&lt;&gt;""),1)</f>
        <v>1</v>
      </c>
      <c r="M40" s="15" cm="1">
        <f t="array" aca="1" ref="M4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CONTRATUAL]]="",$BB40&gt;$AZ$1),2,
AND(Tabela1[[#This Row],[STATUS PROCESSO MOBILIZAÇÃO]]="Em andamento",Tabela1[[#This Row],[DATA FIM - ALTER. CONTRATUAL]]="",$BB40&lt;=$AZ$1),3,
AND(Tabela1[[#This Row],[STATUS PROCESSO MOBILIZAÇÃO]]="Em andamento",Tabela1[[#This Row],[DATA FIM - ALTER. CONTRATUAL]]&lt;&gt;""),1)</f>
        <v>0</v>
      </c>
      <c r="N40" s="16" cm="1">
        <f t="array" aca="1" ref="N4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DOSSIÊ]]="",$BE40&gt;$BC$1),2,
AND(Tabela1[[#This Row],[STATUS PROCESSO MOBILIZAÇÃO]]="Em andamento",Tabela1[[#This Row],[DATA REAL - DOSSIÊ]]="",$BE40&lt;=$BC$1),3,
AND(Tabela1[[#This Row],[STATUS PROCESSO MOBILIZAÇÃO]]="Em andamento",Tabela1[[#This Row],[DATA REAL - DOSSIÊ]]&lt;&gt;""),1)</f>
        <v>0</v>
      </c>
      <c r="O40" s="16" cm="1">
        <f t="array" aca="1" ref="O4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POSTAGEM]]="",$BH40&gt;$BF$1),2,
AND(Tabela1[[#This Row],[STATUS PROCESSO MOBILIZAÇÃO]]="Em andamento",Tabela1[[#This Row],[DATA REAL - POSTAGEM]]="",$BH40&lt;=$BF$1),3,
AND(Tabela1[[#This Row],[STATUS PROCESSO MOBILIZAÇÃO]]="Em andamento",Tabela1[[#This Row],[DATA REAL - POSTAGEM]]&lt;&gt;""),1)</f>
        <v>0</v>
      </c>
      <c r="P40" s="16" cm="1">
        <f t="array" aca="1" ref="P4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FINAL]]="",$BK40&gt;$BI$1),2,
AND(Tabela1[[#This Row],[STATUS PROCESSO MOBILIZAÇÃO]]="Em andamento",Tabela1[[#This Row],[DATA REAL - APROV FINAL]]="",$BK40&lt;=$BI$1),3,
AND(Tabela1[[#This Row],[STATUS PROCESSO MOBILIZAÇÃO]]="Em andamento",Tabela1[[#This Row],[DATA REAL - APROV FINAL]]&lt;&gt;""),1)</f>
        <v>0</v>
      </c>
      <c r="Q40" s="15" cm="1">
        <f t="array" aca="1" ref="Q4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CRACHÁ]]="",$BN40&gt;$BL$1),2,
AND(Tabela1[[#This Row],[STATUS PROCESSO MOBILIZAÇÃO]]="Em andamento",Tabela1[[#This Row],[DATA REAL - CRACHÁ]]="",$BN40&lt;=$BL$1),3,
AND(Tabela1[[#This Row],[STATUS PROCESSO MOBILIZAÇÃO]]="Em andamento",Tabela1[[#This Row],[DATA REAL - CRACHÁ]]&lt;&gt;""),1)</f>
        <v>1</v>
      </c>
      <c r="R40" s="21">
        <f>IF(Tabela1[[#This Row],[DATA REAL - FORMS]]&lt;&gt;"",Tabela1[[#This Row],[DATA REAL - FORMS]]+30,Tabela1[[#This Row],[DATA PREV - FORMS]]+35)</f>
        <v>45740</v>
      </c>
      <c r="S4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45748</v>
      </c>
      <c r="T4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42</v>
      </c>
      <c r="U4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42</v>
      </c>
      <c r="V40" s="49">
        <f>MAX(Tabela1[[#This Row],[DATA REAL - POSTAGEM]],Tabela1[[#This Row],[DATA REAL - APROV FINAL]],Tabela1[[#This Row],[DATA REAL - CRACHÁ]])-MIN(Tabela1[[#This Row],[DATA REAL - POSTAGEM]],Tabela1[[#This Row],[DATA REAL - APROV FINAL]],Tabela1[[#This Row],[DATA REAL - CRACHÁ]])+1</f>
        <v>1</v>
      </c>
      <c r="W4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42</v>
      </c>
      <c r="X40" s="15" t="s">
        <v>150</v>
      </c>
      <c r="Y40" s="16" t="s">
        <v>150</v>
      </c>
      <c r="Z40" s="18" t="s">
        <v>152</v>
      </c>
      <c r="AA40" s="18" t="s">
        <v>152</v>
      </c>
      <c r="AB40" s="16" t="s">
        <v>97</v>
      </c>
      <c r="AC40" s="16" t="s">
        <v>266</v>
      </c>
      <c r="AD40" s="16" t="s">
        <v>266</v>
      </c>
      <c r="AE40" s="16" t="s">
        <v>267</v>
      </c>
      <c r="AF40" s="16" t="s">
        <v>268</v>
      </c>
      <c r="AG40" s="16" t="str">
        <f>_xlfn.XLOOKUP(Tabela1[[#This Row],[CÓD. CT]],Controle_Projetos[COD CT],Controle_Projetos[COD PHD],"")</f>
        <v>GOIA-CT01-GERE</v>
      </c>
      <c r="AH40" s="21">
        <v>45701</v>
      </c>
      <c r="AI40" s="75">
        <v>45748</v>
      </c>
      <c r="AJ40" s="16" cm="1">
        <f t="array" aca="1" ref="AJ4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48</v>
      </c>
      <c r="AK40" s="21">
        <v>45705</v>
      </c>
      <c r="AL40" s="74"/>
      <c r="AM40" s="16" cm="1">
        <f t="array" aca="1" ref="AM4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40" s="21">
        <f>Tabela1[[#This Row],[DATA PREV - FORMS]]+$AN$1</f>
        <v>45712</v>
      </c>
      <c r="AO40" s="74">
        <v>45716</v>
      </c>
      <c r="AP40" s="16" cm="1">
        <f t="array" aca="1" ref="AP4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40" s="21">
        <f>Tabela1[[#This Row],[DATA PREV - EXAMES]]+$AQ$1</f>
        <v>45714</v>
      </c>
      <c r="AR40" s="74"/>
      <c r="AS40" s="15" cm="1">
        <f t="array" aca="1" ref="AS4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40" s="21">
        <f>Tabela1[[#This Row],[DATA PREV - FORMS]]+$AT$1</f>
        <v>45706</v>
      </c>
      <c r="AU40" s="74">
        <v>45706</v>
      </c>
      <c r="AV40" s="15" cm="1">
        <f t="array" aca="1" ref="AV4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40" s="21">
        <f>Tabela1[[#This Row],[DATA PREV - TREINAMENTOS]]+$AW$1</f>
        <v>45713</v>
      </c>
      <c r="AX40" s="74">
        <v>45708</v>
      </c>
      <c r="AY40" s="15" cm="1">
        <f t="array" aca="1" ref="AY4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40" s="24">
        <v>45727</v>
      </c>
      <c r="BA40" s="74"/>
      <c r="BB40" s="15" cm="1">
        <f t="array" aca="1" ref="BB4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40" s="21">
        <f>Tabela1[[#This Row],[DATA PREV - CONCL. TREIN.]]+$BC$1</f>
        <v>45715</v>
      </c>
      <c r="BD40" s="74"/>
      <c r="BE40" s="15" cm="1">
        <f t="array" aca="1" ref="BE4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40" s="21">
        <f>Tabela1[[#This Row],[DATA PREV - DOSSIÊ]]+$BF$1</f>
        <v>45718</v>
      </c>
      <c r="BG40" s="74"/>
      <c r="BH40" s="15" cm="1">
        <f t="array" aca="1" ref="BH4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40" s="21">
        <f>Tabela1[[#This Row],[DATA PREV - POSTAGEM]]+$BI$1</f>
        <v>45724</v>
      </c>
      <c r="BJ40" s="74"/>
      <c r="BK40" s="15" cm="1">
        <f t="array" aca="1" ref="BK4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40" s="21">
        <f>Tabela1[[#This Row],[DATA PREV - APROV FINAL]]+$BL$1</f>
        <v>45725</v>
      </c>
      <c r="BM40" s="74">
        <v>45723</v>
      </c>
      <c r="BN40" s="15" cm="1">
        <f t="array" aca="1" ref="BN4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40" s="80" t="s">
        <v>269</v>
      </c>
    </row>
    <row r="41" spans="2:67" ht="18" hidden="1" customHeight="1" x14ac:dyDescent="0.35">
      <c r="B41" s="14" t="s">
        <v>79</v>
      </c>
      <c r="C41" s="16" t="s">
        <v>136</v>
      </c>
      <c r="D41" s="16" t="s">
        <v>81</v>
      </c>
      <c r="E41" s="16"/>
      <c r="F41" s="16" t="s">
        <v>270</v>
      </c>
      <c r="G41" s="16" cm="1">
        <f t="array" ref="G41">_xlfn.IFS(Tabela1[[#This Row],[STATUS PROCESSO MOBILIZAÇÃO]]="Finalizado",1,Tabela1[[#This Row],[STATUS PROCESSO MOBILIZAÇÃO]]="Cancelado",2,Tabela1[[#This Row],[STATUS PROCESSO MOBILIZAÇÃO]]="Em andamento",3)</f>
        <v>1</v>
      </c>
      <c r="H41" s="16" cm="1">
        <f t="array" aca="1" ref="H4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FORMS]]="",$AM41&gt;$AK$1),2,
AND(Tabela1[[#This Row],[STATUS PROCESSO MOBILIZAÇÃO]]="Em andamento",Tabela1[[#This Row],[DATA REAL - FORMS]]="",$AM41&lt;=$AK$1),3,
AND(Tabela1[[#This Row],[STATUS PROCESSO MOBILIZAÇÃO]]="Em andamento",Tabela1[[#This Row],[DATA REAL - FORMS]]&lt;&gt;""),1)</f>
        <v>1</v>
      </c>
      <c r="I41" s="16" cm="1">
        <f t="array" aca="1" ref="I4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EXAMES]]="",$AP41&gt;$AN$1),2,
AND(Tabela1[[#This Row],[STATUS PROCESSO MOBILIZAÇÃO]]="Em andamento",Tabela1[[#This Row],[DATA REAL - EXAMES]]="",$AP41&lt;=$AN$1),3,
AND(Tabela1[[#This Row],[STATUS PROCESSO MOBILIZAÇÃO]]="Em andamento",Tabela1[[#This Row],[DATA REAL - EXAMES]]&lt;&gt;""),1)</f>
        <v>1</v>
      </c>
      <c r="J41" s="16" cm="1">
        <f t="array" aca="1" ref="J4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ASO]]="",$AS41&gt;$AQ$1),2,
AND(Tabela1[[#This Row],[STATUS PROCESSO MOBILIZAÇÃO]]="Em andamento",Tabela1[[#This Row],[DATA REAL - ASO]]="",$AS41&lt;=$AQ$1),3,
AND(Tabela1[[#This Row],[STATUS PROCESSO MOBILIZAÇÃO]]="Em andamento",Tabela1[[#This Row],[DATA REAL - ASO]]&lt;&gt;""),1)</f>
        <v>1</v>
      </c>
      <c r="K41" s="15" cm="1">
        <f t="array" aca="1" ref="K4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TREINAMENTOS]]="",$AV41&gt;$AT$1),2,
AND(Tabela1[[#This Row],[STATUS PROCESSO MOBILIZAÇÃO]]="Em andamento",Tabela1[[#This Row],[DATA REAL - TREINAMENTOS]]="",$AV41&lt;=$AT$1),3,
AND(Tabela1[[#This Row],[STATUS PROCESSO MOBILIZAÇÃO]]="Em andamento",Tabela1[[#This Row],[DATA REAL - TREINAMENTOS]]&lt;&gt;""),1)</f>
        <v>1</v>
      </c>
      <c r="L41" s="15" cm="1">
        <f t="array" aca="1" ref="L4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TREIN.]]="",$AY41&gt;$AW$1),2,
AND(Tabela1[[#This Row],[STATUS PROCESSO MOBILIZAÇÃO]]="Em andamento",Tabela1[[#This Row],[DATA REAL - CONCL. TREIN.]]="",$AY41&lt;=$AW$1),3,
AND(Tabela1[[#This Row],[STATUS PROCESSO MOBILIZAÇÃO]]="Em andamento",Tabela1[[#This Row],[DATA REAL - CONCL. TREIN.]]&lt;&gt;""),1)</f>
        <v>1</v>
      </c>
      <c r="M41" s="15" cm="1">
        <f t="array" aca="1" ref="M4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CONTRATUAL]]="",$BB41&gt;$AZ$1),2,
AND(Tabela1[[#This Row],[STATUS PROCESSO MOBILIZAÇÃO]]="Em andamento",Tabela1[[#This Row],[DATA FIM - ALTER. CONTRATUAL]]="",$BB41&lt;=$AZ$1),3,
AND(Tabela1[[#This Row],[STATUS PROCESSO MOBILIZAÇÃO]]="Em andamento",Tabela1[[#This Row],[DATA FIM - ALTER. CONTRATUAL]]&lt;&gt;""),1)</f>
        <v>1</v>
      </c>
      <c r="N41" s="16" cm="1">
        <f t="array" aca="1" ref="N4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DOSSIÊ]]="",$BE41&gt;$BC$1),2,
AND(Tabela1[[#This Row],[STATUS PROCESSO MOBILIZAÇÃO]]="Em andamento",Tabela1[[#This Row],[DATA REAL - DOSSIÊ]]="",$BE41&lt;=$BC$1),3,
AND(Tabela1[[#This Row],[STATUS PROCESSO MOBILIZAÇÃO]]="Em andamento",Tabela1[[#This Row],[DATA REAL - DOSSIÊ]]&lt;&gt;""),1)</f>
        <v>1</v>
      </c>
      <c r="O41" s="16" cm="1">
        <f t="array" aca="1" ref="O4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POSTAGEM]]="",$BH41&gt;$BF$1),2,
AND(Tabela1[[#This Row],[STATUS PROCESSO MOBILIZAÇÃO]]="Em andamento",Tabela1[[#This Row],[DATA REAL - POSTAGEM]]="",$BH41&lt;=$BF$1),3,
AND(Tabela1[[#This Row],[STATUS PROCESSO MOBILIZAÇÃO]]="Em andamento",Tabela1[[#This Row],[DATA REAL - POSTAGEM]]&lt;&gt;""),1)</f>
        <v>1</v>
      </c>
      <c r="P41" s="16" cm="1">
        <f t="array" aca="1" ref="P4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FINAL]]="",$BK41&gt;$BI$1),2,
AND(Tabela1[[#This Row],[STATUS PROCESSO MOBILIZAÇÃO]]="Em andamento",Tabela1[[#This Row],[DATA REAL - APROV FINAL]]="",$BK41&lt;=$BI$1),3,
AND(Tabela1[[#This Row],[STATUS PROCESSO MOBILIZAÇÃO]]="Em andamento",Tabela1[[#This Row],[DATA REAL - APROV FINAL]]&lt;&gt;""),1)</f>
        <v>1</v>
      </c>
      <c r="Q41" s="15" cm="1">
        <f t="array" aca="1" ref="Q4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CRACHÁ]]="",$BN41&gt;$BL$1),2,
AND(Tabela1[[#This Row],[STATUS PROCESSO MOBILIZAÇÃO]]="Em andamento",Tabela1[[#This Row],[DATA REAL - CRACHÁ]]="",$BN41&lt;=$BL$1),3,
AND(Tabela1[[#This Row],[STATUS PROCESSO MOBILIZAÇÃO]]="Em andamento",Tabela1[[#This Row],[DATA REAL - CRACHÁ]]&lt;&gt;""),1)</f>
        <v>1</v>
      </c>
      <c r="R41" s="21">
        <f>IF(Tabela1[[#This Row],[DATA REAL - FORMS]]&lt;&gt;"",Tabela1[[#This Row],[DATA REAL - FORMS]]+30,Tabela1[[#This Row],[DATA PREV - FORMS]]+35)</f>
        <v>45738</v>
      </c>
      <c r="S4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45747</v>
      </c>
      <c r="T4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103</v>
      </c>
      <c r="U4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100</v>
      </c>
      <c r="V41" s="49">
        <f>MAX(Tabela1[[#This Row],[DATA REAL - POSTAGEM]],Tabela1[[#This Row],[DATA REAL - APROV FINAL]],Tabela1[[#This Row],[DATA REAL - CRACHÁ]])-MIN(Tabela1[[#This Row],[DATA REAL - POSTAGEM]],Tabela1[[#This Row],[DATA REAL - APROV FINAL]],Tabela1[[#This Row],[DATA REAL - CRACHÁ]])+1</f>
        <v>4</v>
      </c>
      <c r="W4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1" s="15" t="s">
        <v>172</v>
      </c>
      <c r="Y41" s="16" t="s">
        <v>150</v>
      </c>
      <c r="Z41" s="18" t="s">
        <v>173</v>
      </c>
      <c r="AA41" s="18" t="s">
        <v>152</v>
      </c>
      <c r="AB41" s="16" t="s">
        <v>97</v>
      </c>
      <c r="AC41" s="16" t="s">
        <v>174</v>
      </c>
      <c r="AD41" s="16" t="s">
        <v>174</v>
      </c>
      <c r="AE41" s="16" t="s">
        <v>175</v>
      </c>
      <c r="AF41" s="16" t="s">
        <v>176</v>
      </c>
      <c r="AG41" s="16" t="str">
        <f>_xlfn.XLOOKUP(Tabela1[[#This Row],[CÓD. CT]],Controle_Projetos[COD CT],Controle_Projetos[COD PHD],"")</f>
        <v>ALCO-CT02-GERE</v>
      </c>
      <c r="AH41" s="21"/>
      <c r="AI41" s="75">
        <v>45644</v>
      </c>
      <c r="AJ41" s="16" t="str" cm="1">
        <f t="array" aca="1" ref="AJ4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1" s="21">
        <v>45707</v>
      </c>
      <c r="AL41" s="74">
        <v>45708</v>
      </c>
      <c r="AM41" s="16" cm="1">
        <f t="array" aca="1" ref="AM4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41" s="21">
        <f>Tabela1[[#This Row],[DATA PREV - FORMS]]+$AN$1</f>
        <v>45714</v>
      </c>
      <c r="AO41" s="74">
        <v>45708</v>
      </c>
      <c r="AP41" s="16" cm="1">
        <f t="array" aca="1" ref="AP4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41" s="21">
        <f>Tabela1[[#This Row],[DATA PREV - EXAMES]]+$AQ$1</f>
        <v>45716</v>
      </c>
      <c r="AR41" s="74">
        <v>45722</v>
      </c>
      <c r="AS41" s="15" cm="1">
        <f t="array" aca="1" ref="AS4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41" s="21">
        <f>Tabela1[[#This Row],[DATA PREV - FORMS]]+$AT$1</f>
        <v>45708</v>
      </c>
      <c r="AU41" s="74">
        <v>45707</v>
      </c>
      <c r="AV41" s="15" cm="1">
        <f t="array" aca="1" ref="AV4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41" s="21">
        <f>Tabela1[[#This Row],[DATA PREV - TREINAMENTOS]]+$AW$1</f>
        <v>45715</v>
      </c>
      <c r="AX41" s="74">
        <v>45713</v>
      </c>
      <c r="AY41" s="15" cm="1">
        <f t="array" aca="1" ref="AY4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41" s="24">
        <v>45708</v>
      </c>
      <c r="BA41" s="74">
        <v>45744</v>
      </c>
      <c r="BB41" s="15" cm="1">
        <f t="array" aca="1" ref="BB4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37</v>
      </c>
      <c r="BC41" s="21">
        <f>Tabela1[[#This Row],[DATA PREV - CONCL. TREIN.]]+$BC$1</f>
        <v>45717</v>
      </c>
      <c r="BD41" s="74">
        <v>45744</v>
      </c>
      <c r="BE41" s="15" cm="1">
        <f t="array" aca="1" ref="BE4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28</v>
      </c>
      <c r="BF41" s="21">
        <f>Tabela1[[#This Row],[DATA PREV - DOSSIÊ]]+$BF$1</f>
        <v>45720</v>
      </c>
      <c r="BG41" s="74">
        <v>45744</v>
      </c>
      <c r="BH41" s="15" cm="1">
        <f t="array" aca="1" ref="BH4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25</v>
      </c>
      <c r="BI41" s="21">
        <f>Tabela1[[#This Row],[DATA PREV - POSTAGEM]]+$BI$1</f>
        <v>45726</v>
      </c>
      <c r="BJ41" s="74">
        <v>45744</v>
      </c>
      <c r="BK41" s="15" cm="1">
        <f t="array" aca="1" ref="BK4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19</v>
      </c>
      <c r="BL41" s="21">
        <f>Tabela1[[#This Row],[DATA PREV - APROV FINAL]]+$BL$1</f>
        <v>45727</v>
      </c>
      <c r="BM41" s="74">
        <v>45747</v>
      </c>
      <c r="BN41" s="15" cm="1">
        <f t="array" aca="1" ref="BN4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21</v>
      </c>
      <c r="BO41" s="80" t="s">
        <v>271</v>
      </c>
    </row>
    <row r="42" spans="2:67" ht="18" hidden="1" customHeight="1" x14ac:dyDescent="0.35">
      <c r="B42" s="14" t="s">
        <v>79</v>
      </c>
      <c r="C42" s="16" t="s">
        <v>147</v>
      </c>
      <c r="D42" s="16" t="s">
        <v>81</v>
      </c>
      <c r="E42" s="16"/>
      <c r="F42" s="16" t="s">
        <v>272</v>
      </c>
      <c r="G42" s="16" cm="1">
        <f t="array" ref="G42">_xlfn.IFS(Tabela1[[#This Row],[STATUS PROCESSO MOBILIZAÇÃO]]="Finalizado",1,Tabela1[[#This Row],[STATUS PROCESSO MOBILIZAÇÃO]]="Cancelado",2,Tabela1[[#This Row],[STATUS PROCESSO MOBILIZAÇÃO]]="Em andamento",3)</f>
        <v>1</v>
      </c>
      <c r="H42" s="16" cm="1">
        <f t="array" aca="1" ref="H4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FORMS]]="",$AM42&gt;$AK$1),2,
AND(Tabela1[[#This Row],[STATUS PROCESSO MOBILIZAÇÃO]]="Em andamento",Tabela1[[#This Row],[DATA REAL - FORMS]]="",$AM42&lt;=$AK$1),3,
AND(Tabela1[[#This Row],[STATUS PROCESSO MOBILIZAÇÃO]]="Em andamento",Tabela1[[#This Row],[DATA REAL - FORMS]]&lt;&gt;""),1)</f>
        <v>1</v>
      </c>
      <c r="I42" s="16" cm="1">
        <f t="array" aca="1" ref="I4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EXAMES]]="",$AP42&gt;$AN$1),2,
AND(Tabela1[[#This Row],[STATUS PROCESSO MOBILIZAÇÃO]]="Em andamento",Tabela1[[#This Row],[DATA REAL - EXAMES]]="",$AP42&lt;=$AN$1),3,
AND(Tabela1[[#This Row],[STATUS PROCESSO MOBILIZAÇÃO]]="Em andamento",Tabela1[[#This Row],[DATA REAL - EXAMES]]&lt;&gt;""),1)</f>
        <v>1</v>
      </c>
      <c r="J42" s="16" cm="1">
        <f t="array" aca="1" ref="J4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ASO]]="",$AS42&gt;$AQ$1),2,
AND(Tabela1[[#This Row],[STATUS PROCESSO MOBILIZAÇÃO]]="Em andamento",Tabela1[[#This Row],[DATA REAL - ASO]]="",$AS42&lt;=$AQ$1),3,
AND(Tabela1[[#This Row],[STATUS PROCESSO MOBILIZAÇÃO]]="Em andamento",Tabela1[[#This Row],[DATA REAL - ASO]]&lt;&gt;""),1)</f>
        <v>1</v>
      </c>
      <c r="K42" s="15" cm="1">
        <f t="array" aca="1" ref="K4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TREINAMENTOS]]="",$AV42&gt;$AT$1),2,
AND(Tabela1[[#This Row],[STATUS PROCESSO MOBILIZAÇÃO]]="Em andamento",Tabela1[[#This Row],[DATA REAL - TREINAMENTOS]]="",$AV42&lt;=$AT$1),3,
AND(Tabela1[[#This Row],[STATUS PROCESSO MOBILIZAÇÃO]]="Em andamento",Tabela1[[#This Row],[DATA REAL - TREINAMENTOS]]&lt;&gt;""),1)</f>
        <v>1</v>
      </c>
      <c r="L42" s="15" cm="1">
        <f t="array" aca="1" ref="L4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TREIN.]]="",$AY42&gt;$AW$1),2,
AND(Tabela1[[#This Row],[STATUS PROCESSO MOBILIZAÇÃO]]="Em andamento",Tabela1[[#This Row],[DATA REAL - CONCL. TREIN.]]="",$AY42&lt;=$AW$1),3,
AND(Tabela1[[#This Row],[STATUS PROCESSO MOBILIZAÇÃO]]="Em andamento",Tabela1[[#This Row],[DATA REAL - CONCL. TREIN.]]&lt;&gt;""),1)</f>
        <v>1</v>
      </c>
      <c r="M42" s="15" cm="1">
        <f t="array" aca="1" ref="M4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CONTRATUAL]]="",$BB42&gt;$AZ$1),2,
AND(Tabela1[[#This Row],[STATUS PROCESSO MOBILIZAÇÃO]]="Em andamento",Tabela1[[#This Row],[DATA FIM - ALTER. CONTRATUAL]]="",$BB42&lt;=$AZ$1),3,
AND(Tabela1[[#This Row],[STATUS PROCESSO MOBILIZAÇÃO]]="Em andamento",Tabela1[[#This Row],[DATA FIM - ALTER. CONTRATUAL]]&lt;&gt;""),1)</f>
        <v>1</v>
      </c>
      <c r="N42" s="16" cm="1">
        <f t="array" aca="1" ref="N4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DOSSIÊ]]="",$BE42&gt;$BC$1),2,
AND(Tabela1[[#This Row],[STATUS PROCESSO MOBILIZAÇÃO]]="Em andamento",Tabela1[[#This Row],[DATA REAL - DOSSIÊ]]="",$BE42&lt;=$BC$1),3,
AND(Tabela1[[#This Row],[STATUS PROCESSO MOBILIZAÇÃO]]="Em andamento",Tabela1[[#This Row],[DATA REAL - DOSSIÊ]]&lt;&gt;""),1)</f>
        <v>1</v>
      </c>
      <c r="O42" s="16" cm="1">
        <f t="array" aca="1" ref="O4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POSTAGEM]]="",$BH42&gt;$BF$1),2,
AND(Tabela1[[#This Row],[STATUS PROCESSO MOBILIZAÇÃO]]="Em andamento",Tabela1[[#This Row],[DATA REAL - POSTAGEM]]="",$BH42&lt;=$BF$1),3,
AND(Tabela1[[#This Row],[STATUS PROCESSO MOBILIZAÇÃO]]="Em andamento",Tabela1[[#This Row],[DATA REAL - POSTAGEM]]&lt;&gt;""),1)</f>
        <v>1</v>
      </c>
      <c r="P42" s="16" cm="1">
        <f t="array" aca="1" ref="P4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FINAL]]="",$BK42&gt;$BI$1),2,
AND(Tabela1[[#This Row],[STATUS PROCESSO MOBILIZAÇÃO]]="Em andamento",Tabela1[[#This Row],[DATA REAL - APROV FINAL]]="",$BK42&lt;=$BI$1),3,
AND(Tabela1[[#This Row],[STATUS PROCESSO MOBILIZAÇÃO]]="Em andamento",Tabela1[[#This Row],[DATA REAL - APROV FINAL]]&lt;&gt;""),1)</f>
        <v>1</v>
      </c>
      <c r="Q42" s="15" cm="1">
        <f t="array" aca="1" ref="Q4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CRACHÁ]]="",$BN42&gt;$BL$1),2,
AND(Tabela1[[#This Row],[STATUS PROCESSO MOBILIZAÇÃO]]="Em andamento",Tabela1[[#This Row],[DATA REAL - CRACHÁ]]="",$BN42&lt;=$BL$1),3,
AND(Tabela1[[#This Row],[STATUS PROCESSO MOBILIZAÇÃO]]="Em andamento",Tabela1[[#This Row],[DATA REAL - CRACHÁ]]&lt;&gt;""),1)</f>
        <v>1</v>
      </c>
      <c r="R42" s="21">
        <f>IF(Tabela1[[#This Row],[DATA REAL - FORMS]]&lt;&gt;"",Tabela1[[#This Row],[DATA REAL - FORMS]]+30,Tabela1[[#This Row],[DATA PREV - FORMS]]+35)</f>
        <v>45740</v>
      </c>
      <c r="S4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45730</v>
      </c>
      <c r="T4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4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42" s="49">
        <f>MAX(Tabela1[[#This Row],[DATA REAL - POSTAGEM]],Tabela1[[#This Row],[DATA REAL - APROV FINAL]],Tabela1[[#This Row],[DATA REAL - CRACHÁ]])-MIN(Tabela1[[#This Row],[DATA REAL - POSTAGEM]],Tabela1[[#This Row],[DATA REAL - APROV FINAL]],Tabela1[[#This Row],[DATA REAL - CRACHÁ]])+1</f>
        <v>8</v>
      </c>
      <c r="W4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2" s="15" t="s">
        <v>130</v>
      </c>
      <c r="Y42" s="16" t="s">
        <v>130</v>
      </c>
      <c r="Z42" s="18" t="s">
        <v>131</v>
      </c>
      <c r="AA42" s="18" t="s">
        <v>131</v>
      </c>
      <c r="AB42" s="16" t="s">
        <v>97</v>
      </c>
      <c r="AC42" s="16" t="s">
        <v>132</v>
      </c>
      <c r="AD42" s="16" t="s">
        <v>132</v>
      </c>
      <c r="AE42" s="16" t="s">
        <v>273</v>
      </c>
      <c r="AF42" s="16" t="s">
        <v>274</v>
      </c>
      <c r="AG42" s="16" t="str">
        <f>_xlfn.XLOOKUP(Tabela1[[#This Row],[CÓD. CT]],Controle_Projetos[COD CT],Controle_Projetos[COD PHD],"")</f>
        <v>GERD-CT11-DIVI</v>
      </c>
      <c r="AH42" s="21">
        <v>45707</v>
      </c>
      <c r="AI42" s="75">
        <v>45705</v>
      </c>
      <c r="AJ42" s="16" t="str" cm="1">
        <f t="array" aca="1" ref="AJ4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2" s="21">
        <v>45707</v>
      </c>
      <c r="AL42" s="74">
        <v>45710</v>
      </c>
      <c r="AM42" s="16" cm="1">
        <f t="array" aca="1" ref="AM4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42" s="21">
        <f>Tabela1[[#This Row],[DATA PREV - FORMS]]+$AN$1</f>
        <v>45714</v>
      </c>
      <c r="AO42" s="74">
        <v>45708</v>
      </c>
      <c r="AP42" s="16" cm="1">
        <f t="array" aca="1" ref="AP4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42" s="21">
        <f>Tabela1[[#This Row],[DATA PREV - EXAMES]]+$AQ$1</f>
        <v>45716</v>
      </c>
      <c r="AR42" s="74">
        <v>45723</v>
      </c>
      <c r="AS42" s="15" cm="1">
        <f t="array" aca="1" ref="AS4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42" s="21">
        <f>Tabela1[[#This Row],[DATA PREV - FORMS]]+$AT$1</f>
        <v>45708</v>
      </c>
      <c r="AU42" s="74">
        <v>45709</v>
      </c>
      <c r="AV42" s="15" cm="1">
        <f t="array" aca="1" ref="AV4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42" s="21">
        <f>Tabela1[[#This Row],[DATA PREV - TREINAMENTOS]]+$AW$1</f>
        <v>45715</v>
      </c>
      <c r="AX42" s="74">
        <v>45728</v>
      </c>
      <c r="AY42" s="15" cm="1">
        <f t="array" aca="1" ref="AY4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14</v>
      </c>
      <c r="AZ42" s="24">
        <v>45645</v>
      </c>
      <c r="BA42" s="74">
        <v>45708</v>
      </c>
      <c r="BB42" s="15" cm="1">
        <f t="array" aca="1" ref="BB4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64</v>
      </c>
      <c r="BC42" s="21">
        <f>Tabela1[[#This Row],[DATA PREV - CONCL. TREIN.]]+$BC$1</f>
        <v>45717</v>
      </c>
      <c r="BD42" s="74">
        <v>45723</v>
      </c>
      <c r="BE42" s="15" cm="1">
        <f t="array" aca="1" ref="BE4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42" s="21">
        <f>Tabela1[[#This Row],[DATA PREV - DOSSIÊ]]+$BF$1</f>
        <v>45720</v>
      </c>
      <c r="BG42" s="74">
        <v>45723</v>
      </c>
      <c r="BH42" s="15" cm="1">
        <f t="array" aca="1" ref="BH4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42" s="21">
        <f>Tabela1[[#This Row],[DATA PREV - POSTAGEM]]+$BI$1</f>
        <v>45726</v>
      </c>
      <c r="BJ42" s="74">
        <v>45730</v>
      </c>
      <c r="BK42" s="15" cm="1">
        <f t="array" aca="1" ref="BK4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42" s="21">
        <f>Tabela1[[#This Row],[DATA PREV - APROV FINAL]]+$BL$1</f>
        <v>45727</v>
      </c>
      <c r="BM42" s="74">
        <v>45730</v>
      </c>
      <c r="BN42" s="15" cm="1">
        <f t="array" aca="1" ref="BN4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42" s="80" t="s">
        <v>275</v>
      </c>
    </row>
    <row r="43" spans="2:67" ht="18" hidden="1" customHeight="1" x14ac:dyDescent="0.35">
      <c r="B43" s="14" t="s">
        <v>79</v>
      </c>
      <c r="C43" s="16" t="s">
        <v>147</v>
      </c>
      <c r="D43" s="16" t="s">
        <v>81</v>
      </c>
      <c r="E43" s="16"/>
      <c r="F43" s="16" t="s">
        <v>276</v>
      </c>
      <c r="G43" s="16" cm="1">
        <f t="array" ref="G43">_xlfn.IFS(Tabela1[[#This Row],[STATUS PROCESSO MOBILIZAÇÃO]]="Finalizado",1,Tabela1[[#This Row],[STATUS PROCESSO MOBILIZAÇÃO]]="Cancelado",2,Tabela1[[#This Row],[STATUS PROCESSO MOBILIZAÇÃO]]="Em andamento",3)</f>
        <v>1</v>
      </c>
      <c r="H43" s="16" cm="1">
        <f t="array" aca="1" ref="H4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FORMS]]="",$AM43&gt;$AK$1),2,
AND(Tabela1[[#This Row],[STATUS PROCESSO MOBILIZAÇÃO]]="Em andamento",Tabela1[[#This Row],[DATA REAL - FORMS]]="",$AM43&lt;=$AK$1),3,
AND(Tabela1[[#This Row],[STATUS PROCESSO MOBILIZAÇÃO]]="Em andamento",Tabela1[[#This Row],[DATA REAL - FORMS]]&lt;&gt;""),1)</f>
        <v>1</v>
      </c>
      <c r="I43" s="16" cm="1">
        <f t="array" aca="1" ref="I4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EXAMES]]="",$AP43&gt;$AN$1),2,
AND(Tabela1[[#This Row],[STATUS PROCESSO MOBILIZAÇÃO]]="Em andamento",Tabela1[[#This Row],[DATA REAL - EXAMES]]="",$AP43&lt;=$AN$1),3,
AND(Tabela1[[#This Row],[STATUS PROCESSO MOBILIZAÇÃO]]="Em andamento",Tabela1[[#This Row],[DATA REAL - EXAMES]]&lt;&gt;""),1)</f>
        <v>1</v>
      </c>
      <c r="J43" s="16" cm="1">
        <f t="array" aca="1" ref="J4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ASO]]="",$AS43&gt;$AQ$1),2,
AND(Tabela1[[#This Row],[STATUS PROCESSO MOBILIZAÇÃO]]="Em andamento",Tabela1[[#This Row],[DATA REAL - ASO]]="",$AS43&lt;=$AQ$1),3,
AND(Tabela1[[#This Row],[STATUS PROCESSO MOBILIZAÇÃO]]="Em andamento",Tabela1[[#This Row],[DATA REAL - ASO]]&lt;&gt;""),1)</f>
        <v>1</v>
      </c>
      <c r="K43" s="15" cm="1">
        <f t="array" aca="1" ref="K4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TREINAMENTOS]]="",$AV43&gt;$AT$1),2,
AND(Tabela1[[#This Row],[STATUS PROCESSO MOBILIZAÇÃO]]="Em andamento",Tabela1[[#This Row],[DATA REAL - TREINAMENTOS]]="",$AV43&lt;=$AT$1),3,
AND(Tabela1[[#This Row],[STATUS PROCESSO MOBILIZAÇÃO]]="Em andamento",Tabela1[[#This Row],[DATA REAL - TREINAMENTOS]]&lt;&gt;""),1)</f>
        <v>1</v>
      </c>
      <c r="L43" s="15" cm="1">
        <f t="array" aca="1" ref="L4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TREIN.]]="",$AY43&gt;$AW$1),2,
AND(Tabela1[[#This Row],[STATUS PROCESSO MOBILIZAÇÃO]]="Em andamento",Tabela1[[#This Row],[DATA REAL - CONCL. TREIN.]]="",$AY43&lt;=$AW$1),3,
AND(Tabela1[[#This Row],[STATUS PROCESSO MOBILIZAÇÃO]]="Em andamento",Tabela1[[#This Row],[DATA REAL - CONCL. TREIN.]]&lt;&gt;""),1)</f>
        <v>1</v>
      </c>
      <c r="M43" s="15" cm="1">
        <f t="array" aca="1" ref="M4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CONTRATUAL]]="",$BB43&gt;$AZ$1),2,
AND(Tabela1[[#This Row],[STATUS PROCESSO MOBILIZAÇÃO]]="Em andamento",Tabela1[[#This Row],[DATA FIM - ALTER. CONTRATUAL]]="",$BB43&lt;=$AZ$1),3,
AND(Tabela1[[#This Row],[STATUS PROCESSO MOBILIZAÇÃO]]="Em andamento",Tabela1[[#This Row],[DATA FIM - ALTER. CONTRATUAL]]&lt;&gt;""),1)</f>
        <v>1</v>
      </c>
      <c r="N43" s="16" cm="1">
        <f t="array" aca="1" ref="N4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DOSSIÊ]]="",$BE43&gt;$BC$1),2,
AND(Tabela1[[#This Row],[STATUS PROCESSO MOBILIZAÇÃO]]="Em andamento",Tabela1[[#This Row],[DATA REAL - DOSSIÊ]]="",$BE43&lt;=$BC$1),3,
AND(Tabela1[[#This Row],[STATUS PROCESSO MOBILIZAÇÃO]]="Em andamento",Tabela1[[#This Row],[DATA REAL - DOSSIÊ]]&lt;&gt;""),1)</f>
        <v>1</v>
      </c>
      <c r="O43" s="16" cm="1">
        <f t="array" aca="1" ref="O4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POSTAGEM]]="",$BH43&gt;$BF$1),2,
AND(Tabela1[[#This Row],[STATUS PROCESSO MOBILIZAÇÃO]]="Em andamento",Tabela1[[#This Row],[DATA REAL - POSTAGEM]]="",$BH43&lt;=$BF$1),3,
AND(Tabela1[[#This Row],[STATUS PROCESSO MOBILIZAÇÃO]]="Em andamento",Tabela1[[#This Row],[DATA REAL - POSTAGEM]]&lt;&gt;""),1)</f>
        <v>1</v>
      </c>
      <c r="P43" s="16" cm="1">
        <f t="array" aca="1" ref="P4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FINAL]]="",$BK43&gt;$BI$1),2,
AND(Tabela1[[#This Row],[STATUS PROCESSO MOBILIZAÇÃO]]="Em andamento",Tabela1[[#This Row],[DATA REAL - APROV FINAL]]="",$BK43&lt;=$BI$1),3,
AND(Tabela1[[#This Row],[STATUS PROCESSO MOBILIZAÇÃO]]="Em andamento",Tabela1[[#This Row],[DATA REAL - APROV FINAL]]&lt;&gt;""),1)</f>
        <v>1</v>
      </c>
      <c r="Q43" s="15" cm="1">
        <f t="array" aca="1" ref="Q4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CRACHÁ]]="",$BN43&gt;$BL$1),2,
AND(Tabela1[[#This Row],[STATUS PROCESSO MOBILIZAÇÃO]]="Em andamento",Tabela1[[#This Row],[DATA REAL - CRACHÁ]]="",$BN43&lt;=$BL$1),3,
AND(Tabela1[[#This Row],[STATUS PROCESSO MOBILIZAÇÃO]]="Em andamento",Tabela1[[#This Row],[DATA REAL - CRACHÁ]]&lt;&gt;""),1)</f>
        <v>1</v>
      </c>
      <c r="R43" s="21">
        <f>IF(Tabela1[[#This Row],[DATA REAL - FORMS]]&lt;&gt;"",Tabela1[[#This Row],[DATA REAL - FORMS]]+30,Tabela1[[#This Row],[DATA PREV - FORMS]]+35)</f>
        <v>45740</v>
      </c>
      <c r="S4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45730</v>
      </c>
      <c r="T4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4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43" s="49">
        <f>MAX(Tabela1[[#This Row],[DATA REAL - POSTAGEM]],Tabela1[[#This Row],[DATA REAL - APROV FINAL]],Tabela1[[#This Row],[DATA REAL - CRACHÁ]])-MIN(Tabela1[[#This Row],[DATA REAL - POSTAGEM]],Tabela1[[#This Row],[DATA REAL - APROV FINAL]],Tabela1[[#This Row],[DATA REAL - CRACHÁ]])+1</f>
        <v>8</v>
      </c>
      <c r="W4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3" s="15" t="s">
        <v>130</v>
      </c>
      <c r="Y43" s="16" t="s">
        <v>130</v>
      </c>
      <c r="Z43" s="18" t="s">
        <v>131</v>
      </c>
      <c r="AA43" s="18" t="s">
        <v>131</v>
      </c>
      <c r="AB43" s="16" t="s">
        <v>97</v>
      </c>
      <c r="AC43" s="16" t="s">
        <v>132</v>
      </c>
      <c r="AD43" s="16" t="s">
        <v>132</v>
      </c>
      <c r="AE43" s="16" t="s">
        <v>273</v>
      </c>
      <c r="AF43" s="16" t="s">
        <v>274</v>
      </c>
      <c r="AG43" s="16" t="str">
        <f>_xlfn.XLOOKUP(Tabela1[[#This Row],[CÓD. CT]],Controle_Projetos[COD CT],Controle_Projetos[COD PHD],"")</f>
        <v>GERD-CT11-DIVI</v>
      </c>
      <c r="AH43" s="21">
        <v>45707</v>
      </c>
      <c r="AI43" s="75">
        <v>45705</v>
      </c>
      <c r="AJ43" s="16" t="str" cm="1">
        <f t="array" aca="1" ref="AJ4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3" s="21">
        <v>45707</v>
      </c>
      <c r="AL43" s="74">
        <v>45710</v>
      </c>
      <c r="AM43" s="16" cm="1">
        <f t="array" aca="1" ref="AM4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43" s="21">
        <f>Tabela1[[#This Row],[DATA PREV - FORMS]]+$AN$1</f>
        <v>45714</v>
      </c>
      <c r="AO43" s="74">
        <v>45708</v>
      </c>
      <c r="AP43" s="16" cm="1">
        <f t="array" aca="1" ref="AP4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43" s="21">
        <f>Tabela1[[#This Row],[DATA PREV - EXAMES]]+$AQ$1</f>
        <v>45716</v>
      </c>
      <c r="AR43" s="74">
        <v>45716</v>
      </c>
      <c r="AS43" s="15" cm="1">
        <f t="array" aca="1" ref="AS4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43" s="21">
        <f>Tabela1[[#This Row],[DATA PREV - FORMS]]+$AT$1</f>
        <v>45708</v>
      </c>
      <c r="AU43" s="74">
        <v>45709</v>
      </c>
      <c r="AV43" s="15" cm="1">
        <f t="array" aca="1" ref="AV4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43" s="21">
        <f>Tabela1[[#This Row],[DATA PREV - TREINAMENTOS]]+$AW$1</f>
        <v>45715</v>
      </c>
      <c r="AX43" s="74">
        <v>45728</v>
      </c>
      <c r="AY43" s="15" cm="1">
        <f t="array" aca="1" ref="AY4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14</v>
      </c>
      <c r="AZ43" s="24">
        <v>45708</v>
      </c>
      <c r="BA43" s="74">
        <v>45708</v>
      </c>
      <c r="BB43" s="15" cm="1">
        <f t="array" aca="1" ref="BB4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43" s="21">
        <f>Tabela1[[#This Row],[DATA PREV - CONCL. TREIN.]]+$BC$1</f>
        <v>45717</v>
      </c>
      <c r="BD43" s="74">
        <v>45723</v>
      </c>
      <c r="BE43" s="15" cm="1">
        <f t="array" aca="1" ref="BE4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43" s="21">
        <f>Tabela1[[#This Row],[DATA PREV - DOSSIÊ]]+$BF$1</f>
        <v>45720</v>
      </c>
      <c r="BG43" s="74">
        <v>45723</v>
      </c>
      <c r="BH43" s="15" cm="1">
        <f t="array" aca="1" ref="BH4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43" s="21">
        <f>Tabela1[[#This Row],[DATA PREV - POSTAGEM]]+$BI$1</f>
        <v>45726</v>
      </c>
      <c r="BJ43" s="74">
        <v>45730</v>
      </c>
      <c r="BK43" s="15" cm="1">
        <f t="array" aca="1" ref="BK4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43" s="21">
        <f>Tabela1[[#This Row],[DATA PREV - APROV FINAL]]+$BL$1</f>
        <v>45727</v>
      </c>
      <c r="BM43" s="74">
        <v>45730</v>
      </c>
      <c r="BN43" s="15" cm="1">
        <f t="array" aca="1" ref="BN4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43" s="80" t="s">
        <v>277</v>
      </c>
    </row>
    <row r="44" spans="2:67" ht="18" hidden="1" customHeight="1" x14ac:dyDescent="0.35">
      <c r="B44" s="14" t="s">
        <v>79</v>
      </c>
      <c r="C44" s="16" t="s">
        <v>147</v>
      </c>
      <c r="D44" s="16" t="s">
        <v>81</v>
      </c>
      <c r="E44" s="16"/>
      <c r="F44" s="16" t="s">
        <v>278</v>
      </c>
      <c r="G44" s="16" cm="1">
        <f t="array" ref="G44">_xlfn.IFS(Tabela1[[#This Row],[STATUS PROCESSO MOBILIZAÇÃO]]="Finalizado",1,Tabela1[[#This Row],[STATUS PROCESSO MOBILIZAÇÃO]]="Cancelado",2,Tabela1[[#This Row],[STATUS PROCESSO MOBILIZAÇÃO]]="Em andamento",3)</f>
        <v>1</v>
      </c>
      <c r="H44" s="16" cm="1">
        <f t="array" aca="1" ref="H4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FORMS]]="",$AM44&gt;$AK$1),2,
AND(Tabela1[[#This Row],[STATUS PROCESSO MOBILIZAÇÃO]]="Em andamento",Tabela1[[#This Row],[DATA REAL - FORMS]]="",$AM44&lt;=$AK$1),3,
AND(Tabela1[[#This Row],[STATUS PROCESSO MOBILIZAÇÃO]]="Em andamento",Tabela1[[#This Row],[DATA REAL - FORMS]]&lt;&gt;""),1)</f>
        <v>1</v>
      </c>
      <c r="I44" s="16" cm="1">
        <f t="array" aca="1" ref="I4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EXAMES]]="",$AP44&gt;$AN$1),2,
AND(Tabela1[[#This Row],[STATUS PROCESSO MOBILIZAÇÃO]]="Em andamento",Tabela1[[#This Row],[DATA REAL - EXAMES]]="",$AP44&lt;=$AN$1),3,
AND(Tabela1[[#This Row],[STATUS PROCESSO MOBILIZAÇÃO]]="Em andamento",Tabela1[[#This Row],[DATA REAL - EXAMES]]&lt;&gt;""),1)</f>
        <v>1</v>
      </c>
      <c r="J44" s="16" cm="1">
        <f t="array" aca="1" ref="J4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ASO]]="",$AS44&gt;$AQ$1),2,
AND(Tabela1[[#This Row],[STATUS PROCESSO MOBILIZAÇÃO]]="Em andamento",Tabela1[[#This Row],[DATA REAL - ASO]]="",$AS44&lt;=$AQ$1),3,
AND(Tabela1[[#This Row],[STATUS PROCESSO MOBILIZAÇÃO]]="Em andamento",Tabela1[[#This Row],[DATA REAL - ASO]]&lt;&gt;""),1)</f>
        <v>1</v>
      </c>
      <c r="K44" s="15" cm="1">
        <f t="array" aca="1" ref="K4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TREINAMENTOS]]="",$AV44&gt;$AT$1),2,
AND(Tabela1[[#This Row],[STATUS PROCESSO MOBILIZAÇÃO]]="Em andamento",Tabela1[[#This Row],[DATA REAL - TREINAMENTOS]]="",$AV44&lt;=$AT$1),3,
AND(Tabela1[[#This Row],[STATUS PROCESSO MOBILIZAÇÃO]]="Em andamento",Tabela1[[#This Row],[DATA REAL - TREINAMENTOS]]&lt;&gt;""),1)</f>
        <v>1</v>
      </c>
      <c r="L44" s="15" cm="1">
        <f t="array" aca="1" ref="L4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TREIN.]]="",$AY44&gt;$AW$1),2,
AND(Tabela1[[#This Row],[STATUS PROCESSO MOBILIZAÇÃO]]="Em andamento",Tabela1[[#This Row],[DATA REAL - CONCL. TREIN.]]="",$AY44&lt;=$AW$1),3,
AND(Tabela1[[#This Row],[STATUS PROCESSO MOBILIZAÇÃO]]="Em andamento",Tabela1[[#This Row],[DATA REAL - CONCL. TREIN.]]&lt;&gt;""),1)</f>
        <v>1</v>
      </c>
      <c r="M44" s="15" cm="1">
        <f t="array" aca="1" ref="M4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CONTRATUAL]]="",$BB44&gt;$AZ$1),2,
AND(Tabela1[[#This Row],[STATUS PROCESSO MOBILIZAÇÃO]]="Em andamento",Tabela1[[#This Row],[DATA FIM - ALTER. CONTRATUAL]]="",$BB44&lt;=$AZ$1),3,
AND(Tabela1[[#This Row],[STATUS PROCESSO MOBILIZAÇÃO]]="Em andamento",Tabela1[[#This Row],[DATA FIM - ALTER. CONTRATUAL]]&lt;&gt;""),1)</f>
        <v>1</v>
      </c>
      <c r="N44" s="16" cm="1">
        <f t="array" aca="1" ref="N4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DOSSIÊ]]="",$BE44&gt;$BC$1),2,
AND(Tabela1[[#This Row],[STATUS PROCESSO MOBILIZAÇÃO]]="Em andamento",Tabela1[[#This Row],[DATA REAL - DOSSIÊ]]="",$BE44&lt;=$BC$1),3,
AND(Tabela1[[#This Row],[STATUS PROCESSO MOBILIZAÇÃO]]="Em andamento",Tabela1[[#This Row],[DATA REAL - DOSSIÊ]]&lt;&gt;""),1)</f>
        <v>1</v>
      </c>
      <c r="O44" s="16" cm="1">
        <f t="array" aca="1" ref="O4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POSTAGEM]]="",$BH44&gt;$BF$1),2,
AND(Tabela1[[#This Row],[STATUS PROCESSO MOBILIZAÇÃO]]="Em andamento",Tabela1[[#This Row],[DATA REAL - POSTAGEM]]="",$BH44&lt;=$BF$1),3,
AND(Tabela1[[#This Row],[STATUS PROCESSO MOBILIZAÇÃO]]="Em andamento",Tabela1[[#This Row],[DATA REAL - POSTAGEM]]&lt;&gt;""),1)</f>
        <v>1</v>
      </c>
      <c r="P44" s="16" cm="1">
        <f t="array" aca="1" ref="P4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FINAL]]="",$BK44&gt;$BI$1),2,
AND(Tabela1[[#This Row],[STATUS PROCESSO MOBILIZAÇÃO]]="Em andamento",Tabela1[[#This Row],[DATA REAL - APROV FINAL]]="",$BK44&lt;=$BI$1),3,
AND(Tabela1[[#This Row],[STATUS PROCESSO MOBILIZAÇÃO]]="Em andamento",Tabela1[[#This Row],[DATA REAL - APROV FINAL]]&lt;&gt;""),1)</f>
        <v>1</v>
      </c>
      <c r="Q44" s="15" cm="1">
        <f t="array" aca="1" ref="Q4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CRACHÁ]]="",$BN44&gt;$BL$1),2,
AND(Tabela1[[#This Row],[STATUS PROCESSO MOBILIZAÇÃO]]="Em andamento",Tabela1[[#This Row],[DATA REAL - CRACHÁ]]="",$BN44&lt;=$BL$1),3,
AND(Tabela1[[#This Row],[STATUS PROCESSO MOBILIZAÇÃO]]="Em andamento",Tabela1[[#This Row],[DATA REAL - CRACHÁ]]&lt;&gt;""),1)</f>
        <v>1</v>
      </c>
      <c r="R44" s="21">
        <f>IF(Tabela1[[#This Row],[DATA REAL - FORMS]]&lt;&gt;"",Tabela1[[#This Row],[DATA REAL - FORMS]]+30,Tabela1[[#This Row],[DATA PREV - FORMS]]+35)</f>
        <v>45740</v>
      </c>
      <c r="S4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45735</v>
      </c>
      <c r="T4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U4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28</v>
      </c>
      <c r="V44" s="49">
        <f>MAX(Tabela1[[#This Row],[DATA REAL - POSTAGEM]],Tabela1[[#This Row],[DATA REAL - APROV FINAL]],Tabela1[[#This Row],[DATA REAL - CRACHÁ]])-MIN(Tabela1[[#This Row],[DATA REAL - POSTAGEM]],Tabela1[[#This Row],[DATA REAL - APROV FINAL]],Tabela1[[#This Row],[DATA REAL - CRACHÁ]])+1</f>
        <v>6</v>
      </c>
      <c r="W4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4" s="15"/>
      <c r="Y44" s="16" t="s">
        <v>130</v>
      </c>
      <c r="Z44" s="18"/>
      <c r="AA44" s="18" t="s">
        <v>131</v>
      </c>
      <c r="AB44" s="16" t="s">
        <v>87</v>
      </c>
      <c r="AC44" s="16" t="s">
        <v>132</v>
      </c>
      <c r="AD44" s="16" t="s">
        <v>132</v>
      </c>
      <c r="AE44" s="16" t="s">
        <v>273</v>
      </c>
      <c r="AF44" s="16" t="s">
        <v>274</v>
      </c>
      <c r="AG44" s="16" t="str">
        <f>_xlfn.XLOOKUP(Tabela1[[#This Row],[CÓD. CT]],Controle_Projetos[COD CT],Controle_Projetos[COD PHD],"")</f>
        <v>GERD-CT11-DIVI</v>
      </c>
      <c r="AH44" s="21">
        <v>45707</v>
      </c>
      <c r="AI44" s="75">
        <v>45705</v>
      </c>
      <c r="AJ44" s="16" t="str" cm="1">
        <f t="array" aca="1" ref="AJ4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4" s="21">
        <v>45707</v>
      </c>
      <c r="AL44" s="74">
        <v>45710</v>
      </c>
      <c r="AM44" s="16" cm="1">
        <f t="array" aca="1" ref="AM4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44" s="21">
        <f>Tabela1[[#This Row],[DATA PREV - FORMS]]+$AN$1</f>
        <v>45714</v>
      </c>
      <c r="AO44" s="74">
        <v>45730</v>
      </c>
      <c r="AP44" s="16" cm="1">
        <f t="array" aca="1" ref="AP4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17</v>
      </c>
      <c r="AQ44" s="21">
        <f>Tabela1[[#This Row],[DATA PREV - EXAMES]]+$AQ$1</f>
        <v>45716</v>
      </c>
      <c r="AR44" s="74">
        <v>45730</v>
      </c>
      <c r="AS44" s="15" cm="1">
        <f t="array" aca="1" ref="AS4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15</v>
      </c>
      <c r="AT44" s="21">
        <f>Tabela1[[#This Row],[DATA PREV - FORMS]]+$AT$1</f>
        <v>45708</v>
      </c>
      <c r="AU44" s="74">
        <v>45733</v>
      </c>
      <c r="AV44" s="15" cm="1">
        <f t="array" aca="1" ref="AV4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26</v>
      </c>
      <c r="AW44" s="21">
        <f>Tabela1[[#This Row],[DATA PREV - TREINAMENTOS]]+$AW$1</f>
        <v>45715</v>
      </c>
      <c r="AX44" s="74">
        <v>45730</v>
      </c>
      <c r="AY44" s="15" cm="1">
        <f t="array" aca="1" ref="AY4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16</v>
      </c>
      <c r="AZ44" s="24">
        <v>45708</v>
      </c>
      <c r="BA44" s="74">
        <v>45707</v>
      </c>
      <c r="BB44" s="15" cm="1">
        <f t="array" aca="1" ref="BB4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44" s="21">
        <f>Tabela1[[#This Row],[DATA PREV - CONCL. TREIN.]]+$BC$1</f>
        <v>45717</v>
      </c>
      <c r="BD44" s="74">
        <v>45730</v>
      </c>
      <c r="BE44" s="15" cm="1">
        <f t="array" aca="1" ref="BE4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44" s="21">
        <f>Tabela1[[#This Row],[DATA PREV - DOSSIÊ]]+$BF$1</f>
        <v>45720</v>
      </c>
      <c r="BG44" s="74">
        <v>45730</v>
      </c>
      <c r="BH44" s="15" cm="1">
        <f t="array" aca="1" ref="BH4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44" s="21">
        <f>Tabela1[[#This Row],[DATA PREV - POSTAGEM]]+$BI$1</f>
        <v>45726</v>
      </c>
      <c r="BJ44" s="74">
        <v>45735</v>
      </c>
      <c r="BK44" s="15" cm="1">
        <f t="array" aca="1" ref="BK4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44" s="21">
        <f>Tabela1[[#This Row],[DATA PREV - APROV FINAL]]+$BL$1</f>
        <v>45727</v>
      </c>
      <c r="BM44" s="74">
        <v>45735</v>
      </c>
      <c r="BN44" s="15" cm="1">
        <f t="array" aca="1" ref="BN4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44" s="80" t="s">
        <v>279</v>
      </c>
    </row>
    <row r="45" spans="2:67" ht="18" hidden="1" customHeight="1" x14ac:dyDescent="0.35">
      <c r="B45" s="14" t="s">
        <v>79</v>
      </c>
      <c r="C45" s="16" t="s">
        <v>147</v>
      </c>
      <c r="D45" s="16" t="s">
        <v>81</v>
      </c>
      <c r="E45" s="16"/>
      <c r="F45" s="16" t="s">
        <v>280</v>
      </c>
      <c r="G45" s="16" cm="1">
        <f t="array" ref="G45">_xlfn.IFS(Tabela1[[#This Row],[STATUS PROCESSO MOBILIZAÇÃO]]="Finalizado",1,Tabela1[[#This Row],[STATUS PROCESSO MOBILIZAÇÃO]]="Cancelado",2,Tabela1[[#This Row],[STATUS PROCESSO MOBILIZAÇÃO]]="Em andamento",3)</f>
        <v>1</v>
      </c>
      <c r="H45" s="16" cm="1">
        <f t="array" aca="1" ref="H4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FORMS]]="",$AM45&gt;$AK$1),2,
AND(Tabela1[[#This Row],[STATUS PROCESSO MOBILIZAÇÃO]]="Em andamento",Tabela1[[#This Row],[DATA REAL - FORMS]]="",$AM45&lt;=$AK$1),3,
AND(Tabela1[[#This Row],[STATUS PROCESSO MOBILIZAÇÃO]]="Em andamento",Tabela1[[#This Row],[DATA REAL - FORMS]]&lt;&gt;""),1)</f>
        <v>1</v>
      </c>
      <c r="I45" s="16" cm="1">
        <f t="array" aca="1" ref="I4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EXAMES]]="",$AP45&gt;$AN$1),2,
AND(Tabela1[[#This Row],[STATUS PROCESSO MOBILIZAÇÃO]]="Em andamento",Tabela1[[#This Row],[DATA REAL - EXAMES]]="",$AP45&lt;=$AN$1),3,
AND(Tabela1[[#This Row],[STATUS PROCESSO MOBILIZAÇÃO]]="Em andamento",Tabela1[[#This Row],[DATA REAL - EXAMES]]&lt;&gt;""),1)</f>
        <v>1</v>
      </c>
      <c r="J45" s="16" cm="1">
        <f t="array" aca="1" ref="J4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ASO]]="",$AS45&gt;$AQ$1),2,
AND(Tabela1[[#This Row],[STATUS PROCESSO MOBILIZAÇÃO]]="Em andamento",Tabela1[[#This Row],[DATA REAL - ASO]]="",$AS45&lt;=$AQ$1),3,
AND(Tabela1[[#This Row],[STATUS PROCESSO MOBILIZAÇÃO]]="Em andamento",Tabela1[[#This Row],[DATA REAL - ASO]]&lt;&gt;""),1)</f>
        <v>1</v>
      </c>
      <c r="K45" s="15" cm="1">
        <f t="array" aca="1" ref="K4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TREINAMENTOS]]="",$AV45&gt;$AT$1),2,
AND(Tabela1[[#This Row],[STATUS PROCESSO MOBILIZAÇÃO]]="Em andamento",Tabela1[[#This Row],[DATA REAL - TREINAMENTOS]]="",$AV45&lt;=$AT$1),3,
AND(Tabela1[[#This Row],[STATUS PROCESSO MOBILIZAÇÃO]]="Em andamento",Tabela1[[#This Row],[DATA REAL - TREINAMENTOS]]&lt;&gt;""),1)</f>
        <v>1</v>
      </c>
      <c r="L45" s="15" cm="1">
        <f t="array" aca="1" ref="L4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TREIN.]]="",$AY45&gt;$AW$1),2,
AND(Tabela1[[#This Row],[STATUS PROCESSO MOBILIZAÇÃO]]="Em andamento",Tabela1[[#This Row],[DATA REAL - CONCL. TREIN.]]="",$AY45&lt;=$AW$1),3,
AND(Tabela1[[#This Row],[STATUS PROCESSO MOBILIZAÇÃO]]="Em andamento",Tabela1[[#This Row],[DATA REAL - CONCL. TREIN.]]&lt;&gt;""),1)</f>
        <v>1</v>
      </c>
      <c r="M45" s="15" cm="1">
        <f t="array" aca="1" ref="M4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CONTRATUAL]]="",$BB45&gt;$AZ$1),2,
AND(Tabela1[[#This Row],[STATUS PROCESSO MOBILIZAÇÃO]]="Em andamento",Tabela1[[#This Row],[DATA FIM - ALTER. CONTRATUAL]]="",$BB45&lt;=$AZ$1),3,
AND(Tabela1[[#This Row],[STATUS PROCESSO MOBILIZAÇÃO]]="Em andamento",Tabela1[[#This Row],[DATA FIM - ALTER. CONTRATUAL]]&lt;&gt;""),1)</f>
        <v>1</v>
      </c>
      <c r="N45" s="16" cm="1">
        <f t="array" aca="1" ref="N4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DOSSIÊ]]="",$BE45&gt;$BC$1),2,
AND(Tabela1[[#This Row],[STATUS PROCESSO MOBILIZAÇÃO]]="Em andamento",Tabela1[[#This Row],[DATA REAL - DOSSIÊ]]="",$BE45&lt;=$BC$1),3,
AND(Tabela1[[#This Row],[STATUS PROCESSO MOBILIZAÇÃO]]="Em andamento",Tabela1[[#This Row],[DATA REAL - DOSSIÊ]]&lt;&gt;""),1)</f>
        <v>1</v>
      </c>
      <c r="O45" s="16" cm="1">
        <f t="array" aca="1" ref="O4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POSTAGEM]]="",$BH45&gt;$BF$1),2,
AND(Tabela1[[#This Row],[STATUS PROCESSO MOBILIZAÇÃO]]="Em andamento",Tabela1[[#This Row],[DATA REAL - POSTAGEM]]="",$BH45&lt;=$BF$1),3,
AND(Tabela1[[#This Row],[STATUS PROCESSO MOBILIZAÇÃO]]="Em andamento",Tabela1[[#This Row],[DATA REAL - POSTAGEM]]&lt;&gt;""),1)</f>
        <v>1</v>
      </c>
      <c r="P45" s="16" cm="1">
        <f t="array" aca="1" ref="P4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FINAL]]="",$BK45&gt;$BI$1),2,
AND(Tabela1[[#This Row],[STATUS PROCESSO MOBILIZAÇÃO]]="Em andamento",Tabela1[[#This Row],[DATA REAL - APROV FINAL]]="",$BK45&lt;=$BI$1),3,
AND(Tabela1[[#This Row],[STATUS PROCESSO MOBILIZAÇÃO]]="Em andamento",Tabela1[[#This Row],[DATA REAL - APROV FINAL]]&lt;&gt;""),1)</f>
        <v>1</v>
      </c>
      <c r="Q45" s="15" cm="1">
        <f t="array" aca="1" ref="Q4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CRACHÁ]]="",$BN45&gt;$BL$1),2,
AND(Tabela1[[#This Row],[STATUS PROCESSO MOBILIZAÇÃO]]="Em andamento",Tabela1[[#This Row],[DATA REAL - CRACHÁ]]="",$BN45&lt;=$BL$1),3,
AND(Tabela1[[#This Row],[STATUS PROCESSO MOBILIZAÇÃO]]="Em andamento",Tabela1[[#This Row],[DATA REAL - CRACHÁ]]&lt;&gt;""),1)</f>
        <v>1</v>
      </c>
      <c r="R45" s="21">
        <f>IF(Tabela1[[#This Row],[DATA REAL - FORMS]]&lt;&gt;"",Tabela1[[#This Row],[DATA REAL - FORMS]]+30,Tabela1[[#This Row],[DATA PREV - FORMS]]+35)</f>
        <v>45742</v>
      </c>
      <c r="S4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45740</v>
      </c>
      <c r="T4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82</v>
      </c>
      <c r="U4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69</v>
      </c>
      <c r="V45" s="49">
        <f>MAX(Tabela1[[#This Row],[DATA REAL - POSTAGEM]],Tabela1[[#This Row],[DATA REAL - APROV FINAL]],Tabela1[[#This Row],[DATA REAL - CRACHÁ]])-MIN(Tabela1[[#This Row],[DATA REAL - POSTAGEM]],Tabela1[[#This Row],[DATA REAL - APROV FINAL]],Tabela1[[#This Row],[DATA REAL - CRACHÁ]])+1</f>
        <v>8</v>
      </c>
      <c r="W4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5" s="15" t="s">
        <v>103</v>
      </c>
      <c r="Y45" s="16" t="s">
        <v>84</v>
      </c>
      <c r="Z45" s="18" t="s">
        <v>104</v>
      </c>
      <c r="AA45" s="18" t="s">
        <v>86</v>
      </c>
      <c r="AB45" s="16" t="s">
        <v>97</v>
      </c>
      <c r="AC45" s="16" t="s">
        <v>261</v>
      </c>
      <c r="AD45" s="16" t="s">
        <v>89</v>
      </c>
      <c r="AE45" s="16" t="s">
        <v>262</v>
      </c>
      <c r="AF45" s="16" t="s">
        <v>263</v>
      </c>
      <c r="AG45" s="16" t="str">
        <f>_xlfn.XLOOKUP(Tabela1[[#This Row],[CÓD. CT]],Controle_Projetos[COD CT],Controle_Projetos[COD PHD],"")</f>
        <v>CEMI-CT02-CAPA</v>
      </c>
      <c r="AH45" s="21">
        <v>45712</v>
      </c>
      <c r="AI45" s="75">
        <v>45658</v>
      </c>
      <c r="AJ45" s="16" t="str" cm="1">
        <f t="array" aca="1" ref="AJ4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5" s="21">
        <v>45712</v>
      </c>
      <c r="AL45" s="74">
        <v>45712</v>
      </c>
      <c r="AM45" s="16" cm="1">
        <f t="array" aca="1" ref="AM4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45" s="21">
        <f>Tabela1[[#This Row],[DATA PREV - FORMS]]+$AN$1</f>
        <v>45719</v>
      </c>
      <c r="AO45" s="74">
        <v>45712</v>
      </c>
      <c r="AP45" s="16" cm="1">
        <f t="array" aca="1" ref="AP4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45" s="21">
        <f>Tabela1[[#This Row],[DATA PREV - EXAMES]]+$AQ$1</f>
        <v>45721</v>
      </c>
      <c r="AR45" s="74">
        <v>45727</v>
      </c>
      <c r="AS45" s="15" cm="1">
        <f t="array" aca="1" ref="AS4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45" s="21">
        <f>Tabela1[[#This Row],[DATA PREV - FORMS]]+$AT$1</f>
        <v>45713</v>
      </c>
      <c r="AU45" s="74">
        <v>45712</v>
      </c>
      <c r="AV45" s="15" cm="1">
        <f t="array" aca="1" ref="AV4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45" s="21">
        <f>Tabela1[[#This Row],[DATA PREV - TREINAMENTOS]]+$AW$1</f>
        <v>45720</v>
      </c>
      <c r="AX45" s="74">
        <v>45716</v>
      </c>
      <c r="AY45" s="15" cm="1">
        <f t="array" aca="1" ref="AY4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45" s="24">
        <v>45705</v>
      </c>
      <c r="BA45" s="74">
        <v>45712</v>
      </c>
      <c r="BB45" s="15" cm="1">
        <f t="array" aca="1" ref="BB4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8</v>
      </c>
      <c r="BC45" s="21">
        <f>Tabela1[[#This Row],[DATA PREV - CONCL. TREIN.]]+$BC$1</f>
        <v>45722</v>
      </c>
      <c r="BD45" s="74">
        <v>45727</v>
      </c>
      <c r="BE45" s="15" cm="1">
        <f t="array" aca="1" ref="BE4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45" s="21">
        <f>Tabela1[[#This Row],[DATA PREV - DOSSIÊ]]+$BF$1</f>
        <v>45725</v>
      </c>
      <c r="BG45" s="74">
        <v>45733</v>
      </c>
      <c r="BH45" s="15" cm="1">
        <f t="array" aca="1" ref="BH4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45" s="21">
        <f>Tabela1[[#This Row],[DATA PREV - POSTAGEM]]+$BI$1</f>
        <v>45731</v>
      </c>
      <c r="BJ45" s="74">
        <v>45740</v>
      </c>
      <c r="BK45" s="15" cm="1">
        <f t="array" aca="1" ref="BK4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45" s="21">
        <f>Tabela1[[#This Row],[DATA PREV - APROV FINAL]]+$BL$1</f>
        <v>45732</v>
      </c>
      <c r="BM45" s="74">
        <v>45740</v>
      </c>
      <c r="BN45" s="15" cm="1">
        <f t="array" aca="1" ref="BN4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45" s="80" t="s">
        <v>281</v>
      </c>
    </row>
    <row r="46" spans="2:67" ht="18" hidden="1" customHeight="1" x14ac:dyDescent="0.35">
      <c r="B46" s="14" t="s">
        <v>79</v>
      </c>
      <c r="C46" s="16" t="s">
        <v>147</v>
      </c>
      <c r="D46" s="16" t="s">
        <v>81</v>
      </c>
      <c r="E46" s="16"/>
      <c r="F46" s="16" t="s">
        <v>251</v>
      </c>
      <c r="G46" s="16" cm="1">
        <f t="array" ref="G46">_xlfn.IFS(Tabela1[[#This Row],[STATUS PROCESSO MOBILIZAÇÃO]]="Finalizado",1,Tabela1[[#This Row],[STATUS PROCESSO MOBILIZAÇÃO]]="Cancelado",2,Tabela1[[#This Row],[STATUS PROCESSO MOBILIZAÇÃO]]="Em andamento",3)</f>
        <v>1</v>
      </c>
      <c r="H46" s="16" cm="1">
        <f t="array" aca="1" ref="H4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FORMS]]="",$AM46&gt;$AK$1),2,
AND(Tabela1[[#This Row],[STATUS PROCESSO MOBILIZAÇÃO]]="Em andamento",Tabela1[[#This Row],[DATA REAL - FORMS]]="",$AM46&lt;=$AK$1),3,
AND(Tabela1[[#This Row],[STATUS PROCESSO MOBILIZAÇÃO]]="Em andamento",Tabela1[[#This Row],[DATA REAL - FORMS]]&lt;&gt;""),1)</f>
        <v>1</v>
      </c>
      <c r="I46" s="16" cm="1">
        <f t="array" aca="1" ref="I4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EXAMES]]="",$AP46&gt;$AN$1),2,
AND(Tabela1[[#This Row],[STATUS PROCESSO MOBILIZAÇÃO]]="Em andamento",Tabela1[[#This Row],[DATA REAL - EXAMES]]="",$AP46&lt;=$AN$1),3,
AND(Tabela1[[#This Row],[STATUS PROCESSO MOBILIZAÇÃO]]="Em andamento",Tabela1[[#This Row],[DATA REAL - EXAMES]]&lt;&gt;""),1)</f>
        <v>1</v>
      </c>
      <c r="J46" s="16" cm="1">
        <f t="array" aca="1" ref="J4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ASO]]="",$AS46&gt;$AQ$1),2,
AND(Tabela1[[#This Row],[STATUS PROCESSO MOBILIZAÇÃO]]="Em andamento",Tabela1[[#This Row],[DATA REAL - ASO]]="",$AS46&lt;=$AQ$1),3,
AND(Tabela1[[#This Row],[STATUS PROCESSO MOBILIZAÇÃO]]="Em andamento",Tabela1[[#This Row],[DATA REAL - ASO]]&lt;&gt;""),1)</f>
        <v>1</v>
      </c>
      <c r="K46" s="15" cm="1">
        <f t="array" aca="1" ref="K4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TREINAMENTOS]]="",$AV46&gt;$AT$1),2,
AND(Tabela1[[#This Row],[STATUS PROCESSO MOBILIZAÇÃO]]="Em andamento",Tabela1[[#This Row],[DATA REAL - TREINAMENTOS]]="",$AV46&lt;=$AT$1),3,
AND(Tabela1[[#This Row],[STATUS PROCESSO MOBILIZAÇÃO]]="Em andamento",Tabela1[[#This Row],[DATA REAL - TREINAMENTOS]]&lt;&gt;""),1)</f>
        <v>1</v>
      </c>
      <c r="L46" s="15" cm="1">
        <f t="array" aca="1" ref="L4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TREIN.]]="",$AY46&gt;$AW$1),2,
AND(Tabela1[[#This Row],[STATUS PROCESSO MOBILIZAÇÃO]]="Em andamento",Tabela1[[#This Row],[DATA REAL - CONCL. TREIN.]]="",$AY46&lt;=$AW$1),3,
AND(Tabela1[[#This Row],[STATUS PROCESSO MOBILIZAÇÃO]]="Em andamento",Tabela1[[#This Row],[DATA REAL - CONCL. TREIN.]]&lt;&gt;""),1)</f>
        <v>1</v>
      </c>
      <c r="M46" s="15" cm="1">
        <f t="array" aca="1" ref="M4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CONTRATUAL]]="",$BB46&gt;$AZ$1),2,
AND(Tabela1[[#This Row],[STATUS PROCESSO MOBILIZAÇÃO]]="Em andamento",Tabela1[[#This Row],[DATA FIM - ALTER. CONTRATUAL]]="",$BB46&lt;=$AZ$1),3,
AND(Tabela1[[#This Row],[STATUS PROCESSO MOBILIZAÇÃO]]="Em andamento",Tabela1[[#This Row],[DATA FIM - ALTER. CONTRATUAL]]&lt;&gt;""),1)</f>
        <v>1</v>
      </c>
      <c r="N46" s="16" cm="1">
        <f t="array" aca="1" ref="N4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DOSSIÊ]]="",$BE46&gt;$BC$1),2,
AND(Tabela1[[#This Row],[STATUS PROCESSO MOBILIZAÇÃO]]="Em andamento",Tabela1[[#This Row],[DATA REAL - DOSSIÊ]]="",$BE46&lt;=$BC$1),3,
AND(Tabela1[[#This Row],[STATUS PROCESSO MOBILIZAÇÃO]]="Em andamento",Tabela1[[#This Row],[DATA REAL - DOSSIÊ]]&lt;&gt;""),1)</f>
        <v>1</v>
      </c>
      <c r="O46" s="16" cm="1">
        <f t="array" aca="1" ref="O4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POSTAGEM]]="",$BH46&gt;$BF$1),2,
AND(Tabela1[[#This Row],[STATUS PROCESSO MOBILIZAÇÃO]]="Em andamento",Tabela1[[#This Row],[DATA REAL - POSTAGEM]]="",$BH46&lt;=$BF$1),3,
AND(Tabela1[[#This Row],[STATUS PROCESSO MOBILIZAÇÃO]]="Em andamento",Tabela1[[#This Row],[DATA REAL - POSTAGEM]]&lt;&gt;""),1)</f>
        <v>1</v>
      </c>
      <c r="P46" s="16" cm="1">
        <f t="array" aca="1" ref="P4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FINAL]]="",$BK46&gt;$BI$1),2,
AND(Tabela1[[#This Row],[STATUS PROCESSO MOBILIZAÇÃO]]="Em andamento",Tabela1[[#This Row],[DATA REAL - APROV FINAL]]="",$BK46&lt;=$BI$1),3,
AND(Tabela1[[#This Row],[STATUS PROCESSO MOBILIZAÇÃO]]="Em andamento",Tabela1[[#This Row],[DATA REAL - APROV FINAL]]&lt;&gt;""),1)</f>
        <v>1</v>
      </c>
      <c r="Q46" s="15" cm="1">
        <f t="array" aca="1" ref="Q4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CRACHÁ]]="",$BN46&gt;$BL$1),2,
AND(Tabela1[[#This Row],[STATUS PROCESSO MOBILIZAÇÃO]]="Em andamento",Tabela1[[#This Row],[DATA REAL - CRACHÁ]]="",$BN46&lt;=$BL$1),3,
AND(Tabela1[[#This Row],[STATUS PROCESSO MOBILIZAÇÃO]]="Em andamento",Tabela1[[#This Row],[DATA REAL - CRACHÁ]]&lt;&gt;""),1)</f>
        <v>1</v>
      </c>
      <c r="R46" s="21">
        <f>IF(Tabela1[[#This Row],[DATA REAL - FORMS]]&lt;&gt;"",Tabela1[[#This Row],[DATA REAL - FORMS]]+30,Tabela1[[#This Row],[DATA PREV - FORMS]]+35)</f>
        <v>45742</v>
      </c>
      <c r="S4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45749</v>
      </c>
      <c r="T4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61</v>
      </c>
      <c r="U4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56</v>
      </c>
      <c r="V46" s="49">
        <f>MAX(Tabela1[[#This Row],[DATA REAL - POSTAGEM]],Tabela1[[#This Row],[DATA REAL - APROV FINAL]],Tabela1[[#This Row],[DATA REAL - CRACHÁ]])-MIN(Tabela1[[#This Row],[DATA REAL - POSTAGEM]],Tabela1[[#This Row],[DATA REAL - APROV FINAL]],Tabela1[[#This Row],[DATA REAL - CRACHÁ]])+1</f>
        <v>6</v>
      </c>
      <c r="W4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6" s="15" t="s">
        <v>121</v>
      </c>
      <c r="Y46" s="16" t="s">
        <v>122</v>
      </c>
      <c r="Z46" s="18" t="s">
        <v>123</v>
      </c>
      <c r="AA46" s="18" t="s">
        <v>124</v>
      </c>
      <c r="AB46" s="16" t="s">
        <v>97</v>
      </c>
      <c r="AC46" s="16" t="s">
        <v>179</v>
      </c>
      <c r="AD46" s="16" t="s">
        <v>132</v>
      </c>
      <c r="AE46" s="16" t="s">
        <v>282</v>
      </c>
      <c r="AF46" s="16" t="s">
        <v>283</v>
      </c>
      <c r="AG46" s="16" t="str">
        <f>_xlfn.XLOOKUP(Tabela1[[#This Row],[CÓD. CT]],Controle_Projetos[COD CT],Controle_Projetos[COD PHD],"")</f>
        <v>PARE-CT04-P1P3</v>
      </c>
      <c r="AH46" s="21">
        <v>45712</v>
      </c>
      <c r="AI46" s="75">
        <v>45688</v>
      </c>
      <c r="AJ46" s="16" t="str" cm="1">
        <f t="array" aca="1" ref="AJ4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6" s="21">
        <v>45712</v>
      </c>
      <c r="AL46" s="74">
        <v>45712</v>
      </c>
      <c r="AM46" s="16" cm="1">
        <f t="array" aca="1" ref="AM4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46" s="21">
        <f>Tabela1[[#This Row],[DATA PREV - FORMS]]+$AN$1</f>
        <v>45719</v>
      </c>
      <c r="AO46" s="74">
        <v>45715</v>
      </c>
      <c r="AP46" s="16" cm="1">
        <f t="array" aca="1" ref="AP4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46" s="21">
        <f>Tabela1[[#This Row],[DATA PREV - EXAMES]]+$AQ$1</f>
        <v>45721</v>
      </c>
      <c r="AR46" s="74">
        <v>45723</v>
      </c>
      <c r="AS46" s="15" cm="1">
        <f t="array" aca="1" ref="AS4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46" s="21">
        <f>Tabela1[[#This Row],[DATA PREV - FORMS]]+$AT$1</f>
        <v>45713</v>
      </c>
      <c r="AU46" s="74">
        <v>45723</v>
      </c>
      <c r="AV46" s="15" cm="1">
        <f t="array" aca="1" ref="AV4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11</v>
      </c>
      <c r="AW46" s="21">
        <f>Tabela1[[#This Row],[DATA PREV - TREINAMENTOS]]+$AW$1</f>
        <v>45720</v>
      </c>
      <c r="AX46" s="74">
        <v>45728</v>
      </c>
      <c r="AY46" s="15" cm="1">
        <f t="array" aca="1" ref="AY4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9</v>
      </c>
      <c r="AZ46" s="24">
        <v>45741</v>
      </c>
      <c r="BA46" s="74">
        <v>45744</v>
      </c>
      <c r="BB46" s="15" cm="1">
        <f t="array" aca="1" ref="BB4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v>
      </c>
      <c r="BC46" s="21">
        <f>Tabela1[[#This Row],[DATA PREV - CONCL. TREIN.]]+$BC$1</f>
        <v>45722</v>
      </c>
      <c r="BD46" s="74">
        <v>45744</v>
      </c>
      <c r="BE46" s="15" cm="1">
        <f t="array" aca="1" ref="BE4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23</v>
      </c>
      <c r="BF46" s="21">
        <f>Tabela1[[#This Row],[DATA PREV - DOSSIÊ]]+$BF$1</f>
        <v>45725</v>
      </c>
      <c r="BG46" s="74">
        <v>45744</v>
      </c>
      <c r="BH46" s="15" cm="1">
        <f t="array" aca="1" ref="BH4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20</v>
      </c>
      <c r="BI46" s="21">
        <f>Tabela1[[#This Row],[DATA PREV - POSTAGEM]]+$BI$1</f>
        <v>45731</v>
      </c>
      <c r="BJ46" s="74">
        <v>45749</v>
      </c>
      <c r="BK46" s="15" cm="1">
        <f t="array" aca="1" ref="BK4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19</v>
      </c>
      <c r="BL46" s="21">
        <f>Tabela1[[#This Row],[DATA PREV - APROV FINAL]]+$BL$1</f>
        <v>45732</v>
      </c>
      <c r="BM46" s="74">
        <v>45749</v>
      </c>
      <c r="BN46" s="15" cm="1">
        <f t="array" aca="1" ref="BN4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18</v>
      </c>
      <c r="BO46" s="80" t="s">
        <v>284</v>
      </c>
    </row>
    <row r="47" spans="2:67" ht="18" hidden="1" customHeight="1" x14ac:dyDescent="0.35">
      <c r="B47" s="14" t="s">
        <v>79</v>
      </c>
      <c r="C47" s="16" t="s">
        <v>147</v>
      </c>
      <c r="D47" s="16" t="s">
        <v>81</v>
      </c>
      <c r="E47" s="16"/>
      <c r="F47" s="16" t="s">
        <v>285</v>
      </c>
      <c r="G47" s="16" cm="1">
        <f t="array" ref="G47">_xlfn.IFS(Tabela1[[#This Row],[STATUS PROCESSO MOBILIZAÇÃO]]="Finalizado",1,Tabela1[[#This Row],[STATUS PROCESSO MOBILIZAÇÃO]]="Cancelado",2,Tabela1[[#This Row],[STATUS PROCESSO MOBILIZAÇÃO]]="Em andamento",3)</f>
        <v>1</v>
      </c>
      <c r="H47" s="16" cm="1">
        <f t="array" aca="1" ref="H4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FORMS]]="",$AM47&gt;$AK$1),2,
AND(Tabela1[[#This Row],[STATUS PROCESSO MOBILIZAÇÃO]]="Em andamento",Tabela1[[#This Row],[DATA REAL - FORMS]]="",$AM47&lt;=$AK$1),3,
AND(Tabela1[[#This Row],[STATUS PROCESSO MOBILIZAÇÃO]]="Em andamento",Tabela1[[#This Row],[DATA REAL - FORMS]]&lt;&gt;""),1)</f>
        <v>1</v>
      </c>
      <c r="I47" s="16" cm="1">
        <f t="array" aca="1" ref="I4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EXAMES]]="",$AP47&gt;$AN$1),2,
AND(Tabela1[[#This Row],[STATUS PROCESSO MOBILIZAÇÃO]]="Em andamento",Tabela1[[#This Row],[DATA REAL - EXAMES]]="",$AP47&lt;=$AN$1),3,
AND(Tabela1[[#This Row],[STATUS PROCESSO MOBILIZAÇÃO]]="Em andamento",Tabela1[[#This Row],[DATA REAL - EXAMES]]&lt;&gt;""),1)</f>
        <v>1</v>
      </c>
      <c r="J47" s="16" cm="1">
        <f t="array" aca="1" ref="J4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ASO]]="",$AS47&gt;$AQ$1),2,
AND(Tabela1[[#This Row],[STATUS PROCESSO MOBILIZAÇÃO]]="Em andamento",Tabela1[[#This Row],[DATA REAL - ASO]]="",$AS47&lt;=$AQ$1),3,
AND(Tabela1[[#This Row],[STATUS PROCESSO MOBILIZAÇÃO]]="Em andamento",Tabela1[[#This Row],[DATA REAL - ASO]]&lt;&gt;""),1)</f>
        <v>1</v>
      </c>
      <c r="K47" s="15" cm="1">
        <f t="array" aca="1" ref="K4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TREINAMENTOS]]="",$AV47&gt;$AT$1),2,
AND(Tabela1[[#This Row],[STATUS PROCESSO MOBILIZAÇÃO]]="Em andamento",Tabela1[[#This Row],[DATA REAL - TREINAMENTOS]]="",$AV47&lt;=$AT$1),3,
AND(Tabela1[[#This Row],[STATUS PROCESSO MOBILIZAÇÃO]]="Em andamento",Tabela1[[#This Row],[DATA REAL - TREINAMENTOS]]&lt;&gt;""),1)</f>
        <v>1</v>
      </c>
      <c r="L47" s="15" cm="1">
        <f t="array" aca="1" ref="L4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TREIN.]]="",$AY47&gt;$AW$1),2,
AND(Tabela1[[#This Row],[STATUS PROCESSO MOBILIZAÇÃO]]="Em andamento",Tabela1[[#This Row],[DATA REAL - CONCL. TREIN.]]="",$AY47&lt;=$AW$1),3,
AND(Tabela1[[#This Row],[STATUS PROCESSO MOBILIZAÇÃO]]="Em andamento",Tabela1[[#This Row],[DATA REAL - CONCL. TREIN.]]&lt;&gt;""),1)</f>
        <v>1</v>
      </c>
      <c r="M47" s="15" cm="1">
        <f t="array" aca="1" ref="M4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CONTRATUAL]]="",$BB47&gt;$AZ$1),2,
AND(Tabela1[[#This Row],[STATUS PROCESSO MOBILIZAÇÃO]]="Em andamento",Tabela1[[#This Row],[DATA FIM - ALTER. CONTRATUAL]]="",$BB47&lt;=$AZ$1),3,
AND(Tabela1[[#This Row],[STATUS PROCESSO MOBILIZAÇÃO]]="Em andamento",Tabela1[[#This Row],[DATA FIM - ALTER. CONTRATUAL]]&lt;&gt;""),1)</f>
        <v>1</v>
      </c>
      <c r="N47" s="16" cm="1">
        <f t="array" aca="1" ref="N4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DOSSIÊ]]="",$BE47&gt;$BC$1),2,
AND(Tabela1[[#This Row],[STATUS PROCESSO MOBILIZAÇÃO]]="Em andamento",Tabela1[[#This Row],[DATA REAL - DOSSIÊ]]="",$BE47&lt;=$BC$1),3,
AND(Tabela1[[#This Row],[STATUS PROCESSO MOBILIZAÇÃO]]="Em andamento",Tabela1[[#This Row],[DATA REAL - DOSSIÊ]]&lt;&gt;""),1)</f>
        <v>1</v>
      </c>
      <c r="O47" s="16" cm="1">
        <f t="array" aca="1" ref="O4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POSTAGEM]]="",$BH47&gt;$BF$1),2,
AND(Tabela1[[#This Row],[STATUS PROCESSO MOBILIZAÇÃO]]="Em andamento",Tabela1[[#This Row],[DATA REAL - POSTAGEM]]="",$BH47&lt;=$BF$1),3,
AND(Tabela1[[#This Row],[STATUS PROCESSO MOBILIZAÇÃO]]="Em andamento",Tabela1[[#This Row],[DATA REAL - POSTAGEM]]&lt;&gt;""),1)</f>
        <v>1</v>
      </c>
      <c r="P47" s="16" cm="1">
        <f t="array" aca="1" ref="P4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FINAL]]="",$BK47&gt;$BI$1),2,
AND(Tabela1[[#This Row],[STATUS PROCESSO MOBILIZAÇÃO]]="Em andamento",Tabela1[[#This Row],[DATA REAL - APROV FINAL]]="",$BK47&lt;=$BI$1),3,
AND(Tabela1[[#This Row],[STATUS PROCESSO MOBILIZAÇÃO]]="Em andamento",Tabela1[[#This Row],[DATA REAL - APROV FINAL]]&lt;&gt;""),1)</f>
        <v>1</v>
      </c>
      <c r="Q47" s="15" cm="1">
        <f t="array" aca="1" ref="Q4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CRACHÁ]]="",$BN47&gt;$BL$1),2,
AND(Tabela1[[#This Row],[STATUS PROCESSO MOBILIZAÇÃO]]="Em andamento",Tabela1[[#This Row],[DATA REAL - CRACHÁ]]="",$BN47&lt;=$BL$1),3,
AND(Tabela1[[#This Row],[STATUS PROCESSO MOBILIZAÇÃO]]="Em andamento",Tabela1[[#This Row],[DATA REAL - CRACHÁ]]&lt;&gt;""),1)</f>
        <v>1</v>
      </c>
      <c r="R47" s="21">
        <f>IF(Tabela1[[#This Row],[DATA REAL - FORMS]]&lt;&gt;"",Tabela1[[#This Row],[DATA REAL - FORMS]]+30,Tabela1[[#This Row],[DATA PREV - FORMS]]+35)</f>
        <v>45758</v>
      </c>
      <c r="S4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45755</v>
      </c>
      <c r="T4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281</v>
      </c>
      <c r="U4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267</v>
      </c>
      <c r="V47" s="49">
        <f>MAX(Tabela1[[#This Row],[DATA REAL - POSTAGEM]],Tabela1[[#This Row],[DATA REAL - APROV FINAL]],Tabela1[[#This Row],[DATA REAL - CRACHÁ]])-MIN(Tabela1[[#This Row],[DATA REAL - POSTAGEM]],Tabela1[[#This Row],[DATA REAL - APROV FINAL]],Tabela1[[#This Row],[DATA REAL - CRACHÁ]])+1</f>
        <v>6</v>
      </c>
      <c r="W4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47" s="15" t="s">
        <v>83</v>
      </c>
      <c r="Y47" s="16" t="s">
        <v>84</v>
      </c>
      <c r="Z47" s="18" t="s">
        <v>85</v>
      </c>
      <c r="AA47" s="18" t="s">
        <v>86</v>
      </c>
      <c r="AB47" s="16" t="s">
        <v>97</v>
      </c>
      <c r="AC47" s="16" t="s">
        <v>286</v>
      </c>
      <c r="AD47" s="16" t="s">
        <v>89</v>
      </c>
      <c r="AE47" s="16" t="s">
        <v>287</v>
      </c>
      <c r="AF47" s="16" t="s">
        <v>288</v>
      </c>
      <c r="AG47" s="16" t="str">
        <f>_xlfn.XLOOKUP(Tabela1[[#This Row],[CÓD. CT]],Controle_Projetos[COD CT],Controle_Projetos[COD PHD],"")</f>
        <v>CGCO-CT01-PLAN</v>
      </c>
      <c r="AH47" s="21">
        <v>45722</v>
      </c>
      <c r="AI47" s="75">
        <v>45474</v>
      </c>
      <c r="AJ47" s="16" t="str" cm="1">
        <f t="array" aca="1" ref="AJ4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47" s="21">
        <v>45722</v>
      </c>
      <c r="AL47" s="74">
        <v>45728</v>
      </c>
      <c r="AM47" s="16" cm="1">
        <f t="array" aca="1" ref="AM4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47" s="21">
        <f>Tabela1[[#This Row],[DATA PREV - FORMS]]+$AN$1</f>
        <v>45729</v>
      </c>
      <c r="AO47" s="74">
        <v>45741</v>
      </c>
      <c r="AP47" s="16" cm="1">
        <f t="array" aca="1" ref="AP4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13</v>
      </c>
      <c r="AQ47" s="21">
        <f>Tabela1[[#This Row],[DATA PREV - EXAMES]]+$AQ$1</f>
        <v>45731</v>
      </c>
      <c r="AR47" s="74">
        <v>45728</v>
      </c>
      <c r="AS47" s="15" cm="1">
        <f t="array" aca="1" ref="AS4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47" s="21">
        <f>Tabela1[[#This Row],[DATA PREV - FORMS]]+$AT$1</f>
        <v>45723</v>
      </c>
      <c r="AU47" s="74">
        <v>45727</v>
      </c>
      <c r="AV47" s="15" cm="1">
        <f t="array" aca="1" ref="AV4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5</v>
      </c>
      <c r="AW47" s="21">
        <f>Tabela1[[#This Row],[DATA PREV - TREINAMENTOS]]+$AW$1</f>
        <v>45730</v>
      </c>
      <c r="AX47" s="74">
        <v>45728</v>
      </c>
      <c r="AY47" s="15" cm="1">
        <f t="array" aca="1" ref="AY4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47" s="24">
        <v>45799</v>
      </c>
      <c r="BA47" s="74">
        <v>45722</v>
      </c>
      <c r="BB47" s="15" cm="1">
        <f t="array" aca="1" ref="BB4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-76</v>
      </c>
      <c r="BC47" s="21">
        <f>Tabela1[[#This Row],[DATA PREV - CONCL. TREIN.]]+$BC$1</f>
        <v>45732</v>
      </c>
      <c r="BD47" s="74">
        <v>45728</v>
      </c>
      <c r="BE47" s="15" cm="1">
        <f t="array" aca="1" ref="BE4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47" s="21">
        <f>Tabela1[[#This Row],[DATA PREV - DOSSIÊ]]+$BF$1</f>
        <v>45735</v>
      </c>
      <c r="BG47" s="74">
        <v>45750</v>
      </c>
      <c r="BH47" s="15" cm="1">
        <f t="array" aca="1" ref="BH4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16</v>
      </c>
      <c r="BI47" s="21">
        <f>Tabela1[[#This Row],[DATA PREV - POSTAGEM]]+$BI$1</f>
        <v>45741</v>
      </c>
      <c r="BJ47" s="74">
        <v>45755</v>
      </c>
      <c r="BK47" s="15" cm="1">
        <f t="array" aca="1" ref="BK4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15</v>
      </c>
      <c r="BL47" s="21">
        <f>Tabela1[[#This Row],[DATA PREV - APROV FINAL]]+$BL$1</f>
        <v>45742</v>
      </c>
      <c r="BM47" s="74">
        <v>45755</v>
      </c>
      <c r="BN47" s="15" cm="1">
        <f t="array" aca="1" ref="BN4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47" s="80" t="s">
        <v>289</v>
      </c>
    </row>
    <row r="48" spans="2:67" ht="18" hidden="1" customHeight="1" x14ac:dyDescent="0.35">
      <c r="B48" s="14" t="s">
        <v>79</v>
      </c>
      <c r="C48" s="16" t="s">
        <v>136</v>
      </c>
      <c r="D48" s="16" t="s">
        <v>108</v>
      </c>
      <c r="E48" s="16"/>
      <c r="F48" s="16" t="s">
        <v>290</v>
      </c>
      <c r="G48" s="16" cm="1">
        <f t="array" ref="G48">_xlfn.IFS(Tabela1[[#This Row],[STATUS PROCESSO MOBILIZAÇÃO]]="Finalizado",1,Tabela1[[#This Row],[STATUS PROCESSO MOBILIZAÇÃO]]="Cancelado",2,Tabela1[[#This Row],[STATUS PROCESSO MOBILIZAÇÃO]]="Em andamento",3)</f>
        <v>1</v>
      </c>
      <c r="H48" s="16" cm="1">
        <f t="array" aca="1" ref="H4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FORMS]]="",$AM48&gt;$AK$1),2,
AND(Tabela1[[#This Row],[STATUS PROCESSO MOBILIZAÇÃO]]="Em andamento",Tabela1[[#This Row],[DATA REAL - FORMS]]="",$AM48&lt;=$AK$1),3,
AND(Tabela1[[#This Row],[STATUS PROCESSO MOBILIZAÇÃO]]="Em andamento",Tabela1[[#This Row],[DATA REAL - FORMS]]&lt;&gt;""),1)</f>
        <v>1</v>
      </c>
      <c r="I48" s="16" cm="1">
        <f t="array" aca="1" ref="I4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EXAMES]]="",$AP48&gt;$AN$1),2,
AND(Tabela1[[#This Row],[STATUS PROCESSO MOBILIZAÇÃO]]="Em andamento",Tabela1[[#This Row],[DATA REAL - EXAMES]]="",$AP48&lt;=$AN$1),3,
AND(Tabela1[[#This Row],[STATUS PROCESSO MOBILIZAÇÃO]]="Em andamento",Tabela1[[#This Row],[DATA REAL - EXAMES]]&lt;&gt;""),1)</f>
        <v>1</v>
      </c>
      <c r="J48" s="16" cm="1">
        <f t="array" aca="1" ref="J4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ASO]]="",$AS48&gt;$AQ$1),2,
AND(Tabela1[[#This Row],[STATUS PROCESSO MOBILIZAÇÃO]]="Em andamento",Tabela1[[#This Row],[DATA REAL - ASO]]="",$AS48&lt;=$AQ$1),3,
AND(Tabela1[[#This Row],[STATUS PROCESSO MOBILIZAÇÃO]]="Em andamento",Tabela1[[#This Row],[DATA REAL - ASO]]&lt;&gt;""),1)</f>
        <v>1</v>
      </c>
      <c r="K48" s="15" cm="1">
        <f t="array" aca="1" ref="K4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TREINAMENTOS]]="",$AV48&gt;$AT$1),2,
AND(Tabela1[[#This Row],[STATUS PROCESSO MOBILIZAÇÃO]]="Em andamento",Tabela1[[#This Row],[DATA REAL - TREINAMENTOS]]="",$AV48&lt;=$AT$1),3,
AND(Tabela1[[#This Row],[STATUS PROCESSO MOBILIZAÇÃO]]="Em andamento",Tabela1[[#This Row],[DATA REAL - TREINAMENTOS]]&lt;&gt;""),1)</f>
        <v>1</v>
      </c>
      <c r="L48" s="15" cm="1">
        <f t="array" aca="1" ref="L4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TREIN.]]="",$AY48&gt;$AW$1),2,
AND(Tabela1[[#This Row],[STATUS PROCESSO MOBILIZAÇÃO]]="Em andamento",Tabela1[[#This Row],[DATA REAL - CONCL. TREIN.]]="",$AY48&lt;=$AW$1),3,
AND(Tabela1[[#This Row],[STATUS PROCESSO MOBILIZAÇÃO]]="Em andamento",Tabela1[[#This Row],[DATA REAL - CONCL. TREIN.]]&lt;&gt;""),1)</f>
        <v>1</v>
      </c>
      <c r="M48" s="15" cm="1">
        <f t="array" aca="1" ref="M4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CONTRATUAL]]="",$BB48&gt;$AZ$1),2,
AND(Tabela1[[#This Row],[STATUS PROCESSO MOBILIZAÇÃO]]="Em andamento",Tabela1[[#This Row],[DATA FIM - ALTER. CONTRATUAL]]="",$BB48&lt;=$AZ$1),3,
AND(Tabela1[[#This Row],[STATUS PROCESSO MOBILIZAÇÃO]]="Em andamento",Tabela1[[#This Row],[DATA FIM - ALTER. CONTRATUAL]]&lt;&gt;""),1)</f>
        <v>1</v>
      </c>
      <c r="N48" s="16" cm="1">
        <f t="array" aca="1" ref="N4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DOSSIÊ]]="",$BE48&gt;$BC$1),2,
AND(Tabela1[[#This Row],[STATUS PROCESSO MOBILIZAÇÃO]]="Em andamento",Tabela1[[#This Row],[DATA REAL - DOSSIÊ]]="",$BE48&lt;=$BC$1),3,
AND(Tabela1[[#This Row],[STATUS PROCESSO MOBILIZAÇÃO]]="Em andamento",Tabela1[[#This Row],[DATA REAL - DOSSIÊ]]&lt;&gt;""),1)</f>
        <v>1</v>
      </c>
      <c r="O48" s="16" cm="1">
        <f t="array" aca="1" ref="O4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POSTAGEM]]="",$BH48&gt;$BF$1),2,
AND(Tabela1[[#This Row],[STATUS PROCESSO MOBILIZAÇÃO]]="Em andamento",Tabela1[[#This Row],[DATA REAL - POSTAGEM]]="",$BH48&lt;=$BF$1),3,
AND(Tabela1[[#This Row],[STATUS PROCESSO MOBILIZAÇÃO]]="Em andamento",Tabela1[[#This Row],[DATA REAL - POSTAGEM]]&lt;&gt;""),1)</f>
        <v>1</v>
      </c>
      <c r="P48" s="16" cm="1">
        <f t="array" aca="1" ref="P4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FINAL]]="",$BK48&gt;$BI$1),2,
AND(Tabela1[[#This Row],[STATUS PROCESSO MOBILIZAÇÃO]]="Em andamento",Tabela1[[#This Row],[DATA REAL - APROV FINAL]]="",$BK48&lt;=$BI$1),3,
AND(Tabela1[[#This Row],[STATUS PROCESSO MOBILIZAÇÃO]]="Em andamento",Tabela1[[#This Row],[DATA REAL - APROV FINAL]]&lt;&gt;""),1)</f>
        <v>1</v>
      </c>
      <c r="Q48" s="15" cm="1">
        <f t="array" aca="1" ref="Q4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CRACHÁ]]="",$BN48&gt;$BL$1),2,
AND(Tabela1[[#This Row],[STATUS PROCESSO MOBILIZAÇÃO]]="Em andamento",Tabela1[[#This Row],[DATA REAL - CRACHÁ]]="",$BN48&lt;=$BL$1),3,
AND(Tabela1[[#This Row],[STATUS PROCESSO MOBILIZAÇÃO]]="Em andamento",Tabela1[[#This Row],[DATA REAL - CRACHÁ]]&lt;&gt;""),1)</f>
        <v>1</v>
      </c>
      <c r="R48" s="21">
        <f>IF(Tabela1[[#This Row],[DATA REAL - FORMS]]&lt;&gt;"",Tabela1[[#This Row],[DATA REAL - FORMS]]+30,Tabela1[[#This Row],[DATA PREV - FORMS]]+35)</f>
        <v>45758</v>
      </c>
      <c r="S4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45748</v>
      </c>
      <c r="T4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4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21</v>
      </c>
      <c r="V48" s="49">
        <f>MAX(Tabela1[[#This Row],[DATA REAL - POSTAGEM]],Tabela1[[#This Row],[DATA REAL - APROV FINAL]],Tabela1[[#This Row],[DATA REAL - CRACHÁ]])-MIN(Tabela1[[#This Row],[DATA REAL - POSTAGEM]],Tabela1[[#This Row],[DATA REAL - APROV FINAL]],Tabela1[[#This Row],[DATA REAL - CRACHÁ]])+1</f>
        <v>1</v>
      </c>
      <c r="W4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X48" s="15" t="s">
        <v>150</v>
      </c>
      <c r="Y48" s="16" t="s">
        <v>150</v>
      </c>
      <c r="Z48" s="18" t="s">
        <v>152</v>
      </c>
      <c r="AA48" s="18" t="s">
        <v>152</v>
      </c>
      <c r="AB48" s="16" t="s">
        <v>97</v>
      </c>
      <c r="AC48" s="16" t="s">
        <v>266</v>
      </c>
      <c r="AD48" s="16" t="s">
        <v>266</v>
      </c>
      <c r="AE48" s="16" t="s">
        <v>267</v>
      </c>
      <c r="AF48" s="16" t="s">
        <v>268</v>
      </c>
      <c r="AG48" s="16" t="str">
        <f>_xlfn.XLOOKUP(Tabela1[[#This Row],[CÓD. CT]],Controle_Projetos[COD CT],Controle_Projetos[COD PHD],"")</f>
        <v>GOIA-CT01-GERE</v>
      </c>
      <c r="AH48" s="21">
        <v>45701</v>
      </c>
      <c r="AI48" s="75">
        <v>45748</v>
      </c>
      <c r="AJ48" s="16" cm="1">
        <f t="array" aca="1" ref="AJ4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48</v>
      </c>
      <c r="AK48" s="21">
        <v>45727</v>
      </c>
      <c r="AL48" s="74">
        <v>45728</v>
      </c>
      <c r="AM48" s="16" cm="1">
        <f t="array" aca="1" ref="AM4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48" s="21">
        <f>Tabela1[[#This Row],[DATA PREV - FORMS]]+$AN$1</f>
        <v>45734</v>
      </c>
      <c r="AO48" s="74">
        <v>45727</v>
      </c>
      <c r="AP48" s="16" cm="1">
        <f t="array" aca="1" ref="AP4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48" s="21">
        <f>Tabela1[[#This Row],[DATA PREV - EXAMES]]+$AQ$1</f>
        <v>45736</v>
      </c>
      <c r="AR48" s="74">
        <v>45727</v>
      </c>
      <c r="AS48" s="15" cm="1">
        <f t="array" aca="1" ref="AS4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48" s="21">
        <f>Tabela1[[#This Row],[DATA PREV - FORMS]]+$AT$1</f>
        <v>45728</v>
      </c>
      <c r="AU48" s="74">
        <v>45727</v>
      </c>
      <c r="AV48" s="15" cm="1">
        <f t="array" aca="1" ref="AV4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48" s="21">
        <f>Tabela1[[#This Row],[DATA PREV - TREINAMENTOS]]+$AW$1</f>
        <v>45735</v>
      </c>
      <c r="AX48" s="74">
        <v>45728</v>
      </c>
      <c r="AY48" s="15" cm="1">
        <f t="array" aca="1" ref="AY4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48" s="24">
        <v>45727</v>
      </c>
      <c r="BA48" s="74">
        <v>45744</v>
      </c>
      <c r="BB48" s="15" cm="1">
        <f t="array" aca="1" ref="BB4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18</v>
      </c>
      <c r="BC48" s="21">
        <f>Tabela1[[#This Row],[DATA PREV - CONCL. TREIN.]]+$BC$1</f>
        <v>45737</v>
      </c>
      <c r="BD48" s="74">
        <v>45744</v>
      </c>
      <c r="BE48" s="15" cm="1">
        <f t="array" aca="1" ref="BE4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48" s="21">
        <f>Tabela1[[#This Row],[DATA PREV - DOSSIÊ]]+$BF$1</f>
        <v>45740</v>
      </c>
      <c r="BG48" s="74">
        <v>45744</v>
      </c>
      <c r="BH48" s="15" cm="1">
        <f t="array" aca="1" ref="BH4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48" s="21">
        <f>Tabela1[[#This Row],[DATA PREV - POSTAGEM]]+$BI$1</f>
        <v>45746</v>
      </c>
      <c r="BJ48" s="74">
        <v>45744</v>
      </c>
      <c r="BK48" s="15" cm="1">
        <f t="array" aca="1" ref="BK4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48" s="21">
        <f>Tabela1[[#This Row],[DATA PREV - APROV FINAL]]+$BL$1</f>
        <v>45747</v>
      </c>
      <c r="BM48" s="74">
        <v>45744</v>
      </c>
      <c r="BN48" s="15" cm="1">
        <f t="array" aca="1" ref="BN4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48" s="80" t="s">
        <v>291</v>
      </c>
    </row>
    <row r="49" spans="2:67" ht="18" hidden="1" customHeight="1" x14ac:dyDescent="0.35">
      <c r="B49" s="14" t="s">
        <v>79</v>
      </c>
      <c r="C49" s="16" t="s">
        <v>136</v>
      </c>
      <c r="D49" s="16" t="s">
        <v>81</v>
      </c>
      <c r="E49" s="16"/>
      <c r="F49" s="16" t="s">
        <v>292</v>
      </c>
      <c r="G49" s="16" cm="1">
        <f t="array" ref="G49">_xlfn.IFS(Tabela1[[#This Row],[STATUS PROCESSO MOBILIZAÇÃO]]="Finalizado",1,Tabela1[[#This Row],[STATUS PROCESSO MOBILIZAÇÃO]]="Cancelado",2,Tabela1[[#This Row],[STATUS PROCESSO MOBILIZAÇÃO]]="Em andamento",3)</f>
        <v>1</v>
      </c>
      <c r="H49" s="16" cm="1">
        <f t="array" aca="1" ref="H4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FORMS]]="",$AM49&gt;$AK$1),2,
AND(Tabela1[[#This Row],[STATUS PROCESSO MOBILIZAÇÃO]]="Em andamento",Tabela1[[#This Row],[DATA REAL - FORMS]]="",$AM49&lt;=$AK$1),3,
AND(Tabela1[[#This Row],[STATUS PROCESSO MOBILIZAÇÃO]]="Em andamento",Tabela1[[#This Row],[DATA REAL - FORMS]]&lt;&gt;""),1)</f>
        <v>1</v>
      </c>
      <c r="I49" s="16" cm="1">
        <f t="array" aca="1" ref="I4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EXAMES]]="",$AP49&gt;$AN$1),2,
AND(Tabela1[[#This Row],[STATUS PROCESSO MOBILIZAÇÃO]]="Em andamento",Tabela1[[#This Row],[DATA REAL - EXAMES]]="",$AP49&lt;=$AN$1),3,
AND(Tabela1[[#This Row],[STATUS PROCESSO MOBILIZAÇÃO]]="Em andamento",Tabela1[[#This Row],[DATA REAL - EXAMES]]&lt;&gt;""),1)</f>
        <v>1</v>
      </c>
      <c r="J49" s="16" cm="1">
        <f t="array" aca="1" ref="J4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ASO]]="",$AS49&gt;$AQ$1),2,
AND(Tabela1[[#This Row],[STATUS PROCESSO MOBILIZAÇÃO]]="Em andamento",Tabela1[[#This Row],[DATA REAL - ASO]]="",$AS49&lt;=$AQ$1),3,
AND(Tabela1[[#This Row],[STATUS PROCESSO MOBILIZAÇÃO]]="Em andamento",Tabela1[[#This Row],[DATA REAL - ASO]]&lt;&gt;""),1)</f>
        <v>1</v>
      </c>
      <c r="K49" s="15" cm="1">
        <f t="array" aca="1" ref="K4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TREINAMENTOS]]="",$AV49&gt;$AT$1),2,
AND(Tabela1[[#This Row],[STATUS PROCESSO MOBILIZAÇÃO]]="Em andamento",Tabela1[[#This Row],[DATA REAL - TREINAMENTOS]]="",$AV49&lt;=$AT$1),3,
AND(Tabela1[[#This Row],[STATUS PROCESSO MOBILIZAÇÃO]]="Em andamento",Tabela1[[#This Row],[DATA REAL - TREINAMENTOS]]&lt;&gt;""),1)</f>
        <v>1</v>
      </c>
      <c r="L49" s="15" cm="1">
        <f t="array" aca="1" ref="L4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TREIN.]]="",$AY49&gt;$AW$1),2,
AND(Tabela1[[#This Row],[STATUS PROCESSO MOBILIZAÇÃO]]="Em andamento",Tabela1[[#This Row],[DATA REAL - CONCL. TREIN.]]="",$AY49&lt;=$AW$1),3,
AND(Tabela1[[#This Row],[STATUS PROCESSO MOBILIZAÇÃO]]="Em andamento",Tabela1[[#This Row],[DATA REAL - CONCL. TREIN.]]&lt;&gt;""),1)</f>
        <v>1</v>
      </c>
      <c r="M49" s="15" cm="1">
        <f t="array" aca="1" ref="M4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CONTRATUAL]]="",$BB49&gt;$AZ$1),2,
AND(Tabela1[[#This Row],[STATUS PROCESSO MOBILIZAÇÃO]]="Em andamento",Tabela1[[#This Row],[DATA FIM - ALTER. CONTRATUAL]]="",$BB49&lt;=$AZ$1),3,
AND(Tabela1[[#This Row],[STATUS PROCESSO MOBILIZAÇÃO]]="Em andamento",Tabela1[[#This Row],[DATA FIM - ALTER. CONTRATUAL]]&lt;&gt;""),1)</f>
        <v>1</v>
      </c>
      <c r="N49" s="16" cm="1">
        <f t="array" aca="1" ref="N4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DOSSIÊ]]="",$BE49&gt;$BC$1),2,
AND(Tabela1[[#This Row],[STATUS PROCESSO MOBILIZAÇÃO]]="Em andamento",Tabela1[[#This Row],[DATA REAL - DOSSIÊ]]="",$BE49&lt;=$BC$1),3,
AND(Tabela1[[#This Row],[STATUS PROCESSO MOBILIZAÇÃO]]="Em andamento",Tabela1[[#This Row],[DATA REAL - DOSSIÊ]]&lt;&gt;""),1)</f>
        <v>1</v>
      </c>
      <c r="O49" s="16" cm="1">
        <f t="array" aca="1" ref="O4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POSTAGEM]]="",$BH49&gt;$BF$1),2,
AND(Tabela1[[#This Row],[STATUS PROCESSO MOBILIZAÇÃO]]="Em andamento",Tabela1[[#This Row],[DATA REAL - POSTAGEM]]="",$BH49&lt;=$BF$1),3,
AND(Tabela1[[#This Row],[STATUS PROCESSO MOBILIZAÇÃO]]="Em andamento",Tabela1[[#This Row],[DATA REAL - POSTAGEM]]&lt;&gt;""),1)</f>
        <v>1</v>
      </c>
      <c r="P49" s="16" cm="1">
        <f t="array" aca="1" ref="P4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FINAL]]="",$BK49&gt;$BI$1),2,
AND(Tabela1[[#This Row],[STATUS PROCESSO MOBILIZAÇÃO]]="Em andamento",Tabela1[[#This Row],[DATA REAL - APROV FINAL]]="",$BK49&lt;=$BI$1),3,
AND(Tabela1[[#This Row],[STATUS PROCESSO MOBILIZAÇÃO]]="Em andamento",Tabela1[[#This Row],[DATA REAL - APROV FINAL]]&lt;&gt;""),1)</f>
        <v>1</v>
      </c>
      <c r="Q49" s="15" cm="1">
        <f t="array" aca="1" ref="Q4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CRACHÁ]]="",$BN49&gt;$BL$1),2,
AND(Tabela1[[#This Row],[STATUS PROCESSO MOBILIZAÇÃO]]="Em andamento",Tabela1[[#This Row],[DATA REAL - CRACHÁ]]="",$BN49&lt;=$BL$1),3,
AND(Tabela1[[#This Row],[STATUS PROCESSO MOBILIZAÇÃO]]="Em andamento",Tabela1[[#This Row],[DATA REAL - CRACHÁ]]&lt;&gt;""),1)</f>
        <v>1</v>
      </c>
      <c r="R49" s="21">
        <f>IF(Tabela1[[#This Row],[DATA REAL - FORMS]]&lt;&gt;"",Tabela1[[#This Row],[DATA REAL - FORMS]]+30,Tabela1[[#This Row],[DATA PREV - FORMS]]+35)</f>
        <v>45758</v>
      </c>
      <c r="S4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45748</v>
      </c>
      <c r="T4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4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21</v>
      </c>
      <c r="V49" s="49">
        <f>MAX(Tabela1[[#This Row],[DATA REAL - POSTAGEM]],Tabela1[[#This Row],[DATA REAL - APROV FINAL]],Tabela1[[#This Row],[DATA REAL - CRACHÁ]])-MIN(Tabela1[[#This Row],[DATA REAL - POSTAGEM]],Tabela1[[#This Row],[DATA REAL - APROV FINAL]],Tabela1[[#This Row],[DATA REAL - CRACHÁ]])+1</f>
        <v>1</v>
      </c>
      <c r="W4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X49" s="15" t="s">
        <v>150</v>
      </c>
      <c r="Y49" s="16" t="s">
        <v>150</v>
      </c>
      <c r="Z49" s="18" t="s">
        <v>152</v>
      </c>
      <c r="AA49" s="18" t="s">
        <v>152</v>
      </c>
      <c r="AB49" s="16" t="s">
        <v>97</v>
      </c>
      <c r="AC49" s="16" t="s">
        <v>266</v>
      </c>
      <c r="AD49" s="16" t="s">
        <v>266</v>
      </c>
      <c r="AE49" s="16" t="s">
        <v>267</v>
      </c>
      <c r="AF49" s="16" t="s">
        <v>268</v>
      </c>
      <c r="AG49" s="16" t="str">
        <f>_xlfn.XLOOKUP(Tabela1[[#This Row],[CÓD. CT]],Controle_Projetos[COD CT],Controle_Projetos[COD PHD],"")</f>
        <v>GOIA-CT01-GERE</v>
      </c>
      <c r="AH49" s="21">
        <v>45701</v>
      </c>
      <c r="AI49" s="75">
        <v>45748</v>
      </c>
      <c r="AJ49" s="16" cm="1">
        <f t="array" aca="1" ref="AJ4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48</v>
      </c>
      <c r="AK49" s="21">
        <v>45727</v>
      </c>
      <c r="AL49" s="74">
        <v>45728</v>
      </c>
      <c r="AM49" s="16" cm="1">
        <f t="array" aca="1" ref="AM4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49" s="21">
        <f>Tabela1[[#This Row],[DATA PREV - FORMS]]+$AN$1</f>
        <v>45734</v>
      </c>
      <c r="AO49" s="74">
        <v>45727</v>
      </c>
      <c r="AP49" s="16" cm="1">
        <f t="array" aca="1" ref="AP4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49" s="21">
        <f>Tabela1[[#This Row],[DATA PREV - EXAMES]]+$AQ$1</f>
        <v>45736</v>
      </c>
      <c r="AR49" s="74">
        <v>45730</v>
      </c>
      <c r="AS49" s="15" cm="1">
        <f t="array" aca="1" ref="AS4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49" s="21">
        <f>Tabela1[[#This Row],[DATA PREV - FORMS]]+$AT$1</f>
        <v>45728</v>
      </c>
      <c r="AU49" s="74">
        <v>45727</v>
      </c>
      <c r="AV49" s="15" cm="1">
        <f t="array" aca="1" ref="AV4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49" s="21">
        <f>Tabela1[[#This Row],[DATA PREV - TREINAMENTOS]]+$AW$1</f>
        <v>45735</v>
      </c>
      <c r="AX49" s="74">
        <v>45730</v>
      </c>
      <c r="AY49" s="15" cm="1">
        <f t="array" aca="1" ref="AY4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49" s="24">
        <v>45740</v>
      </c>
      <c r="BA49" s="74">
        <v>45744</v>
      </c>
      <c r="BB49" s="15" cm="1">
        <f t="array" aca="1" ref="BB4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v>
      </c>
      <c r="BC49" s="21">
        <f>Tabela1[[#This Row],[DATA PREV - CONCL. TREIN.]]+$BC$1</f>
        <v>45737</v>
      </c>
      <c r="BD49" s="74">
        <v>45744</v>
      </c>
      <c r="BE49" s="15" cm="1">
        <f t="array" aca="1" ref="BE4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49" s="21">
        <f>Tabela1[[#This Row],[DATA PREV - DOSSIÊ]]+$BF$1</f>
        <v>45740</v>
      </c>
      <c r="BG49" s="74">
        <v>45744</v>
      </c>
      <c r="BH49" s="15" cm="1">
        <f t="array" aca="1" ref="BH4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49" s="21">
        <f>Tabela1[[#This Row],[DATA PREV - POSTAGEM]]+$BI$1</f>
        <v>45746</v>
      </c>
      <c r="BJ49" s="74">
        <v>45744</v>
      </c>
      <c r="BK49" s="15" cm="1">
        <f t="array" aca="1" ref="BK4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49" s="21">
        <f>Tabela1[[#This Row],[DATA PREV - APROV FINAL]]+$BL$1</f>
        <v>45747</v>
      </c>
      <c r="BM49" s="74">
        <v>45744</v>
      </c>
      <c r="BN49" s="15" cm="1">
        <f t="array" aca="1" ref="BN4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49" s="80" t="s">
        <v>293</v>
      </c>
    </row>
    <row r="50" spans="2:67" ht="18" hidden="1" customHeight="1" x14ac:dyDescent="0.35">
      <c r="B50" s="14" t="s">
        <v>79</v>
      </c>
      <c r="C50" s="16" t="s">
        <v>136</v>
      </c>
      <c r="D50" s="16" t="s">
        <v>81</v>
      </c>
      <c r="E50" s="16"/>
      <c r="F50" s="16" t="s">
        <v>294</v>
      </c>
      <c r="G50" s="16" cm="1">
        <f t="array" ref="G50">_xlfn.IFS(Tabela1[[#This Row],[STATUS PROCESSO MOBILIZAÇÃO]]="Finalizado",1,Tabela1[[#This Row],[STATUS PROCESSO MOBILIZAÇÃO]]="Cancelado",2,Tabela1[[#This Row],[STATUS PROCESSO MOBILIZAÇÃO]]="Em andamento",3)</f>
        <v>1</v>
      </c>
      <c r="H50" s="16" cm="1">
        <f t="array" aca="1" ref="H5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FORMS]]="",$AM50&gt;$AK$1),2,
AND(Tabela1[[#This Row],[STATUS PROCESSO MOBILIZAÇÃO]]="Em andamento",Tabela1[[#This Row],[DATA REAL - FORMS]]="",$AM50&lt;=$AK$1),3,
AND(Tabela1[[#This Row],[STATUS PROCESSO MOBILIZAÇÃO]]="Em andamento",Tabela1[[#This Row],[DATA REAL - FORMS]]&lt;&gt;""),1)</f>
        <v>1</v>
      </c>
      <c r="I50" s="16" cm="1">
        <f t="array" aca="1" ref="I5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EXAMES]]="",$AP50&gt;$AN$1),2,
AND(Tabela1[[#This Row],[STATUS PROCESSO MOBILIZAÇÃO]]="Em andamento",Tabela1[[#This Row],[DATA REAL - EXAMES]]="",$AP50&lt;=$AN$1),3,
AND(Tabela1[[#This Row],[STATUS PROCESSO MOBILIZAÇÃO]]="Em andamento",Tabela1[[#This Row],[DATA REAL - EXAMES]]&lt;&gt;""),1)</f>
        <v>1</v>
      </c>
      <c r="J50" s="16" cm="1">
        <f t="array" aca="1" ref="J5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ASO]]="",$AS50&gt;$AQ$1),2,
AND(Tabela1[[#This Row],[STATUS PROCESSO MOBILIZAÇÃO]]="Em andamento",Tabela1[[#This Row],[DATA REAL - ASO]]="",$AS50&lt;=$AQ$1),3,
AND(Tabela1[[#This Row],[STATUS PROCESSO MOBILIZAÇÃO]]="Em andamento",Tabela1[[#This Row],[DATA REAL - ASO]]&lt;&gt;""),1)</f>
        <v>1</v>
      </c>
      <c r="K50" s="15" cm="1">
        <f t="array" aca="1" ref="K5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TREINAMENTOS]]="",$AV50&gt;$AT$1),2,
AND(Tabela1[[#This Row],[STATUS PROCESSO MOBILIZAÇÃO]]="Em andamento",Tabela1[[#This Row],[DATA REAL - TREINAMENTOS]]="",$AV50&lt;=$AT$1),3,
AND(Tabela1[[#This Row],[STATUS PROCESSO MOBILIZAÇÃO]]="Em andamento",Tabela1[[#This Row],[DATA REAL - TREINAMENTOS]]&lt;&gt;""),1)</f>
        <v>1</v>
      </c>
      <c r="L50" s="15" cm="1">
        <f t="array" aca="1" ref="L5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TREIN.]]="",$AY50&gt;$AW$1),2,
AND(Tabela1[[#This Row],[STATUS PROCESSO MOBILIZAÇÃO]]="Em andamento",Tabela1[[#This Row],[DATA REAL - CONCL. TREIN.]]="",$AY50&lt;=$AW$1),3,
AND(Tabela1[[#This Row],[STATUS PROCESSO MOBILIZAÇÃO]]="Em andamento",Tabela1[[#This Row],[DATA REAL - CONCL. TREIN.]]&lt;&gt;""),1)</f>
        <v>1</v>
      </c>
      <c r="M50" s="15" cm="1">
        <f t="array" aca="1" ref="M5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CONTRATUAL]]="",$BB50&gt;$AZ$1),2,
AND(Tabela1[[#This Row],[STATUS PROCESSO MOBILIZAÇÃO]]="Em andamento",Tabela1[[#This Row],[DATA FIM - ALTER. CONTRATUAL]]="",$BB50&lt;=$AZ$1),3,
AND(Tabela1[[#This Row],[STATUS PROCESSO MOBILIZAÇÃO]]="Em andamento",Tabela1[[#This Row],[DATA FIM - ALTER. CONTRATUAL]]&lt;&gt;""),1)</f>
        <v>1</v>
      </c>
      <c r="N50" s="16" cm="1">
        <f t="array" aca="1" ref="N5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DOSSIÊ]]="",$BE50&gt;$BC$1),2,
AND(Tabela1[[#This Row],[STATUS PROCESSO MOBILIZAÇÃO]]="Em andamento",Tabela1[[#This Row],[DATA REAL - DOSSIÊ]]="",$BE50&lt;=$BC$1),3,
AND(Tabela1[[#This Row],[STATUS PROCESSO MOBILIZAÇÃO]]="Em andamento",Tabela1[[#This Row],[DATA REAL - DOSSIÊ]]&lt;&gt;""),1)</f>
        <v>1</v>
      </c>
      <c r="O50" s="16" cm="1">
        <f t="array" aca="1" ref="O5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POSTAGEM]]="",$BH50&gt;$BF$1),2,
AND(Tabela1[[#This Row],[STATUS PROCESSO MOBILIZAÇÃO]]="Em andamento",Tabela1[[#This Row],[DATA REAL - POSTAGEM]]="",$BH50&lt;=$BF$1),3,
AND(Tabela1[[#This Row],[STATUS PROCESSO MOBILIZAÇÃO]]="Em andamento",Tabela1[[#This Row],[DATA REAL - POSTAGEM]]&lt;&gt;""),1)</f>
        <v>1</v>
      </c>
      <c r="P50" s="16" cm="1">
        <f t="array" aca="1" ref="P5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FINAL]]="",$BK50&gt;$BI$1),2,
AND(Tabela1[[#This Row],[STATUS PROCESSO MOBILIZAÇÃO]]="Em andamento",Tabela1[[#This Row],[DATA REAL - APROV FINAL]]="",$BK50&lt;=$BI$1),3,
AND(Tabela1[[#This Row],[STATUS PROCESSO MOBILIZAÇÃO]]="Em andamento",Tabela1[[#This Row],[DATA REAL - APROV FINAL]]&lt;&gt;""),1)</f>
        <v>1</v>
      </c>
      <c r="Q50" s="15" cm="1">
        <f t="array" aca="1" ref="Q5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CRACHÁ]]="",$BN50&gt;$BL$1),2,
AND(Tabela1[[#This Row],[STATUS PROCESSO MOBILIZAÇÃO]]="Em andamento",Tabela1[[#This Row],[DATA REAL - CRACHÁ]]="",$BN50&lt;=$BL$1),3,
AND(Tabela1[[#This Row],[STATUS PROCESSO MOBILIZAÇÃO]]="Em andamento",Tabela1[[#This Row],[DATA REAL - CRACHÁ]]&lt;&gt;""),1)</f>
        <v>1</v>
      </c>
      <c r="R50" s="21">
        <f>IF(Tabela1[[#This Row],[DATA REAL - FORMS]]&lt;&gt;"",Tabela1[[#This Row],[DATA REAL - FORMS]]+30,Tabela1[[#This Row],[DATA PREV - FORMS]]+35)</f>
        <v>45771</v>
      </c>
      <c r="S5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45755</v>
      </c>
      <c r="T5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67</v>
      </c>
      <c r="U5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56</v>
      </c>
      <c r="V50" s="49">
        <f>MAX(Tabela1[[#This Row],[DATA REAL - POSTAGEM]],Tabela1[[#This Row],[DATA REAL - APROV FINAL]],Tabela1[[#This Row],[DATA REAL - CRACHÁ]])-MIN(Tabela1[[#This Row],[DATA REAL - POSTAGEM]],Tabela1[[#This Row],[DATA REAL - APROV FINAL]],Tabela1[[#This Row],[DATA REAL - CRACHÁ]])+1</f>
        <v>5</v>
      </c>
      <c r="W5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50" s="15"/>
      <c r="Y50" s="16" t="s">
        <v>122</v>
      </c>
      <c r="Z50" s="18" t="s">
        <v>249</v>
      </c>
      <c r="AA50" s="18" t="s">
        <v>124</v>
      </c>
      <c r="AB50" s="16" t="s">
        <v>97</v>
      </c>
      <c r="AC50" s="16" t="s">
        <v>179</v>
      </c>
      <c r="AD50" s="16" t="s">
        <v>89</v>
      </c>
      <c r="AE50" s="16" t="s">
        <v>295</v>
      </c>
      <c r="AF50" s="16" t="s">
        <v>296</v>
      </c>
      <c r="AG50" s="16" t="str">
        <f>_xlfn.XLOOKUP(Tabela1[[#This Row],[CÓD. CT]],Controle_Projetos[COD CT],Controle_Projetos[COD PHD],"")</f>
        <v>PARE-CT05-USIN</v>
      </c>
      <c r="AH50" s="21"/>
      <c r="AI50" s="75">
        <v>45688</v>
      </c>
      <c r="AJ50" s="16" t="str" cm="1">
        <f t="array" aca="1" ref="AJ5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50" s="21">
        <v>45727</v>
      </c>
      <c r="AL50" s="74">
        <v>45741</v>
      </c>
      <c r="AM50" s="16" cm="1">
        <f t="array" aca="1" ref="AM5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15</v>
      </c>
      <c r="AN50" s="21">
        <f>Tabela1[[#This Row],[DATA PREV - FORMS]]+$AN$1</f>
        <v>45734</v>
      </c>
      <c r="AO50" s="74">
        <v>45727</v>
      </c>
      <c r="AP50" s="16" cm="1">
        <f t="array" aca="1" ref="AP5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0" s="21">
        <f>Tabela1[[#This Row],[DATA PREV - EXAMES]]+$AQ$1</f>
        <v>45736</v>
      </c>
      <c r="AR50" s="74">
        <v>45727</v>
      </c>
      <c r="AS50" s="15" cm="1">
        <f t="array" aca="1" ref="AS5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50" s="21">
        <f>Tabela1[[#This Row],[DATA PREV - FORMS]]+$AT$1</f>
        <v>45728</v>
      </c>
      <c r="AU50" s="74">
        <v>45727</v>
      </c>
      <c r="AV50" s="15" cm="1">
        <f t="array" aca="1" ref="AV5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50" s="21">
        <f>Tabela1[[#This Row],[DATA PREV - TREINAMENTOS]]+$AW$1</f>
        <v>45735</v>
      </c>
      <c r="AX50" s="74">
        <v>45728</v>
      </c>
      <c r="AY50" s="15" cm="1">
        <f t="array" aca="1" ref="AY5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50" s="24">
        <v>45600</v>
      </c>
      <c r="BA50" s="74">
        <v>45744</v>
      </c>
      <c r="BB50" s="15" cm="1">
        <f t="array" aca="1" ref="BB5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145</v>
      </c>
      <c r="BC50" s="21">
        <f>Tabela1[[#This Row],[DATA PREV - CONCL. TREIN.]]+$BC$1</f>
        <v>45737</v>
      </c>
      <c r="BD50" s="74">
        <v>45744</v>
      </c>
      <c r="BE50" s="15" cm="1">
        <f t="array" aca="1" ref="BE5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50" s="21">
        <f>Tabela1[[#This Row],[DATA PREV - DOSSIÊ]]+$BF$1</f>
        <v>45740</v>
      </c>
      <c r="BG50" s="74">
        <v>45751</v>
      </c>
      <c r="BH50" s="15" cm="1">
        <f t="array" aca="1" ref="BH5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50" s="21">
        <f>Tabela1[[#This Row],[DATA PREV - POSTAGEM]]+$BI$1</f>
        <v>45746</v>
      </c>
      <c r="BJ50" s="74">
        <v>45754</v>
      </c>
      <c r="BK50" s="15" cm="1">
        <f t="array" aca="1" ref="BK5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50" s="21">
        <f>Tabela1[[#This Row],[DATA PREV - APROV FINAL]]+$BL$1</f>
        <v>45747</v>
      </c>
      <c r="BM50" s="74">
        <v>45755</v>
      </c>
      <c r="BN50" s="15" cm="1">
        <f t="array" aca="1" ref="BN5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50" s="80" t="s">
        <v>297</v>
      </c>
    </row>
    <row r="51" spans="2:67" ht="18" hidden="1" customHeight="1" x14ac:dyDescent="0.35">
      <c r="B51" s="14" t="s">
        <v>119</v>
      </c>
      <c r="C51" s="16" t="s">
        <v>147</v>
      </c>
      <c r="D51" s="16" t="s">
        <v>119</v>
      </c>
      <c r="E51" s="16"/>
      <c r="F51" s="16" t="s">
        <v>260</v>
      </c>
      <c r="G51" s="16" cm="1">
        <f t="array" ref="G51">_xlfn.IFS(Tabela1[[#This Row],[STATUS PROCESSO MOBILIZAÇÃO]]="Finalizado",1,Tabela1[[#This Row],[STATUS PROCESSO MOBILIZAÇÃO]]="Cancelado",2,Tabela1[[#This Row],[STATUS PROCESSO MOBILIZAÇÃO]]="Em andamento",3)</f>
        <v>2</v>
      </c>
      <c r="H51" s="16" cm="1">
        <f t="array" aca="1" ref="H5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FORMS]]="",$AM51&gt;$AK$1),2,
AND(Tabela1[[#This Row],[STATUS PROCESSO MOBILIZAÇÃO]]="Em andamento",Tabela1[[#This Row],[DATA REAL - FORMS]]="",$AM51&lt;=$AK$1),3,
AND(Tabela1[[#This Row],[STATUS PROCESSO MOBILIZAÇÃO]]="Em andamento",Tabela1[[#This Row],[DATA REAL - FORMS]]&lt;&gt;""),1)</f>
        <v>1</v>
      </c>
      <c r="I51" s="16" cm="1">
        <f t="array" aca="1" ref="I5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EXAMES]]="",$AP51&gt;$AN$1),2,
AND(Tabela1[[#This Row],[STATUS PROCESSO MOBILIZAÇÃO]]="Em andamento",Tabela1[[#This Row],[DATA REAL - EXAMES]]="",$AP51&lt;=$AN$1),3,
AND(Tabela1[[#This Row],[STATUS PROCESSO MOBILIZAÇÃO]]="Em andamento",Tabela1[[#This Row],[DATA REAL - EXAMES]]&lt;&gt;""),1)</f>
        <v>1</v>
      </c>
      <c r="J51" s="16" cm="1">
        <f t="array" aca="1" ref="J5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ASO]]="",$AS51&gt;$AQ$1),2,
AND(Tabela1[[#This Row],[STATUS PROCESSO MOBILIZAÇÃO]]="Em andamento",Tabela1[[#This Row],[DATA REAL - ASO]]="",$AS51&lt;=$AQ$1),3,
AND(Tabela1[[#This Row],[STATUS PROCESSO MOBILIZAÇÃO]]="Em andamento",Tabela1[[#This Row],[DATA REAL - ASO]]&lt;&gt;""),1)</f>
        <v>1</v>
      </c>
      <c r="K51" s="15" cm="1">
        <f t="array" aca="1" ref="K5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TREINAMENTOS]]="",$AV51&gt;$AT$1),2,
AND(Tabela1[[#This Row],[STATUS PROCESSO MOBILIZAÇÃO]]="Em andamento",Tabela1[[#This Row],[DATA REAL - TREINAMENTOS]]="",$AV51&lt;=$AT$1),3,
AND(Tabela1[[#This Row],[STATUS PROCESSO MOBILIZAÇÃO]]="Em andamento",Tabela1[[#This Row],[DATA REAL - TREINAMENTOS]]&lt;&gt;""),1)</f>
        <v>1</v>
      </c>
      <c r="L51" s="15" cm="1">
        <f t="array" aca="1" ref="L5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TREIN.]]="",$AY51&gt;$AW$1),2,
AND(Tabela1[[#This Row],[STATUS PROCESSO MOBILIZAÇÃO]]="Em andamento",Tabela1[[#This Row],[DATA REAL - CONCL. TREIN.]]="",$AY51&lt;=$AW$1),3,
AND(Tabela1[[#This Row],[STATUS PROCESSO MOBILIZAÇÃO]]="Em andamento",Tabela1[[#This Row],[DATA REAL - CONCL. TREIN.]]&lt;&gt;""),1)</f>
        <v>1</v>
      </c>
      <c r="M51" s="15" cm="1">
        <f t="array" aca="1" ref="M5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CONTRATUAL]]="",$BB51&gt;$AZ$1),2,
AND(Tabela1[[#This Row],[STATUS PROCESSO MOBILIZAÇÃO]]="Em andamento",Tabela1[[#This Row],[DATA FIM - ALTER. CONTRATUAL]]="",$BB51&lt;=$AZ$1),3,
AND(Tabela1[[#This Row],[STATUS PROCESSO MOBILIZAÇÃO]]="Em andamento",Tabela1[[#This Row],[DATA FIM - ALTER. CONTRATUAL]]&lt;&gt;""),1)</f>
        <v>1</v>
      </c>
      <c r="N51" s="16" cm="1">
        <f t="array" aca="1" ref="N5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DOSSIÊ]]="",$BE51&gt;$BC$1),2,
AND(Tabela1[[#This Row],[STATUS PROCESSO MOBILIZAÇÃO]]="Em andamento",Tabela1[[#This Row],[DATA REAL - DOSSIÊ]]="",$BE51&lt;=$BC$1),3,
AND(Tabela1[[#This Row],[STATUS PROCESSO MOBILIZAÇÃO]]="Em andamento",Tabela1[[#This Row],[DATA REAL - DOSSIÊ]]&lt;&gt;""),1)</f>
        <v>1</v>
      </c>
      <c r="O51" s="16" cm="1">
        <f t="array" aca="1" ref="O5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POSTAGEM]]="",$BH51&gt;$BF$1),2,
AND(Tabela1[[#This Row],[STATUS PROCESSO MOBILIZAÇÃO]]="Em andamento",Tabela1[[#This Row],[DATA REAL - POSTAGEM]]="",$BH51&lt;=$BF$1),3,
AND(Tabela1[[#This Row],[STATUS PROCESSO MOBILIZAÇÃO]]="Em andamento",Tabela1[[#This Row],[DATA REAL - POSTAGEM]]&lt;&gt;""),1)</f>
        <v>0</v>
      </c>
      <c r="P51" s="16" cm="1">
        <f t="array" aca="1" ref="P5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FINAL]]="",$BK51&gt;$BI$1),2,
AND(Tabela1[[#This Row],[STATUS PROCESSO MOBILIZAÇÃO]]="Em andamento",Tabela1[[#This Row],[DATA REAL - APROV FINAL]]="",$BK51&lt;=$BI$1),3,
AND(Tabela1[[#This Row],[STATUS PROCESSO MOBILIZAÇÃO]]="Em andamento",Tabela1[[#This Row],[DATA REAL - APROV FINAL]]&lt;&gt;""),1)</f>
        <v>0</v>
      </c>
      <c r="Q51" s="15" cm="1">
        <f t="array" aca="1" ref="Q5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CRACHÁ]]="",$BN51&gt;$BL$1),2,
AND(Tabela1[[#This Row],[STATUS PROCESSO MOBILIZAÇÃO]]="Em andamento",Tabela1[[#This Row],[DATA REAL - CRACHÁ]]="",$BN51&lt;=$BL$1),3,
AND(Tabela1[[#This Row],[STATUS PROCESSO MOBILIZAÇÃO]]="Em andamento",Tabela1[[#This Row],[DATA REAL - CRACHÁ]]&lt;&gt;""),1)</f>
        <v>1</v>
      </c>
      <c r="R51" s="21">
        <f>IF(Tabela1[[#This Row],[DATA REAL - FORMS]]&lt;&gt;"",Tabela1[[#This Row],[DATA REAL - FORMS]]+30,Tabela1[[#This Row],[DATA PREV - FORMS]]+35)</f>
        <v>45756</v>
      </c>
      <c r="S5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45741</v>
      </c>
      <c r="T5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420</v>
      </c>
      <c r="U5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415</v>
      </c>
      <c r="V51" s="49">
        <f>MAX(Tabela1[[#This Row],[DATA REAL - POSTAGEM]],Tabela1[[#This Row],[DATA REAL - APROV FINAL]],Tabela1[[#This Row],[DATA REAL - CRACHÁ]])-MIN(Tabela1[[#This Row],[DATA REAL - POSTAGEM]],Tabela1[[#This Row],[DATA REAL - APROV FINAL]],Tabela1[[#This Row],[DATA REAL - CRACHÁ]])+1</f>
        <v>1</v>
      </c>
      <c r="W5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51" s="15" t="s">
        <v>83</v>
      </c>
      <c r="Y51" s="16" t="s">
        <v>84</v>
      </c>
      <c r="Z51" s="18" t="s">
        <v>85</v>
      </c>
      <c r="AA51" s="18" t="s">
        <v>86</v>
      </c>
      <c r="AB51" s="16" t="s">
        <v>97</v>
      </c>
      <c r="AC51" s="16" t="s">
        <v>98</v>
      </c>
      <c r="AD51" s="16" t="s">
        <v>89</v>
      </c>
      <c r="AE51" s="16" t="s">
        <v>298</v>
      </c>
      <c r="AF51" s="16" t="s">
        <v>145</v>
      </c>
      <c r="AG51" s="16" t="str">
        <f>_xlfn.XLOOKUP(Tabela1[[#This Row],[CÓD. CT]],Controle_Projetos[COD CT],Controle_Projetos[COD PHD],"")</f>
        <v>SALU-CT06-MARA</v>
      </c>
      <c r="AH51" s="21">
        <v>45727</v>
      </c>
      <c r="AI51" s="75">
        <v>45321</v>
      </c>
      <c r="AJ51" s="16" t="str" cm="1">
        <f t="array" aca="1" ref="AJ5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51" s="21">
        <v>45727</v>
      </c>
      <c r="AL51" s="74">
        <v>45726</v>
      </c>
      <c r="AM51" s="16" cm="1">
        <f t="array" aca="1" ref="AM5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51" s="21">
        <f>Tabela1[[#This Row],[DATA PREV - FORMS]]+$AN$1</f>
        <v>45734</v>
      </c>
      <c r="AO51" s="74">
        <v>45727</v>
      </c>
      <c r="AP51" s="16" cm="1">
        <f t="array" aca="1" ref="AP5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1" s="21">
        <f>Tabela1[[#This Row],[DATA PREV - EXAMES]]+$AQ$1</f>
        <v>45736</v>
      </c>
      <c r="AR51" s="74">
        <v>45736</v>
      </c>
      <c r="AS51" s="15" cm="1">
        <f t="array" aca="1" ref="AS5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51" s="21">
        <f>Tabela1[[#This Row],[DATA PREV - FORMS]]+$AT$1</f>
        <v>45728</v>
      </c>
      <c r="AU51" s="74">
        <v>45728</v>
      </c>
      <c r="AV51" s="15" cm="1">
        <f t="array" aca="1" ref="AV5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51" s="21">
        <f>Tabela1[[#This Row],[DATA PREV - TREINAMENTOS]]+$AW$1</f>
        <v>45735</v>
      </c>
      <c r="AX51" s="74">
        <v>45735</v>
      </c>
      <c r="AY51" s="15" cm="1">
        <f t="array" aca="1" ref="AY5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51" s="24">
        <v>45747</v>
      </c>
      <c r="BA51" s="74">
        <v>45727</v>
      </c>
      <c r="BB51" s="15" cm="1">
        <f t="array" aca="1" ref="BB5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-19</v>
      </c>
      <c r="BC51" s="21">
        <f>Tabela1[[#This Row],[DATA PREV - CONCL. TREIN.]]+$BC$1</f>
        <v>45737</v>
      </c>
      <c r="BD51" s="74">
        <v>45736</v>
      </c>
      <c r="BE51" s="15" cm="1">
        <f t="array" aca="1" ref="BE5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51" s="21">
        <f>Tabela1[[#This Row],[DATA PREV - DOSSIÊ]]+$BF$1</f>
        <v>45740</v>
      </c>
      <c r="BG51" s="74"/>
      <c r="BH51" s="15" cm="1">
        <f t="array" aca="1" ref="BH5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51" s="21">
        <f>Tabela1[[#This Row],[DATA PREV - POSTAGEM]]+$BI$1</f>
        <v>45746</v>
      </c>
      <c r="BJ51" s="74"/>
      <c r="BK51" s="15" cm="1">
        <f t="array" aca="1" ref="BK5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51" s="21">
        <f>Tabela1[[#This Row],[DATA PREV - APROV FINAL]]+$BL$1</f>
        <v>45747</v>
      </c>
      <c r="BM51" s="74">
        <v>45741</v>
      </c>
      <c r="BN51" s="15" cm="1">
        <f t="array" aca="1" ref="BN5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51" s="80" t="s">
        <v>299</v>
      </c>
    </row>
    <row r="52" spans="2:67" ht="18" hidden="1" customHeight="1" x14ac:dyDescent="0.35">
      <c r="B52" s="14" t="s">
        <v>79</v>
      </c>
      <c r="C52" s="16" t="s">
        <v>147</v>
      </c>
      <c r="D52" s="16" t="s">
        <v>81</v>
      </c>
      <c r="E52" s="16"/>
      <c r="F52" s="16" t="s">
        <v>137</v>
      </c>
      <c r="G52" s="16" cm="1">
        <f t="array" ref="G52">_xlfn.IFS(Tabela1[[#This Row],[STATUS PROCESSO MOBILIZAÇÃO]]="Finalizado",1,Tabela1[[#This Row],[STATUS PROCESSO MOBILIZAÇÃO]]="Cancelado",2,Tabela1[[#This Row],[STATUS PROCESSO MOBILIZAÇÃO]]="Em andamento",3)</f>
        <v>1</v>
      </c>
      <c r="H52" s="16" cm="1">
        <f t="array" aca="1" ref="H5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FORMS]]="",$AM52&gt;$AK$1),2,
AND(Tabela1[[#This Row],[STATUS PROCESSO MOBILIZAÇÃO]]="Em andamento",Tabela1[[#This Row],[DATA REAL - FORMS]]="",$AM52&lt;=$AK$1),3,
AND(Tabela1[[#This Row],[STATUS PROCESSO MOBILIZAÇÃO]]="Em andamento",Tabela1[[#This Row],[DATA REAL - FORMS]]&lt;&gt;""),1)</f>
        <v>1</v>
      </c>
      <c r="I52" s="16" cm="1">
        <f t="array" aca="1" ref="I5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EXAMES]]="",$AP52&gt;$AN$1),2,
AND(Tabela1[[#This Row],[STATUS PROCESSO MOBILIZAÇÃO]]="Em andamento",Tabela1[[#This Row],[DATA REAL - EXAMES]]="",$AP52&lt;=$AN$1),3,
AND(Tabela1[[#This Row],[STATUS PROCESSO MOBILIZAÇÃO]]="Em andamento",Tabela1[[#This Row],[DATA REAL - EXAMES]]&lt;&gt;""),1)</f>
        <v>1</v>
      </c>
      <c r="J52" s="16" cm="1">
        <f t="array" aca="1" ref="J5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ASO]]="",$AS52&gt;$AQ$1),2,
AND(Tabela1[[#This Row],[STATUS PROCESSO MOBILIZAÇÃO]]="Em andamento",Tabela1[[#This Row],[DATA REAL - ASO]]="",$AS52&lt;=$AQ$1),3,
AND(Tabela1[[#This Row],[STATUS PROCESSO MOBILIZAÇÃO]]="Em andamento",Tabela1[[#This Row],[DATA REAL - ASO]]&lt;&gt;""),1)</f>
        <v>1</v>
      </c>
      <c r="K52" s="15" cm="1">
        <f t="array" aca="1" ref="K5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TREINAMENTOS]]="",$AV52&gt;$AT$1),2,
AND(Tabela1[[#This Row],[STATUS PROCESSO MOBILIZAÇÃO]]="Em andamento",Tabela1[[#This Row],[DATA REAL - TREINAMENTOS]]="",$AV52&lt;=$AT$1),3,
AND(Tabela1[[#This Row],[STATUS PROCESSO MOBILIZAÇÃO]]="Em andamento",Tabela1[[#This Row],[DATA REAL - TREINAMENTOS]]&lt;&gt;""),1)</f>
        <v>1</v>
      </c>
      <c r="L52" s="15" cm="1">
        <f t="array" aca="1" ref="L5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TREIN.]]="",$AY52&gt;$AW$1),2,
AND(Tabela1[[#This Row],[STATUS PROCESSO MOBILIZAÇÃO]]="Em andamento",Tabela1[[#This Row],[DATA REAL - CONCL. TREIN.]]="",$AY52&lt;=$AW$1),3,
AND(Tabela1[[#This Row],[STATUS PROCESSO MOBILIZAÇÃO]]="Em andamento",Tabela1[[#This Row],[DATA REAL - CONCL. TREIN.]]&lt;&gt;""),1)</f>
        <v>1</v>
      </c>
      <c r="M52" s="15" cm="1">
        <f t="array" aca="1" ref="M5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CONTRATUAL]]="",$BB52&gt;$AZ$1),2,
AND(Tabela1[[#This Row],[STATUS PROCESSO MOBILIZAÇÃO]]="Em andamento",Tabela1[[#This Row],[DATA FIM - ALTER. CONTRATUAL]]="",$BB52&lt;=$AZ$1),3,
AND(Tabela1[[#This Row],[STATUS PROCESSO MOBILIZAÇÃO]]="Em andamento",Tabela1[[#This Row],[DATA FIM - ALTER. CONTRATUAL]]&lt;&gt;""),1)</f>
        <v>1</v>
      </c>
      <c r="N52" s="16" cm="1">
        <f t="array" aca="1" ref="N5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DOSSIÊ]]="",$BE52&gt;$BC$1),2,
AND(Tabela1[[#This Row],[STATUS PROCESSO MOBILIZAÇÃO]]="Em andamento",Tabela1[[#This Row],[DATA REAL - DOSSIÊ]]="",$BE52&lt;=$BC$1),3,
AND(Tabela1[[#This Row],[STATUS PROCESSO MOBILIZAÇÃO]]="Em andamento",Tabela1[[#This Row],[DATA REAL - DOSSIÊ]]&lt;&gt;""),1)</f>
        <v>1</v>
      </c>
      <c r="O52" s="16" cm="1">
        <f t="array" aca="1" ref="O5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POSTAGEM]]="",$BH52&gt;$BF$1),2,
AND(Tabela1[[#This Row],[STATUS PROCESSO MOBILIZAÇÃO]]="Em andamento",Tabela1[[#This Row],[DATA REAL - POSTAGEM]]="",$BH52&lt;=$BF$1),3,
AND(Tabela1[[#This Row],[STATUS PROCESSO MOBILIZAÇÃO]]="Em andamento",Tabela1[[#This Row],[DATA REAL - POSTAGEM]]&lt;&gt;""),1)</f>
        <v>1</v>
      </c>
      <c r="P52" s="16" cm="1">
        <f t="array" aca="1" ref="P5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FINAL]]="",$BK52&gt;$BI$1),2,
AND(Tabela1[[#This Row],[STATUS PROCESSO MOBILIZAÇÃO]]="Em andamento",Tabela1[[#This Row],[DATA REAL - APROV FINAL]]="",$BK52&lt;=$BI$1),3,
AND(Tabela1[[#This Row],[STATUS PROCESSO MOBILIZAÇÃO]]="Em andamento",Tabela1[[#This Row],[DATA REAL - APROV FINAL]]&lt;&gt;""),1)</f>
        <v>1</v>
      </c>
      <c r="Q52" s="15" cm="1">
        <f t="array" aca="1" ref="Q5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CRACHÁ]]="",$BN52&gt;$BL$1),2,
AND(Tabela1[[#This Row],[STATUS PROCESSO MOBILIZAÇÃO]]="Em andamento",Tabela1[[#This Row],[DATA REAL - CRACHÁ]]="",$BN52&lt;=$BL$1),3,
AND(Tabela1[[#This Row],[STATUS PROCESSO MOBILIZAÇÃO]]="Em andamento",Tabela1[[#This Row],[DATA REAL - CRACHÁ]]&lt;&gt;""),1)</f>
        <v>1</v>
      </c>
      <c r="R52" s="21">
        <f>IF(Tabela1[[#This Row],[DATA REAL - FORMS]]&lt;&gt;"",Tabela1[[#This Row],[DATA REAL - FORMS]]+30,Tabela1[[#This Row],[DATA PREV - FORMS]]+35)</f>
        <v>45764</v>
      </c>
      <c r="S5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45743</v>
      </c>
      <c r="T5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56</v>
      </c>
      <c r="U5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47</v>
      </c>
      <c r="V52" s="49">
        <f>MAX(Tabela1[[#This Row],[DATA REAL - POSTAGEM]],Tabela1[[#This Row],[DATA REAL - APROV FINAL]],Tabela1[[#This Row],[DATA REAL - CRACHÁ]])-MIN(Tabela1[[#This Row],[DATA REAL - POSTAGEM]],Tabela1[[#This Row],[DATA REAL - APROV FINAL]],Tabela1[[#This Row],[DATA REAL - CRACHÁ]])+1</f>
        <v>10</v>
      </c>
      <c r="W5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52" s="15" t="s">
        <v>103</v>
      </c>
      <c r="Y52" s="16" t="s">
        <v>84</v>
      </c>
      <c r="Z52" s="18" t="s">
        <v>104</v>
      </c>
      <c r="AA52" s="18" t="s">
        <v>86</v>
      </c>
      <c r="AB52" s="16" t="s">
        <v>97</v>
      </c>
      <c r="AC52" s="16" t="s">
        <v>205</v>
      </c>
      <c r="AD52" s="16" t="s">
        <v>206</v>
      </c>
      <c r="AE52" s="16" t="s">
        <v>207</v>
      </c>
      <c r="AF52" s="16" t="s">
        <v>208</v>
      </c>
      <c r="AG52" s="16" t="str">
        <f>_xlfn.XLOOKUP(Tabela1[[#This Row],[CÓD. CT]],Controle_Projetos[COD CT],Controle_Projetos[COD PHD],"")</f>
        <v>CAPE-CT01-CROW</v>
      </c>
      <c r="AH52" s="21">
        <v>45733</v>
      </c>
      <c r="AI52" s="75">
        <v>45687</v>
      </c>
      <c r="AJ52" s="16" t="str" cm="1">
        <f t="array" aca="1" ref="AJ5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52" s="21">
        <v>45733</v>
      </c>
      <c r="AL52" s="74">
        <v>45734</v>
      </c>
      <c r="AM52" s="16" cm="1">
        <f t="array" aca="1" ref="AM5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52" s="21">
        <f>Tabela1[[#This Row],[DATA PREV - FORMS]]+$AN$1</f>
        <v>45740</v>
      </c>
      <c r="AO52" s="74">
        <v>45733</v>
      </c>
      <c r="AP52" s="16" cm="1">
        <f t="array" aca="1" ref="AP5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2" s="21">
        <f>Tabela1[[#This Row],[DATA PREV - EXAMES]]+$AQ$1</f>
        <v>45742</v>
      </c>
      <c r="AR52" s="74">
        <v>45733</v>
      </c>
      <c r="AS52" s="15" cm="1">
        <f t="array" aca="1" ref="AS5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52" s="21">
        <f>Tabela1[[#This Row],[DATA PREV - FORMS]]+$AT$1</f>
        <v>45734</v>
      </c>
      <c r="AU52" s="74">
        <v>45733</v>
      </c>
      <c r="AV52" s="15" cm="1">
        <f t="array" aca="1" ref="AV5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52" s="21">
        <f>Tabela1[[#This Row],[DATA PREV - TREINAMENTOS]]+$AW$1</f>
        <v>45741</v>
      </c>
      <c r="AX52" s="74">
        <v>45733</v>
      </c>
      <c r="AY52" s="15" cm="1">
        <f t="array" aca="1" ref="AY5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52" s="24">
        <v>45688</v>
      </c>
      <c r="BA52" s="74">
        <v>45733</v>
      </c>
      <c r="BB52" s="15" cm="1">
        <f t="array" aca="1" ref="BB5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46</v>
      </c>
      <c r="BC52" s="21">
        <f>Tabela1[[#This Row],[DATA PREV - CONCL. TREIN.]]+$BC$1</f>
        <v>45743</v>
      </c>
      <c r="BD52" s="74">
        <v>45733</v>
      </c>
      <c r="BE52" s="15" cm="1">
        <f t="array" aca="1" ref="BE5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52" s="21">
        <f>Tabela1[[#This Row],[DATA PREV - DOSSIÊ]]+$BF$1</f>
        <v>45746</v>
      </c>
      <c r="BG52" s="74">
        <v>45734</v>
      </c>
      <c r="BH52" s="15" cm="1">
        <f t="array" aca="1" ref="BH5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52" s="21">
        <f>Tabela1[[#This Row],[DATA PREV - POSTAGEM]]+$BI$1</f>
        <v>45752</v>
      </c>
      <c r="BJ52" s="74">
        <v>45743</v>
      </c>
      <c r="BK52" s="15" cm="1">
        <f t="array" aca="1" ref="BK5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52" s="21">
        <f>Tabela1[[#This Row],[DATA PREV - APROV FINAL]]+$BL$1</f>
        <v>45753</v>
      </c>
      <c r="BM52" s="74">
        <v>45743</v>
      </c>
      <c r="BN52" s="15" cm="1">
        <f t="array" aca="1" ref="BN5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52" s="80" t="s">
        <v>300</v>
      </c>
    </row>
    <row r="53" spans="2:67" ht="18" hidden="1" customHeight="1" x14ac:dyDescent="0.35">
      <c r="B53" s="14" t="s">
        <v>119</v>
      </c>
      <c r="C53" s="16" t="s">
        <v>147</v>
      </c>
      <c r="D53" s="16" t="s">
        <v>81</v>
      </c>
      <c r="E53" s="16"/>
      <c r="F53" s="16" t="s">
        <v>217</v>
      </c>
      <c r="G53" s="16" cm="1">
        <f t="array" ref="G53">_xlfn.IFS(Tabela1[[#This Row],[STATUS PROCESSO MOBILIZAÇÃO]]="Finalizado",1,Tabela1[[#This Row],[STATUS PROCESSO MOBILIZAÇÃO]]="Cancelado",2,Tabela1[[#This Row],[STATUS PROCESSO MOBILIZAÇÃO]]="Em andamento",3)</f>
        <v>2</v>
      </c>
      <c r="H53" s="16" cm="1">
        <f t="array" aca="1" ref="H5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FORMS]]="",$AM53&gt;$AK$1),2,
AND(Tabela1[[#This Row],[STATUS PROCESSO MOBILIZAÇÃO]]="Em andamento",Tabela1[[#This Row],[DATA REAL - FORMS]]="",$AM53&lt;=$AK$1),3,
AND(Tabela1[[#This Row],[STATUS PROCESSO MOBILIZAÇÃO]]="Em andamento",Tabela1[[#This Row],[DATA REAL - FORMS]]&lt;&gt;""),1)</f>
        <v>1</v>
      </c>
      <c r="I53" s="16" cm="1">
        <f t="array" aca="1" ref="I5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EXAMES]]="",$AP53&gt;$AN$1),2,
AND(Tabela1[[#This Row],[STATUS PROCESSO MOBILIZAÇÃO]]="Em andamento",Tabela1[[#This Row],[DATA REAL - EXAMES]]="",$AP53&lt;=$AN$1),3,
AND(Tabela1[[#This Row],[STATUS PROCESSO MOBILIZAÇÃO]]="Em andamento",Tabela1[[#This Row],[DATA REAL - EXAMES]]&lt;&gt;""),1)</f>
        <v>1</v>
      </c>
      <c r="J53" s="16" cm="1">
        <f t="array" aca="1" ref="J5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ASO]]="",$AS53&gt;$AQ$1),2,
AND(Tabela1[[#This Row],[STATUS PROCESSO MOBILIZAÇÃO]]="Em andamento",Tabela1[[#This Row],[DATA REAL - ASO]]="",$AS53&lt;=$AQ$1),3,
AND(Tabela1[[#This Row],[STATUS PROCESSO MOBILIZAÇÃO]]="Em andamento",Tabela1[[#This Row],[DATA REAL - ASO]]&lt;&gt;""),1)</f>
        <v>1</v>
      </c>
      <c r="K53" s="15" cm="1">
        <f t="array" aca="1" ref="K5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TREINAMENTOS]]="",$AV53&gt;$AT$1),2,
AND(Tabela1[[#This Row],[STATUS PROCESSO MOBILIZAÇÃO]]="Em andamento",Tabela1[[#This Row],[DATA REAL - TREINAMENTOS]]="",$AV53&lt;=$AT$1),3,
AND(Tabela1[[#This Row],[STATUS PROCESSO MOBILIZAÇÃO]]="Em andamento",Tabela1[[#This Row],[DATA REAL - TREINAMENTOS]]&lt;&gt;""),1)</f>
        <v>1</v>
      </c>
      <c r="L53" s="15" cm="1">
        <f t="array" aca="1" ref="L5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TREIN.]]="",$AY53&gt;$AW$1),2,
AND(Tabela1[[#This Row],[STATUS PROCESSO MOBILIZAÇÃO]]="Em andamento",Tabela1[[#This Row],[DATA REAL - CONCL. TREIN.]]="",$AY53&lt;=$AW$1),3,
AND(Tabela1[[#This Row],[STATUS PROCESSO MOBILIZAÇÃO]]="Em andamento",Tabela1[[#This Row],[DATA REAL - CONCL. TREIN.]]&lt;&gt;""),1)</f>
        <v>1</v>
      </c>
      <c r="M53" s="15" cm="1">
        <f t="array" aca="1" ref="M5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CONTRATUAL]]="",$BB53&gt;$AZ$1),2,
AND(Tabela1[[#This Row],[STATUS PROCESSO MOBILIZAÇÃO]]="Em andamento",Tabela1[[#This Row],[DATA FIM - ALTER. CONTRATUAL]]="",$BB53&lt;=$AZ$1),3,
AND(Tabela1[[#This Row],[STATUS PROCESSO MOBILIZAÇÃO]]="Em andamento",Tabela1[[#This Row],[DATA FIM - ALTER. CONTRATUAL]]&lt;&gt;""),1)</f>
        <v>1</v>
      </c>
      <c r="N53" s="16" cm="1">
        <f t="array" aca="1" ref="N5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DOSSIÊ]]="",$BE53&gt;$BC$1),2,
AND(Tabela1[[#This Row],[STATUS PROCESSO MOBILIZAÇÃO]]="Em andamento",Tabela1[[#This Row],[DATA REAL - DOSSIÊ]]="",$BE53&lt;=$BC$1),3,
AND(Tabela1[[#This Row],[STATUS PROCESSO MOBILIZAÇÃO]]="Em andamento",Tabela1[[#This Row],[DATA REAL - DOSSIÊ]]&lt;&gt;""),1)</f>
        <v>1</v>
      </c>
      <c r="O53" s="16" cm="1">
        <f t="array" aca="1" ref="O5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POSTAGEM]]="",$BH53&gt;$BF$1),2,
AND(Tabela1[[#This Row],[STATUS PROCESSO MOBILIZAÇÃO]]="Em andamento",Tabela1[[#This Row],[DATA REAL - POSTAGEM]]="",$BH53&lt;=$BF$1),3,
AND(Tabela1[[#This Row],[STATUS PROCESSO MOBILIZAÇÃO]]="Em andamento",Tabela1[[#This Row],[DATA REAL - POSTAGEM]]&lt;&gt;""),1)</f>
        <v>1</v>
      </c>
      <c r="P53" s="16" cm="1">
        <f t="array" aca="1" ref="P5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FINAL]]="",$BK53&gt;$BI$1),2,
AND(Tabela1[[#This Row],[STATUS PROCESSO MOBILIZAÇÃO]]="Em andamento",Tabela1[[#This Row],[DATA REAL - APROV FINAL]]="",$BK53&lt;=$BI$1),3,
AND(Tabela1[[#This Row],[STATUS PROCESSO MOBILIZAÇÃO]]="Em andamento",Tabela1[[#This Row],[DATA REAL - APROV FINAL]]&lt;&gt;""),1)</f>
        <v>1</v>
      </c>
      <c r="Q53" s="15" cm="1">
        <f t="array" aca="1" ref="Q5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CRACHÁ]]="",$BN53&gt;$BL$1),2,
AND(Tabela1[[#This Row],[STATUS PROCESSO MOBILIZAÇÃO]]="Em andamento",Tabela1[[#This Row],[DATA REAL - CRACHÁ]]="",$BN53&lt;=$BL$1),3,
AND(Tabela1[[#This Row],[STATUS PROCESSO MOBILIZAÇÃO]]="Em andamento",Tabela1[[#This Row],[DATA REAL - CRACHÁ]]&lt;&gt;""),1)</f>
        <v>1</v>
      </c>
      <c r="R53" s="21">
        <f>IF(Tabela1[[#This Row],[DATA REAL - FORMS]]&lt;&gt;"",Tabela1[[#This Row],[DATA REAL - FORMS]]+30,Tabela1[[#This Row],[DATA PREV - FORMS]]+35)</f>
        <v>45763</v>
      </c>
      <c r="S5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45783</v>
      </c>
      <c r="T5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50</v>
      </c>
      <c r="U5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43</v>
      </c>
      <c r="V53" s="49">
        <f>MAX(Tabela1[[#This Row],[DATA REAL - POSTAGEM]],Tabela1[[#This Row],[DATA REAL - APROV FINAL]],Tabela1[[#This Row],[DATA REAL - CRACHÁ]])-MIN(Tabela1[[#This Row],[DATA REAL - POSTAGEM]],Tabela1[[#This Row],[DATA REAL - APROV FINAL]],Tabela1[[#This Row],[DATA REAL - CRACHÁ]])+1</f>
        <v>1</v>
      </c>
      <c r="W5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541</v>
      </c>
      <c r="X53" s="15"/>
      <c r="Y53" s="16" t="s">
        <v>84</v>
      </c>
      <c r="Z53" s="18"/>
      <c r="AA53" s="18" t="s">
        <v>86</v>
      </c>
      <c r="AB53" s="16" t="s">
        <v>97</v>
      </c>
      <c r="AC53" s="16" t="s">
        <v>301</v>
      </c>
      <c r="AD53" s="16" t="s">
        <v>302</v>
      </c>
      <c r="AE53" s="16" t="s">
        <v>303</v>
      </c>
      <c r="AF53" s="16" t="s">
        <v>304</v>
      </c>
      <c r="AG53" s="16" t="str">
        <f>_xlfn.XLOOKUP(Tabela1[[#This Row],[CÓD. CT]],Controle_Projetos[COD CT],Controle_Projetos[COD PHD],"")</f>
        <v>NEWG-CT01-PLAN</v>
      </c>
      <c r="AH53" s="21">
        <v>45733</v>
      </c>
      <c r="AI53" s="75" t="s">
        <v>249</v>
      </c>
      <c r="AJ53" s="16" cm="1">
        <f t="array" aca="1" ref="AJ5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53" s="21">
        <v>45733</v>
      </c>
      <c r="AL53" s="74">
        <v>45733</v>
      </c>
      <c r="AM53" s="16" cm="1">
        <f t="array" aca="1" ref="AM5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53" s="21">
        <f>Tabela1[[#This Row],[DATA PREV - FORMS]]+$AN$1</f>
        <v>45740</v>
      </c>
      <c r="AO53" s="74">
        <v>45769</v>
      </c>
      <c r="AP53" s="16" cm="1">
        <f t="array" aca="1" ref="AP5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30</v>
      </c>
      <c r="AQ53" s="21">
        <f>Tabela1[[#This Row],[DATA PREV - EXAMES]]+$AQ$1</f>
        <v>45742</v>
      </c>
      <c r="AR53" s="74">
        <v>45775</v>
      </c>
      <c r="AS53" s="15" cm="1">
        <f t="array" aca="1" ref="AS5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34</v>
      </c>
      <c r="AT53" s="21">
        <f>Tabela1[[#This Row],[DATA PREV - FORMS]]+$AT$1</f>
        <v>45734</v>
      </c>
      <c r="AU53" s="74">
        <v>45769</v>
      </c>
      <c r="AV53" s="15" cm="1">
        <f t="array" aca="1" ref="AV5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36</v>
      </c>
      <c r="AW53" s="21">
        <f>Tabela1[[#This Row],[DATA PREV - TREINAMENTOS]]+$AW$1</f>
        <v>45741</v>
      </c>
      <c r="AX53" s="74">
        <v>45770</v>
      </c>
      <c r="AY53" s="15" cm="1">
        <f t="array" aca="1" ref="AY5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30</v>
      </c>
      <c r="AZ53" s="24">
        <v>45849</v>
      </c>
      <c r="BA53" s="74">
        <v>45733</v>
      </c>
      <c r="BB53" s="15" cm="1">
        <f t="array" aca="1" ref="BB5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-115</v>
      </c>
      <c r="BC53" s="21">
        <f>Tabela1[[#This Row],[DATA PREV - CONCL. TREIN.]]+$BC$1</f>
        <v>45743</v>
      </c>
      <c r="BD53" s="74">
        <v>45776</v>
      </c>
      <c r="BE53" s="15" cm="1">
        <f t="array" aca="1" ref="BE5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34</v>
      </c>
      <c r="BF53" s="21">
        <f>Tabela1[[#This Row],[DATA PREV - DOSSIÊ]]+$BF$1</f>
        <v>45746</v>
      </c>
      <c r="BG53" s="74">
        <v>45783</v>
      </c>
      <c r="BH53" s="15" cm="1">
        <f t="array" aca="1" ref="BH5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38</v>
      </c>
      <c r="BI53" s="21">
        <f>Tabela1[[#This Row],[DATA PREV - POSTAGEM]]+$BI$1</f>
        <v>45752</v>
      </c>
      <c r="BJ53" s="74">
        <v>45783</v>
      </c>
      <c r="BK53" s="15" cm="1">
        <f t="array" aca="1" ref="BK5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32</v>
      </c>
      <c r="BL53" s="21">
        <f>Tabela1[[#This Row],[DATA PREV - APROV FINAL]]+$BL$1</f>
        <v>45753</v>
      </c>
      <c r="BM53" s="74">
        <v>45783</v>
      </c>
      <c r="BN53" s="15" cm="1">
        <f t="array" aca="1" ref="BN5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31</v>
      </c>
      <c r="BO53" s="80" t="s">
        <v>305</v>
      </c>
    </row>
    <row r="54" spans="2:67" ht="18" hidden="1" customHeight="1" x14ac:dyDescent="0.35">
      <c r="B54" s="14" t="s">
        <v>79</v>
      </c>
      <c r="C54" s="16" t="s">
        <v>136</v>
      </c>
      <c r="D54" s="16" t="s">
        <v>108</v>
      </c>
      <c r="E54" s="16"/>
      <c r="F54" s="16" t="s">
        <v>306</v>
      </c>
      <c r="G54" s="16" cm="1">
        <f t="array" ref="G54">_xlfn.IFS(Tabela1[[#This Row],[STATUS PROCESSO MOBILIZAÇÃO]]="Finalizado",1,Tabela1[[#This Row],[STATUS PROCESSO MOBILIZAÇÃO]]="Cancelado",2,Tabela1[[#This Row],[STATUS PROCESSO MOBILIZAÇÃO]]="Em andamento",3)</f>
        <v>1</v>
      </c>
      <c r="H54" s="16" cm="1">
        <f t="array" aca="1" ref="H5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FORMS]]="",$AM54&gt;$AK$1),2,
AND(Tabela1[[#This Row],[STATUS PROCESSO MOBILIZAÇÃO]]="Em andamento",Tabela1[[#This Row],[DATA REAL - FORMS]]="",$AM54&lt;=$AK$1),3,
AND(Tabela1[[#This Row],[STATUS PROCESSO MOBILIZAÇÃO]]="Em andamento",Tabela1[[#This Row],[DATA REAL - FORMS]]&lt;&gt;""),1)</f>
        <v>1</v>
      </c>
      <c r="I54" s="16" cm="1">
        <f t="array" aca="1" ref="I5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EXAMES]]="",$AP54&gt;$AN$1),2,
AND(Tabela1[[#This Row],[STATUS PROCESSO MOBILIZAÇÃO]]="Em andamento",Tabela1[[#This Row],[DATA REAL - EXAMES]]="",$AP54&lt;=$AN$1),3,
AND(Tabela1[[#This Row],[STATUS PROCESSO MOBILIZAÇÃO]]="Em andamento",Tabela1[[#This Row],[DATA REAL - EXAMES]]&lt;&gt;""),1)</f>
        <v>1</v>
      </c>
      <c r="J54" s="16" cm="1">
        <f t="array" aca="1" ref="J5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ASO]]="",$AS54&gt;$AQ$1),2,
AND(Tabela1[[#This Row],[STATUS PROCESSO MOBILIZAÇÃO]]="Em andamento",Tabela1[[#This Row],[DATA REAL - ASO]]="",$AS54&lt;=$AQ$1),3,
AND(Tabela1[[#This Row],[STATUS PROCESSO MOBILIZAÇÃO]]="Em andamento",Tabela1[[#This Row],[DATA REAL - ASO]]&lt;&gt;""),1)</f>
        <v>1</v>
      </c>
      <c r="K54" s="15" cm="1">
        <f t="array" aca="1" ref="K5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TREINAMENTOS]]="",$AV54&gt;$AT$1),2,
AND(Tabela1[[#This Row],[STATUS PROCESSO MOBILIZAÇÃO]]="Em andamento",Tabela1[[#This Row],[DATA REAL - TREINAMENTOS]]="",$AV54&lt;=$AT$1),3,
AND(Tabela1[[#This Row],[STATUS PROCESSO MOBILIZAÇÃO]]="Em andamento",Tabela1[[#This Row],[DATA REAL - TREINAMENTOS]]&lt;&gt;""),1)</f>
        <v>1</v>
      </c>
      <c r="L54" s="15" cm="1">
        <f t="array" aca="1" ref="L5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TREIN.]]="",$AY54&gt;$AW$1),2,
AND(Tabela1[[#This Row],[STATUS PROCESSO MOBILIZAÇÃO]]="Em andamento",Tabela1[[#This Row],[DATA REAL - CONCL. TREIN.]]="",$AY54&lt;=$AW$1),3,
AND(Tabela1[[#This Row],[STATUS PROCESSO MOBILIZAÇÃO]]="Em andamento",Tabela1[[#This Row],[DATA REAL - CONCL. TREIN.]]&lt;&gt;""),1)</f>
        <v>1</v>
      </c>
      <c r="M54" s="15" cm="1">
        <f t="array" aca="1" ref="M5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CONTRATUAL]]="",$BB54&gt;$AZ$1),2,
AND(Tabela1[[#This Row],[STATUS PROCESSO MOBILIZAÇÃO]]="Em andamento",Tabela1[[#This Row],[DATA FIM - ALTER. CONTRATUAL]]="",$BB54&lt;=$AZ$1),3,
AND(Tabela1[[#This Row],[STATUS PROCESSO MOBILIZAÇÃO]]="Em andamento",Tabela1[[#This Row],[DATA FIM - ALTER. CONTRATUAL]]&lt;&gt;""),1)</f>
        <v>1</v>
      </c>
      <c r="N54" s="16" cm="1">
        <f t="array" aca="1" ref="N5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DOSSIÊ]]="",$BE54&gt;$BC$1),2,
AND(Tabela1[[#This Row],[STATUS PROCESSO MOBILIZAÇÃO]]="Em andamento",Tabela1[[#This Row],[DATA REAL - DOSSIÊ]]="",$BE54&lt;=$BC$1),3,
AND(Tabela1[[#This Row],[STATUS PROCESSO MOBILIZAÇÃO]]="Em andamento",Tabela1[[#This Row],[DATA REAL - DOSSIÊ]]&lt;&gt;""),1)</f>
        <v>1</v>
      </c>
      <c r="O54" s="16" cm="1">
        <f t="array" aca="1" ref="O5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POSTAGEM]]="",$BH54&gt;$BF$1),2,
AND(Tabela1[[#This Row],[STATUS PROCESSO MOBILIZAÇÃO]]="Em andamento",Tabela1[[#This Row],[DATA REAL - POSTAGEM]]="",$BH54&lt;=$BF$1),3,
AND(Tabela1[[#This Row],[STATUS PROCESSO MOBILIZAÇÃO]]="Em andamento",Tabela1[[#This Row],[DATA REAL - POSTAGEM]]&lt;&gt;""),1)</f>
        <v>1</v>
      </c>
      <c r="P54" s="16" cm="1">
        <f t="array" aca="1" ref="P5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FINAL]]="",$BK54&gt;$BI$1),2,
AND(Tabela1[[#This Row],[STATUS PROCESSO MOBILIZAÇÃO]]="Em andamento",Tabela1[[#This Row],[DATA REAL - APROV FINAL]]="",$BK54&lt;=$BI$1),3,
AND(Tabela1[[#This Row],[STATUS PROCESSO MOBILIZAÇÃO]]="Em andamento",Tabela1[[#This Row],[DATA REAL - APROV FINAL]]&lt;&gt;""),1)</f>
        <v>1</v>
      </c>
      <c r="Q54" s="15" cm="1">
        <f t="array" aca="1" ref="Q5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CRACHÁ]]="",$BN54&gt;$BL$1),2,
AND(Tabela1[[#This Row],[STATUS PROCESSO MOBILIZAÇÃO]]="Em andamento",Tabela1[[#This Row],[DATA REAL - CRACHÁ]]="",$BN54&lt;=$BL$1),3,
AND(Tabela1[[#This Row],[STATUS PROCESSO MOBILIZAÇÃO]]="Em andamento",Tabela1[[#This Row],[DATA REAL - CRACHÁ]]&lt;&gt;""),1)</f>
        <v>1</v>
      </c>
      <c r="R54" s="21">
        <f>IF(Tabela1[[#This Row],[DATA REAL - FORMS]]&lt;&gt;"",Tabela1[[#This Row],[DATA REAL - FORMS]]+30,Tabela1[[#This Row],[DATA PREV - FORMS]]+35)</f>
        <v>45770</v>
      </c>
      <c r="S5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45750</v>
      </c>
      <c r="T5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5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54" s="49">
        <f>MAX(Tabela1[[#This Row],[DATA REAL - POSTAGEM]],Tabela1[[#This Row],[DATA REAL - APROV FINAL]],Tabela1[[#This Row],[DATA REAL - CRACHÁ]])-MIN(Tabela1[[#This Row],[DATA REAL - POSTAGEM]],Tabela1[[#This Row],[DATA REAL - APROV FINAL]],Tabela1[[#This Row],[DATA REAL - CRACHÁ]])+1</f>
        <v>1</v>
      </c>
      <c r="W5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X54" s="15" t="s">
        <v>307</v>
      </c>
      <c r="Y54" s="16" t="s">
        <v>150</v>
      </c>
      <c r="Z54" s="18"/>
      <c r="AA54" s="18" t="s">
        <v>152</v>
      </c>
      <c r="AB54" s="16" t="s">
        <v>97</v>
      </c>
      <c r="AC54" s="16" t="s">
        <v>266</v>
      </c>
      <c r="AD54" s="16" t="s">
        <v>266</v>
      </c>
      <c r="AE54" s="16" t="s">
        <v>267</v>
      </c>
      <c r="AF54" s="16" t="s">
        <v>268</v>
      </c>
      <c r="AG54" s="16" t="str">
        <f>_xlfn.XLOOKUP(Tabela1[[#This Row],[CÓD. CT]],Controle_Projetos[COD CT],Controle_Projetos[COD PHD],"")</f>
        <v>GOIA-CT01-GERE</v>
      </c>
      <c r="AH54" s="21">
        <v>45740</v>
      </c>
      <c r="AI54" s="75">
        <v>45748</v>
      </c>
      <c r="AJ54" s="16" cm="1">
        <f t="array" aca="1" ref="AJ5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9</v>
      </c>
      <c r="AK54" s="21">
        <v>45740</v>
      </c>
      <c r="AL54" s="74">
        <v>45740</v>
      </c>
      <c r="AM54" s="16" cm="1">
        <f t="array" aca="1" ref="AM5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54" s="21">
        <f>Tabela1[[#This Row],[DATA PREV - FORMS]]+$AN$1</f>
        <v>45747</v>
      </c>
      <c r="AO54" s="74">
        <v>45740</v>
      </c>
      <c r="AP54" s="16" cm="1">
        <f t="array" aca="1" ref="AP5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4" s="21">
        <f>Tabela1[[#This Row],[DATA PREV - EXAMES]]+$AQ$1</f>
        <v>45749</v>
      </c>
      <c r="AR54" s="74">
        <v>45740</v>
      </c>
      <c r="AS54" s="15" cm="1">
        <f t="array" aca="1" ref="AS5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54" s="21">
        <f>Tabela1[[#This Row],[DATA PREV - FORMS]]+$AT$1</f>
        <v>45741</v>
      </c>
      <c r="AU54" s="74">
        <v>45740</v>
      </c>
      <c r="AV54" s="15" cm="1">
        <f t="array" aca="1" ref="AV5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54" s="21">
        <f>Tabela1[[#This Row],[DATA PREV - TREINAMENTOS]]+$AW$1</f>
        <v>45748</v>
      </c>
      <c r="AX54" s="74">
        <v>45740</v>
      </c>
      <c r="AY54" s="15" cm="1">
        <f t="array" aca="1" ref="AY5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54" s="24">
        <v>45839</v>
      </c>
      <c r="BA54" s="74">
        <v>45740</v>
      </c>
      <c r="BB54" s="15" cm="1">
        <f t="array" aca="1" ref="BB5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-98</v>
      </c>
      <c r="BC54" s="21">
        <f>Tabela1[[#This Row],[DATA PREV - CONCL. TREIN.]]+$BC$1</f>
        <v>45750</v>
      </c>
      <c r="BD54" s="74">
        <v>45740</v>
      </c>
      <c r="BE54" s="15" cm="1">
        <f t="array" aca="1" ref="BE5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54" s="21">
        <f>Tabela1[[#This Row],[DATA PREV - DOSSIÊ]]+$BF$1</f>
        <v>45753</v>
      </c>
      <c r="BG54" s="74">
        <v>45750</v>
      </c>
      <c r="BH54" s="15" cm="1">
        <f t="array" aca="1" ref="BH5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54" s="21">
        <f>Tabela1[[#This Row],[DATA PREV - POSTAGEM]]+$BI$1</f>
        <v>45759</v>
      </c>
      <c r="BJ54" s="74">
        <v>45750</v>
      </c>
      <c r="BK54" s="15" cm="1">
        <f t="array" aca="1" ref="BK5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54" s="21">
        <f>Tabela1[[#This Row],[DATA PREV - APROV FINAL]]+$BL$1</f>
        <v>45760</v>
      </c>
      <c r="BM54" s="74">
        <v>45750</v>
      </c>
      <c r="BN54" s="15" cm="1">
        <f t="array" aca="1" ref="BN5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54" s="80" t="s">
        <v>308</v>
      </c>
    </row>
    <row r="55" spans="2:67" ht="18" hidden="1" customHeight="1" x14ac:dyDescent="0.35">
      <c r="B55" s="14" t="s">
        <v>79</v>
      </c>
      <c r="C55" s="16" t="s">
        <v>136</v>
      </c>
      <c r="D55" s="16" t="s">
        <v>81</v>
      </c>
      <c r="E55" s="16"/>
      <c r="F55" s="16" t="s">
        <v>234</v>
      </c>
      <c r="G55" s="16" cm="1">
        <f t="array" ref="G55">_xlfn.IFS(Tabela1[[#This Row],[STATUS PROCESSO MOBILIZAÇÃO]]="Finalizado",1,Tabela1[[#This Row],[STATUS PROCESSO MOBILIZAÇÃO]]="Cancelado",2,Tabela1[[#This Row],[STATUS PROCESSO MOBILIZAÇÃO]]="Em andamento",3)</f>
        <v>1</v>
      </c>
      <c r="H55" s="16" cm="1">
        <f t="array" aca="1" ref="H5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FORMS]]="",$AM55&gt;$AK$1),2,
AND(Tabela1[[#This Row],[STATUS PROCESSO MOBILIZAÇÃO]]="Em andamento",Tabela1[[#This Row],[DATA REAL - FORMS]]="",$AM55&lt;=$AK$1),3,
AND(Tabela1[[#This Row],[STATUS PROCESSO MOBILIZAÇÃO]]="Em andamento",Tabela1[[#This Row],[DATA REAL - FORMS]]&lt;&gt;""),1)</f>
        <v>1</v>
      </c>
      <c r="I55" s="16" cm="1">
        <f t="array" aca="1" ref="I5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EXAMES]]="",$AP55&gt;$AN$1),2,
AND(Tabela1[[#This Row],[STATUS PROCESSO MOBILIZAÇÃO]]="Em andamento",Tabela1[[#This Row],[DATA REAL - EXAMES]]="",$AP55&lt;=$AN$1),3,
AND(Tabela1[[#This Row],[STATUS PROCESSO MOBILIZAÇÃO]]="Em andamento",Tabela1[[#This Row],[DATA REAL - EXAMES]]&lt;&gt;""),1)</f>
        <v>1</v>
      </c>
      <c r="J55" s="16" cm="1">
        <f t="array" aca="1" ref="J5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ASO]]="",$AS55&gt;$AQ$1),2,
AND(Tabela1[[#This Row],[STATUS PROCESSO MOBILIZAÇÃO]]="Em andamento",Tabela1[[#This Row],[DATA REAL - ASO]]="",$AS55&lt;=$AQ$1),3,
AND(Tabela1[[#This Row],[STATUS PROCESSO MOBILIZAÇÃO]]="Em andamento",Tabela1[[#This Row],[DATA REAL - ASO]]&lt;&gt;""),1)</f>
        <v>1</v>
      </c>
      <c r="K55" s="15" cm="1">
        <f t="array" aca="1" ref="K5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TREINAMENTOS]]="",$AV55&gt;$AT$1),2,
AND(Tabela1[[#This Row],[STATUS PROCESSO MOBILIZAÇÃO]]="Em andamento",Tabela1[[#This Row],[DATA REAL - TREINAMENTOS]]="",$AV55&lt;=$AT$1),3,
AND(Tabela1[[#This Row],[STATUS PROCESSO MOBILIZAÇÃO]]="Em andamento",Tabela1[[#This Row],[DATA REAL - TREINAMENTOS]]&lt;&gt;""),1)</f>
        <v>1</v>
      </c>
      <c r="L55" s="15" cm="1">
        <f t="array" aca="1" ref="L5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TREIN.]]="",$AY55&gt;$AW$1),2,
AND(Tabela1[[#This Row],[STATUS PROCESSO MOBILIZAÇÃO]]="Em andamento",Tabela1[[#This Row],[DATA REAL - CONCL. TREIN.]]="",$AY55&lt;=$AW$1),3,
AND(Tabela1[[#This Row],[STATUS PROCESSO MOBILIZAÇÃO]]="Em andamento",Tabela1[[#This Row],[DATA REAL - CONCL. TREIN.]]&lt;&gt;""),1)</f>
        <v>1</v>
      </c>
      <c r="M55" s="15" cm="1">
        <f t="array" aca="1" ref="M5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CONTRATUAL]]="",$BB55&gt;$AZ$1),2,
AND(Tabela1[[#This Row],[STATUS PROCESSO MOBILIZAÇÃO]]="Em andamento",Tabela1[[#This Row],[DATA FIM - ALTER. CONTRATUAL]]="",$BB55&lt;=$AZ$1),3,
AND(Tabela1[[#This Row],[STATUS PROCESSO MOBILIZAÇÃO]]="Em andamento",Tabela1[[#This Row],[DATA FIM - ALTER. CONTRATUAL]]&lt;&gt;""),1)</f>
        <v>1</v>
      </c>
      <c r="N55" s="16" cm="1">
        <f t="array" aca="1" ref="N5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DOSSIÊ]]="",$BE55&gt;$BC$1),2,
AND(Tabela1[[#This Row],[STATUS PROCESSO MOBILIZAÇÃO]]="Em andamento",Tabela1[[#This Row],[DATA REAL - DOSSIÊ]]="",$BE55&lt;=$BC$1),3,
AND(Tabela1[[#This Row],[STATUS PROCESSO MOBILIZAÇÃO]]="Em andamento",Tabela1[[#This Row],[DATA REAL - DOSSIÊ]]&lt;&gt;""),1)</f>
        <v>1</v>
      </c>
      <c r="O55" s="16" cm="1">
        <f t="array" aca="1" ref="O5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POSTAGEM]]="",$BH55&gt;$BF$1),2,
AND(Tabela1[[#This Row],[STATUS PROCESSO MOBILIZAÇÃO]]="Em andamento",Tabela1[[#This Row],[DATA REAL - POSTAGEM]]="",$BH55&lt;=$BF$1),3,
AND(Tabela1[[#This Row],[STATUS PROCESSO MOBILIZAÇÃO]]="Em andamento",Tabela1[[#This Row],[DATA REAL - POSTAGEM]]&lt;&gt;""),1)</f>
        <v>1</v>
      </c>
      <c r="P55" s="16" cm="1">
        <f t="array" aca="1" ref="P5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FINAL]]="",$BK55&gt;$BI$1),2,
AND(Tabela1[[#This Row],[STATUS PROCESSO MOBILIZAÇÃO]]="Em andamento",Tabela1[[#This Row],[DATA REAL - APROV FINAL]]="",$BK55&lt;=$BI$1),3,
AND(Tabela1[[#This Row],[STATUS PROCESSO MOBILIZAÇÃO]]="Em andamento",Tabela1[[#This Row],[DATA REAL - APROV FINAL]]&lt;&gt;""),1)</f>
        <v>1</v>
      </c>
      <c r="Q55" s="15" cm="1">
        <f t="array" aca="1" ref="Q5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CRACHÁ]]="",$BN55&gt;$BL$1),2,
AND(Tabela1[[#This Row],[STATUS PROCESSO MOBILIZAÇÃO]]="Em andamento",Tabela1[[#This Row],[DATA REAL - CRACHÁ]]="",$BN55&lt;=$BL$1),3,
AND(Tabela1[[#This Row],[STATUS PROCESSO MOBILIZAÇÃO]]="Em andamento",Tabela1[[#This Row],[DATA REAL - CRACHÁ]]&lt;&gt;""),1)</f>
        <v>1</v>
      </c>
      <c r="R55" s="21">
        <f>IF(Tabela1[[#This Row],[DATA REAL - FORMS]]&lt;&gt;"",Tabela1[[#This Row],[DATA REAL - FORMS]]+30,Tabela1[[#This Row],[DATA PREV - FORMS]]+35)</f>
        <v>45771</v>
      </c>
      <c r="S5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45757</v>
      </c>
      <c r="T5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16</v>
      </c>
      <c r="U5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55" s="49">
        <f>MAX(Tabela1[[#This Row],[DATA REAL - POSTAGEM]],Tabela1[[#This Row],[DATA REAL - APROV FINAL]],Tabela1[[#This Row],[DATA REAL - CRACHÁ]])-MIN(Tabela1[[#This Row],[DATA REAL - POSTAGEM]],Tabela1[[#This Row],[DATA REAL - APROV FINAL]],Tabela1[[#This Row],[DATA REAL - CRACHÁ]])+1</f>
        <v>11</v>
      </c>
      <c r="W5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X55" s="15"/>
      <c r="Y55" s="16" t="s">
        <v>122</v>
      </c>
      <c r="Z55" s="18"/>
      <c r="AA55" s="18" t="s">
        <v>124</v>
      </c>
      <c r="AB55" s="16" t="s">
        <v>97</v>
      </c>
      <c r="AC55" s="16" t="s">
        <v>309</v>
      </c>
      <c r="AD55" s="16" t="s">
        <v>310</v>
      </c>
      <c r="AE55" s="16" t="s">
        <v>311</v>
      </c>
      <c r="AF55" s="16" t="s">
        <v>312</v>
      </c>
      <c r="AG55" s="16" t="str">
        <f>_xlfn.XLOOKUP(Tabela1[[#This Row],[CÓD. CT]],Controle_Projetos[COD CT],Controle_Projetos[COD PHD],"")</f>
        <v>PIAT-CT02-LPSA</v>
      </c>
      <c r="AH55" s="21">
        <v>45741</v>
      </c>
      <c r="AI55" s="75">
        <v>45750</v>
      </c>
      <c r="AJ55" s="16" cm="1">
        <f t="array" aca="1" ref="AJ5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10</v>
      </c>
      <c r="AK55" s="21">
        <v>45741</v>
      </c>
      <c r="AL55" s="74">
        <v>45741</v>
      </c>
      <c r="AM55" s="16" cm="1">
        <f t="array" aca="1" ref="AM5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55" s="21">
        <f>Tabela1[[#This Row],[DATA PREV - FORMS]]+$AN$1</f>
        <v>45748</v>
      </c>
      <c r="AO55" s="74">
        <v>45741</v>
      </c>
      <c r="AP55" s="16" cm="1">
        <f t="array" aca="1" ref="AP5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5" s="21">
        <f>Tabela1[[#This Row],[DATA PREV - EXAMES]]+$AQ$1</f>
        <v>45750</v>
      </c>
      <c r="AR55" s="74">
        <v>45741</v>
      </c>
      <c r="AS55" s="15" cm="1">
        <f t="array" aca="1" ref="AS5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55" s="21">
        <f>Tabela1[[#This Row],[DATA PREV - FORMS]]+$AT$1</f>
        <v>45742</v>
      </c>
      <c r="AU55" s="74">
        <v>45744</v>
      </c>
      <c r="AV55" s="15" cm="1">
        <f t="array" aca="1" ref="AV5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55" s="21">
        <f>Tabela1[[#This Row],[DATA PREV - TREINAMENTOS]]+$AW$1</f>
        <v>45749</v>
      </c>
      <c r="AX55" s="74">
        <v>45744</v>
      </c>
      <c r="AY55" s="15" cm="1">
        <f t="array" aca="1" ref="AY5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55" s="24">
        <v>45615</v>
      </c>
      <c r="BA55" s="74">
        <v>45741</v>
      </c>
      <c r="BB55" s="15" cm="1">
        <f t="array" aca="1" ref="BB5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127</v>
      </c>
      <c r="BC55" s="21">
        <f>Tabela1[[#This Row],[DATA PREV - CONCL. TREIN.]]+$BC$1</f>
        <v>45751</v>
      </c>
      <c r="BD55" s="74">
        <v>45744</v>
      </c>
      <c r="BE55" s="15" cm="1">
        <f t="array" aca="1" ref="BE5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55" s="21">
        <f>Tabela1[[#This Row],[DATA PREV - DOSSIÊ]]+$BF$1</f>
        <v>45754</v>
      </c>
      <c r="BG55" s="74">
        <v>45747</v>
      </c>
      <c r="BH55" s="15" cm="1">
        <f t="array" aca="1" ref="BH5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55" s="21">
        <f>Tabela1[[#This Row],[DATA PREV - POSTAGEM]]+$BI$1</f>
        <v>45760</v>
      </c>
      <c r="BJ55" s="74">
        <v>45756</v>
      </c>
      <c r="BK55" s="15" cm="1">
        <f t="array" aca="1" ref="BK5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55" s="21">
        <f>Tabela1[[#This Row],[DATA PREV - APROV FINAL]]+$BL$1</f>
        <v>45761</v>
      </c>
      <c r="BM55" s="74">
        <v>45757</v>
      </c>
      <c r="BN55" s="15" cm="1">
        <f t="array" aca="1" ref="BN5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55" s="80" t="s">
        <v>313</v>
      </c>
    </row>
    <row r="56" spans="2:67" ht="18" hidden="1" customHeight="1" x14ac:dyDescent="0.35">
      <c r="B56" s="14" t="s">
        <v>79</v>
      </c>
      <c r="C56" s="16" t="s">
        <v>136</v>
      </c>
      <c r="D56" s="16" t="s">
        <v>81</v>
      </c>
      <c r="E56" s="16"/>
      <c r="F56" s="16" t="s">
        <v>165</v>
      </c>
      <c r="G56" s="16" cm="1">
        <f t="array" ref="G56">_xlfn.IFS(Tabela1[[#This Row],[STATUS PROCESSO MOBILIZAÇÃO]]="Finalizado",1,Tabela1[[#This Row],[STATUS PROCESSO MOBILIZAÇÃO]]="Cancelado",2,Tabela1[[#This Row],[STATUS PROCESSO MOBILIZAÇÃO]]="Em andamento",3)</f>
        <v>1</v>
      </c>
      <c r="H56" s="16" cm="1">
        <f t="array" aca="1" ref="H5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FORMS]]="",$AM56&gt;$AK$1),2,
AND(Tabela1[[#This Row],[STATUS PROCESSO MOBILIZAÇÃO]]="Em andamento",Tabela1[[#This Row],[DATA REAL - FORMS]]="",$AM56&lt;=$AK$1),3,
AND(Tabela1[[#This Row],[STATUS PROCESSO MOBILIZAÇÃO]]="Em andamento",Tabela1[[#This Row],[DATA REAL - FORMS]]&lt;&gt;""),1)</f>
        <v>1</v>
      </c>
      <c r="I56" s="16" cm="1">
        <f t="array" aca="1" ref="I5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EXAMES]]="",$AP56&gt;$AN$1),2,
AND(Tabela1[[#This Row],[STATUS PROCESSO MOBILIZAÇÃO]]="Em andamento",Tabela1[[#This Row],[DATA REAL - EXAMES]]="",$AP56&lt;=$AN$1),3,
AND(Tabela1[[#This Row],[STATUS PROCESSO MOBILIZAÇÃO]]="Em andamento",Tabela1[[#This Row],[DATA REAL - EXAMES]]&lt;&gt;""),1)</f>
        <v>1</v>
      </c>
      <c r="J56" s="16" cm="1">
        <f t="array" aca="1" ref="J5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ASO]]="",$AS56&gt;$AQ$1),2,
AND(Tabela1[[#This Row],[STATUS PROCESSO MOBILIZAÇÃO]]="Em andamento",Tabela1[[#This Row],[DATA REAL - ASO]]="",$AS56&lt;=$AQ$1),3,
AND(Tabela1[[#This Row],[STATUS PROCESSO MOBILIZAÇÃO]]="Em andamento",Tabela1[[#This Row],[DATA REAL - ASO]]&lt;&gt;""),1)</f>
        <v>1</v>
      </c>
      <c r="K56" s="15" cm="1">
        <f t="array" aca="1" ref="K5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TREINAMENTOS]]="",$AV56&gt;$AT$1),2,
AND(Tabela1[[#This Row],[STATUS PROCESSO MOBILIZAÇÃO]]="Em andamento",Tabela1[[#This Row],[DATA REAL - TREINAMENTOS]]="",$AV56&lt;=$AT$1),3,
AND(Tabela1[[#This Row],[STATUS PROCESSO MOBILIZAÇÃO]]="Em andamento",Tabela1[[#This Row],[DATA REAL - TREINAMENTOS]]&lt;&gt;""),1)</f>
        <v>1</v>
      </c>
      <c r="L56" s="15" cm="1">
        <f t="array" aca="1" ref="L5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TREIN.]]="",$AY56&gt;$AW$1),2,
AND(Tabela1[[#This Row],[STATUS PROCESSO MOBILIZAÇÃO]]="Em andamento",Tabela1[[#This Row],[DATA REAL - CONCL. TREIN.]]="",$AY56&lt;=$AW$1),3,
AND(Tabela1[[#This Row],[STATUS PROCESSO MOBILIZAÇÃO]]="Em andamento",Tabela1[[#This Row],[DATA REAL - CONCL. TREIN.]]&lt;&gt;""),1)</f>
        <v>1</v>
      </c>
      <c r="M56" s="15" cm="1">
        <f t="array" aca="1" ref="M5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CONTRATUAL]]="",$BB56&gt;$AZ$1),2,
AND(Tabela1[[#This Row],[STATUS PROCESSO MOBILIZAÇÃO]]="Em andamento",Tabela1[[#This Row],[DATA FIM - ALTER. CONTRATUAL]]="",$BB56&lt;=$AZ$1),3,
AND(Tabela1[[#This Row],[STATUS PROCESSO MOBILIZAÇÃO]]="Em andamento",Tabela1[[#This Row],[DATA FIM - ALTER. CONTRATUAL]]&lt;&gt;""),1)</f>
        <v>1</v>
      </c>
      <c r="N56" s="16" cm="1">
        <f t="array" aca="1" ref="N5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DOSSIÊ]]="",$BE56&gt;$BC$1),2,
AND(Tabela1[[#This Row],[STATUS PROCESSO MOBILIZAÇÃO]]="Em andamento",Tabela1[[#This Row],[DATA REAL - DOSSIÊ]]="",$BE56&lt;=$BC$1),3,
AND(Tabela1[[#This Row],[STATUS PROCESSO MOBILIZAÇÃO]]="Em andamento",Tabela1[[#This Row],[DATA REAL - DOSSIÊ]]&lt;&gt;""),1)</f>
        <v>1</v>
      </c>
      <c r="O56" s="16" cm="1">
        <f t="array" aca="1" ref="O5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POSTAGEM]]="",$BH56&gt;$BF$1),2,
AND(Tabela1[[#This Row],[STATUS PROCESSO MOBILIZAÇÃO]]="Em andamento",Tabela1[[#This Row],[DATA REAL - POSTAGEM]]="",$BH56&lt;=$BF$1),3,
AND(Tabela1[[#This Row],[STATUS PROCESSO MOBILIZAÇÃO]]="Em andamento",Tabela1[[#This Row],[DATA REAL - POSTAGEM]]&lt;&gt;""),1)</f>
        <v>1</v>
      </c>
      <c r="P56" s="16" cm="1">
        <f t="array" aca="1" ref="P5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FINAL]]="",$BK56&gt;$BI$1),2,
AND(Tabela1[[#This Row],[STATUS PROCESSO MOBILIZAÇÃO]]="Em andamento",Tabela1[[#This Row],[DATA REAL - APROV FINAL]]="",$BK56&lt;=$BI$1),3,
AND(Tabela1[[#This Row],[STATUS PROCESSO MOBILIZAÇÃO]]="Em andamento",Tabela1[[#This Row],[DATA REAL - APROV FINAL]]&lt;&gt;""),1)</f>
        <v>1</v>
      </c>
      <c r="Q56" s="15" cm="1">
        <f t="array" aca="1" ref="Q5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CRACHÁ]]="",$BN56&gt;$BL$1),2,
AND(Tabela1[[#This Row],[STATUS PROCESSO MOBILIZAÇÃO]]="Em andamento",Tabela1[[#This Row],[DATA REAL - CRACHÁ]]="",$BN56&lt;=$BL$1),3,
AND(Tabela1[[#This Row],[STATUS PROCESSO MOBILIZAÇÃO]]="Em andamento",Tabela1[[#This Row],[DATA REAL - CRACHÁ]]&lt;&gt;""),1)</f>
        <v>1</v>
      </c>
      <c r="R56" s="21">
        <f>IF(Tabela1[[#This Row],[DATA REAL - FORMS]]&lt;&gt;"",Tabela1[[#This Row],[DATA REAL - FORMS]]+30,Tabela1[[#This Row],[DATA PREV - FORMS]]+35)</f>
        <v>45771</v>
      </c>
      <c r="S5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45755</v>
      </c>
      <c r="T5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U5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48</v>
      </c>
      <c r="V56" s="49">
        <f>MAX(Tabela1[[#This Row],[DATA REAL - POSTAGEM]],Tabela1[[#This Row],[DATA REAL - APROV FINAL]],Tabela1[[#This Row],[DATA REAL - CRACHÁ]])-MIN(Tabela1[[#This Row],[DATA REAL - POSTAGEM]],Tabela1[[#This Row],[DATA REAL - APROV FINAL]],Tabela1[[#This Row],[DATA REAL - CRACHÁ]])+1</f>
        <v>8</v>
      </c>
      <c r="W5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56" s="15"/>
      <c r="Y56" s="16" t="s">
        <v>122</v>
      </c>
      <c r="Z56" s="18"/>
      <c r="AA56" s="18" t="s">
        <v>124</v>
      </c>
      <c r="AB56" s="16" t="s">
        <v>97</v>
      </c>
      <c r="AC56" s="16" t="s">
        <v>235</v>
      </c>
      <c r="AD56" s="16" t="s">
        <v>227</v>
      </c>
      <c r="AE56" s="16" t="s">
        <v>228</v>
      </c>
      <c r="AF56" s="16" t="s">
        <v>236</v>
      </c>
      <c r="AG56" s="16" t="str">
        <f>_xlfn.XLOOKUP(Tabela1[[#This Row],[CÓD. CT]],Controle_Projetos[COD CT],Controle_Projetos[COD PHD],"")</f>
        <v>CCAP-CT14-LPSA</v>
      </c>
      <c r="AH56" s="21">
        <v>45740</v>
      </c>
      <c r="AI56" s="75">
        <v>45700</v>
      </c>
      <c r="AJ56" s="16" t="str" cm="1">
        <f t="array" aca="1" ref="AJ5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56" s="21">
        <v>45741</v>
      </c>
      <c r="AL56" s="74">
        <v>45741</v>
      </c>
      <c r="AM56" s="16" cm="1">
        <f t="array" aca="1" ref="AM5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56" s="21">
        <f>Tabela1[[#This Row],[DATA PREV - FORMS]]+$AN$1</f>
        <v>45748</v>
      </c>
      <c r="AO56" s="74">
        <v>45741</v>
      </c>
      <c r="AP56" s="16" cm="1">
        <f t="array" aca="1" ref="AP5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56" s="21">
        <f>Tabela1[[#This Row],[DATA PREV - EXAMES]]+$AQ$1</f>
        <v>45750</v>
      </c>
      <c r="AR56" s="74">
        <v>45748</v>
      </c>
      <c r="AS56" s="15" cm="1">
        <f t="array" aca="1" ref="AS5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56" s="21">
        <f>Tabela1[[#This Row],[DATA PREV - FORMS]]+$AT$1</f>
        <v>45742</v>
      </c>
      <c r="AU56" s="74">
        <v>45741</v>
      </c>
      <c r="AV56" s="15" cm="1">
        <f t="array" aca="1" ref="AV5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56" s="21">
        <f>Tabela1[[#This Row],[DATA PREV - TREINAMENTOS]]+$AW$1</f>
        <v>45749</v>
      </c>
      <c r="AX56" s="74">
        <v>45741</v>
      </c>
      <c r="AY56" s="15" cm="1">
        <f t="array" aca="1" ref="AY5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56" s="24"/>
      <c r="BA56" s="74">
        <v>45741</v>
      </c>
      <c r="BB56" s="15" t="str" cm="1">
        <f t="array" aca="1" ref="BB5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56" s="21">
        <f>Tabela1[[#This Row],[DATA PREV - CONCL. TREIN.]]+$BC$1</f>
        <v>45751</v>
      </c>
      <c r="BD56" s="74">
        <v>45748</v>
      </c>
      <c r="BE56" s="15" cm="1">
        <f t="array" aca="1" ref="BE5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56" s="21">
        <f>Tabela1[[#This Row],[DATA PREV - DOSSIÊ]]+$BF$1</f>
        <v>45754</v>
      </c>
      <c r="BG56" s="74">
        <v>45748</v>
      </c>
      <c r="BH56" s="15" cm="1">
        <f t="array" aca="1" ref="BH5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56" s="21">
        <f>Tabela1[[#This Row],[DATA PREV - POSTAGEM]]+$BI$1</f>
        <v>45760</v>
      </c>
      <c r="BJ56" s="74">
        <v>45755</v>
      </c>
      <c r="BK56" s="15" cm="1">
        <f t="array" aca="1" ref="BK5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56" s="21">
        <f>Tabela1[[#This Row],[DATA PREV - APROV FINAL]]+$BL$1</f>
        <v>45761</v>
      </c>
      <c r="BM56" s="74">
        <v>45755</v>
      </c>
      <c r="BN56" s="15" cm="1">
        <f t="array" aca="1" ref="BN5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56" s="80" t="s">
        <v>314</v>
      </c>
    </row>
    <row r="57" spans="2:67" ht="18" hidden="1" customHeight="1" x14ac:dyDescent="0.35">
      <c r="B57" s="14" t="s">
        <v>79</v>
      </c>
      <c r="C57" s="16" t="s">
        <v>147</v>
      </c>
      <c r="D57" s="16" t="s">
        <v>81</v>
      </c>
      <c r="E57" s="16"/>
      <c r="F57" s="16" t="s">
        <v>315</v>
      </c>
      <c r="G57" s="16" cm="1">
        <f t="array" ref="G57">_xlfn.IFS(Tabela1[[#This Row],[STATUS PROCESSO MOBILIZAÇÃO]]="Finalizado",1,Tabela1[[#This Row],[STATUS PROCESSO MOBILIZAÇÃO]]="Cancelado",2,Tabela1[[#This Row],[STATUS PROCESSO MOBILIZAÇÃO]]="Em andamento",3)</f>
        <v>1</v>
      </c>
      <c r="H57" s="16" cm="1">
        <f t="array" aca="1" ref="H5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FORMS]]="",$AM57&gt;$AK$1),2,
AND(Tabela1[[#This Row],[STATUS PROCESSO MOBILIZAÇÃO]]="Em andamento",Tabela1[[#This Row],[DATA REAL - FORMS]]="",$AM57&lt;=$AK$1),3,
AND(Tabela1[[#This Row],[STATUS PROCESSO MOBILIZAÇÃO]]="Em andamento",Tabela1[[#This Row],[DATA REAL - FORMS]]&lt;&gt;""),1)</f>
        <v>1</v>
      </c>
      <c r="I57" s="16" cm="1">
        <f t="array" aca="1" ref="I5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EXAMES]]="",$AP57&gt;$AN$1),2,
AND(Tabela1[[#This Row],[STATUS PROCESSO MOBILIZAÇÃO]]="Em andamento",Tabela1[[#This Row],[DATA REAL - EXAMES]]="",$AP57&lt;=$AN$1),3,
AND(Tabela1[[#This Row],[STATUS PROCESSO MOBILIZAÇÃO]]="Em andamento",Tabela1[[#This Row],[DATA REAL - EXAMES]]&lt;&gt;""),1)</f>
        <v>1</v>
      </c>
      <c r="J57" s="16" cm="1">
        <f t="array" aca="1" ref="J5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ASO]]="",$AS57&gt;$AQ$1),2,
AND(Tabela1[[#This Row],[STATUS PROCESSO MOBILIZAÇÃO]]="Em andamento",Tabela1[[#This Row],[DATA REAL - ASO]]="",$AS57&lt;=$AQ$1),3,
AND(Tabela1[[#This Row],[STATUS PROCESSO MOBILIZAÇÃO]]="Em andamento",Tabela1[[#This Row],[DATA REAL - ASO]]&lt;&gt;""),1)</f>
        <v>1</v>
      </c>
      <c r="K57" s="15" cm="1">
        <f t="array" aca="1" ref="K5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TREINAMENTOS]]="",$AV57&gt;$AT$1),2,
AND(Tabela1[[#This Row],[STATUS PROCESSO MOBILIZAÇÃO]]="Em andamento",Tabela1[[#This Row],[DATA REAL - TREINAMENTOS]]="",$AV57&lt;=$AT$1),3,
AND(Tabela1[[#This Row],[STATUS PROCESSO MOBILIZAÇÃO]]="Em andamento",Tabela1[[#This Row],[DATA REAL - TREINAMENTOS]]&lt;&gt;""),1)</f>
        <v>1</v>
      </c>
      <c r="L57" s="15" cm="1">
        <f t="array" aca="1" ref="L5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TREIN.]]="",$AY57&gt;$AW$1),2,
AND(Tabela1[[#This Row],[STATUS PROCESSO MOBILIZAÇÃO]]="Em andamento",Tabela1[[#This Row],[DATA REAL - CONCL. TREIN.]]="",$AY57&lt;=$AW$1),3,
AND(Tabela1[[#This Row],[STATUS PROCESSO MOBILIZAÇÃO]]="Em andamento",Tabela1[[#This Row],[DATA REAL - CONCL. TREIN.]]&lt;&gt;""),1)</f>
        <v>0</v>
      </c>
      <c r="M57" s="15" cm="1">
        <f t="array" aca="1" ref="M5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CONTRATUAL]]="",$BB57&gt;$AZ$1),2,
AND(Tabela1[[#This Row],[STATUS PROCESSO MOBILIZAÇÃO]]="Em andamento",Tabela1[[#This Row],[DATA FIM - ALTER. CONTRATUAL]]="",$BB57&lt;=$AZ$1),3,
AND(Tabela1[[#This Row],[STATUS PROCESSO MOBILIZAÇÃO]]="Em andamento",Tabela1[[#This Row],[DATA FIM - ALTER. CONTRATUAL]]&lt;&gt;""),1)</f>
        <v>1</v>
      </c>
      <c r="N57" s="16" cm="1">
        <f t="array" aca="1" ref="N5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DOSSIÊ]]="",$BE57&gt;$BC$1),2,
AND(Tabela1[[#This Row],[STATUS PROCESSO MOBILIZAÇÃO]]="Em andamento",Tabela1[[#This Row],[DATA REAL - DOSSIÊ]]="",$BE57&lt;=$BC$1),3,
AND(Tabela1[[#This Row],[STATUS PROCESSO MOBILIZAÇÃO]]="Em andamento",Tabela1[[#This Row],[DATA REAL - DOSSIÊ]]&lt;&gt;""),1)</f>
        <v>1</v>
      </c>
      <c r="O57" s="16" cm="1">
        <f t="array" aca="1" ref="O5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POSTAGEM]]="",$BH57&gt;$BF$1),2,
AND(Tabela1[[#This Row],[STATUS PROCESSO MOBILIZAÇÃO]]="Em andamento",Tabela1[[#This Row],[DATA REAL - POSTAGEM]]="",$BH57&lt;=$BF$1),3,
AND(Tabela1[[#This Row],[STATUS PROCESSO MOBILIZAÇÃO]]="Em andamento",Tabela1[[#This Row],[DATA REAL - POSTAGEM]]&lt;&gt;""),1)</f>
        <v>1</v>
      </c>
      <c r="P57" s="16" cm="1">
        <f t="array" aca="1" ref="P5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FINAL]]="",$BK57&gt;$BI$1),2,
AND(Tabela1[[#This Row],[STATUS PROCESSO MOBILIZAÇÃO]]="Em andamento",Tabela1[[#This Row],[DATA REAL - APROV FINAL]]="",$BK57&lt;=$BI$1),3,
AND(Tabela1[[#This Row],[STATUS PROCESSO MOBILIZAÇÃO]]="Em andamento",Tabela1[[#This Row],[DATA REAL - APROV FINAL]]&lt;&gt;""),1)</f>
        <v>1</v>
      </c>
      <c r="Q57" s="15" cm="1">
        <f t="array" aca="1" ref="Q5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CRACHÁ]]="",$BN57&gt;$BL$1),2,
AND(Tabela1[[#This Row],[STATUS PROCESSO MOBILIZAÇÃO]]="Em andamento",Tabela1[[#This Row],[DATA REAL - CRACHÁ]]="",$BN57&lt;=$BL$1),3,
AND(Tabela1[[#This Row],[STATUS PROCESSO MOBILIZAÇÃO]]="Em andamento",Tabela1[[#This Row],[DATA REAL - CRACHÁ]]&lt;&gt;""),1)</f>
        <v>1</v>
      </c>
      <c r="R57" s="21">
        <f>IF(Tabela1[[#This Row],[DATA REAL - FORMS]]&lt;&gt;"",Tabela1[[#This Row],[DATA REAL - FORMS]]+30,Tabela1[[#This Row],[DATA PREV - FORMS]]+35)</f>
        <v>45770</v>
      </c>
      <c r="S5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45786</v>
      </c>
      <c r="T5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v>
      </c>
      <c r="U5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24</v>
      </c>
      <c r="V57" s="49">
        <f>MAX(Tabela1[[#This Row],[DATA REAL - POSTAGEM]],Tabela1[[#This Row],[DATA REAL - APROV FINAL]],Tabela1[[#This Row],[DATA REAL - CRACHÁ]])-MIN(Tabela1[[#This Row],[DATA REAL - POSTAGEM]],Tabela1[[#This Row],[DATA REAL - APROV FINAL]],Tabela1[[#This Row],[DATA REAL - CRACHÁ]])+1</f>
        <v>10</v>
      </c>
      <c r="W5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X57" s="15" t="s">
        <v>158</v>
      </c>
      <c r="Y57" s="16" t="s">
        <v>150</v>
      </c>
      <c r="Z57" s="18" t="s">
        <v>159</v>
      </c>
      <c r="AA57" s="18" t="s">
        <v>152</v>
      </c>
      <c r="AB57" s="16" t="s">
        <v>97</v>
      </c>
      <c r="AC57" s="16" t="s">
        <v>316</v>
      </c>
      <c r="AD57" s="16" t="s">
        <v>89</v>
      </c>
      <c r="AE57" s="16" t="s">
        <v>160</v>
      </c>
      <c r="AF57" s="16" t="s">
        <v>317</v>
      </c>
      <c r="AG57" s="16" t="str">
        <f>_xlfn.XLOOKUP(Tabela1[[#This Row],[CÓD. CT]],Controle_Projetos[COD CT],Controle_Projetos[COD PHD],"")</f>
        <v>ELEV-CT02-PLAN</v>
      </c>
      <c r="AH57" s="21">
        <v>45741</v>
      </c>
      <c r="AI57" s="75">
        <v>45762</v>
      </c>
      <c r="AJ57" s="16" cm="1">
        <f t="array" aca="1" ref="AJ5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22</v>
      </c>
      <c r="AK57" s="21">
        <v>45741</v>
      </c>
      <c r="AL57" s="74">
        <v>45740</v>
      </c>
      <c r="AM57" s="16" cm="1">
        <f t="array" aca="1" ref="AM5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57" s="21">
        <f>Tabela1[[#This Row],[DATA PREV - FORMS]]+$AN$1</f>
        <v>45748</v>
      </c>
      <c r="AO57" s="74">
        <v>45743</v>
      </c>
      <c r="AP57" s="16" cm="1">
        <f t="array" aca="1" ref="AP5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57" s="21">
        <f>Tabela1[[#This Row],[DATA PREV - EXAMES]]+$AQ$1</f>
        <v>45750</v>
      </c>
      <c r="AR57" s="74">
        <v>45758</v>
      </c>
      <c r="AS57" s="15" cm="1">
        <f t="array" aca="1" ref="AS5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9</v>
      </c>
      <c r="AT57" s="21">
        <f>Tabela1[[#This Row],[DATA PREV - FORMS]]+$AT$1</f>
        <v>45742</v>
      </c>
      <c r="AU57" s="74">
        <v>45743</v>
      </c>
      <c r="AV57" s="15" cm="1">
        <f t="array" aca="1" ref="AV5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57" s="21">
        <f>Tabela1[[#This Row],[DATA PREV - TREINAMENTOS]]+$AW$1</f>
        <v>45749</v>
      </c>
      <c r="AX57" s="74"/>
      <c r="AY57" s="15" cm="1">
        <f t="array" aca="1" ref="AY5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57" s="24">
        <v>45838</v>
      </c>
      <c r="BA57" s="74">
        <v>45741</v>
      </c>
      <c r="BB57" s="15" cm="1">
        <f t="array" aca="1" ref="BB5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-96</v>
      </c>
      <c r="BC57" s="21">
        <f>Tabela1[[#This Row],[DATA PREV - CONCL. TREIN.]]+$BC$1</f>
        <v>45751</v>
      </c>
      <c r="BD57" s="74">
        <v>45764</v>
      </c>
      <c r="BE57" s="15" cm="1">
        <f t="array" aca="1" ref="BE5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57" s="21">
        <f>Tabela1[[#This Row],[DATA PREV - DOSSIÊ]]+$BF$1</f>
        <v>45754</v>
      </c>
      <c r="BG57" s="74">
        <v>45777</v>
      </c>
      <c r="BH57" s="15" cm="1">
        <f t="array" aca="1" ref="BH5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57" s="21">
        <f>Tabela1[[#This Row],[DATA PREV - POSTAGEM]]+$BI$1</f>
        <v>45760</v>
      </c>
      <c r="BJ57" s="74">
        <v>45786</v>
      </c>
      <c r="BK57" s="15" cm="1">
        <f t="array" aca="1" ref="BK5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27</v>
      </c>
      <c r="BL57" s="21">
        <f>Tabela1[[#This Row],[DATA PREV - APROV FINAL]]+$BL$1</f>
        <v>45761</v>
      </c>
      <c r="BM57" s="74">
        <v>45786</v>
      </c>
      <c r="BN57" s="15" cm="1">
        <f t="array" aca="1" ref="BN5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26</v>
      </c>
      <c r="BO57" s="80" t="s">
        <v>318</v>
      </c>
    </row>
    <row r="58" spans="2:67" ht="18" hidden="1" customHeight="1" x14ac:dyDescent="0.35">
      <c r="B58" s="14" t="s">
        <v>79</v>
      </c>
      <c r="C58" s="16" t="s">
        <v>147</v>
      </c>
      <c r="D58" s="16" t="s">
        <v>81</v>
      </c>
      <c r="E58" s="16"/>
      <c r="F58" s="16" t="s">
        <v>203</v>
      </c>
      <c r="G58" s="16" cm="1">
        <f t="array" ref="G58">_xlfn.IFS(Tabela1[[#This Row],[STATUS PROCESSO MOBILIZAÇÃO]]="Finalizado",1,Tabela1[[#This Row],[STATUS PROCESSO MOBILIZAÇÃO]]="Cancelado",2,Tabela1[[#This Row],[STATUS PROCESSO MOBILIZAÇÃO]]="Em andamento",3)</f>
        <v>1</v>
      </c>
      <c r="H58" s="16" cm="1">
        <f t="array" aca="1" ref="H5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FORMS]]="",$AM58&gt;$AK$1),2,
AND(Tabela1[[#This Row],[STATUS PROCESSO MOBILIZAÇÃO]]="Em andamento",Tabela1[[#This Row],[DATA REAL - FORMS]]="",$AM58&lt;=$AK$1),3,
AND(Tabela1[[#This Row],[STATUS PROCESSO MOBILIZAÇÃO]]="Em andamento",Tabela1[[#This Row],[DATA REAL - FORMS]]&lt;&gt;""),1)</f>
        <v>1</v>
      </c>
      <c r="I58" s="16" cm="1">
        <f t="array" aca="1" ref="I5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EXAMES]]="",$AP58&gt;$AN$1),2,
AND(Tabela1[[#This Row],[STATUS PROCESSO MOBILIZAÇÃO]]="Em andamento",Tabela1[[#This Row],[DATA REAL - EXAMES]]="",$AP58&lt;=$AN$1),3,
AND(Tabela1[[#This Row],[STATUS PROCESSO MOBILIZAÇÃO]]="Em andamento",Tabela1[[#This Row],[DATA REAL - EXAMES]]&lt;&gt;""),1)</f>
        <v>1</v>
      </c>
      <c r="J58" s="16" cm="1">
        <f t="array" aca="1" ref="J5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ASO]]="",$AS58&gt;$AQ$1),2,
AND(Tabela1[[#This Row],[STATUS PROCESSO MOBILIZAÇÃO]]="Em andamento",Tabela1[[#This Row],[DATA REAL - ASO]]="",$AS58&lt;=$AQ$1),3,
AND(Tabela1[[#This Row],[STATUS PROCESSO MOBILIZAÇÃO]]="Em andamento",Tabela1[[#This Row],[DATA REAL - ASO]]&lt;&gt;""),1)</f>
        <v>1</v>
      </c>
      <c r="K58" s="15" cm="1">
        <f t="array" aca="1" ref="K5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TREINAMENTOS]]="",$AV58&gt;$AT$1),2,
AND(Tabela1[[#This Row],[STATUS PROCESSO MOBILIZAÇÃO]]="Em andamento",Tabela1[[#This Row],[DATA REAL - TREINAMENTOS]]="",$AV58&lt;=$AT$1),3,
AND(Tabela1[[#This Row],[STATUS PROCESSO MOBILIZAÇÃO]]="Em andamento",Tabela1[[#This Row],[DATA REAL - TREINAMENTOS]]&lt;&gt;""),1)</f>
        <v>1</v>
      </c>
      <c r="L58" s="15" cm="1">
        <f t="array" aca="1" ref="L5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TREIN.]]="",$AY58&gt;$AW$1),2,
AND(Tabela1[[#This Row],[STATUS PROCESSO MOBILIZAÇÃO]]="Em andamento",Tabela1[[#This Row],[DATA REAL - CONCL. TREIN.]]="",$AY58&lt;=$AW$1),3,
AND(Tabela1[[#This Row],[STATUS PROCESSO MOBILIZAÇÃO]]="Em andamento",Tabela1[[#This Row],[DATA REAL - CONCL. TREIN.]]&lt;&gt;""),1)</f>
        <v>1</v>
      </c>
      <c r="M58" s="15" cm="1">
        <f t="array" aca="1" ref="M5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CONTRATUAL]]="",$BB58&gt;$AZ$1),2,
AND(Tabela1[[#This Row],[STATUS PROCESSO MOBILIZAÇÃO]]="Em andamento",Tabela1[[#This Row],[DATA FIM - ALTER. CONTRATUAL]]="",$BB58&lt;=$AZ$1),3,
AND(Tabela1[[#This Row],[STATUS PROCESSO MOBILIZAÇÃO]]="Em andamento",Tabela1[[#This Row],[DATA FIM - ALTER. CONTRATUAL]]&lt;&gt;""),1)</f>
        <v>1</v>
      </c>
      <c r="N58" s="16" cm="1">
        <f t="array" aca="1" ref="N5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DOSSIÊ]]="",$BE58&gt;$BC$1),2,
AND(Tabela1[[#This Row],[STATUS PROCESSO MOBILIZAÇÃO]]="Em andamento",Tabela1[[#This Row],[DATA REAL - DOSSIÊ]]="",$BE58&lt;=$BC$1),3,
AND(Tabela1[[#This Row],[STATUS PROCESSO MOBILIZAÇÃO]]="Em andamento",Tabela1[[#This Row],[DATA REAL - DOSSIÊ]]&lt;&gt;""),1)</f>
        <v>1</v>
      </c>
      <c r="O58" s="16" cm="1">
        <f t="array" aca="1" ref="O5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POSTAGEM]]="",$BH58&gt;$BF$1),2,
AND(Tabela1[[#This Row],[STATUS PROCESSO MOBILIZAÇÃO]]="Em andamento",Tabela1[[#This Row],[DATA REAL - POSTAGEM]]="",$BH58&lt;=$BF$1),3,
AND(Tabela1[[#This Row],[STATUS PROCESSO MOBILIZAÇÃO]]="Em andamento",Tabela1[[#This Row],[DATA REAL - POSTAGEM]]&lt;&gt;""),1)</f>
        <v>1</v>
      </c>
      <c r="P58" s="16" cm="1">
        <f t="array" aca="1" ref="P5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FINAL]]="",$BK58&gt;$BI$1),2,
AND(Tabela1[[#This Row],[STATUS PROCESSO MOBILIZAÇÃO]]="Em andamento",Tabela1[[#This Row],[DATA REAL - APROV FINAL]]="",$BK58&lt;=$BI$1),3,
AND(Tabela1[[#This Row],[STATUS PROCESSO MOBILIZAÇÃO]]="Em andamento",Tabela1[[#This Row],[DATA REAL - APROV FINAL]]&lt;&gt;""),1)</f>
        <v>1</v>
      </c>
      <c r="Q58" s="15" cm="1">
        <f t="array" aca="1" ref="Q5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CRACHÁ]]="",$BN58&gt;$BL$1),2,
AND(Tabela1[[#This Row],[STATUS PROCESSO MOBILIZAÇÃO]]="Em andamento",Tabela1[[#This Row],[DATA REAL - CRACHÁ]]="",$BN58&lt;=$BL$1),3,
AND(Tabela1[[#This Row],[STATUS PROCESSO MOBILIZAÇÃO]]="Em andamento",Tabela1[[#This Row],[DATA REAL - CRACHÁ]]&lt;&gt;""),1)</f>
        <v>1</v>
      </c>
      <c r="R58" s="21">
        <f>IF(Tabela1[[#This Row],[DATA REAL - FORMS]]&lt;&gt;"",Tabela1[[#This Row],[DATA REAL - FORMS]]+30,Tabela1[[#This Row],[DATA PREV - FORMS]]+35)</f>
        <v>45770</v>
      </c>
      <c r="S5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45786</v>
      </c>
      <c r="T5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v>
      </c>
      <c r="U5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58" s="49">
        <f>MAX(Tabela1[[#This Row],[DATA REAL - POSTAGEM]],Tabela1[[#This Row],[DATA REAL - APROV FINAL]],Tabela1[[#This Row],[DATA REAL - CRACHÁ]])-MIN(Tabela1[[#This Row],[DATA REAL - POSTAGEM]],Tabela1[[#This Row],[DATA REAL - APROV FINAL]],Tabela1[[#This Row],[DATA REAL - CRACHÁ]])+1</f>
        <v>10</v>
      </c>
      <c r="W5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X58" s="15" t="s">
        <v>158</v>
      </c>
      <c r="Y58" s="16" t="s">
        <v>150</v>
      </c>
      <c r="Z58" s="18" t="s">
        <v>159</v>
      </c>
      <c r="AA58" s="18" t="s">
        <v>152</v>
      </c>
      <c r="AB58" s="16" t="s">
        <v>97</v>
      </c>
      <c r="AC58" s="16" t="s">
        <v>316</v>
      </c>
      <c r="AD58" s="16" t="s">
        <v>89</v>
      </c>
      <c r="AE58" s="16" t="s">
        <v>160</v>
      </c>
      <c r="AF58" s="16" t="s">
        <v>317</v>
      </c>
      <c r="AG58" s="16" t="str">
        <f>_xlfn.XLOOKUP(Tabela1[[#This Row],[CÓD. CT]],Controle_Projetos[COD CT],Controle_Projetos[COD PHD],"")</f>
        <v>ELEV-CT02-PLAN</v>
      </c>
      <c r="AH58" s="21">
        <v>45741</v>
      </c>
      <c r="AI58" s="75">
        <v>45762</v>
      </c>
      <c r="AJ58" s="16" cm="1">
        <f t="array" aca="1" ref="AJ5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22</v>
      </c>
      <c r="AK58" s="21">
        <v>45741</v>
      </c>
      <c r="AL58" s="74">
        <v>45740</v>
      </c>
      <c r="AM58" s="16" cm="1">
        <f t="array" aca="1" ref="AM5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58" s="21">
        <f>Tabela1[[#This Row],[DATA PREV - FORMS]]+$AN$1</f>
        <v>45748</v>
      </c>
      <c r="AO58" s="74">
        <v>45743</v>
      </c>
      <c r="AP58" s="16" cm="1">
        <f t="array" aca="1" ref="AP5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58" s="21">
        <f>Tabela1[[#This Row],[DATA PREV - EXAMES]]+$AQ$1</f>
        <v>45750</v>
      </c>
      <c r="AR58" s="74">
        <v>45763</v>
      </c>
      <c r="AS58" s="15" cm="1">
        <f t="array" aca="1" ref="AS5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14</v>
      </c>
      <c r="AT58" s="21">
        <f>Tabela1[[#This Row],[DATA PREV - FORMS]]+$AT$1</f>
        <v>45742</v>
      </c>
      <c r="AU58" s="74">
        <v>45743</v>
      </c>
      <c r="AV58" s="15" cm="1">
        <f t="array" aca="1" ref="AV5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58" s="21">
        <f>Tabela1[[#This Row],[DATA PREV - TREINAMENTOS]]+$AW$1</f>
        <v>45749</v>
      </c>
      <c r="AX58" s="74">
        <v>45757</v>
      </c>
      <c r="AY58" s="15" cm="1">
        <f t="array" aca="1" ref="AY5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9</v>
      </c>
      <c r="AZ58" s="24">
        <v>45741</v>
      </c>
      <c r="BA58" s="74">
        <v>45741</v>
      </c>
      <c r="BB58" s="15" cm="1">
        <f t="array" aca="1" ref="BB5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58" s="21">
        <f>Tabela1[[#This Row],[DATA PREV - CONCL. TREIN.]]+$BC$1</f>
        <v>45751</v>
      </c>
      <c r="BD58" s="74">
        <v>45763</v>
      </c>
      <c r="BE58" s="15" cm="1">
        <f t="array" aca="1" ref="BE5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13</v>
      </c>
      <c r="BF58" s="21">
        <f>Tabela1[[#This Row],[DATA PREV - DOSSIÊ]]+$BF$1</f>
        <v>45754</v>
      </c>
      <c r="BG58" s="74">
        <v>45777</v>
      </c>
      <c r="BH58" s="15" cm="1">
        <f t="array" aca="1" ref="BH5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58" s="21">
        <f>Tabela1[[#This Row],[DATA PREV - POSTAGEM]]+$BI$1</f>
        <v>45760</v>
      </c>
      <c r="BJ58" s="74">
        <v>45786</v>
      </c>
      <c r="BK58" s="15" cm="1">
        <f t="array" aca="1" ref="BK5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27</v>
      </c>
      <c r="BL58" s="21">
        <f>Tabela1[[#This Row],[DATA PREV - APROV FINAL]]+$BL$1</f>
        <v>45761</v>
      </c>
      <c r="BM58" s="74">
        <v>45786</v>
      </c>
      <c r="BN58" s="15" cm="1">
        <f t="array" aca="1" ref="BN5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26</v>
      </c>
      <c r="BO58" s="80" t="s">
        <v>319</v>
      </c>
    </row>
    <row r="59" spans="2:67" ht="18" hidden="1" customHeight="1" x14ac:dyDescent="0.35">
      <c r="B59" s="14" t="s">
        <v>79</v>
      </c>
      <c r="C59" s="16" t="s">
        <v>147</v>
      </c>
      <c r="D59" s="16" t="s">
        <v>81</v>
      </c>
      <c r="E59" s="16"/>
      <c r="F59" s="16" t="s">
        <v>320</v>
      </c>
      <c r="G59" s="16" cm="1">
        <f t="array" ref="G59">_xlfn.IFS(Tabela1[[#This Row],[STATUS PROCESSO MOBILIZAÇÃO]]="Finalizado",1,Tabela1[[#This Row],[STATUS PROCESSO MOBILIZAÇÃO]]="Cancelado",2,Tabela1[[#This Row],[STATUS PROCESSO MOBILIZAÇÃO]]="Em andamento",3)</f>
        <v>1</v>
      </c>
      <c r="H59" s="16" cm="1">
        <f t="array" aca="1" ref="H5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FORMS]]="",$AM59&gt;$AK$1),2,
AND(Tabela1[[#This Row],[STATUS PROCESSO MOBILIZAÇÃO]]="Em andamento",Tabela1[[#This Row],[DATA REAL - FORMS]]="",$AM59&lt;=$AK$1),3,
AND(Tabela1[[#This Row],[STATUS PROCESSO MOBILIZAÇÃO]]="Em andamento",Tabela1[[#This Row],[DATA REAL - FORMS]]&lt;&gt;""),1)</f>
        <v>1</v>
      </c>
      <c r="I59" s="16" cm="1">
        <f t="array" aca="1" ref="I5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EXAMES]]="",$AP59&gt;$AN$1),2,
AND(Tabela1[[#This Row],[STATUS PROCESSO MOBILIZAÇÃO]]="Em andamento",Tabela1[[#This Row],[DATA REAL - EXAMES]]="",$AP59&lt;=$AN$1),3,
AND(Tabela1[[#This Row],[STATUS PROCESSO MOBILIZAÇÃO]]="Em andamento",Tabela1[[#This Row],[DATA REAL - EXAMES]]&lt;&gt;""),1)</f>
        <v>1</v>
      </c>
      <c r="J59" s="16" cm="1">
        <f t="array" aca="1" ref="J5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ASO]]="",$AS59&gt;$AQ$1),2,
AND(Tabela1[[#This Row],[STATUS PROCESSO MOBILIZAÇÃO]]="Em andamento",Tabela1[[#This Row],[DATA REAL - ASO]]="",$AS59&lt;=$AQ$1),3,
AND(Tabela1[[#This Row],[STATUS PROCESSO MOBILIZAÇÃO]]="Em andamento",Tabela1[[#This Row],[DATA REAL - ASO]]&lt;&gt;""),1)</f>
        <v>1</v>
      </c>
      <c r="K59" s="15" cm="1">
        <f t="array" aca="1" ref="K5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TREINAMENTOS]]="",$AV59&gt;$AT$1),2,
AND(Tabela1[[#This Row],[STATUS PROCESSO MOBILIZAÇÃO]]="Em andamento",Tabela1[[#This Row],[DATA REAL - TREINAMENTOS]]="",$AV59&lt;=$AT$1),3,
AND(Tabela1[[#This Row],[STATUS PROCESSO MOBILIZAÇÃO]]="Em andamento",Tabela1[[#This Row],[DATA REAL - TREINAMENTOS]]&lt;&gt;""),1)</f>
        <v>1</v>
      </c>
      <c r="L59" s="15" cm="1">
        <f t="array" aca="1" ref="L5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TREIN.]]="",$AY59&gt;$AW$1),2,
AND(Tabela1[[#This Row],[STATUS PROCESSO MOBILIZAÇÃO]]="Em andamento",Tabela1[[#This Row],[DATA REAL - CONCL. TREIN.]]="",$AY59&lt;=$AW$1),3,
AND(Tabela1[[#This Row],[STATUS PROCESSO MOBILIZAÇÃO]]="Em andamento",Tabela1[[#This Row],[DATA REAL - CONCL. TREIN.]]&lt;&gt;""),1)</f>
        <v>1</v>
      </c>
      <c r="M59" s="15" cm="1">
        <f t="array" aca="1" ref="M5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CONTRATUAL]]="",$BB59&gt;$AZ$1),2,
AND(Tabela1[[#This Row],[STATUS PROCESSO MOBILIZAÇÃO]]="Em andamento",Tabela1[[#This Row],[DATA FIM - ALTER. CONTRATUAL]]="",$BB59&lt;=$AZ$1),3,
AND(Tabela1[[#This Row],[STATUS PROCESSO MOBILIZAÇÃO]]="Em andamento",Tabela1[[#This Row],[DATA FIM - ALTER. CONTRATUAL]]&lt;&gt;""),1)</f>
        <v>1</v>
      </c>
      <c r="N59" s="16" cm="1">
        <f t="array" aca="1" ref="N5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DOSSIÊ]]="",$BE59&gt;$BC$1),2,
AND(Tabela1[[#This Row],[STATUS PROCESSO MOBILIZAÇÃO]]="Em andamento",Tabela1[[#This Row],[DATA REAL - DOSSIÊ]]="",$BE59&lt;=$BC$1),3,
AND(Tabela1[[#This Row],[STATUS PROCESSO MOBILIZAÇÃO]]="Em andamento",Tabela1[[#This Row],[DATA REAL - DOSSIÊ]]&lt;&gt;""),1)</f>
        <v>1</v>
      </c>
      <c r="O59" s="16" cm="1">
        <f t="array" aca="1" ref="O5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POSTAGEM]]="",$BH59&gt;$BF$1),2,
AND(Tabela1[[#This Row],[STATUS PROCESSO MOBILIZAÇÃO]]="Em andamento",Tabela1[[#This Row],[DATA REAL - POSTAGEM]]="",$BH59&lt;=$BF$1),3,
AND(Tabela1[[#This Row],[STATUS PROCESSO MOBILIZAÇÃO]]="Em andamento",Tabela1[[#This Row],[DATA REAL - POSTAGEM]]&lt;&gt;""),1)</f>
        <v>1</v>
      </c>
      <c r="P59" s="16" cm="1">
        <f t="array" aca="1" ref="P5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FINAL]]="",$BK59&gt;$BI$1),2,
AND(Tabela1[[#This Row],[STATUS PROCESSO MOBILIZAÇÃO]]="Em andamento",Tabela1[[#This Row],[DATA REAL - APROV FINAL]]="",$BK59&lt;=$BI$1),3,
AND(Tabela1[[#This Row],[STATUS PROCESSO MOBILIZAÇÃO]]="Em andamento",Tabela1[[#This Row],[DATA REAL - APROV FINAL]]&lt;&gt;""),1)</f>
        <v>1</v>
      </c>
      <c r="Q59" s="15" cm="1">
        <f t="array" aca="1" ref="Q5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CRACHÁ]]="",$BN59&gt;$BL$1),2,
AND(Tabela1[[#This Row],[STATUS PROCESSO MOBILIZAÇÃO]]="Em andamento",Tabela1[[#This Row],[DATA REAL - CRACHÁ]]="",$BN59&lt;=$BL$1),3,
AND(Tabela1[[#This Row],[STATUS PROCESSO MOBILIZAÇÃO]]="Em andamento",Tabela1[[#This Row],[DATA REAL - CRACHÁ]]&lt;&gt;""),1)</f>
        <v>1</v>
      </c>
      <c r="R59" s="21">
        <f>IF(Tabela1[[#This Row],[DATA REAL - FORMS]]&lt;&gt;"",Tabela1[[#This Row],[DATA REAL - FORMS]]+30,Tabela1[[#This Row],[DATA PREV - FORMS]]+35)</f>
        <v>45770</v>
      </c>
      <c r="S5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45786</v>
      </c>
      <c r="T5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v>
      </c>
      <c r="U5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24</v>
      </c>
      <c r="V59" s="49">
        <f>MAX(Tabela1[[#This Row],[DATA REAL - POSTAGEM]],Tabela1[[#This Row],[DATA REAL - APROV FINAL]],Tabela1[[#This Row],[DATA REAL - CRACHÁ]])-MIN(Tabela1[[#This Row],[DATA REAL - POSTAGEM]],Tabela1[[#This Row],[DATA REAL - APROV FINAL]],Tabela1[[#This Row],[DATA REAL - CRACHÁ]])+1</f>
        <v>10</v>
      </c>
      <c r="W5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X59" s="15" t="s">
        <v>158</v>
      </c>
      <c r="Y59" s="16" t="s">
        <v>150</v>
      </c>
      <c r="Z59" s="18" t="s">
        <v>159</v>
      </c>
      <c r="AA59" s="18" t="s">
        <v>152</v>
      </c>
      <c r="AB59" s="16" t="s">
        <v>97</v>
      </c>
      <c r="AC59" s="16" t="s">
        <v>316</v>
      </c>
      <c r="AD59" s="16" t="s">
        <v>89</v>
      </c>
      <c r="AE59" s="16" t="s">
        <v>160</v>
      </c>
      <c r="AF59" s="16" t="s">
        <v>317</v>
      </c>
      <c r="AG59" s="16" t="str">
        <f>_xlfn.XLOOKUP(Tabela1[[#This Row],[CÓD. CT]],Controle_Projetos[COD CT],Controle_Projetos[COD PHD],"")</f>
        <v>ELEV-CT02-PLAN</v>
      </c>
      <c r="AH59" s="21">
        <v>45741</v>
      </c>
      <c r="AI59" s="75">
        <v>45762</v>
      </c>
      <c r="AJ59" s="16" cm="1">
        <f t="array" aca="1" ref="AJ5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22</v>
      </c>
      <c r="AK59" s="21">
        <v>45741</v>
      </c>
      <c r="AL59" s="74">
        <v>45740</v>
      </c>
      <c r="AM59" s="16" cm="1">
        <f t="array" aca="1" ref="AM5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59" s="21">
        <f>Tabela1[[#This Row],[DATA PREV - FORMS]]+$AN$1</f>
        <v>45748</v>
      </c>
      <c r="AO59" s="74">
        <v>45743</v>
      </c>
      <c r="AP59" s="16" cm="1">
        <f t="array" aca="1" ref="AP5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59" s="21">
        <f>Tabela1[[#This Row],[DATA PREV - EXAMES]]+$AQ$1</f>
        <v>45750</v>
      </c>
      <c r="AR59" s="74">
        <v>45762</v>
      </c>
      <c r="AS59" s="15" cm="1">
        <f t="array" aca="1" ref="AS5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13</v>
      </c>
      <c r="AT59" s="21">
        <f>Tabela1[[#This Row],[DATA PREV - FORMS]]+$AT$1</f>
        <v>45742</v>
      </c>
      <c r="AU59" s="74">
        <v>45743</v>
      </c>
      <c r="AV59" s="15" cm="1">
        <f t="array" aca="1" ref="AV5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59" s="21">
        <f>Tabela1[[#This Row],[DATA PREV - TREINAMENTOS]]+$AW$1</f>
        <v>45749</v>
      </c>
      <c r="AX59" s="74">
        <v>45764</v>
      </c>
      <c r="AY59" s="15" cm="1">
        <f t="array" aca="1" ref="AY5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16</v>
      </c>
      <c r="AZ59" s="24">
        <v>45741</v>
      </c>
      <c r="BA59" s="74">
        <v>45741</v>
      </c>
      <c r="BB59" s="15" cm="1">
        <f t="array" aca="1" ref="BB5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59" s="21">
        <f>Tabela1[[#This Row],[DATA PREV - CONCL. TREIN.]]+$BC$1</f>
        <v>45751</v>
      </c>
      <c r="BD59" s="74">
        <v>45764</v>
      </c>
      <c r="BE59" s="15" cm="1">
        <f t="array" aca="1" ref="BE5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59" s="21">
        <f>Tabela1[[#This Row],[DATA PREV - DOSSIÊ]]+$BF$1</f>
        <v>45754</v>
      </c>
      <c r="BG59" s="74">
        <v>45777</v>
      </c>
      <c r="BH59" s="15" cm="1">
        <f t="array" aca="1" ref="BH5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59" s="21">
        <f>Tabela1[[#This Row],[DATA PREV - POSTAGEM]]+$BI$1</f>
        <v>45760</v>
      </c>
      <c r="BJ59" s="74">
        <v>45786</v>
      </c>
      <c r="BK59" s="15" cm="1">
        <f t="array" aca="1" ref="BK5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27</v>
      </c>
      <c r="BL59" s="21">
        <f>Tabela1[[#This Row],[DATA PREV - APROV FINAL]]+$BL$1</f>
        <v>45761</v>
      </c>
      <c r="BM59" s="74">
        <v>45786</v>
      </c>
      <c r="BN59" s="15" cm="1">
        <f t="array" aca="1" ref="BN5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26</v>
      </c>
      <c r="BO59" s="80" t="s">
        <v>321</v>
      </c>
    </row>
    <row r="60" spans="2:67" ht="18" hidden="1" customHeight="1" x14ac:dyDescent="0.35">
      <c r="B60" s="14" t="s">
        <v>79</v>
      </c>
      <c r="C60" s="16" t="s">
        <v>147</v>
      </c>
      <c r="D60" s="16" t="s">
        <v>81</v>
      </c>
      <c r="E60" s="16"/>
      <c r="F60" s="16" t="s">
        <v>210</v>
      </c>
      <c r="G60" s="16" cm="1">
        <f t="array" ref="G60">_xlfn.IFS(Tabela1[[#This Row],[STATUS PROCESSO MOBILIZAÇÃO]]="Finalizado",1,Tabela1[[#This Row],[STATUS PROCESSO MOBILIZAÇÃO]]="Cancelado",2,Tabela1[[#This Row],[STATUS PROCESSO MOBILIZAÇÃO]]="Em andamento",3)</f>
        <v>1</v>
      </c>
      <c r="H60" s="16" cm="1">
        <f t="array" aca="1" ref="H6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FORMS]]="",$AM60&gt;$AK$1),2,
AND(Tabela1[[#This Row],[STATUS PROCESSO MOBILIZAÇÃO]]="Em andamento",Tabela1[[#This Row],[DATA REAL - FORMS]]="",$AM60&lt;=$AK$1),3,
AND(Tabela1[[#This Row],[STATUS PROCESSO MOBILIZAÇÃO]]="Em andamento",Tabela1[[#This Row],[DATA REAL - FORMS]]&lt;&gt;""),1)</f>
        <v>1</v>
      </c>
      <c r="I60" s="16" cm="1">
        <f t="array" aca="1" ref="I6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EXAMES]]="",$AP60&gt;$AN$1),2,
AND(Tabela1[[#This Row],[STATUS PROCESSO MOBILIZAÇÃO]]="Em andamento",Tabela1[[#This Row],[DATA REAL - EXAMES]]="",$AP60&lt;=$AN$1),3,
AND(Tabela1[[#This Row],[STATUS PROCESSO MOBILIZAÇÃO]]="Em andamento",Tabela1[[#This Row],[DATA REAL - EXAMES]]&lt;&gt;""),1)</f>
        <v>1</v>
      </c>
      <c r="J60" s="16" cm="1">
        <f t="array" aca="1" ref="J6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ASO]]="",$AS60&gt;$AQ$1),2,
AND(Tabela1[[#This Row],[STATUS PROCESSO MOBILIZAÇÃO]]="Em andamento",Tabela1[[#This Row],[DATA REAL - ASO]]="",$AS60&lt;=$AQ$1),3,
AND(Tabela1[[#This Row],[STATUS PROCESSO MOBILIZAÇÃO]]="Em andamento",Tabela1[[#This Row],[DATA REAL - ASO]]&lt;&gt;""),1)</f>
        <v>1</v>
      </c>
      <c r="K60" s="15" cm="1">
        <f t="array" aca="1" ref="K6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TREINAMENTOS]]="",$AV60&gt;$AT$1),2,
AND(Tabela1[[#This Row],[STATUS PROCESSO MOBILIZAÇÃO]]="Em andamento",Tabela1[[#This Row],[DATA REAL - TREINAMENTOS]]="",$AV60&lt;=$AT$1),3,
AND(Tabela1[[#This Row],[STATUS PROCESSO MOBILIZAÇÃO]]="Em andamento",Tabela1[[#This Row],[DATA REAL - TREINAMENTOS]]&lt;&gt;""),1)</f>
        <v>1</v>
      </c>
      <c r="L60" s="15" cm="1">
        <f t="array" aca="1" ref="L6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TREIN.]]="",$AY60&gt;$AW$1),2,
AND(Tabela1[[#This Row],[STATUS PROCESSO MOBILIZAÇÃO]]="Em andamento",Tabela1[[#This Row],[DATA REAL - CONCL. TREIN.]]="",$AY60&lt;=$AW$1),3,
AND(Tabela1[[#This Row],[STATUS PROCESSO MOBILIZAÇÃO]]="Em andamento",Tabela1[[#This Row],[DATA REAL - CONCL. TREIN.]]&lt;&gt;""),1)</f>
        <v>1</v>
      </c>
      <c r="M60" s="15" cm="1">
        <f t="array" aca="1" ref="M6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CONTRATUAL]]="",$BB60&gt;$AZ$1),2,
AND(Tabela1[[#This Row],[STATUS PROCESSO MOBILIZAÇÃO]]="Em andamento",Tabela1[[#This Row],[DATA FIM - ALTER. CONTRATUAL]]="",$BB60&lt;=$AZ$1),3,
AND(Tabela1[[#This Row],[STATUS PROCESSO MOBILIZAÇÃO]]="Em andamento",Tabela1[[#This Row],[DATA FIM - ALTER. CONTRATUAL]]&lt;&gt;""),1)</f>
        <v>1</v>
      </c>
      <c r="N60" s="16" cm="1">
        <f t="array" aca="1" ref="N6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DOSSIÊ]]="",$BE60&gt;$BC$1),2,
AND(Tabela1[[#This Row],[STATUS PROCESSO MOBILIZAÇÃO]]="Em andamento",Tabela1[[#This Row],[DATA REAL - DOSSIÊ]]="",$BE60&lt;=$BC$1),3,
AND(Tabela1[[#This Row],[STATUS PROCESSO MOBILIZAÇÃO]]="Em andamento",Tabela1[[#This Row],[DATA REAL - DOSSIÊ]]&lt;&gt;""),1)</f>
        <v>1</v>
      </c>
      <c r="O60" s="16" cm="1">
        <f t="array" aca="1" ref="O6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POSTAGEM]]="",$BH60&gt;$BF$1),2,
AND(Tabela1[[#This Row],[STATUS PROCESSO MOBILIZAÇÃO]]="Em andamento",Tabela1[[#This Row],[DATA REAL - POSTAGEM]]="",$BH60&lt;=$BF$1),3,
AND(Tabela1[[#This Row],[STATUS PROCESSO MOBILIZAÇÃO]]="Em andamento",Tabela1[[#This Row],[DATA REAL - POSTAGEM]]&lt;&gt;""),1)</f>
        <v>1</v>
      </c>
      <c r="P60" s="16" cm="1">
        <f t="array" aca="1" ref="P6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FINAL]]="",$BK60&gt;$BI$1),2,
AND(Tabela1[[#This Row],[STATUS PROCESSO MOBILIZAÇÃO]]="Em andamento",Tabela1[[#This Row],[DATA REAL - APROV FINAL]]="",$BK60&lt;=$BI$1),3,
AND(Tabela1[[#This Row],[STATUS PROCESSO MOBILIZAÇÃO]]="Em andamento",Tabela1[[#This Row],[DATA REAL - APROV FINAL]]&lt;&gt;""),1)</f>
        <v>1</v>
      </c>
      <c r="Q60" s="15" cm="1">
        <f t="array" aca="1" ref="Q6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CRACHÁ]]="",$BN60&gt;$BL$1),2,
AND(Tabela1[[#This Row],[STATUS PROCESSO MOBILIZAÇÃO]]="Em andamento",Tabela1[[#This Row],[DATA REAL - CRACHÁ]]="",$BN60&lt;=$BL$1),3,
AND(Tabela1[[#This Row],[STATUS PROCESSO MOBILIZAÇÃO]]="Em andamento",Tabela1[[#This Row],[DATA REAL - CRACHÁ]]&lt;&gt;""),1)</f>
        <v>1</v>
      </c>
      <c r="R60" s="21">
        <f>IF(Tabela1[[#This Row],[DATA REAL - FORMS]]&lt;&gt;"",Tabela1[[#This Row],[DATA REAL - FORMS]]+30,Tabela1[[#This Row],[DATA PREV - FORMS]]+35)</f>
        <v>45770</v>
      </c>
      <c r="S6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45786</v>
      </c>
      <c r="T6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v>
      </c>
      <c r="U6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60" s="49">
        <f>MAX(Tabela1[[#This Row],[DATA REAL - POSTAGEM]],Tabela1[[#This Row],[DATA REAL - APROV FINAL]],Tabela1[[#This Row],[DATA REAL - CRACHÁ]])-MIN(Tabela1[[#This Row],[DATA REAL - POSTAGEM]],Tabela1[[#This Row],[DATA REAL - APROV FINAL]],Tabela1[[#This Row],[DATA REAL - CRACHÁ]])+1</f>
        <v>10</v>
      </c>
      <c r="W6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X60" s="15" t="s">
        <v>158</v>
      </c>
      <c r="Y60" s="16" t="s">
        <v>150</v>
      </c>
      <c r="Z60" s="18" t="s">
        <v>159</v>
      </c>
      <c r="AA60" s="18" t="s">
        <v>152</v>
      </c>
      <c r="AB60" s="16" t="s">
        <v>97</v>
      </c>
      <c r="AC60" s="16" t="s">
        <v>316</v>
      </c>
      <c r="AD60" s="16" t="s">
        <v>89</v>
      </c>
      <c r="AE60" s="16" t="s">
        <v>160</v>
      </c>
      <c r="AF60" s="16" t="s">
        <v>317</v>
      </c>
      <c r="AG60" s="16" t="str">
        <f>_xlfn.XLOOKUP(Tabela1[[#This Row],[CÓD. CT]],Controle_Projetos[COD CT],Controle_Projetos[COD PHD],"")</f>
        <v>ELEV-CT02-PLAN</v>
      </c>
      <c r="AH60" s="21">
        <v>45741</v>
      </c>
      <c r="AI60" s="75">
        <v>45762</v>
      </c>
      <c r="AJ60" s="16" cm="1">
        <f t="array" aca="1" ref="AJ6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22</v>
      </c>
      <c r="AK60" s="21">
        <v>45741</v>
      </c>
      <c r="AL60" s="74">
        <v>45740</v>
      </c>
      <c r="AM60" s="16" cm="1">
        <f t="array" aca="1" ref="AM6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60" s="21">
        <f>Tabela1[[#This Row],[DATA PREV - FORMS]]+$AN$1</f>
        <v>45748</v>
      </c>
      <c r="AO60" s="74">
        <v>45743</v>
      </c>
      <c r="AP60" s="16" cm="1">
        <f t="array" aca="1" ref="AP6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60" s="21">
        <f>Tabela1[[#This Row],[DATA PREV - EXAMES]]+$AQ$1</f>
        <v>45750</v>
      </c>
      <c r="AR60" s="74">
        <v>45758</v>
      </c>
      <c r="AS60" s="15" cm="1">
        <f t="array" aca="1" ref="AS6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9</v>
      </c>
      <c r="AT60" s="21">
        <f>Tabela1[[#This Row],[DATA PREV - FORMS]]+$AT$1</f>
        <v>45742</v>
      </c>
      <c r="AU60" s="74">
        <v>45743</v>
      </c>
      <c r="AV60" s="15" cm="1">
        <f t="array" aca="1" ref="AV6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60" s="21">
        <f>Tabela1[[#This Row],[DATA PREV - TREINAMENTOS]]+$AW$1</f>
        <v>45749</v>
      </c>
      <c r="AX60" s="74">
        <v>45762</v>
      </c>
      <c r="AY60" s="15" cm="1">
        <f t="array" aca="1" ref="AY6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14</v>
      </c>
      <c r="AZ60" s="24">
        <v>45741</v>
      </c>
      <c r="BA60" s="74">
        <v>45741</v>
      </c>
      <c r="BB60" s="15" cm="1">
        <f t="array" aca="1" ref="BB6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60" s="21">
        <f>Tabela1[[#This Row],[DATA PREV - CONCL. TREIN.]]+$BC$1</f>
        <v>45751</v>
      </c>
      <c r="BD60" s="74">
        <v>45763</v>
      </c>
      <c r="BE60" s="15" cm="1">
        <f t="array" aca="1" ref="BE6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13</v>
      </c>
      <c r="BF60" s="21">
        <f>Tabela1[[#This Row],[DATA PREV - DOSSIÊ]]+$BF$1</f>
        <v>45754</v>
      </c>
      <c r="BG60" s="74">
        <v>45777</v>
      </c>
      <c r="BH60" s="15" cm="1">
        <f t="array" aca="1" ref="BH6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60" s="21">
        <f>Tabela1[[#This Row],[DATA PREV - POSTAGEM]]+$BI$1</f>
        <v>45760</v>
      </c>
      <c r="BJ60" s="74">
        <v>45786</v>
      </c>
      <c r="BK60" s="15" cm="1">
        <f t="array" aca="1" ref="BK6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27</v>
      </c>
      <c r="BL60" s="21">
        <f>Tabela1[[#This Row],[DATA PREV - APROV FINAL]]+$BL$1</f>
        <v>45761</v>
      </c>
      <c r="BM60" s="74">
        <v>45786</v>
      </c>
      <c r="BN60" s="15" cm="1">
        <f t="array" aca="1" ref="BN6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26</v>
      </c>
      <c r="BO60" s="81" t="s">
        <v>322</v>
      </c>
    </row>
    <row r="61" spans="2:67" ht="18" hidden="1" customHeight="1" x14ac:dyDescent="0.35">
      <c r="B61" s="14" t="s">
        <v>79</v>
      </c>
      <c r="C61" s="16" t="s">
        <v>147</v>
      </c>
      <c r="D61" s="16" t="s">
        <v>81</v>
      </c>
      <c r="E61" s="16"/>
      <c r="F61" s="16" t="s">
        <v>260</v>
      </c>
      <c r="G61" s="16" cm="1">
        <f t="array" ref="G61">_xlfn.IFS(Tabela1[[#This Row],[STATUS PROCESSO MOBILIZAÇÃO]]="Finalizado",1,Tabela1[[#This Row],[STATUS PROCESSO MOBILIZAÇÃO]]="Cancelado",2,Tabela1[[#This Row],[STATUS PROCESSO MOBILIZAÇÃO]]="Em andamento",3)</f>
        <v>1</v>
      </c>
      <c r="H61" s="16" cm="1">
        <f t="array" aca="1" ref="H6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FORMS]]="",$AM61&gt;$AK$1),2,
AND(Tabela1[[#This Row],[STATUS PROCESSO MOBILIZAÇÃO]]="Em andamento",Tabela1[[#This Row],[DATA REAL - FORMS]]="",$AM61&lt;=$AK$1),3,
AND(Tabela1[[#This Row],[STATUS PROCESSO MOBILIZAÇÃO]]="Em andamento",Tabela1[[#This Row],[DATA REAL - FORMS]]&lt;&gt;""),1)</f>
        <v>1</v>
      </c>
      <c r="I61" s="16" cm="1">
        <f t="array" aca="1" ref="I6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EXAMES]]="",$AP61&gt;$AN$1),2,
AND(Tabela1[[#This Row],[STATUS PROCESSO MOBILIZAÇÃO]]="Em andamento",Tabela1[[#This Row],[DATA REAL - EXAMES]]="",$AP61&lt;=$AN$1),3,
AND(Tabela1[[#This Row],[STATUS PROCESSO MOBILIZAÇÃO]]="Em andamento",Tabela1[[#This Row],[DATA REAL - EXAMES]]&lt;&gt;""),1)</f>
        <v>1</v>
      </c>
      <c r="J61" s="16" cm="1">
        <f t="array" aca="1" ref="J6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ASO]]="",$AS61&gt;$AQ$1),2,
AND(Tabela1[[#This Row],[STATUS PROCESSO MOBILIZAÇÃO]]="Em andamento",Tabela1[[#This Row],[DATA REAL - ASO]]="",$AS61&lt;=$AQ$1),3,
AND(Tabela1[[#This Row],[STATUS PROCESSO MOBILIZAÇÃO]]="Em andamento",Tabela1[[#This Row],[DATA REAL - ASO]]&lt;&gt;""),1)</f>
        <v>1</v>
      </c>
      <c r="K61" s="15" cm="1">
        <f t="array" aca="1" ref="K6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TREINAMENTOS]]="",$AV61&gt;$AT$1),2,
AND(Tabela1[[#This Row],[STATUS PROCESSO MOBILIZAÇÃO]]="Em andamento",Tabela1[[#This Row],[DATA REAL - TREINAMENTOS]]="",$AV61&lt;=$AT$1),3,
AND(Tabela1[[#This Row],[STATUS PROCESSO MOBILIZAÇÃO]]="Em andamento",Tabela1[[#This Row],[DATA REAL - TREINAMENTOS]]&lt;&gt;""),1)</f>
        <v>1</v>
      </c>
      <c r="L61" s="15" cm="1">
        <f t="array" aca="1" ref="L6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TREIN.]]="",$AY61&gt;$AW$1),2,
AND(Tabela1[[#This Row],[STATUS PROCESSO MOBILIZAÇÃO]]="Em andamento",Tabela1[[#This Row],[DATA REAL - CONCL. TREIN.]]="",$AY61&lt;=$AW$1),3,
AND(Tabela1[[#This Row],[STATUS PROCESSO MOBILIZAÇÃO]]="Em andamento",Tabela1[[#This Row],[DATA REAL - CONCL. TREIN.]]&lt;&gt;""),1)</f>
        <v>1</v>
      </c>
      <c r="M61" s="15" cm="1">
        <f t="array" aca="1" ref="M6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CONTRATUAL]]="",$BB61&gt;$AZ$1),2,
AND(Tabela1[[#This Row],[STATUS PROCESSO MOBILIZAÇÃO]]="Em andamento",Tabela1[[#This Row],[DATA FIM - ALTER. CONTRATUAL]]="",$BB61&lt;=$AZ$1),3,
AND(Tabela1[[#This Row],[STATUS PROCESSO MOBILIZAÇÃO]]="Em andamento",Tabela1[[#This Row],[DATA FIM - ALTER. CONTRATUAL]]&lt;&gt;""),1)</f>
        <v>1</v>
      </c>
      <c r="N61" s="16" cm="1">
        <f t="array" aca="1" ref="N6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DOSSIÊ]]="",$BE61&gt;$BC$1),2,
AND(Tabela1[[#This Row],[STATUS PROCESSO MOBILIZAÇÃO]]="Em andamento",Tabela1[[#This Row],[DATA REAL - DOSSIÊ]]="",$BE61&lt;=$BC$1),3,
AND(Tabela1[[#This Row],[STATUS PROCESSO MOBILIZAÇÃO]]="Em andamento",Tabela1[[#This Row],[DATA REAL - DOSSIÊ]]&lt;&gt;""),1)</f>
        <v>1</v>
      </c>
      <c r="O61" s="16" cm="1">
        <f t="array" aca="1" ref="O6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POSTAGEM]]="",$BH61&gt;$BF$1),2,
AND(Tabela1[[#This Row],[STATUS PROCESSO MOBILIZAÇÃO]]="Em andamento",Tabela1[[#This Row],[DATA REAL - POSTAGEM]]="",$BH61&lt;=$BF$1),3,
AND(Tabela1[[#This Row],[STATUS PROCESSO MOBILIZAÇÃO]]="Em andamento",Tabela1[[#This Row],[DATA REAL - POSTAGEM]]&lt;&gt;""),1)</f>
        <v>1</v>
      </c>
      <c r="P61" s="16" cm="1">
        <f t="array" aca="1" ref="P6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FINAL]]="",$BK61&gt;$BI$1),2,
AND(Tabela1[[#This Row],[STATUS PROCESSO MOBILIZAÇÃO]]="Em andamento",Tabela1[[#This Row],[DATA REAL - APROV FINAL]]="",$BK61&lt;=$BI$1),3,
AND(Tabela1[[#This Row],[STATUS PROCESSO MOBILIZAÇÃO]]="Em andamento",Tabela1[[#This Row],[DATA REAL - APROV FINAL]]&lt;&gt;""),1)</f>
        <v>1</v>
      </c>
      <c r="Q61" s="15" cm="1">
        <f t="array" aca="1" ref="Q6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CRACHÁ]]="",$BN61&gt;$BL$1),2,
AND(Tabela1[[#This Row],[STATUS PROCESSO MOBILIZAÇÃO]]="Em andamento",Tabela1[[#This Row],[DATA REAL - CRACHÁ]]="",$BN61&lt;=$BL$1),3,
AND(Tabela1[[#This Row],[STATUS PROCESSO MOBILIZAÇÃO]]="Em andamento",Tabela1[[#This Row],[DATA REAL - CRACHÁ]]&lt;&gt;""),1)</f>
        <v>1</v>
      </c>
      <c r="R61" s="21">
        <f>IF(Tabela1[[#This Row],[DATA REAL - FORMS]]&lt;&gt;"",Tabela1[[#This Row],[DATA REAL - FORMS]]+30,Tabela1[[#This Row],[DATA PREV - FORMS]]+35)</f>
        <v>45772</v>
      </c>
      <c r="S6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45756</v>
      </c>
      <c r="T6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203</v>
      </c>
      <c r="U6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196</v>
      </c>
      <c r="V61" s="49">
        <f>MAX(Tabela1[[#This Row],[DATA REAL - POSTAGEM]],Tabela1[[#This Row],[DATA REAL - APROV FINAL]],Tabela1[[#This Row],[DATA REAL - CRACHÁ]])-MIN(Tabela1[[#This Row],[DATA REAL - POSTAGEM]],Tabela1[[#This Row],[DATA REAL - APROV FINAL]],Tabela1[[#This Row],[DATA REAL - CRACHÁ]])+1</f>
        <v>6</v>
      </c>
      <c r="W6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1" s="15" t="s">
        <v>83</v>
      </c>
      <c r="Y61" s="16" t="s">
        <v>84</v>
      </c>
      <c r="Z61" s="18" t="s">
        <v>85</v>
      </c>
      <c r="AA61" s="18" t="s">
        <v>86</v>
      </c>
      <c r="AB61" s="16" t="s">
        <v>97</v>
      </c>
      <c r="AC61" s="16" t="s">
        <v>98</v>
      </c>
      <c r="AD61" s="16" t="s">
        <v>89</v>
      </c>
      <c r="AE61" s="16" t="s">
        <v>323</v>
      </c>
      <c r="AF61" s="16" t="s">
        <v>100</v>
      </c>
      <c r="AG61" s="16" t="str">
        <f>_xlfn.XLOOKUP(Tabela1[[#This Row],[CÓD. CT]],Controle_Projetos[COD CT],Controle_Projetos[COD PHD],"")</f>
        <v>SALU-CT08-TAMA</v>
      </c>
      <c r="AH61" s="21">
        <v>45741</v>
      </c>
      <c r="AI61" s="75">
        <v>45553</v>
      </c>
      <c r="AJ61" s="16" t="str" cm="1">
        <f t="array" aca="1" ref="AJ6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1" s="21">
        <v>45741</v>
      </c>
      <c r="AL61" s="74">
        <v>45742</v>
      </c>
      <c r="AM61" s="16" cm="1">
        <f t="array" aca="1" ref="AM6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61" s="21">
        <f>Tabela1[[#This Row],[DATA PREV - FORMS]]+$AN$1</f>
        <v>45748</v>
      </c>
      <c r="AO61" s="74">
        <v>45741</v>
      </c>
      <c r="AP61" s="16" cm="1">
        <f t="array" aca="1" ref="AP6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61" s="21">
        <f>Tabela1[[#This Row],[DATA PREV - EXAMES]]+$AQ$1</f>
        <v>45750</v>
      </c>
      <c r="AR61" s="74">
        <v>45748</v>
      </c>
      <c r="AS61" s="15" cm="1">
        <f t="array" aca="1" ref="AS6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61" s="21">
        <f>Tabela1[[#This Row],[DATA PREV - FORMS]]+$AT$1</f>
        <v>45742</v>
      </c>
      <c r="AU61" s="74">
        <v>45742</v>
      </c>
      <c r="AV61" s="15" cm="1">
        <f t="array" aca="1" ref="AV6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1" s="21">
        <f>Tabela1[[#This Row],[DATA PREV - TREINAMENTOS]]+$AW$1</f>
        <v>45749</v>
      </c>
      <c r="AX61" s="74">
        <v>45749</v>
      </c>
      <c r="AY61" s="15" cm="1">
        <f t="array" aca="1" ref="AY6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61" s="24">
        <v>45748</v>
      </c>
      <c r="BA61" s="74">
        <v>45741</v>
      </c>
      <c r="BB61" s="15" cm="1">
        <f t="array" aca="1" ref="BB6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v>
      </c>
      <c r="BC61" s="21">
        <f>Tabela1[[#This Row],[DATA PREV - CONCL. TREIN.]]+$BC$1</f>
        <v>45751</v>
      </c>
      <c r="BD61" s="74">
        <v>45749</v>
      </c>
      <c r="BE61" s="15" cm="1">
        <f t="array" aca="1" ref="BE6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1" s="21">
        <f>Tabela1[[#This Row],[DATA PREV - DOSSIÊ]]+$BF$1</f>
        <v>45754</v>
      </c>
      <c r="BG61" s="74">
        <v>45751</v>
      </c>
      <c r="BH61" s="15" cm="1">
        <f t="array" aca="1" ref="BH6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61" s="21">
        <f>Tabela1[[#This Row],[DATA PREV - POSTAGEM]]+$BI$1</f>
        <v>45760</v>
      </c>
      <c r="BJ61" s="74">
        <v>45756</v>
      </c>
      <c r="BK61" s="15" cm="1">
        <f t="array" aca="1" ref="BK6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61" s="21">
        <f>Tabela1[[#This Row],[DATA PREV - APROV FINAL]]+$BL$1</f>
        <v>45761</v>
      </c>
      <c r="BM61" s="74">
        <v>45756</v>
      </c>
      <c r="BN61" s="15" cm="1">
        <f t="array" aca="1" ref="BN6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61" s="80" t="s">
        <v>324</v>
      </c>
    </row>
    <row r="62" spans="2:67" ht="18" hidden="1" customHeight="1" x14ac:dyDescent="0.35">
      <c r="B62" s="14" t="s">
        <v>79</v>
      </c>
      <c r="C62" s="16" t="s">
        <v>147</v>
      </c>
      <c r="D62" s="16" t="s">
        <v>81</v>
      </c>
      <c r="E62" s="16"/>
      <c r="F62" s="16" t="s">
        <v>325</v>
      </c>
      <c r="G62" s="16" cm="1">
        <f t="array" ref="G62">_xlfn.IFS(Tabela1[[#This Row],[STATUS PROCESSO MOBILIZAÇÃO]]="Finalizado",1,Tabela1[[#This Row],[STATUS PROCESSO MOBILIZAÇÃO]]="Cancelado",2,Tabela1[[#This Row],[STATUS PROCESSO MOBILIZAÇÃO]]="Em andamento",3)</f>
        <v>1</v>
      </c>
      <c r="H62" s="16" cm="1">
        <f t="array" aca="1" ref="H6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FORMS]]="",$AM62&gt;$AK$1),2,
AND(Tabela1[[#This Row],[STATUS PROCESSO MOBILIZAÇÃO]]="Em andamento",Tabela1[[#This Row],[DATA REAL - FORMS]]="",$AM62&lt;=$AK$1),3,
AND(Tabela1[[#This Row],[STATUS PROCESSO MOBILIZAÇÃO]]="Em andamento",Tabela1[[#This Row],[DATA REAL - FORMS]]&lt;&gt;""),1)</f>
        <v>1</v>
      </c>
      <c r="I62" s="16" cm="1">
        <f t="array" aca="1" ref="I6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EXAMES]]="",$AP62&gt;$AN$1),2,
AND(Tabela1[[#This Row],[STATUS PROCESSO MOBILIZAÇÃO]]="Em andamento",Tabela1[[#This Row],[DATA REAL - EXAMES]]="",$AP62&lt;=$AN$1),3,
AND(Tabela1[[#This Row],[STATUS PROCESSO MOBILIZAÇÃO]]="Em andamento",Tabela1[[#This Row],[DATA REAL - EXAMES]]&lt;&gt;""),1)</f>
        <v>1</v>
      </c>
      <c r="J62" s="16" cm="1">
        <f t="array" aca="1" ref="J6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ASO]]="",$AS62&gt;$AQ$1),2,
AND(Tabela1[[#This Row],[STATUS PROCESSO MOBILIZAÇÃO]]="Em andamento",Tabela1[[#This Row],[DATA REAL - ASO]]="",$AS62&lt;=$AQ$1),3,
AND(Tabela1[[#This Row],[STATUS PROCESSO MOBILIZAÇÃO]]="Em andamento",Tabela1[[#This Row],[DATA REAL - ASO]]&lt;&gt;""),1)</f>
        <v>1</v>
      </c>
      <c r="K62" s="15" cm="1">
        <f t="array" aca="1" ref="K6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TREINAMENTOS]]="",$AV62&gt;$AT$1),2,
AND(Tabela1[[#This Row],[STATUS PROCESSO MOBILIZAÇÃO]]="Em andamento",Tabela1[[#This Row],[DATA REAL - TREINAMENTOS]]="",$AV62&lt;=$AT$1),3,
AND(Tabela1[[#This Row],[STATUS PROCESSO MOBILIZAÇÃO]]="Em andamento",Tabela1[[#This Row],[DATA REAL - TREINAMENTOS]]&lt;&gt;""),1)</f>
        <v>1</v>
      </c>
      <c r="L62" s="15" cm="1">
        <f t="array" aca="1" ref="L6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TREIN.]]="",$AY62&gt;$AW$1),2,
AND(Tabela1[[#This Row],[STATUS PROCESSO MOBILIZAÇÃO]]="Em andamento",Tabela1[[#This Row],[DATA REAL - CONCL. TREIN.]]="",$AY62&lt;=$AW$1),3,
AND(Tabela1[[#This Row],[STATUS PROCESSO MOBILIZAÇÃO]]="Em andamento",Tabela1[[#This Row],[DATA REAL - CONCL. TREIN.]]&lt;&gt;""),1)</f>
        <v>1</v>
      </c>
      <c r="M62" s="15" cm="1">
        <f t="array" aca="1" ref="M6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CONTRATUAL]]="",$BB62&gt;$AZ$1),2,
AND(Tabela1[[#This Row],[STATUS PROCESSO MOBILIZAÇÃO]]="Em andamento",Tabela1[[#This Row],[DATA FIM - ALTER. CONTRATUAL]]="",$BB62&lt;=$AZ$1),3,
AND(Tabela1[[#This Row],[STATUS PROCESSO MOBILIZAÇÃO]]="Em andamento",Tabela1[[#This Row],[DATA FIM - ALTER. CONTRATUAL]]&lt;&gt;""),1)</f>
        <v>1</v>
      </c>
      <c r="N62" s="16" cm="1">
        <f t="array" aca="1" ref="N6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DOSSIÊ]]="",$BE62&gt;$BC$1),2,
AND(Tabela1[[#This Row],[STATUS PROCESSO MOBILIZAÇÃO]]="Em andamento",Tabela1[[#This Row],[DATA REAL - DOSSIÊ]]="",$BE62&lt;=$BC$1),3,
AND(Tabela1[[#This Row],[STATUS PROCESSO MOBILIZAÇÃO]]="Em andamento",Tabela1[[#This Row],[DATA REAL - DOSSIÊ]]&lt;&gt;""),1)</f>
        <v>1</v>
      </c>
      <c r="O62" s="16" cm="1">
        <f t="array" aca="1" ref="O6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POSTAGEM]]="",$BH62&gt;$BF$1),2,
AND(Tabela1[[#This Row],[STATUS PROCESSO MOBILIZAÇÃO]]="Em andamento",Tabela1[[#This Row],[DATA REAL - POSTAGEM]]="",$BH62&lt;=$BF$1),3,
AND(Tabela1[[#This Row],[STATUS PROCESSO MOBILIZAÇÃO]]="Em andamento",Tabela1[[#This Row],[DATA REAL - POSTAGEM]]&lt;&gt;""),1)</f>
        <v>1</v>
      </c>
      <c r="P62" s="16" cm="1">
        <f t="array" aca="1" ref="P6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FINAL]]="",$BK62&gt;$BI$1),2,
AND(Tabela1[[#This Row],[STATUS PROCESSO MOBILIZAÇÃO]]="Em andamento",Tabela1[[#This Row],[DATA REAL - APROV FINAL]]="",$BK62&lt;=$BI$1),3,
AND(Tabela1[[#This Row],[STATUS PROCESSO MOBILIZAÇÃO]]="Em andamento",Tabela1[[#This Row],[DATA REAL - APROV FINAL]]&lt;&gt;""),1)</f>
        <v>1</v>
      </c>
      <c r="Q62" s="15" cm="1">
        <f t="array" aca="1" ref="Q6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CRACHÁ]]="",$BN62&gt;$BL$1),2,
AND(Tabela1[[#This Row],[STATUS PROCESSO MOBILIZAÇÃO]]="Em andamento",Tabela1[[#This Row],[DATA REAL - CRACHÁ]]="",$BN62&lt;=$BL$1),3,
AND(Tabela1[[#This Row],[STATUS PROCESSO MOBILIZAÇÃO]]="Em andamento",Tabela1[[#This Row],[DATA REAL - CRACHÁ]]&lt;&gt;""),1)</f>
        <v>1</v>
      </c>
      <c r="R62" s="21">
        <f>IF(Tabela1[[#This Row],[DATA REAL - FORMS]]&lt;&gt;"",Tabela1[[#This Row],[DATA REAL - FORMS]]+30,Tabela1[[#This Row],[DATA PREV - FORMS]]+35)</f>
        <v>45777</v>
      </c>
      <c r="S6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45764</v>
      </c>
      <c r="T6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6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62" s="49">
        <f>MAX(Tabela1[[#This Row],[DATA REAL - POSTAGEM]],Tabela1[[#This Row],[DATA REAL - APROV FINAL]],Tabela1[[#This Row],[DATA REAL - CRACHÁ]])-MIN(Tabela1[[#This Row],[DATA REAL - POSTAGEM]],Tabela1[[#This Row],[DATA REAL - APROV FINAL]],Tabela1[[#This Row],[DATA REAL - CRACHÁ]])+1</f>
        <v>8</v>
      </c>
      <c r="W6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X62" s="15" t="s">
        <v>83</v>
      </c>
      <c r="Y62" s="16" t="s">
        <v>84</v>
      </c>
      <c r="Z62" s="18" t="s">
        <v>85</v>
      </c>
      <c r="AA62" s="18" t="s">
        <v>86</v>
      </c>
      <c r="AB62" s="16" t="s">
        <v>97</v>
      </c>
      <c r="AC62" s="16" t="s">
        <v>245</v>
      </c>
      <c r="AD62" s="16" t="s">
        <v>326</v>
      </c>
      <c r="AE62" s="16" t="s">
        <v>327</v>
      </c>
      <c r="AF62" s="16" t="s">
        <v>328</v>
      </c>
      <c r="AG62" s="16" t="str">
        <f>_xlfn.XLOOKUP(Tabela1[[#This Row],[CÓD. CT]],Controle_Projetos[COD CT],Controle_Projetos[COD PHD],"")</f>
        <v>PAIN-CT02-PLAN</v>
      </c>
      <c r="AH62" s="21">
        <v>45747</v>
      </c>
      <c r="AI62" s="75">
        <v>45749</v>
      </c>
      <c r="AJ62" s="16" cm="1">
        <f t="array" aca="1" ref="AJ6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v>
      </c>
      <c r="AK62" s="21">
        <v>45747</v>
      </c>
      <c r="AL62" s="74">
        <v>45747</v>
      </c>
      <c r="AM62" s="16" cm="1">
        <f t="array" aca="1" ref="AM6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62" s="21">
        <f>Tabela1[[#This Row],[DATA PREV - FORMS]]+$AN$1</f>
        <v>45754</v>
      </c>
      <c r="AO62" s="74">
        <v>45750</v>
      </c>
      <c r="AP62" s="16" cm="1">
        <f t="array" aca="1" ref="AP6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62" s="21">
        <f>Tabela1[[#This Row],[DATA PREV - EXAMES]]+$AQ$1</f>
        <v>45756</v>
      </c>
      <c r="AR62" s="74">
        <v>45757</v>
      </c>
      <c r="AS62" s="15" cm="1">
        <f t="array" aca="1" ref="AS6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62" s="21">
        <f>Tabela1[[#This Row],[DATA PREV - FORMS]]+$AT$1</f>
        <v>45748</v>
      </c>
      <c r="AU62" s="74">
        <v>45750</v>
      </c>
      <c r="AV62" s="15" cm="1">
        <f t="array" aca="1" ref="AV6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62" s="21">
        <f>Tabela1[[#This Row],[DATA PREV - TREINAMENTOS]]+$AW$1</f>
        <v>45755</v>
      </c>
      <c r="AX62" s="74">
        <v>45750</v>
      </c>
      <c r="AY62" s="15" cm="1">
        <f t="array" aca="1" ref="AY6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62" s="24">
        <v>45670</v>
      </c>
      <c r="BA62" s="74">
        <v>45750</v>
      </c>
      <c r="BB62" s="15" cm="1">
        <f t="array" aca="1" ref="BB6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81</v>
      </c>
      <c r="BC62" s="21">
        <f>Tabela1[[#This Row],[DATA PREV - CONCL. TREIN.]]+$BC$1</f>
        <v>45757</v>
      </c>
      <c r="BD62" s="74">
        <v>45757</v>
      </c>
      <c r="BE62" s="15" cm="1">
        <f t="array" aca="1" ref="BE6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2" s="21">
        <f>Tabela1[[#This Row],[DATA PREV - DOSSIÊ]]+$BF$1</f>
        <v>45760</v>
      </c>
      <c r="BG62" s="74">
        <v>45757</v>
      </c>
      <c r="BH62" s="15" cm="1">
        <f t="array" aca="1" ref="BH6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62" s="21">
        <f>Tabela1[[#This Row],[DATA PREV - POSTAGEM]]+$BI$1</f>
        <v>45766</v>
      </c>
      <c r="BJ62" s="74">
        <v>45764</v>
      </c>
      <c r="BK62" s="15" cm="1">
        <f t="array" aca="1" ref="BK6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62" s="21">
        <f>Tabela1[[#This Row],[DATA PREV - APROV FINAL]]+$BL$1</f>
        <v>45767</v>
      </c>
      <c r="BM62" s="74">
        <v>45757</v>
      </c>
      <c r="BN62" s="15" cm="1">
        <f t="array" aca="1" ref="BN6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62" s="80" t="s">
        <v>329</v>
      </c>
    </row>
    <row r="63" spans="2:67" ht="18" hidden="1" customHeight="1" x14ac:dyDescent="0.35">
      <c r="B63" s="14" t="s">
        <v>119</v>
      </c>
      <c r="C63" s="16" t="s">
        <v>147</v>
      </c>
      <c r="D63" s="16" t="s">
        <v>119</v>
      </c>
      <c r="E63" s="16"/>
      <c r="F63" s="16" t="s">
        <v>251</v>
      </c>
      <c r="G63" s="16" cm="1">
        <f t="array" ref="G63">_xlfn.IFS(Tabela1[[#This Row],[STATUS PROCESSO MOBILIZAÇÃO]]="Finalizado",1,Tabela1[[#This Row],[STATUS PROCESSO MOBILIZAÇÃO]]="Cancelado",2,Tabela1[[#This Row],[STATUS PROCESSO MOBILIZAÇÃO]]="Em andamento",3)</f>
        <v>2</v>
      </c>
      <c r="H63" s="16" cm="1">
        <f t="array" aca="1" ref="H6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FORMS]]="",$AM63&gt;$AK$1),2,
AND(Tabela1[[#This Row],[STATUS PROCESSO MOBILIZAÇÃO]]="Em andamento",Tabela1[[#This Row],[DATA REAL - FORMS]]="",$AM63&lt;=$AK$1),3,
AND(Tabela1[[#This Row],[STATUS PROCESSO MOBILIZAÇÃO]]="Em andamento",Tabela1[[#This Row],[DATA REAL - FORMS]]&lt;&gt;""),1)</f>
        <v>1</v>
      </c>
      <c r="I63" s="16" cm="1">
        <f t="array" aca="1" ref="I6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EXAMES]]="",$AP63&gt;$AN$1),2,
AND(Tabela1[[#This Row],[STATUS PROCESSO MOBILIZAÇÃO]]="Em andamento",Tabela1[[#This Row],[DATA REAL - EXAMES]]="",$AP63&lt;=$AN$1),3,
AND(Tabela1[[#This Row],[STATUS PROCESSO MOBILIZAÇÃO]]="Em andamento",Tabela1[[#This Row],[DATA REAL - EXAMES]]&lt;&gt;""),1)</f>
        <v>1</v>
      </c>
      <c r="J63" s="16" cm="1">
        <f t="array" aca="1" ref="J6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ASO]]="",$AS63&gt;$AQ$1),2,
AND(Tabela1[[#This Row],[STATUS PROCESSO MOBILIZAÇÃO]]="Em andamento",Tabela1[[#This Row],[DATA REAL - ASO]]="",$AS63&lt;=$AQ$1),3,
AND(Tabela1[[#This Row],[STATUS PROCESSO MOBILIZAÇÃO]]="Em andamento",Tabela1[[#This Row],[DATA REAL - ASO]]&lt;&gt;""),1)</f>
        <v>1</v>
      </c>
      <c r="K63" s="15" cm="1">
        <f t="array" aca="1" ref="K6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TREINAMENTOS]]="",$AV63&gt;$AT$1),2,
AND(Tabela1[[#This Row],[STATUS PROCESSO MOBILIZAÇÃO]]="Em andamento",Tabela1[[#This Row],[DATA REAL - TREINAMENTOS]]="",$AV63&lt;=$AT$1),3,
AND(Tabela1[[#This Row],[STATUS PROCESSO MOBILIZAÇÃO]]="Em andamento",Tabela1[[#This Row],[DATA REAL - TREINAMENTOS]]&lt;&gt;""),1)</f>
        <v>1</v>
      </c>
      <c r="L63" s="15" cm="1">
        <f t="array" aca="1" ref="L6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TREIN.]]="",$AY63&gt;$AW$1),2,
AND(Tabela1[[#This Row],[STATUS PROCESSO MOBILIZAÇÃO]]="Em andamento",Tabela1[[#This Row],[DATA REAL - CONCL. TREIN.]]="",$AY63&lt;=$AW$1),3,
AND(Tabela1[[#This Row],[STATUS PROCESSO MOBILIZAÇÃO]]="Em andamento",Tabela1[[#This Row],[DATA REAL - CONCL. TREIN.]]&lt;&gt;""),1)</f>
        <v>1</v>
      </c>
      <c r="M63" s="15" cm="1">
        <f t="array" aca="1" ref="M6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CONTRATUAL]]="",$BB63&gt;$AZ$1),2,
AND(Tabela1[[#This Row],[STATUS PROCESSO MOBILIZAÇÃO]]="Em andamento",Tabela1[[#This Row],[DATA FIM - ALTER. CONTRATUAL]]="",$BB63&lt;=$AZ$1),3,
AND(Tabela1[[#This Row],[STATUS PROCESSO MOBILIZAÇÃO]]="Em andamento",Tabela1[[#This Row],[DATA FIM - ALTER. CONTRATUAL]]&lt;&gt;""),1)</f>
        <v>1</v>
      </c>
      <c r="N63" s="16" cm="1">
        <f t="array" aca="1" ref="N6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DOSSIÊ]]="",$BE63&gt;$BC$1),2,
AND(Tabela1[[#This Row],[STATUS PROCESSO MOBILIZAÇÃO]]="Em andamento",Tabela1[[#This Row],[DATA REAL - DOSSIÊ]]="",$BE63&lt;=$BC$1),3,
AND(Tabela1[[#This Row],[STATUS PROCESSO MOBILIZAÇÃO]]="Em andamento",Tabela1[[#This Row],[DATA REAL - DOSSIÊ]]&lt;&gt;""),1)</f>
        <v>0</v>
      </c>
      <c r="O63" s="16" cm="1">
        <f t="array" aca="1" ref="O6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POSTAGEM]]="",$BH63&gt;$BF$1),2,
AND(Tabela1[[#This Row],[STATUS PROCESSO MOBILIZAÇÃO]]="Em andamento",Tabela1[[#This Row],[DATA REAL - POSTAGEM]]="",$BH63&lt;=$BF$1),3,
AND(Tabela1[[#This Row],[STATUS PROCESSO MOBILIZAÇÃO]]="Em andamento",Tabela1[[#This Row],[DATA REAL - POSTAGEM]]&lt;&gt;""),1)</f>
        <v>1</v>
      </c>
      <c r="P63" s="16" cm="1">
        <f t="array" aca="1" ref="P6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FINAL]]="",$BK63&gt;$BI$1),2,
AND(Tabela1[[#This Row],[STATUS PROCESSO MOBILIZAÇÃO]]="Em andamento",Tabela1[[#This Row],[DATA REAL - APROV FINAL]]="",$BK63&lt;=$BI$1),3,
AND(Tabela1[[#This Row],[STATUS PROCESSO MOBILIZAÇÃO]]="Em andamento",Tabela1[[#This Row],[DATA REAL - APROV FINAL]]&lt;&gt;""),1)</f>
        <v>1</v>
      </c>
      <c r="Q63" s="15" cm="1">
        <f t="array" aca="1" ref="Q6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CRACHÁ]]="",$BN63&gt;$BL$1),2,
AND(Tabela1[[#This Row],[STATUS PROCESSO MOBILIZAÇÃO]]="Em andamento",Tabela1[[#This Row],[DATA REAL - CRACHÁ]]="",$BN63&lt;=$BL$1),3,
AND(Tabela1[[#This Row],[STATUS PROCESSO MOBILIZAÇÃO]]="Em andamento",Tabela1[[#This Row],[DATA REAL - CRACHÁ]]&lt;&gt;""),1)</f>
        <v>1</v>
      </c>
      <c r="R63" s="21">
        <f>IF(Tabela1[[#This Row],[DATA REAL - FORMS]]&lt;&gt;"",Tabela1[[#This Row],[DATA REAL - FORMS]]+30,Tabela1[[#This Row],[DATA PREV - FORMS]]+35)</f>
        <v>45777</v>
      </c>
      <c r="S6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45783</v>
      </c>
      <c r="T6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309</v>
      </c>
      <c r="U6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283</v>
      </c>
      <c r="V63" s="49">
        <f>MAX(Tabela1[[#This Row],[DATA REAL - POSTAGEM]],Tabela1[[#This Row],[DATA REAL - APROV FINAL]],Tabela1[[#This Row],[DATA REAL - CRACHÁ]])-MIN(Tabela1[[#This Row],[DATA REAL - POSTAGEM]],Tabela1[[#This Row],[DATA REAL - APROV FINAL]],Tabela1[[#This Row],[DATA REAL - CRACHÁ]])+1</f>
        <v>1</v>
      </c>
      <c r="W6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3" s="15" t="s">
        <v>83</v>
      </c>
      <c r="Y63" s="16" t="s">
        <v>84</v>
      </c>
      <c r="Z63" s="18" t="s">
        <v>85</v>
      </c>
      <c r="AA63" s="18" t="s">
        <v>86</v>
      </c>
      <c r="AB63" s="16" t="s">
        <v>97</v>
      </c>
      <c r="AC63" s="16" t="s">
        <v>286</v>
      </c>
      <c r="AD63" s="16" t="s">
        <v>89</v>
      </c>
      <c r="AE63" s="16" t="s">
        <v>287</v>
      </c>
      <c r="AF63" s="16" t="s">
        <v>288</v>
      </c>
      <c r="AG63" s="16" t="str">
        <f>_xlfn.XLOOKUP(Tabela1[[#This Row],[CÓD. CT]],Controle_Projetos[COD CT],Controle_Projetos[COD PHD],"")</f>
        <v>CGCO-CT01-PLAN</v>
      </c>
      <c r="AH63" s="21">
        <v>45747</v>
      </c>
      <c r="AI63" s="75">
        <v>45474</v>
      </c>
      <c r="AJ63" s="16" t="str" cm="1">
        <f t="array" aca="1" ref="AJ6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3" s="21">
        <v>45747</v>
      </c>
      <c r="AL63" s="74">
        <v>45747</v>
      </c>
      <c r="AM63" s="16" cm="1">
        <f t="array" aca="1" ref="AM6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63" s="21">
        <f>Tabela1[[#This Row],[DATA PREV - FORMS]]+$AN$1</f>
        <v>45754</v>
      </c>
      <c r="AO63" s="74">
        <v>45749</v>
      </c>
      <c r="AP63" s="16" cm="1">
        <f t="array" aca="1" ref="AP6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63" s="21">
        <f>Tabela1[[#This Row],[DATA PREV - EXAMES]]+$AQ$1</f>
        <v>45756</v>
      </c>
      <c r="AR63" s="74">
        <v>45757</v>
      </c>
      <c r="AS63" s="15" cm="1">
        <f t="array" aca="1" ref="AS6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63" s="21">
        <f>Tabela1[[#This Row],[DATA PREV - FORMS]]+$AT$1</f>
        <v>45748</v>
      </c>
      <c r="AU63" s="74">
        <v>45757</v>
      </c>
      <c r="AV63" s="15" cm="1">
        <f t="array" aca="1" ref="AV6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10</v>
      </c>
      <c r="AW63" s="21">
        <f>Tabela1[[#This Row],[DATA PREV - TREINAMENTOS]]+$AW$1</f>
        <v>45755</v>
      </c>
      <c r="AX63" s="74">
        <v>45757</v>
      </c>
      <c r="AY63" s="15" cm="1">
        <f t="array" aca="1" ref="AY6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63" s="24">
        <v>45722</v>
      </c>
      <c r="BA63" s="74">
        <v>45747</v>
      </c>
      <c r="BB63" s="15" cm="1">
        <f t="array" aca="1" ref="BB6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26</v>
      </c>
      <c r="BC63" s="21">
        <f>Tabela1[[#This Row],[DATA PREV - CONCL. TREIN.]]+$BC$1</f>
        <v>45757</v>
      </c>
      <c r="BD63" s="74"/>
      <c r="BE63" s="15" cm="1">
        <f t="array" aca="1" ref="BE6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3" s="21">
        <f>Tabela1[[#This Row],[DATA PREV - DOSSIÊ]]+$BF$1</f>
        <v>45760</v>
      </c>
      <c r="BG63" s="74">
        <v>45783</v>
      </c>
      <c r="BH63" s="15" cm="1">
        <f t="array" aca="1" ref="BH6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63" s="21">
        <f>Tabela1[[#This Row],[DATA PREV - POSTAGEM]]+$BI$1</f>
        <v>45766</v>
      </c>
      <c r="BJ63" s="74">
        <v>45783</v>
      </c>
      <c r="BK63" s="15" cm="1">
        <f t="array" aca="1" ref="BK6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18</v>
      </c>
      <c r="BL63" s="21">
        <f>Tabela1[[#This Row],[DATA PREV - APROV FINAL]]+$BL$1</f>
        <v>45767</v>
      </c>
      <c r="BM63" s="74">
        <v>45783</v>
      </c>
      <c r="BN63" s="15" cm="1">
        <f t="array" aca="1" ref="BN6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17</v>
      </c>
      <c r="BO63" s="80" t="s">
        <v>330</v>
      </c>
    </row>
    <row r="64" spans="2:67" ht="18" hidden="1" customHeight="1" x14ac:dyDescent="0.35">
      <c r="B64" s="14" t="s">
        <v>79</v>
      </c>
      <c r="C64" s="16" t="s">
        <v>147</v>
      </c>
      <c r="D64" s="16" t="s">
        <v>81</v>
      </c>
      <c r="E64" s="16"/>
      <c r="F64" s="16" t="s">
        <v>331</v>
      </c>
      <c r="G64" s="16" cm="1">
        <f t="array" ref="G64">_xlfn.IFS(Tabela1[[#This Row],[STATUS PROCESSO MOBILIZAÇÃO]]="Finalizado",1,Tabela1[[#This Row],[STATUS PROCESSO MOBILIZAÇÃO]]="Cancelado",2,Tabela1[[#This Row],[STATUS PROCESSO MOBILIZAÇÃO]]="Em andamento",3)</f>
        <v>1</v>
      </c>
      <c r="H64" s="16" cm="1">
        <f t="array" aca="1" ref="H6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FORMS]]="",$AM64&gt;$AK$1),2,
AND(Tabela1[[#This Row],[STATUS PROCESSO MOBILIZAÇÃO]]="Em andamento",Tabela1[[#This Row],[DATA REAL - FORMS]]="",$AM64&lt;=$AK$1),3,
AND(Tabela1[[#This Row],[STATUS PROCESSO MOBILIZAÇÃO]]="Em andamento",Tabela1[[#This Row],[DATA REAL - FORMS]]&lt;&gt;""),1)</f>
        <v>1</v>
      </c>
      <c r="I64" s="16" cm="1">
        <f t="array" aca="1" ref="I6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EXAMES]]="",$AP64&gt;$AN$1),2,
AND(Tabela1[[#This Row],[STATUS PROCESSO MOBILIZAÇÃO]]="Em andamento",Tabela1[[#This Row],[DATA REAL - EXAMES]]="",$AP64&lt;=$AN$1),3,
AND(Tabela1[[#This Row],[STATUS PROCESSO MOBILIZAÇÃO]]="Em andamento",Tabela1[[#This Row],[DATA REAL - EXAMES]]&lt;&gt;""),1)</f>
        <v>1</v>
      </c>
      <c r="J64" s="16" cm="1">
        <f t="array" aca="1" ref="J6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ASO]]="",$AS64&gt;$AQ$1),2,
AND(Tabela1[[#This Row],[STATUS PROCESSO MOBILIZAÇÃO]]="Em andamento",Tabela1[[#This Row],[DATA REAL - ASO]]="",$AS64&lt;=$AQ$1),3,
AND(Tabela1[[#This Row],[STATUS PROCESSO MOBILIZAÇÃO]]="Em andamento",Tabela1[[#This Row],[DATA REAL - ASO]]&lt;&gt;""),1)</f>
        <v>1</v>
      </c>
      <c r="K64" s="15" cm="1">
        <f t="array" aca="1" ref="K6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TREINAMENTOS]]="",$AV64&gt;$AT$1),2,
AND(Tabela1[[#This Row],[STATUS PROCESSO MOBILIZAÇÃO]]="Em andamento",Tabela1[[#This Row],[DATA REAL - TREINAMENTOS]]="",$AV64&lt;=$AT$1),3,
AND(Tabela1[[#This Row],[STATUS PROCESSO MOBILIZAÇÃO]]="Em andamento",Tabela1[[#This Row],[DATA REAL - TREINAMENTOS]]&lt;&gt;""),1)</f>
        <v>0</v>
      </c>
      <c r="L64" s="15" cm="1">
        <f t="array" aca="1" ref="L6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TREIN.]]="",$AY64&gt;$AW$1),2,
AND(Tabela1[[#This Row],[STATUS PROCESSO MOBILIZAÇÃO]]="Em andamento",Tabela1[[#This Row],[DATA REAL - CONCL. TREIN.]]="",$AY64&lt;=$AW$1),3,
AND(Tabela1[[#This Row],[STATUS PROCESSO MOBILIZAÇÃO]]="Em andamento",Tabela1[[#This Row],[DATA REAL - CONCL. TREIN.]]&lt;&gt;""),1)</f>
        <v>0</v>
      </c>
      <c r="M64" s="15" cm="1">
        <f t="array" aca="1" ref="M6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CONTRATUAL]]="",$BB64&gt;$AZ$1),2,
AND(Tabela1[[#This Row],[STATUS PROCESSO MOBILIZAÇÃO]]="Em andamento",Tabela1[[#This Row],[DATA FIM - ALTER. CONTRATUAL]]="",$BB64&lt;=$AZ$1),3,
AND(Tabela1[[#This Row],[STATUS PROCESSO MOBILIZAÇÃO]]="Em andamento",Tabela1[[#This Row],[DATA FIM - ALTER. CONTRATUAL]]&lt;&gt;""),1)</f>
        <v>1</v>
      </c>
      <c r="N64" s="16" cm="1">
        <f t="array" aca="1" ref="N6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DOSSIÊ]]="",$BE64&gt;$BC$1),2,
AND(Tabela1[[#This Row],[STATUS PROCESSO MOBILIZAÇÃO]]="Em andamento",Tabela1[[#This Row],[DATA REAL - DOSSIÊ]]="",$BE64&lt;=$BC$1),3,
AND(Tabela1[[#This Row],[STATUS PROCESSO MOBILIZAÇÃO]]="Em andamento",Tabela1[[#This Row],[DATA REAL - DOSSIÊ]]&lt;&gt;""),1)</f>
        <v>1</v>
      </c>
      <c r="O64" s="16" cm="1">
        <f t="array" aca="1" ref="O6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POSTAGEM]]="",$BH64&gt;$BF$1),2,
AND(Tabela1[[#This Row],[STATUS PROCESSO MOBILIZAÇÃO]]="Em andamento",Tabela1[[#This Row],[DATA REAL - POSTAGEM]]="",$BH64&lt;=$BF$1),3,
AND(Tabela1[[#This Row],[STATUS PROCESSO MOBILIZAÇÃO]]="Em andamento",Tabela1[[#This Row],[DATA REAL - POSTAGEM]]&lt;&gt;""),1)</f>
        <v>0</v>
      </c>
      <c r="P64" s="16" cm="1">
        <f t="array" aca="1" ref="P6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FINAL]]="",$BK64&gt;$BI$1),2,
AND(Tabela1[[#This Row],[STATUS PROCESSO MOBILIZAÇÃO]]="Em andamento",Tabela1[[#This Row],[DATA REAL - APROV FINAL]]="",$BK64&lt;=$BI$1),3,
AND(Tabela1[[#This Row],[STATUS PROCESSO MOBILIZAÇÃO]]="Em andamento",Tabela1[[#This Row],[DATA REAL - APROV FINAL]]&lt;&gt;""),1)</f>
        <v>1</v>
      </c>
      <c r="Q64" s="15" cm="1">
        <f t="array" aca="1" ref="Q6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CRACHÁ]]="",$BN64&gt;$BL$1),2,
AND(Tabela1[[#This Row],[STATUS PROCESSO MOBILIZAÇÃO]]="Em andamento",Tabela1[[#This Row],[DATA REAL - CRACHÁ]]="",$BN64&lt;=$BL$1),3,
AND(Tabela1[[#This Row],[STATUS PROCESSO MOBILIZAÇÃO]]="Em andamento",Tabela1[[#This Row],[DATA REAL - CRACHÁ]]&lt;&gt;""),1)</f>
        <v>1</v>
      </c>
      <c r="R64" s="21">
        <f>IF(Tabela1[[#This Row],[DATA REAL - FORMS]]&lt;&gt;"",Tabela1[[#This Row],[DATA REAL - FORMS]]+30,Tabela1[[#This Row],[DATA PREV - FORMS]]+35)</f>
        <v>45779</v>
      </c>
      <c r="S6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45757</v>
      </c>
      <c r="T6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31</v>
      </c>
      <c r="U6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31</v>
      </c>
      <c r="V64" s="49">
        <f>MAX(Tabela1[[#This Row],[DATA REAL - POSTAGEM]],Tabela1[[#This Row],[DATA REAL - APROV FINAL]],Tabela1[[#This Row],[DATA REAL - CRACHÁ]])-MIN(Tabela1[[#This Row],[DATA REAL - POSTAGEM]],Tabela1[[#This Row],[DATA REAL - APROV FINAL]],Tabela1[[#This Row],[DATA REAL - CRACHÁ]])+1</f>
        <v>1</v>
      </c>
      <c r="W6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4" s="15" t="s">
        <v>121</v>
      </c>
      <c r="Y64" s="16" t="s">
        <v>122</v>
      </c>
      <c r="Z64" s="18" t="s">
        <v>123</v>
      </c>
      <c r="AA64" s="18" t="s">
        <v>124</v>
      </c>
      <c r="AB64" s="16" t="s">
        <v>97</v>
      </c>
      <c r="AC64" s="16" t="s">
        <v>332</v>
      </c>
      <c r="AD64" s="16" t="s">
        <v>332</v>
      </c>
      <c r="AE64" s="16"/>
      <c r="AF64" s="16" t="s">
        <v>333</v>
      </c>
      <c r="AG64" s="16" t="str">
        <f>_xlfn.XLOOKUP(Tabela1[[#This Row],[CÓD. CT]],Controle_Projetos[COD CT],Controle_Projetos[COD PHD],"")</f>
        <v>SEEL-CT01-LPSA</v>
      </c>
      <c r="AH64" s="21">
        <v>45749</v>
      </c>
      <c r="AI64" s="75">
        <v>45726</v>
      </c>
      <c r="AJ64" s="16" t="str" cm="1">
        <f t="array" aca="1" ref="AJ6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4" s="21">
        <v>45749</v>
      </c>
      <c r="AL64" s="74">
        <v>45749</v>
      </c>
      <c r="AM64" s="16" cm="1">
        <f t="array" aca="1" ref="AM6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64" s="21">
        <f>Tabela1[[#This Row],[DATA PREV - FORMS]]+$AN$1</f>
        <v>45756</v>
      </c>
      <c r="AO64" s="74">
        <v>45754</v>
      </c>
      <c r="AP64" s="16" cm="1">
        <f t="array" aca="1" ref="AP6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64" s="21">
        <f>Tabela1[[#This Row],[DATA PREV - EXAMES]]+$AQ$1</f>
        <v>45758</v>
      </c>
      <c r="AR64" s="74">
        <v>45757</v>
      </c>
      <c r="AS64" s="15" cm="1">
        <f t="array" aca="1" ref="AS6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64" s="21">
        <f>Tabela1[[#This Row],[DATA PREV - FORMS]]+$AT$1</f>
        <v>45750</v>
      </c>
      <c r="AU64" s="74"/>
      <c r="AV64" s="15" cm="1">
        <f t="array" aca="1" ref="AV6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4" s="21">
        <f>Tabela1[[#This Row],[DATA PREV - TREINAMENTOS]]+$AW$1</f>
        <v>45757</v>
      </c>
      <c r="AX64" s="74"/>
      <c r="AY64" s="15" cm="1">
        <f t="array" aca="1" ref="AY6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64" s="24">
        <v>45671</v>
      </c>
      <c r="BA64" s="74">
        <v>45749</v>
      </c>
      <c r="BB64" s="15" cm="1">
        <f t="array" aca="1" ref="BB6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79</v>
      </c>
      <c r="BC64" s="21">
        <f>Tabela1[[#This Row],[DATA PREV - CONCL. TREIN.]]+$BC$1</f>
        <v>45759</v>
      </c>
      <c r="BD64" s="74">
        <v>45757</v>
      </c>
      <c r="BE64" s="15" cm="1">
        <f t="array" aca="1" ref="BE6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4" s="21">
        <f>Tabela1[[#This Row],[DATA PREV - DOSSIÊ]]+$BF$1</f>
        <v>45762</v>
      </c>
      <c r="BG64" s="74"/>
      <c r="BH64" s="15" cm="1">
        <f t="array" aca="1" ref="BH6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64" s="21">
        <f>Tabela1[[#This Row],[DATA PREV - POSTAGEM]]+$BI$1</f>
        <v>45768</v>
      </c>
      <c r="BJ64" s="74">
        <v>45757</v>
      </c>
      <c r="BK64" s="15" cm="1">
        <f t="array" aca="1" ref="BK6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64" s="21">
        <f>Tabela1[[#This Row],[DATA PREV - APROV FINAL]]+$BL$1</f>
        <v>45769</v>
      </c>
      <c r="BM64" s="74">
        <v>45757</v>
      </c>
      <c r="BN64" s="15" cm="1">
        <f t="array" aca="1" ref="BN6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64" s="80" t="s">
        <v>334</v>
      </c>
    </row>
    <row r="65" spans="2:67" ht="18" hidden="1" customHeight="1" x14ac:dyDescent="0.35">
      <c r="B65" s="14" t="s">
        <v>79</v>
      </c>
      <c r="C65" s="16" t="s">
        <v>147</v>
      </c>
      <c r="D65" s="16" t="s">
        <v>81</v>
      </c>
      <c r="E65" s="16"/>
      <c r="F65" s="16" t="s">
        <v>251</v>
      </c>
      <c r="G65" s="16" cm="1">
        <f t="array" ref="G65">_xlfn.IFS(Tabela1[[#This Row],[STATUS PROCESSO MOBILIZAÇÃO]]="Finalizado",1,Tabela1[[#This Row],[STATUS PROCESSO MOBILIZAÇÃO]]="Cancelado",2,Tabela1[[#This Row],[STATUS PROCESSO MOBILIZAÇÃO]]="Em andamento",3)</f>
        <v>1</v>
      </c>
      <c r="H65" s="16" cm="1">
        <f t="array" aca="1" ref="H6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FORMS]]="",$AM65&gt;$AK$1),2,
AND(Tabela1[[#This Row],[STATUS PROCESSO MOBILIZAÇÃO]]="Em andamento",Tabela1[[#This Row],[DATA REAL - FORMS]]="",$AM65&lt;=$AK$1),3,
AND(Tabela1[[#This Row],[STATUS PROCESSO MOBILIZAÇÃO]]="Em andamento",Tabela1[[#This Row],[DATA REAL - FORMS]]&lt;&gt;""),1)</f>
        <v>1</v>
      </c>
      <c r="I65" s="16" cm="1">
        <f t="array" aca="1" ref="I6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EXAMES]]="",$AP65&gt;$AN$1),2,
AND(Tabela1[[#This Row],[STATUS PROCESSO MOBILIZAÇÃO]]="Em andamento",Tabela1[[#This Row],[DATA REAL - EXAMES]]="",$AP65&lt;=$AN$1),3,
AND(Tabela1[[#This Row],[STATUS PROCESSO MOBILIZAÇÃO]]="Em andamento",Tabela1[[#This Row],[DATA REAL - EXAMES]]&lt;&gt;""),1)</f>
        <v>1</v>
      </c>
      <c r="J65" s="16" cm="1">
        <f t="array" aca="1" ref="J6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ASO]]="",$AS65&gt;$AQ$1),2,
AND(Tabela1[[#This Row],[STATUS PROCESSO MOBILIZAÇÃO]]="Em andamento",Tabela1[[#This Row],[DATA REAL - ASO]]="",$AS65&lt;=$AQ$1),3,
AND(Tabela1[[#This Row],[STATUS PROCESSO MOBILIZAÇÃO]]="Em andamento",Tabela1[[#This Row],[DATA REAL - ASO]]&lt;&gt;""),1)</f>
        <v>1</v>
      </c>
      <c r="K65" s="15" cm="1">
        <f t="array" aca="1" ref="K6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TREINAMENTOS]]="",$AV65&gt;$AT$1),2,
AND(Tabela1[[#This Row],[STATUS PROCESSO MOBILIZAÇÃO]]="Em andamento",Tabela1[[#This Row],[DATA REAL - TREINAMENTOS]]="",$AV65&lt;=$AT$1),3,
AND(Tabela1[[#This Row],[STATUS PROCESSO MOBILIZAÇÃO]]="Em andamento",Tabela1[[#This Row],[DATA REAL - TREINAMENTOS]]&lt;&gt;""),1)</f>
        <v>1</v>
      </c>
      <c r="L65" s="15" cm="1">
        <f t="array" aca="1" ref="L6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TREIN.]]="",$AY65&gt;$AW$1),2,
AND(Tabela1[[#This Row],[STATUS PROCESSO MOBILIZAÇÃO]]="Em andamento",Tabela1[[#This Row],[DATA REAL - CONCL. TREIN.]]="",$AY65&lt;=$AW$1),3,
AND(Tabela1[[#This Row],[STATUS PROCESSO MOBILIZAÇÃO]]="Em andamento",Tabela1[[#This Row],[DATA REAL - CONCL. TREIN.]]&lt;&gt;""),1)</f>
        <v>1</v>
      </c>
      <c r="M65" s="15" cm="1">
        <f t="array" aca="1" ref="M6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CONTRATUAL]]="",$BB65&gt;$AZ$1),2,
AND(Tabela1[[#This Row],[STATUS PROCESSO MOBILIZAÇÃO]]="Em andamento",Tabela1[[#This Row],[DATA FIM - ALTER. CONTRATUAL]]="",$BB65&lt;=$AZ$1),3,
AND(Tabela1[[#This Row],[STATUS PROCESSO MOBILIZAÇÃO]]="Em andamento",Tabela1[[#This Row],[DATA FIM - ALTER. CONTRATUAL]]&lt;&gt;""),1)</f>
        <v>1</v>
      </c>
      <c r="N65" s="16" cm="1">
        <f t="array" aca="1" ref="N6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DOSSIÊ]]="",$BE65&gt;$BC$1),2,
AND(Tabela1[[#This Row],[STATUS PROCESSO MOBILIZAÇÃO]]="Em andamento",Tabela1[[#This Row],[DATA REAL - DOSSIÊ]]="",$BE65&lt;=$BC$1),3,
AND(Tabela1[[#This Row],[STATUS PROCESSO MOBILIZAÇÃO]]="Em andamento",Tabela1[[#This Row],[DATA REAL - DOSSIÊ]]&lt;&gt;""),1)</f>
        <v>1</v>
      </c>
      <c r="O65" s="16" cm="1">
        <f t="array" aca="1" ref="O6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POSTAGEM]]="",$BH65&gt;$BF$1),2,
AND(Tabela1[[#This Row],[STATUS PROCESSO MOBILIZAÇÃO]]="Em andamento",Tabela1[[#This Row],[DATA REAL - POSTAGEM]]="",$BH65&lt;=$BF$1),3,
AND(Tabela1[[#This Row],[STATUS PROCESSO MOBILIZAÇÃO]]="Em andamento",Tabela1[[#This Row],[DATA REAL - POSTAGEM]]&lt;&gt;""),1)</f>
        <v>1</v>
      </c>
      <c r="P65" s="16" cm="1">
        <f t="array" aca="1" ref="P6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FINAL]]="",$BK65&gt;$BI$1),2,
AND(Tabela1[[#This Row],[STATUS PROCESSO MOBILIZAÇÃO]]="Em andamento",Tabela1[[#This Row],[DATA REAL - APROV FINAL]]="",$BK65&lt;=$BI$1),3,
AND(Tabela1[[#This Row],[STATUS PROCESSO MOBILIZAÇÃO]]="Em andamento",Tabela1[[#This Row],[DATA REAL - APROV FINAL]]&lt;&gt;""),1)</f>
        <v>1</v>
      </c>
      <c r="Q65" s="15" cm="1">
        <f t="array" aca="1" ref="Q6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CRACHÁ]]="",$BN65&gt;$BL$1),2,
AND(Tabela1[[#This Row],[STATUS PROCESSO MOBILIZAÇÃO]]="Em andamento",Tabela1[[#This Row],[DATA REAL - CRACHÁ]]="",$BN65&lt;=$BL$1),3,
AND(Tabela1[[#This Row],[STATUS PROCESSO MOBILIZAÇÃO]]="Em andamento",Tabela1[[#This Row],[DATA REAL - CRACHÁ]]&lt;&gt;""),1)</f>
        <v>1</v>
      </c>
      <c r="R65" s="21">
        <f>IF(Tabela1[[#This Row],[DATA REAL - FORMS]]&lt;&gt;"",Tabela1[[#This Row],[DATA REAL - FORMS]]+30,Tabela1[[#This Row],[DATA PREV - FORMS]]+35)</f>
        <v>45786</v>
      </c>
      <c r="S6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45790</v>
      </c>
      <c r="T6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237</v>
      </c>
      <c r="U6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217</v>
      </c>
      <c r="V65" s="49">
        <f>MAX(Tabela1[[#This Row],[DATA REAL - POSTAGEM]],Tabela1[[#This Row],[DATA REAL - APROV FINAL]],Tabela1[[#This Row],[DATA REAL - CRACHÁ]])-MIN(Tabela1[[#This Row],[DATA REAL - POSTAGEM]],Tabela1[[#This Row],[DATA REAL - APROV FINAL]],Tabela1[[#This Row],[DATA REAL - CRACHÁ]])+1</f>
        <v>8</v>
      </c>
      <c r="W6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5" s="15" t="s">
        <v>83</v>
      </c>
      <c r="Y65" s="16" t="s">
        <v>84</v>
      </c>
      <c r="Z65" s="18" t="s">
        <v>85</v>
      </c>
      <c r="AA65" s="18" t="s">
        <v>86</v>
      </c>
      <c r="AB65" s="16" t="s">
        <v>97</v>
      </c>
      <c r="AC65" s="16" t="s">
        <v>98</v>
      </c>
      <c r="AD65" s="16" t="s">
        <v>89</v>
      </c>
      <c r="AE65" s="16" t="s">
        <v>99</v>
      </c>
      <c r="AF65" s="16" t="s">
        <v>100</v>
      </c>
      <c r="AG65" s="16" t="str">
        <f>_xlfn.XLOOKUP(Tabela1[[#This Row],[CÓD. CT]],Controle_Projetos[COD CT],Controle_Projetos[COD PHD],"")</f>
        <v>SALU-CT08-TAMA</v>
      </c>
      <c r="AH65" s="21">
        <v>45756</v>
      </c>
      <c r="AI65" s="75">
        <v>45553</v>
      </c>
      <c r="AJ65" s="16" t="str" cm="1">
        <f t="array" aca="1" ref="AJ6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5" s="21">
        <v>45756</v>
      </c>
      <c r="AL65" s="74">
        <v>45756</v>
      </c>
      <c r="AM65" s="16" cm="1">
        <f t="array" aca="1" ref="AM6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65" s="21">
        <f>Tabela1[[#This Row],[DATA PREV - FORMS]]+$AN$1</f>
        <v>45763</v>
      </c>
      <c r="AO65" s="74">
        <v>45756</v>
      </c>
      <c r="AP65" s="16" cm="1">
        <f t="array" aca="1" ref="AP6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65" s="21">
        <f>Tabela1[[#This Row],[DATA PREV - EXAMES]]+$AQ$1</f>
        <v>45765</v>
      </c>
      <c r="AR65" s="74">
        <v>45764</v>
      </c>
      <c r="AS65" s="15" cm="1">
        <f t="array" aca="1" ref="AS6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65" s="21">
        <f>Tabela1[[#This Row],[DATA PREV - FORMS]]+$AT$1</f>
        <v>45757</v>
      </c>
      <c r="AU65" s="74">
        <v>45756</v>
      </c>
      <c r="AV65" s="15" cm="1">
        <f t="array" aca="1" ref="AV6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65" s="21">
        <f>Tabela1[[#This Row],[DATA PREV - TREINAMENTOS]]+$AW$1</f>
        <v>45764</v>
      </c>
      <c r="AX65" s="74">
        <v>45770</v>
      </c>
      <c r="AY65" s="15" cm="1">
        <f t="array" aca="1" ref="AY6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65" s="24">
        <v>45792</v>
      </c>
      <c r="BA65" s="74">
        <v>45747</v>
      </c>
      <c r="BB65" s="15" cm="1">
        <f t="array" aca="1" ref="BB6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-44</v>
      </c>
      <c r="BC65" s="21">
        <f>Tabela1[[#This Row],[DATA PREV - CONCL. TREIN.]]+$BC$1</f>
        <v>45766</v>
      </c>
      <c r="BD65" s="74">
        <v>45770</v>
      </c>
      <c r="BE65" s="15" cm="1">
        <f t="array" aca="1" ref="BE6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65" s="21">
        <f>Tabela1[[#This Row],[DATA PREV - DOSSIÊ]]+$BF$1</f>
        <v>45769</v>
      </c>
      <c r="BG65" s="74">
        <v>45783</v>
      </c>
      <c r="BH65" s="15" cm="1">
        <f t="array" aca="1" ref="BH6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15</v>
      </c>
      <c r="BI65" s="21">
        <f>Tabela1[[#This Row],[DATA PREV - POSTAGEM]]+$BI$1</f>
        <v>45775</v>
      </c>
      <c r="BJ65" s="74">
        <v>45790</v>
      </c>
      <c r="BK65" s="15" cm="1">
        <f t="array" aca="1" ref="BK6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65" s="21">
        <f>Tabela1[[#This Row],[DATA PREV - APROV FINAL]]+$BL$1</f>
        <v>45776</v>
      </c>
      <c r="BM65" s="74">
        <v>45790</v>
      </c>
      <c r="BN65" s="15" cm="1">
        <f t="array" aca="1" ref="BN6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15</v>
      </c>
      <c r="BO65" s="80" t="s">
        <v>335</v>
      </c>
    </row>
    <row r="66" spans="2:67" ht="18" hidden="1" customHeight="1" x14ac:dyDescent="0.35">
      <c r="B66" s="14" t="s">
        <v>79</v>
      </c>
      <c r="C66" s="16" t="s">
        <v>136</v>
      </c>
      <c r="D66" s="16" t="s">
        <v>81</v>
      </c>
      <c r="E66" s="16"/>
      <c r="F66" s="16" t="s">
        <v>336</v>
      </c>
      <c r="G66" s="16" cm="1">
        <f t="array" ref="G66">_xlfn.IFS(Tabela1[[#This Row],[STATUS PROCESSO MOBILIZAÇÃO]]="Finalizado",1,Tabela1[[#This Row],[STATUS PROCESSO MOBILIZAÇÃO]]="Cancelado",2,Tabela1[[#This Row],[STATUS PROCESSO MOBILIZAÇÃO]]="Em andamento",3)</f>
        <v>1</v>
      </c>
      <c r="H66" s="16" cm="1">
        <f t="array" aca="1" ref="H6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FORMS]]="",$AM66&gt;$AK$1),2,
AND(Tabela1[[#This Row],[STATUS PROCESSO MOBILIZAÇÃO]]="Em andamento",Tabela1[[#This Row],[DATA REAL - FORMS]]="",$AM66&lt;=$AK$1),3,
AND(Tabela1[[#This Row],[STATUS PROCESSO MOBILIZAÇÃO]]="Em andamento",Tabela1[[#This Row],[DATA REAL - FORMS]]&lt;&gt;""),1)</f>
        <v>1</v>
      </c>
      <c r="I66" s="16" cm="1">
        <f t="array" aca="1" ref="I6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EXAMES]]="",$AP66&gt;$AN$1),2,
AND(Tabela1[[#This Row],[STATUS PROCESSO MOBILIZAÇÃO]]="Em andamento",Tabela1[[#This Row],[DATA REAL - EXAMES]]="",$AP66&lt;=$AN$1),3,
AND(Tabela1[[#This Row],[STATUS PROCESSO MOBILIZAÇÃO]]="Em andamento",Tabela1[[#This Row],[DATA REAL - EXAMES]]&lt;&gt;""),1)</f>
        <v>1</v>
      </c>
      <c r="J66" s="16" cm="1">
        <f t="array" aca="1" ref="J6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ASO]]="",$AS66&gt;$AQ$1),2,
AND(Tabela1[[#This Row],[STATUS PROCESSO MOBILIZAÇÃO]]="Em andamento",Tabela1[[#This Row],[DATA REAL - ASO]]="",$AS66&lt;=$AQ$1),3,
AND(Tabela1[[#This Row],[STATUS PROCESSO MOBILIZAÇÃO]]="Em andamento",Tabela1[[#This Row],[DATA REAL - ASO]]&lt;&gt;""),1)</f>
        <v>1</v>
      </c>
      <c r="K66" s="15" cm="1">
        <f t="array" aca="1" ref="K6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TREINAMENTOS]]="",$AV66&gt;$AT$1),2,
AND(Tabela1[[#This Row],[STATUS PROCESSO MOBILIZAÇÃO]]="Em andamento",Tabela1[[#This Row],[DATA REAL - TREINAMENTOS]]="",$AV66&lt;=$AT$1),3,
AND(Tabela1[[#This Row],[STATUS PROCESSO MOBILIZAÇÃO]]="Em andamento",Tabela1[[#This Row],[DATA REAL - TREINAMENTOS]]&lt;&gt;""),1)</f>
        <v>1</v>
      </c>
      <c r="L66" s="15" cm="1">
        <f t="array" aca="1" ref="L6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TREIN.]]="",$AY66&gt;$AW$1),2,
AND(Tabela1[[#This Row],[STATUS PROCESSO MOBILIZAÇÃO]]="Em andamento",Tabela1[[#This Row],[DATA REAL - CONCL. TREIN.]]="",$AY66&lt;=$AW$1),3,
AND(Tabela1[[#This Row],[STATUS PROCESSO MOBILIZAÇÃO]]="Em andamento",Tabela1[[#This Row],[DATA REAL - CONCL. TREIN.]]&lt;&gt;""),1)</f>
        <v>1</v>
      </c>
      <c r="M66" s="15" cm="1">
        <f t="array" aca="1" ref="M6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CONTRATUAL]]="",$BB66&gt;$AZ$1),2,
AND(Tabela1[[#This Row],[STATUS PROCESSO MOBILIZAÇÃO]]="Em andamento",Tabela1[[#This Row],[DATA FIM - ALTER. CONTRATUAL]]="",$BB66&lt;=$AZ$1),3,
AND(Tabela1[[#This Row],[STATUS PROCESSO MOBILIZAÇÃO]]="Em andamento",Tabela1[[#This Row],[DATA FIM - ALTER. CONTRATUAL]]&lt;&gt;""),1)</f>
        <v>1</v>
      </c>
      <c r="N66" s="16" cm="1">
        <f t="array" aca="1" ref="N6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DOSSIÊ]]="",$BE66&gt;$BC$1),2,
AND(Tabela1[[#This Row],[STATUS PROCESSO MOBILIZAÇÃO]]="Em andamento",Tabela1[[#This Row],[DATA REAL - DOSSIÊ]]="",$BE66&lt;=$BC$1),3,
AND(Tabela1[[#This Row],[STATUS PROCESSO MOBILIZAÇÃO]]="Em andamento",Tabela1[[#This Row],[DATA REAL - DOSSIÊ]]&lt;&gt;""),1)</f>
        <v>1</v>
      </c>
      <c r="O66" s="16" cm="1">
        <f t="array" aca="1" ref="O6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POSTAGEM]]="",$BH66&gt;$BF$1),2,
AND(Tabela1[[#This Row],[STATUS PROCESSO MOBILIZAÇÃO]]="Em andamento",Tabela1[[#This Row],[DATA REAL - POSTAGEM]]="",$BH66&lt;=$BF$1),3,
AND(Tabela1[[#This Row],[STATUS PROCESSO MOBILIZAÇÃO]]="Em andamento",Tabela1[[#This Row],[DATA REAL - POSTAGEM]]&lt;&gt;""),1)</f>
        <v>1</v>
      </c>
      <c r="P66" s="16" cm="1">
        <f t="array" aca="1" ref="P6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FINAL]]="",$BK66&gt;$BI$1),2,
AND(Tabela1[[#This Row],[STATUS PROCESSO MOBILIZAÇÃO]]="Em andamento",Tabela1[[#This Row],[DATA REAL - APROV FINAL]]="",$BK66&lt;=$BI$1),3,
AND(Tabela1[[#This Row],[STATUS PROCESSO MOBILIZAÇÃO]]="Em andamento",Tabela1[[#This Row],[DATA REAL - APROV FINAL]]&lt;&gt;""),1)</f>
        <v>1</v>
      </c>
      <c r="Q66" s="15" cm="1">
        <f t="array" aca="1" ref="Q6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CRACHÁ]]="",$BN66&gt;$BL$1),2,
AND(Tabela1[[#This Row],[STATUS PROCESSO MOBILIZAÇÃO]]="Em andamento",Tabela1[[#This Row],[DATA REAL - CRACHÁ]]="",$BN66&lt;=$BL$1),3,
AND(Tabela1[[#This Row],[STATUS PROCESSO MOBILIZAÇÃO]]="Em andamento",Tabela1[[#This Row],[DATA REAL - CRACHÁ]]&lt;&gt;""),1)</f>
        <v>1</v>
      </c>
      <c r="R66" s="21">
        <f>IF(Tabela1[[#This Row],[DATA REAL - FORMS]]&lt;&gt;"",Tabela1[[#This Row],[DATA REAL - FORMS]]+30,Tabela1[[#This Row],[DATA PREV - FORMS]]+35)</f>
        <v>45788</v>
      </c>
      <c r="S6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45785</v>
      </c>
      <c r="T6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38</v>
      </c>
      <c r="U6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38</v>
      </c>
      <c r="V66" s="49">
        <f>MAX(Tabela1[[#This Row],[DATA REAL - POSTAGEM]],Tabela1[[#This Row],[DATA REAL - APROV FINAL]],Tabela1[[#This Row],[DATA REAL - CRACHÁ]])-MIN(Tabela1[[#This Row],[DATA REAL - POSTAGEM]],Tabela1[[#This Row],[DATA REAL - APROV FINAL]],Tabela1[[#This Row],[DATA REAL - CRACHÁ]])+1</f>
        <v>1</v>
      </c>
      <c r="W6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6" s="15" t="s">
        <v>130</v>
      </c>
      <c r="Y66" s="16" t="s">
        <v>130</v>
      </c>
      <c r="Z66" s="18" t="s">
        <v>131</v>
      </c>
      <c r="AA66" s="18" t="s">
        <v>131</v>
      </c>
      <c r="AB66" s="16" t="s">
        <v>97</v>
      </c>
      <c r="AC66" s="16" t="s">
        <v>132</v>
      </c>
      <c r="AD66" s="16" t="s">
        <v>132</v>
      </c>
      <c r="AE66" s="16" t="s">
        <v>337</v>
      </c>
      <c r="AF66" s="16" t="s">
        <v>338</v>
      </c>
      <c r="AG66" s="16" t="str">
        <f>_xlfn.XLOOKUP(Tabela1[[#This Row],[CÓD. CT]],Controle_Projetos[COD CT],Controle_Projetos[COD PHD],"")</f>
        <v>GERD-CT13-PANE</v>
      </c>
      <c r="AH66" s="21">
        <v>45757</v>
      </c>
      <c r="AI66" s="75">
        <v>45747</v>
      </c>
      <c r="AJ66" s="16" t="str" cm="1">
        <f t="array" aca="1" ref="AJ6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6" s="21">
        <v>45757</v>
      </c>
      <c r="AL66" s="74">
        <v>45758</v>
      </c>
      <c r="AM66" s="16" cm="1">
        <f t="array" aca="1" ref="AM6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66" s="21">
        <f>Tabela1[[#This Row],[DATA PREV - FORMS]]+$AN$1</f>
        <v>45764</v>
      </c>
      <c r="AO66" s="74">
        <v>45758</v>
      </c>
      <c r="AP66" s="16" cm="1">
        <f t="array" aca="1" ref="AP6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66" s="21">
        <f>Tabela1[[#This Row],[DATA PREV - EXAMES]]+$AQ$1</f>
        <v>45766</v>
      </c>
      <c r="AR66" s="74">
        <v>45784</v>
      </c>
      <c r="AS66" s="15" cm="1">
        <f t="array" aca="1" ref="AS6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19</v>
      </c>
      <c r="AT66" s="21">
        <f>Tabela1[[#This Row],[DATA PREV - FORMS]]+$AT$1</f>
        <v>45758</v>
      </c>
      <c r="AU66" s="74">
        <v>45758</v>
      </c>
      <c r="AV66" s="15" cm="1">
        <f t="array" aca="1" ref="AV6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6" s="21">
        <f>Tabela1[[#This Row],[DATA PREV - TREINAMENTOS]]+$AW$1</f>
        <v>45765</v>
      </c>
      <c r="AX66" s="74">
        <v>45762</v>
      </c>
      <c r="AY66" s="15" cm="1">
        <f t="array" aca="1" ref="AY6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66" s="24">
        <v>45758</v>
      </c>
      <c r="BA66" s="74">
        <v>45758</v>
      </c>
      <c r="BB66" s="15" cm="1">
        <f t="array" aca="1" ref="BB6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66" s="21">
        <f>Tabela1[[#This Row],[DATA PREV - CONCL. TREIN.]]+$BC$1</f>
        <v>45767</v>
      </c>
      <c r="BD66" s="74">
        <v>45785</v>
      </c>
      <c r="BE66" s="15" cm="1">
        <f t="array" aca="1" ref="BE6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19</v>
      </c>
      <c r="BF66" s="21">
        <f>Tabela1[[#This Row],[DATA PREV - DOSSIÊ]]+$BF$1</f>
        <v>45770</v>
      </c>
      <c r="BG66" s="74">
        <v>45785</v>
      </c>
      <c r="BH66" s="15" cm="1">
        <f t="array" aca="1" ref="BH6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16</v>
      </c>
      <c r="BI66" s="21">
        <f>Tabela1[[#This Row],[DATA PREV - POSTAGEM]]+$BI$1</f>
        <v>45776</v>
      </c>
      <c r="BJ66" s="74">
        <v>45785</v>
      </c>
      <c r="BK66" s="15" cm="1">
        <f t="array" aca="1" ref="BK6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66" s="21">
        <f>Tabela1[[#This Row],[DATA PREV - APROV FINAL]]+$BL$1</f>
        <v>45777</v>
      </c>
      <c r="BM66" s="74">
        <v>45785</v>
      </c>
      <c r="BN66" s="15" cm="1">
        <f t="array" aca="1" ref="BN6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66" s="80" t="s">
        <v>339</v>
      </c>
    </row>
    <row r="67" spans="2:67" ht="18" hidden="1" customHeight="1" x14ac:dyDescent="0.35">
      <c r="B67" s="14" t="s">
        <v>119</v>
      </c>
      <c r="C67" s="16" t="s">
        <v>136</v>
      </c>
      <c r="D67" s="16" t="s">
        <v>119</v>
      </c>
      <c r="E67" s="16"/>
      <c r="F67" s="16" t="s">
        <v>340</v>
      </c>
      <c r="G67" s="16" cm="1">
        <f t="array" ref="G67">_xlfn.IFS(Tabela1[[#This Row],[STATUS PROCESSO MOBILIZAÇÃO]]="Finalizado",1,Tabela1[[#This Row],[STATUS PROCESSO MOBILIZAÇÃO]]="Cancelado",2,Tabela1[[#This Row],[STATUS PROCESSO MOBILIZAÇÃO]]="Em andamento",3)</f>
        <v>2</v>
      </c>
      <c r="H67" s="16" cm="1">
        <f t="array" aca="1" ref="H6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FORMS]]="",$AM67&gt;$AK$1),2,
AND(Tabela1[[#This Row],[STATUS PROCESSO MOBILIZAÇÃO]]="Em andamento",Tabela1[[#This Row],[DATA REAL - FORMS]]="",$AM67&lt;=$AK$1),3,
AND(Tabela1[[#This Row],[STATUS PROCESSO MOBILIZAÇÃO]]="Em andamento",Tabela1[[#This Row],[DATA REAL - FORMS]]&lt;&gt;""),1)</f>
        <v>1</v>
      </c>
      <c r="I67" s="16" cm="1">
        <f t="array" aca="1" ref="I6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EXAMES]]="",$AP67&gt;$AN$1),2,
AND(Tabela1[[#This Row],[STATUS PROCESSO MOBILIZAÇÃO]]="Em andamento",Tabela1[[#This Row],[DATA REAL - EXAMES]]="",$AP67&lt;=$AN$1),3,
AND(Tabela1[[#This Row],[STATUS PROCESSO MOBILIZAÇÃO]]="Em andamento",Tabela1[[#This Row],[DATA REAL - EXAMES]]&lt;&gt;""),1)</f>
        <v>1</v>
      </c>
      <c r="J67" s="16" cm="1">
        <f t="array" aca="1" ref="J6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ASO]]="",$AS67&gt;$AQ$1),2,
AND(Tabela1[[#This Row],[STATUS PROCESSO MOBILIZAÇÃO]]="Em andamento",Tabela1[[#This Row],[DATA REAL - ASO]]="",$AS67&lt;=$AQ$1),3,
AND(Tabela1[[#This Row],[STATUS PROCESSO MOBILIZAÇÃO]]="Em andamento",Tabela1[[#This Row],[DATA REAL - ASO]]&lt;&gt;""),1)</f>
        <v>0</v>
      </c>
      <c r="K67" s="15" cm="1">
        <f t="array" aca="1" ref="K6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TREINAMENTOS]]="",$AV67&gt;$AT$1),2,
AND(Tabela1[[#This Row],[STATUS PROCESSO MOBILIZAÇÃO]]="Em andamento",Tabela1[[#This Row],[DATA REAL - TREINAMENTOS]]="",$AV67&lt;=$AT$1),3,
AND(Tabela1[[#This Row],[STATUS PROCESSO MOBILIZAÇÃO]]="Em andamento",Tabela1[[#This Row],[DATA REAL - TREINAMENTOS]]&lt;&gt;""),1)</f>
        <v>1</v>
      </c>
      <c r="L67" s="15" cm="1">
        <f t="array" aca="1" ref="L6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TREIN.]]="",$AY67&gt;$AW$1),2,
AND(Tabela1[[#This Row],[STATUS PROCESSO MOBILIZAÇÃO]]="Em andamento",Tabela1[[#This Row],[DATA REAL - CONCL. TREIN.]]="",$AY67&lt;=$AW$1),3,
AND(Tabela1[[#This Row],[STATUS PROCESSO MOBILIZAÇÃO]]="Em andamento",Tabela1[[#This Row],[DATA REAL - CONCL. TREIN.]]&lt;&gt;""),1)</f>
        <v>1</v>
      </c>
      <c r="M67" s="15" cm="1">
        <f t="array" aca="1" ref="M6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CONTRATUAL]]="",$BB67&gt;$AZ$1),2,
AND(Tabela1[[#This Row],[STATUS PROCESSO MOBILIZAÇÃO]]="Em andamento",Tabela1[[#This Row],[DATA FIM - ALTER. CONTRATUAL]]="",$BB67&lt;=$AZ$1),3,
AND(Tabela1[[#This Row],[STATUS PROCESSO MOBILIZAÇÃO]]="Em andamento",Tabela1[[#This Row],[DATA FIM - ALTER. CONTRATUAL]]&lt;&gt;""),1)</f>
        <v>0</v>
      </c>
      <c r="N67" s="16" cm="1">
        <f t="array" aca="1" ref="N6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DOSSIÊ]]="",$BE67&gt;$BC$1),2,
AND(Tabela1[[#This Row],[STATUS PROCESSO MOBILIZAÇÃO]]="Em andamento",Tabela1[[#This Row],[DATA REAL - DOSSIÊ]]="",$BE67&lt;=$BC$1),3,
AND(Tabela1[[#This Row],[STATUS PROCESSO MOBILIZAÇÃO]]="Em andamento",Tabela1[[#This Row],[DATA REAL - DOSSIÊ]]&lt;&gt;""),1)</f>
        <v>0</v>
      </c>
      <c r="O67" s="16" cm="1">
        <f t="array" aca="1" ref="O6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POSTAGEM]]="",$BH67&gt;$BF$1),2,
AND(Tabela1[[#This Row],[STATUS PROCESSO MOBILIZAÇÃO]]="Em andamento",Tabela1[[#This Row],[DATA REAL - POSTAGEM]]="",$BH67&lt;=$BF$1),3,
AND(Tabela1[[#This Row],[STATUS PROCESSO MOBILIZAÇÃO]]="Em andamento",Tabela1[[#This Row],[DATA REAL - POSTAGEM]]&lt;&gt;""),1)</f>
        <v>0</v>
      </c>
      <c r="P67" s="16" cm="1">
        <f t="array" aca="1" ref="P6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FINAL]]="",$BK67&gt;$BI$1),2,
AND(Tabela1[[#This Row],[STATUS PROCESSO MOBILIZAÇÃO]]="Em andamento",Tabela1[[#This Row],[DATA REAL - APROV FINAL]]="",$BK67&lt;=$BI$1),3,
AND(Tabela1[[#This Row],[STATUS PROCESSO MOBILIZAÇÃO]]="Em andamento",Tabela1[[#This Row],[DATA REAL - APROV FINAL]]&lt;&gt;""),1)</f>
        <v>1</v>
      </c>
      <c r="Q67" s="15" cm="1">
        <f t="array" aca="1" ref="Q6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CRACHÁ]]="",$BN67&gt;$BL$1),2,
AND(Tabela1[[#This Row],[STATUS PROCESSO MOBILIZAÇÃO]]="Em andamento",Tabela1[[#This Row],[DATA REAL - CRACHÁ]]="",$BN67&lt;=$BL$1),3,
AND(Tabela1[[#This Row],[STATUS PROCESSO MOBILIZAÇÃO]]="Em andamento",Tabela1[[#This Row],[DATA REAL - CRACHÁ]]&lt;&gt;""),1)</f>
        <v>1</v>
      </c>
      <c r="R67" s="21">
        <f>IF(Tabela1[[#This Row],[DATA REAL - FORMS]]&lt;&gt;"",Tabela1[[#This Row],[DATA REAL - FORMS]]+30,Tabela1[[#This Row],[DATA PREV - FORMS]]+35)</f>
        <v>45788</v>
      </c>
      <c r="S6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45779</v>
      </c>
      <c r="T6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v>
      </c>
      <c r="U6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67" s="49">
        <f>MAX(Tabela1[[#This Row],[DATA REAL - POSTAGEM]],Tabela1[[#This Row],[DATA REAL - APROV FINAL]],Tabela1[[#This Row],[DATA REAL - CRACHÁ]])-MIN(Tabela1[[#This Row],[DATA REAL - POSTAGEM]],Tabela1[[#This Row],[DATA REAL - APROV FINAL]],Tabela1[[#This Row],[DATA REAL - CRACHÁ]])+1</f>
        <v>1</v>
      </c>
      <c r="W6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7" s="15" t="s">
        <v>130</v>
      </c>
      <c r="Y67" s="16" t="s">
        <v>130</v>
      </c>
      <c r="Z67" s="18" t="s">
        <v>131</v>
      </c>
      <c r="AA67" s="18" t="s">
        <v>131</v>
      </c>
      <c r="AB67" s="16" t="s">
        <v>97</v>
      </c>
      <c r="AC67" s="16" t="s">
        <v>132</v>
      </c>
      <c r="AD67" s="16" t="s">
        <v>132</v>
      </c>
      <c r="AE67" s="16" t="s">
        <v>337</v>
      </c>
      <c r="AF67" s="16" t="s">
        <v>338</v>
      </c>
      <c r="AG67" s="16" t="str">
        <f>_xlfn.XLOOKUP(Tabela1[[#This Row],[CÓD. CT]],Controle_Projetos[COD CT],Controle_Projetos[COD PHD],"")</f>
        <v>GERD-CT13-PANE</v>
      </c>
      <c r="AH67" s="21">
        <v>45757</v>
      </c>
      <c r="AI67" s="75">
        <v>45747</v>
      </c>
      <c r="AJ67" s="16" t="str" cm="1">
        <f t="array" aca="1" ref="AJ6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7" s="21">
        <v>45757</v>
      </c>
      <c r="AL67" s="74">
        <v>45758</v>
      </c>
      <c r="AM67" s="16" cm="1">
        <f t="array" aca="1" ref="AM6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67" s="21">
        <f>Tabela1[[#This Row],[DATA PREV - FORMS]]+$AN$1</f>
        <v>45764</v>
      </c>
      <c r="AO67" s="74">
        <v>45758</v>
      </c>
      <c r="AP67" s="16" cm="1">
        <f t="array" aca="1" ref="AP6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67" s="21">
        <f>Tabela1[[#This Row],[DATA PREV - EXAMES]]+$AQ$1</f>
        <v>45766</v>
      </c>
      <c r="AR67" s="74"/>
      <c r="AS67" s="15" cm="1">
        <f t="array" aca="1" ref="AS6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67" s="21">
        <f>Tabela1[[#This Row],[DATA PREV - FORMS]]+$AT$1</f>
        <v>45758</v>
      </c>
      <c r="AU67" s="74">
        <v>45758</v>
      </c>
      <c r="AV67" s="15" cm="1">
        <f t="array" aca="1" ref="AV6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7" s="21">
        <f>Tabela1[[#This Row],[DATA PREV - TREINAMENTOS]]+$AW$1</f>
        <v>45765</v>
      </c>
      <c r="AX67" s="74">
        <v>45762</v>
      </c>
      <c r="AY67" s="15" cm="1">
        <f t="array" aca="1" ref="AY6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67" s="24">
        <v>45748</v>
      </c>
      <c r="BA67" s="74"/>
      <c r="BB67" s="15" cm="1">
        <f t="array" aca="1" ref="BB6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67" s="21">
        <f>Tabela1[[#This Row],[DATA PREV - CONCL. TREIN.]]+$BC$1</f>
        <v>45767</v>
      </c>
      <c r="BD67" s="74"/>
      <c r="BE67" s="15" cm="1">
        <f t="array" aca="1" ref="BE6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7" s="21">
        <f>Tabela1[[#This Row],[DATA PREV - DOSSIÊ]]+$BF$1</f>
        <v>45770</v>
      </c>
      <c r="BG67" s="74"/>
      <c r="BH67" s="15" cm="1">
        <f t="array" aca="1" ref="BH6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67" s="21">
        <f>Tabela1[[#This Row],[DATA PREV - POSTAGEM]]+$BI$1</f>
        <v>45776</v>
      </c>
      <c r="BJ67" s="74">
        <v>45779</v>
      </c>
      <c r="BK67" s="15" cm="1">
        <f t="array" aca="1" ref="BK6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67" s="21">
        <f>Tabela1[[#This Row],[DATA PREV - APROV FINAL]]+$BL$1</f>
        <v>45777</v>
      </c>
      <c r="BM67" s="74">
        <v>45779</v>
      </c>
      <c r="BN67" s="15" cm="1">
        <f t="array" aca="1" ref="BN6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67" s="80" t="s">
        <v>341</v>
      </c>
    </row>
    <row r="68" spans="2:67" ht="18" hidden="1" customHeight="1" x14ac:dyDescent="0.35">
      <c r="B68" s="14" t="s">
        <v>79</v>
      </c>
      <c r="C68" s="16" t="s">
        <v>136</v>
      </c>
      <c r="D68" s="16" t="s">
        <v>81</v>
      </c>
      <c r="E68" s="16"/>
      <c r="F68" s="16" t="s">
        <v>342</v>
      </c>
      <c r="G68" s="16" cm="1">
        <f t="array" ref="G68">_xlfn.IFS(Tabela1[[#This Row],[STATUS PROCESSO MOBILIZAÇÃO]]="Finalizado",1,Tabela1[[#This Row],[STATUS PROCESSO MOBILIZAÇÃO]]="Cancelado",2,Tabela1[[#This Row],[STATUS PROCESSO MOBILIZAÇÃO]]="Em andamento",3)</f>
        <v>1</v>
      </c>
      <c r="H68" s="16" cm="1">
        <f t="array" aca="1" ref="H6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FORMS]]="",$AM68&gt;$AK$1),2,
AND(Tabela1[[#This Row],[STATUS PROCESSO MOBILIZAÇÃO]]="Em andamento",Tabela1[[#This Row],[DATA REAL - FORMS]]="",$AM68&lt;=$AK$1),3,
AND(Tabela1[[#This Row],[STATUS PROCESSO MOBILIZAÇÃO]]="Em andamento",Tabela1[[#This Row],[DATA REAL - FORMS]]&lt;&gt;""),1)</f>
        <v>1</v>
      </c>
      <c r="I68" s="16" cm="1">
        <f t="array" aca="1" ref="I6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EXAMES]]="",$AP68&gt;$AN$1),2,
AND(Tabela1[[#This Row],[STATUS PROCESSO MOBILIZAÇÃO]]="Em andamento",Tabela1[[#This Row],[DATA REAL - EXAMES]]="",$AP68&lt;=$AN$1),3,
AND(Tabela1[[#This Row],[STATUS PROCESSO MOBILIZAÇÃO]]="Em andamento",Tabela1[[#This Row],[DATA REAL - EXAMES]]&lt;&gt;""),1)</f>
        <v>1</v>
      </c>
      <c r="J68" s="16" cm="1">
        <f t="array" aca="1" ref="J6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ASO]]="",$AS68&gt;$AQ$1),2,
AND(Tabela1[[#This Row],[STATUS PROCESSO MOBILIZAÇÃO]]="Em andamento",Tabela1[[#This Row],[DATA REAL - ASO]]="",$AS68&lt;=$AQ$1),3,
AND(Tabela1[[#This Row],[STATUS PROCESSO MOBILIZAÇÃO]]="Em andamento",Tabela1[[#This Row],[DATA REAL - ASO]]&lt;&gt;""),1)</f>
        <v>1</v>
      </c>
      <c r="K68" s="15" cm="1">
        <f t="array" aca="1" ref="K6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TREINAMENTOS]]="",$AV68&gt;$AT$1),2,
AND(Tabela1[[#This Row],[STATUS PROCESSO MOBILIZAÇÃO]]="Em andamento",Tabela1[[#This Row],[DATA REAL - TREINAMENTOS]]="",$AV68&lt;=$AT$1),3,
AND(Tabela1[[#This Row],[STATUS PROCESSO MOBILIZAÇÃO]]="Em andamento",Tabela1[[#This Row],[DATA REAL - TREINAMENTOS]]&lt;&gt;""),1)</f>
        <v>1</v>
      </c>
      <c r="L68" s="15" cm="1">
        <f t="array" aca="1" ref="L6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TREIN.]]="",$AY68&gt;$AW$1),2,
AND(Tabela1[[#This Row],[STATUS PROCESSO MOBILIZAÇÃO]]="Em andamento",Tabela1[[#This Row],[DATA REAL - CONCL. TREIN.]]="",$AY68&lt;=$AW$1),3,
AND(Tabela1[[#This Row],[STATUS PROCESSO MOBILIZAÇÃO]]="Em andamento",Tabela1[[#This Row],[DATA REAL - CONCL. TREIN.]]&lt;&gt;""),1)</f>
        <v>1</v>
      </c>
      <c r="M68" s="15" cm="1">
        <f t="array" aca="1" ref="M6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CONTRATUAL]]="",$BB68&gt;$AZ$1),2,
AND(Tabela1[[#This Row],[STATUS PROCESSO MOBILIZAÇÃO]]="Em andamento",Tabela1[[#This Row],[DATA FIM - ALTER. CONTRATUAL]]="",$BB68&lt;=$AZ$1),3,
AND(Tabela1[[#This Row],[STATUS PROCESSO MOBILIZAÇÃO]]="Em andamento",Tabela1[[#This Row],[DATA FIM - ALTER. CONTRATUAL]]&lt;&gt;""),1)</f>
        <v>1</v>
      </c>
      <c r="N68" s="16" cm="1">
        <f t="array" aca="1" ref="N6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DOSSIÊ]]="",$BE68&gt;$BC$1),2,
AND(Tabela1[[#This Row],[STATUS PROCESSO MOBILIZAÇÃO]]="Em andamento",Tabela1[[#This Row],[DATA REAL - DOSSIÊ]]="",$BE68&lt;=$BC$1),3,
AND(Tabela1[[#This Row],[STATUS PROCESSO MOBILIZAÇÃO]]="Em andamento",Tabela1[[#This Row],[DATA REAL - DOSSIÊ]]&lt;&gt;""),1)</f>
        <v>1</v>
      </c>
      <c r="O68" s="16" cm="1">
        <f t="array" aca="1" ref="O6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POSTAGEM]]="",$BH68&gt;$BF$1),2,
AND(Tabela1[[#This Row],[STATUS PROCESSO MOBILIZAÇÃO]]="Em andamento",Tabela1[[#This Row],[DATA REAL - POSTAGEM]]="",$BH68&lt;=$BF$1),3,
AND(Tabela1[[#This Row],[STATUS PROCESSO MOBILIZAÇÃO]]="Em andamento",Tabela1[[#This Row],[DATA REAL - POSTAGEM]]&lt;&gt;""),1)</f>
        <v>1</v>
      </c>
      <c r="P68" s="16" cm="1">
        <f t="array" aca="1" ref="P6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FINAL]]="",$BK68&gt;$BI$1),2,
AND(Tabela1[[#This Row],[STATUS PROCESSO MOBILIZAÇÃO]]="Em andamento",Tabela1[[#This Row],[DATA REAL - APROV FINAL]]="",$BK68&lt;=$BI$1),3,
AND(Tabela1[[#This Row],[STATUS PROCESSO MOBILIZAÇÃO]]="Em andamento",Tabela1[[#This Row],[DATA REAL - APROV FINAL]]&lt;&gt;""),1)</f>
        <v>1</v>
      </c>
      <c r="Q68" s="15" cm="1">
        <f t="array" aca="1" ref="Q6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CRACHÁ]]="",$BN68&gt;$BL$1),2,
AND(Tabela1[[#This Row],[STATUS PROCESSO MOBILIZAÇÃO]]="Em andamento",Tabela1[[#This Row],[DATA REAL - CRACHÁ]]="",$BN68&lt;=$BL$1),3,
AND(Tabela1[[#This Row],[STATUS PROCESSO MOBILIZAÇÃO]]="Em andamento",Tabela1[[#This Row],[DATA REAL - CRACHÁ]]&lt;&gt;""),1)</f>
        <v>1</v>
      </c>
      <c r="R68" s="21">
        <f>IF(Tabela1[[#This Row],[DATA REAL - FORMS]]&lt;&gt;"",Tabela1[[#This Row],[DATA REAL - FORMS]]+30,Tabela1[[#This Row],[DATA PREV - FORMS]]+35)</f>
        <v>45788</v>
      </c>
      <c r="S6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45785</v>
      </c>
      <c r="T6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38</v>
      </c>
      <c r="U6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32</v>
      </c>
      <c r="V68" s="49">
        <f>MAX(Tabela1[[#This Row],[DATA REAL - POSTAGEM]],Tabela1[[#This Row],[DATA REAL - APROV FINAL]],Tabela1[[#This Row],[DATA REAL - CRACHÁ]])-MIN(Tabela1[[#This Row],[DATA REAL - POSTAGEM]],Tabela1[[#This Row],[DATA REAL - APROV FINAL]],Tabela1[[#This Row],[DATA REAL - CRACHÁ]])+1</f>
        <v>7</v>
      </c>
      <c r="W6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68" s="15" t="s">
        <v>130</v>
      </c>
      <c r="Y68" s="16" t="s">
        <v>130</v>
      </c>
      <c r="Z68" s="18" t="s">
        <v>131</v>
      </c>
      <c r="AA68" s="18" t="s">
        <v>131</v>
      </c>
      <c r="AB68" s="16" t="s">
        <v>97</v>
      </c>
      <c r="AC68" s="16" t="s">
        <v>132</v>
      </c>
      <c r="AD68" s="16" t="s">
        <v>132</v>
      </c>
      <c r="AE68" s="16" t="s">
        <v>337</v>
      </c>
      <c r="AF68" s="16" t="s">
        <v>338</v>
      </c>
      <c r="AG68" s="16" t="str">
        <f>_xlfn.XLOOKUP(Tabela1[[#This Row],[CÓD. CT]],Controle_Projetos[COD CT],Controle_Projetos[COD PHD],"")</f>
        <v>GERD-CT13-PANE</v>
      </c>
      <c r="AH68" s="21">
        <v>45757</v>
      </c>
      <c r="AI68" s="75">
        <v>45747</v>
      </c>
      <c r="AJ68" s="16" t="str" cm="1">
        <f t="array" aca="1" ref="AJ6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68" s="21">
        <v>45757</v>
      </c>
      <c r="AL68" s="74">
        <v>45758</v>
      </c>
      <c r="AM68" s="16" cm="1">
        <f t="array" aca="1" ref="AM6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68" s="21">
        <f>Tabela1[[#This Row],[DATA PREV - FORMS]]+$AN$1</f>
        <v>45764</v>
      </c>
      <c r="AO68" s="74">
        <v>45758</v>
      </c>
      <c r="AP68" s="16" cm="1">
        <f t="array" aca="1" ref="AP6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68" s="21">
        <f>Tabela1[[#This Row],[DATA PREV - EXAMES]]+$AQ$1</f>
        <v>45766</v>
      </c>
      <c r="AR68" s="74">
        <v>45775</v>
      </c>
      <c r="AS68" s="15" cm="1">
        <f t="array" aca="1" ref="AS6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10</v>
      </c>
      <c r="AT68" s="21">
        <f>Tabela1[[#This Row],[DATA PREV - FORMS]]+$AT$1</f>
        <v>45758</v>
      </c>
      <c r="AU68" s="74">
        <v>45758</v>
      </c>
      <c r="AV68" s="15" cm="1">
        <f t="array" aca="1" ref="AV6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8" s="21">
        <f>Tabela1[[#This Row],[DATA PREV - TREINAMENTOS]]+$AW$1</f>
        <v>45765</v>
      </c>
      <c r="AX68" s="74">
        <v>45775</v>
      </c>
      <c r="AY68" s="15" cm="1">
        <f t="array" aca="1" ref="AY6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11</v>
      </c>
      <c r="AZ68" s="24">
        <v>45758</v>
      </c>
      <c r="BA68" s="74">
        <v>45758</v>
      </c>
      <c r="BB68" s="15" cm="1">
        <f t="array" aca="1" ref="BB6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68" s="21">
        <f>Tabela1[[#This Row],[DATA PREV - CONCL. TREIN.]]+$BC$1</f>
        <v>45767</v>
      </c>
      <c r="BD68" s="74">
        <v>45779</v>
      </c>
      <c r="BE68" s="15" cm="1">
        <f t="array" aca="1" ref="BE6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13</v>
      </c>
      <c r="BF68" s="21">
        <f>Tabela1[[#This Row],[DATA PREV - DOSSIÊ]]+$BF$1</f>
        <v>45770</v>
      </c>
      <c r="BG68" s="74">
        <v>45779</v>
      </c>
      <c r="BH68" s="15" cm="1">
        <f t="array" aca="1" ref="BH6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68" s="21">
        <f>Tabela1[[#This Row],[DATA PREV - POSTAGEM]]+$BI$1</f>
        <v>45776</v>
      </c>
      <c r="BJ68" s="74">
        <v>45782</v>
      </c>
      <c r="BK68" s="15" cm="1">
        <f t="array" aca="1" ref="BK6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68" s="21">
        <f>Tabela1[[#This Row],[DATA PREV - APROV FINAL]]+$BL$1</f>
        <v>45777</v>
      </c>
      <c r="BM68" s="74">
        <v>45785</v>
      </c>
      <c r="BN68" s="15" cm="1">
        <f t="array" aca="1" ref="BN6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68" s="80" t="s">
        <v>343</v>
      </c>
    </row>
    <row r="69" spans="2:67" ht="18" hidden="1" customHeight="1" x14ac:dyDescent="0.35">
      <c r="B69" s="14" t="s">
        <v>119</v>
      </c>
      <c r="C69" s="16" t="s">
        <v>136</v>
      </c>
      <c r="D69" s="16" t="s">
        <v>119</v>
      </c>
      <c r="E69" s="16"/>
      <c r="F69" s="16" t="s">
        <v>344</v>
      </c>
      <c r="G69" s="16" cm="1">
        <f t="array" ref="G69">_xlfn.IFS(Tabela1[[#This Row],[STATUS PROCESSO MOBILIZAÇÃO]]="Finalizado",1,Tabela1[[#This Row],[STATUS PROCESSO MOBILIZAÇÃO]]="Cancelado",2,Tabela1[[#This Row],[STATUS PROCESSO MOBILIZAÇÃO]]="Em andamento",3)</f>
        <v>2</v>
      </c>
      <c r="H69" s="16" cm="1">
        <f t="array" aca="1" ref="H6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FORMS]]="",$AM69&gt;$AK$1),2,
AND(Tabela1[[#This Row],[STATUS PROCESSO MOBILIZAÇÃO]]="Em andamento",Tabela1[[#This Row],[DATA REAL - FORMS]]="",$AM69&lt;=$AK$1),3,
AND(Tabela1[[#This Row],[STATUS PROCESSO MOBILIZAÇÃO]]="Em andamento",Tabela1[[#This Row],[DATA REAL - FORMS]]&lt;&gt;""),1)</f>
        <v>1</v>
      </c>
      <c r="I69" s="16" cm="1">
        <f t="array" aca="1" ref="I6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EXAMES]]="",$AP69&gt;$AN$1),2,
AND(Tabela1[[#This Row],[STATUS PROCESSO MOBILIZAÇÃO]]="Em andamento",Tabela1[[#This Row],[DATA REAL - EXAMES]]="",$AP69&lt;=$AN$1),3,
AND(Tabela1[[#This Row],[STATUS PROCESSO MOBILIZAÇÃO]]="Em andamento",Tabela1[[#This Row],[DATA REAL - EXAMES]]&lt;&gt;""),1)</f>
        <v>1</v>
      </c>
      <c r="J69" s="16" cm="1">
        <f t="array" aca="1" ref="J6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ASO]]="",$AS69&gt;$AQ$1),2,
AND(Tabela1[[#This Row],[STATUS PROCESSO MOBILIZAÇÃO]]="Em andamento",Tabela1[[#This Row],[DATA REAL - ASO]]="",$AS69&lt;=$AQ$1),3,
AND(Tabela1[[#This Row],[STATUS PROCESSO MOBILIZAÇÃO]]="Em andamento",Tabela1[[#This Row],[DATA REAL - ASO]]&lt;&gt;""),1)</f>
        <v>0</v>
      </c>
      <c r="K69" s="15" cm="1">
        <f t="array" aca="1" ref="K6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TREINAMENTOS]]="",$AV69&gt;$AT$1),2,
AND(Tabela1[[#This Row],[STATUS PROCESSO MOBILIZAÇÃO]]="Em andamento",Tabela1[[#This Row],[DATA REAL - TREINAMENTOS]]="",$AV69&lt;=$AT$1),3,
AND(Tabela1[[#This Row],[STATUS PROCESSO MOBILIZAÇÃO]]="Em andamento",Tabela1[[#This Row],[DATA REAL - TREINAMENTOS]]&lt;&gt;""),1)</f>
        <v>1</v>
      </c>
      <c r="L69" s="15" cm="1">
        <f t="array" aca="1" ref="L6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TREIN.]]="",$AY69&gt;$AW$1),2,
AND(Tabela1[[#This Row],[STATUS PROCESSO MOBILIZAÇÃO]]="Em andamento",Tabela1[[#This Row],[DATA REAL - CONCL. TREIN.]]="",$AY69&lt;=$AW$1),3,
AND(Tabela1[[#This Row],[STATUS PROCESSO MOBILIZAÇÃO]]="Em andamento",Tabela1[[#This Row],[DATA REAL - CONCL. TREIN.]]&lt;&gt;""),1)</f>
        <v>1</v>
      </c>
      <c r="M69" s="15" cm="1">
        <f t="array" aca="1" ref="M6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CONTRATUAL]]="",$BB69&gt;$AZ$1),2,
AND(Tabela1[[#This Row],[STATUS PROCESSO MOBILIZAÇÃO]]="Em andamento",Tabela1[[#This Row],[DATA FIM - ALTER. CONTRATUAL]]="",$BB69&lt;=$AZ$1),3,
AND(Tabela1[[#This Row],[STATUS PROCESSO MOBILIZAÇÃO]]="Em andamento",Tabela1[[#This Row],[DATA FIM - ALTER. CONTRATUAL]]&lt;&gt;""),1)</f>
        <v>1</v>
      </c>
      <c r="N69" s="16" cm="1">
        <f t="array" aca="1" ref="N6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DOSSIÊ]]="",$BE69&gt;$BC$1),2,
AND(Tabela1[[#This Row],[STATUS PROCESSO MOBILIZAÇÃO]]="Em andamento",Tabela1[[#This Row],[DATA REAL - DOSSIÊ]]="",$BE69&lt;=$BC$1),3,
AND(Tabela1[[#This Row],[STATUS PROCESSO MOBILIZAÇÃO]]="Em andamento",Tabela1[[#This Row],[DATA REAL - DOSSIÊ]]&lt;&gt;""),1)</f>
        <v>0</v>
      </c>
      <c r="O69" s="16" cm="1">
        <f t="array" aca="1" ref="O6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POSTAGEM]]="",$BH69&gt;$BF$1),2,
AND(Tabela1[[#This Row],[STATUS PROCESSO MOBILIZAÇÃO]]="Em andamento",Tabela1[[#This Row],[DATA REAL - POSTAGEM]]="",$BH69&lt;=$BF$1),3,
AND(Tabela1[[#This Row],[STATUS PROCESSO MOBILIZAÇÃO]]="Em andamento",Tabela1[[#This Row],[DATA REAL - POSTAGEM]]&lt;&gt;""),1)</f>
        <v>1</v>
      </c>
      <c r="P69" s="16" cm="1">
        <f t="array" aca="1" ref="P6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FINAL]]="",$BK69&gt;$BI$1),2,
AND(Tabela1[[#This Row],[STATUS PROCESSO MOBILIZAÇÃO]]="Em andamento",Tabela1[[#This Row],[DATA REAL - APROV FINAL]]="",$BK69&lt;=$BI$1),3,
AND(Tabela1[[#This Row],[STATUS PROCESSO MOBILIZAÇÃO]]="Em andamento",Tabela1[[#This Row],[DATA REAL - APROV FINAL]]&lt;&gt;""),1)</f>
        <v>1</v>
      </c>
      <c r="Q69" s="15" cm="1">
        <f t="array" aca="1" ref="Q6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CRACHÁ]]="",$BN69&gt;$BL$1),2,
AND(Tabela1[[#This Row],[STATUS PROCESSO MOBILIZAÇÃO]]="Em andamento",Tabela1[[#This Row],[DATA REAL - CRACHÁ]]="",$BN69&lt;=$BL$1),3,
AND(Tabela1[[#This Row],[STATUS PROCESSO MOBILIZAÇÃO]]="Em andamento",Tabela1[[#This Row],[DATA REAL - CRACHÁ]]&lt;&gt;""),1)</f>
        <v>1</v>
      </c>
      <c r="R69" s="21">
        <f>IF(Tabela1[[#This Row],[DATA REAL - FORMS]]&lt;&gt;"",Tabela1[[#This Row],[DATA REAL - FORMS]]+30,Tabela1[[#This Row],[DATA PREV - FORMS]]+35)</f>
        <v>45788</v>
      </c>
      <c r="S6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45890</v>
      </c>
      <c r="T6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132</v>
      </c>
      <c r="U6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132</v>
      </c>
      <c r="V69" s="49">
        <f>MAX(Tabela1[[#This Row],[DATA REAL - POSTAGEM]],Tabela1[[#This Row],[DATA REAL - APROV FINAL]],Tabela1[[#This Row],[DATA REAL - CRACHÁ]])-MIN(Tabela1[[#This Row],[DATA REAL - POSTAGEM]],Tabela1[[#This Row],[DATA REAL - APROV FINAL]],Tabela1[[#This Row],[DATA REAL - CRACHÁ]])+1</f>
        <v>1</v>
      </c>
      <c r="W6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132</v>
      </c>
      <c r="X69" s="15" t="s">
        <v>84</v>
      </c>
      <c r="Y69" s="16" t="s">
        <v>84</v>
      </c>
      <c r="Z69" s="18" t="s">
        <v>86</v>
      </c>
      <c r="AA69" s="18"/>
      <c r="AB69" s="16" t="s">
        <v>97</v>
      </c>
      <c r="AC69" s="16" t="s">
        <v>345</v>
      </c>
      <c r="AD69" s="16" t="s">
        <v>346</v>
      </c>
      <c r="AE69" s="16" t="s">
        <v>347</v>
      </c>
      <c r="AF69" s="16" t="s">
        <v>348</v>
      </c>
      <c r="AG69" s="16" t="str">
        <f>_xlfn.XLOOKUP(Tabela1[[#This Row],[CÓD. CT]],Controle_Projetos[COD CT],Controle_Projetos[COD PHD],"")</f>
        <v>NEWG-CT02-JURO</v>
      </c>
      <c r="AH69" s="21">
        <v>45754</v>
      </c>
      <c r="AI69" s="75">
        <v>45890</v>
      </c>
      <c r="AJ69" s="16" cm="1">
        <f t="array" aca="1" ref="AJ6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137</v>
      </c>
      <c r="AK69" s="21">
        <v>45757</v>
      </c>
      <c r="AL69" s="74">
        <v>45758</v>
      </c>
      <c r="AM69" s="16" cm="1">
        <f t="array" aca="1" ref="AM6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69" s="21">
        <f>Tabela1[[#This Row],[DATA PREV - FORMS]]+$AN$1</f>
        <v>45764</v>
      </c>
      <c r="AO69" s="74">
        <v>45762</v>
      </c>
      <c r="AP69" s="16" cm="1">
        <f t="array" aca="1" ref="AP6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69" s="21">
        <f>Tabela1[[#This Row],[DATA PREV - EXAMES]]+$AQ$1</f>
        <v>45766</v>
      </c>
      <c r="AR69" s="74"/>
      <c r="AS69" s="15" cm="1">
        <f t="array" aca="1" ref="AS6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69" s="21">
        <f>Tabela1[[#This Row],[DATA PREV - FORMS]]+$AT$1</f>
        <v>45758</v>
      </c>
      <c r="AU69" s="74">
        <v>45758</v>
      </c>
      <c r="AV69" s="15" cm="1">
        <f t="array" aca="1" ref="AV6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69" s="21">
        <f>Tabela1[[#This Row],[DATA PREV - TREINAMENTOS]]+$AW$1</f>
        <v>45765</v>
      </c>
      <c r="AX69" s="74">
        <v>45758</v>
      </c>
      <c r="AY69" s="15" cm="1">
        <f t="array" aca="1" ref="AY6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69" s="24">
        <v>45733</v>
      </c>
      <c r="BA69" s="74">
        <v>45758</v>
      </c>
      <c r="BB69" s="15" cm="1">
        <f t="array" aca="1" ref="BB6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26</v>
      </c>
      <c r="BC69" s="21">
        <f>Tabela1[[#This Row],[DATA PREV - CONCL. TREIN.]]+$BC$1</f>
        <v>45767</v>
      </c>
      <c r="BD69" s="74"/>
      <c r="BE69" s="15" cm="1">
        <f t="array" aca="1" ref="BE6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69" s="21">
        <f>Tabela1[[#This Row],[DATA PREV - DOSSIÊ]]+$BF$1</f>
        <v>45770</v>
      </c>
      <c r="BG69" s="74">
        <v>45764</v>
      </c>
      <c r="BH69" s="15" cm="1">
        <f t="array" aca="1" ref="BH6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69" s="21">
        <f>Tabela1[[#This Row],[DATA PREV - POSTAGEM]]+$BI$1</f>
        <v>45776</v>
      </c>
      <c r="BJ69" s="74">
        <v>45764</v>
      </c>
      <c r="BK69" s="15" cm="1">
        <f t="array" aca="1" ref="BK6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69" s="21">
        <f>Tabela1[[#This Row],[DATA PREV - APROV FINAL]]+$BL$1</f>
        <v>45777</v>
      </c>
      <c r="BM69" s="74">
        <v>45764</v>
      </c>
      <c r="BN69" s="15" cm="1">
        <f t="array" aca="1" ref="BN6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69" s="80" t="s">
        <v>349</v>
      </c>
    </row>
    <row r="70" spans="2:67" ht="18" hidden="1" customHeight="1" x14ac:dyDescent="0.35">
      <c r="B70" s="14" t="s">
        <v>119</v>
      </c>
      <c r="C70" s="16" t="s">
        <v>93</v>
      </c>
      <c r="D70" s="16" t="s">
        <v>119</v>
      </c>
      <c r="E70" s="16"/>
      <c r="F70" s="16" t="s">
        <v>350</v>
      </c>
      <c r="G70" s="16" cm="1">
        <f t="array" ref="G70">_xlfn.IFS(Tabela1[[#This Row],[STATUS PROCESSO MOBILIZAÇÃO]]="Finalizado",1,Tabela1[[#This Row],[STATUS PROCESSO MOBILIZAÇÃO]]="Cancelado",2,Tabela1[[#This Row],[STATUS PROCESSO MOBILIZAÇÃO]]="Em andamento",3)</f>
        <v>2</v>
      </c>
      <c r="H70" s="16" cm="1">
        <f t="array" aca="1" ref="H7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FORMS]]="",$AM70&gt;$AK$1),2,
AND(Tabela1[[#This Row],[STATUS PROCESSO MOBILIZAÇÃO]]="Em andamento",Tabela1[[#This Row],[DATA REAL - FORMS]]="",$AM70&lt;=$AK$1),3,
AND(Tabela1[[#This Row],[STATUS PROCESSO MOBILIZAÇÃO]]="Em andamento",Tabela1[[#This Row],[DATA REAL - FORMS]]&lt;&gt;""),1)</f>
        <v>1</v>
      </c>
      <c r="I70" s="16" cm="1">
        <f t="array" aca="1" ref="I7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EXAMES]]="",$AP70&gt;$AN$1),2,
AND(Tabela1[[#This Row],[STATUS PROCESSO MOBILIZAÇÃO]]="Em andamento",Tabela1[[#This Row],[DATA REAL - EXAMES]]="",$AP70&lt;=$AN$1),3,
AND(Tabela1[[#This Row],[STATUS PROCESSO MOBILIZAÇÃO]]="Em andamento",Tabela1[[#This Row],[DATA REAL - EXAMES]]&lt;&gt;""),1)</f>
        <v>1</v>
      </c>
      <c r="J70" s="16" cm="1">
        <f t="array" aca="1" ref="J7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ASO]]="",$AS70&gt;$AQ$1),2,
AND(Tabela1[[#This Row],[STATUS PROCESSO MOBILIZAÇÃO]]="Em andamento",Tabela1[[#This Row],[DATA REAL - ASO]]="",$AS70&lt;=$AQ$1),3,
AND(Tabela1[[#This Row],[STATUS PROCESSO MOBILIZAÇÃO]]="Em andamento",Tabela1[[#This Row],[DATA REAL - ASO]]&lt;&gt;""),1)</f>
        <v>0</v>
      </c>
      <c r="K70" s="15" cm="1">
        <f t="array" aca="1" ref="K7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TREINAMENTOS]]="",$AV70&gt;$AT$1),2,
AND(Tabela1[[#This Row],[STATUS PROCESSO MOBILIZAÇÃO]]="Em andamento",Tabela1[[#This Row],[DATA REAL - TREINAMENTOS]]="",$AV70&lt;=$AT$1),3,
AND(Tabela1[[#This Row],[STATUS PROCESSO MOBILIZAÇÃO]]="Em andamento",Tabela1[[#This Row],[DATA REAL - TREINAMENTOS]]&lt;&gt;""),1)</f>
        <v>1</v>
      </c>
      <c r="L70" s="15" cm="1">
        <f t="array" aca="1" ref="L7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TREIN.]]="",$AY70&gt;$AW$1),2,
AND(Tabela1[[#This Row],[STATUS PROCESSO MOBILIZAÇÃO]]="Em andamento",Tabela1[[#This Row],[DATA REAL - CONCL. TREIN.]]="",$AY70&lt;=$AW$1),3,
AND(Tabela1[[#This Row],[STATUS PROCESSO MOBILIZAÇÃO]]="Em andamento",Tabela1[[#This Row],[DATA REAL - CONCL. TREIN.]]&lt;&gt;""),1)</f>
        <v>0</v>
      </c>
      <c r="M70" s="15" cm="1">
        <f t="array" aca="1" ref="M7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CONTRATUAL]]="",$BB70&gt;$AZ$1),2,
AND(Tabela1[[#This Row],[STATUS PROCESSO MOBILIZAÇÃO]]="Em andamento",Tabela1[[#This Row],[DATA FIM - ALTER. CONTRATUAL]]="",$BB70&lt;=$AZ$1),3,
AND(Tabela1[[#This Row],[STATUS PROCESSO MOBILIZAÇÃO]]="Em andamento",Tabela1[[#This Row],[DATA FIM - ALTER. CONTRATUAL]]&lt;&gt;""),1)</f>
        <v>1</v>
      </c>
      <c r="N70" s="16" cm="1">
        <f t="array" aca="1" ref="N7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DOSSIÊ]]="",$BE70&gt;$BC$1),2,
AND(Tabela1[[#This Row],[STATUS PROCESSO MOBILIZAÇÃO]]="Em andamento",Tabela1[[#This Row],[DATA REAL - DOSSIÊ]]="",$BE70&lt;=$BC$1),3,
AND(Tabela1[[#This Row],[STATUS PROCESSO MOBILIZAÇÃO]]="Em andamento",Tabela1[[#This Row],[DATA REAL - DOSSIÊ]]&lt;&gt;""),1)</f>
        <v>0</v>
      </c>
      <c r="O70" s="16" cm="1">
        <f t="array" aca="1" ref="O7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POSTAGEM]]="",$BH70&gt;$BF$1),2,
AND(Tabela1[[#This Row],[STATUS PROCESSO MOBILIZAÇÃO]]="Em andamento",Tabela1[[#This Row],[DATA REAL - POSTAGEM]]="",$BH70&lt;=$BF$1),3,
AND(Tabela1[[#This Row],[STATUS PROCESSO MOBILIZAÇÃO]]="Em andamento",Tabela1[[#This Row],[DATA REAL - POSTAGEM]]&lt;&gt;""),1)</f>
        <v>0</v>
      </c>
      <c r="P70" s="16" cm="1">
        <f t="array" aca="1" ref="P7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FINAL]]="",$BK70&gt;$BI$1),2,
AND(Tabela1[[#This Row],[STATUS PROCESSO MOBILIZAÇÃO]]="Em andamento",Tabela1[[#This Row],[DATA REAL - APROV FINAL]]="",$BK70&lt;=$BI$1),3,
AND(Tabela1[[#This Row],[STATUS PROCESSO MOBILIZAÇÃO]]="Em andamento",Tabela1[[#This Row],[DATA REAL - APROV FINAL]]&lt;&gt;""),1)</f>
        <v>0</v>
      </c>
      <c r="Q70" s="15" cm="1">
        <f t="array" aca="1" ref="Q7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CRACHÁ]]="",$BN70&gt;$BL$1),2,
AND(Tabela1[[#This Row],[STATUS PROCESSO MOBILIZAÇÃO]]="Em andamento",Tabela1[[#This Row],[DATA REAL - CRACHÁ]]="",$BN70&lt;=$BL$1),3,
AND(Tabela1[[#This Row],[STATUS PROCESSO MOBILIZAÇÃO]]="Em andamento",Tabela1[[#This Row],[DATA REAL - CRACHÁ]]&lt;&gt;""),1)</f>
        <v>1</v>
      </c>
      <c r="R70" s="21">
        <f>IF(Tabela1[[#This Row],[DATA REAL - FORMS]]&lt;&gt;"",Tabela1[[#This Row],[DATA REAL - FORMS]]+30,Tabela1[[#This Row],[DATA PREV - FORMS]]+35)</f>
        <v>45787</v>
      </c>
      <c r="S7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45775</v>
      </c>
      <c r="T7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500</v>
      </c>
      <c r="U7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489</v>
      </c>
      <c r="V70" s="49">
        <f>MAX(Tabela1[[#This Row],[DATA REAL - POSTAGEM]],Tabela1[[#This Row],[DATA REAL - APROV FINAL]],Tabela1[[#This Row],[DATA REAL - CRACHÁ]])-MIN(Tabela1[[#This Row],[DATA REAL - POSTAGEM]],Tabela1[[#This Row],[DATA REAL - APROV FINAL]],Tabela1[[#This Row],[DATA REAL - CRACHÁ]])+1</f>
        <v>1</v>
      </c>
      <c r="W7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0" s="15" t="s">
        <v>83</v>
      </c>
      <c r="Y70" s="16" t="s">
        <v>84</v>
      </c>
      <c r="Z70" s="18" t="s">
        <v>85</v>
      </c>
      <c r="AA70" s="18" t="s">
        <v>86</v>
      </c>
      <c r="AB70" s="16" t="s">
        <v>97</v>
      </c>
      <c r="AC70" s="16" t="s">
        <v>98</v>
      </c>
      <c r="AD70" s="16" t="s">
        <v>89</v>
      </c>
      <c r="AE70" s="16" t="s">
        <v>351</v>
      </c>
      <c r="AF70" s="16" t="s">
        <v>352</v>
      </c>
      <c r="AG70" s="16" t="str">
        <f>_xlfn.XLOOKUP(Tabela1[[#This Row],[CÓD. CT]],Controle_Projetos[COD CT],Controle_Projetos[COD PHD],"")</f>
        <v>SALU-CT05-TIMB</v>
      </c>
      <c r="AH70" s="21">
        <v>45757</v>
      </c>
      <c r="AI70" s="75">
        <v>45275</v>
      </c>
      <c r="AJ70" s="16" t="str" cm="1">
        <f t="array" aca="1" ref="AJ7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0" s="21">
        <v>45757</v>
      </c>
      <c r="AL70" s="74">
        <v>45757</v>
      </c>
      <c r="AM70" s="16" cm="1">
        <f t="array" aca="1" ref="AM7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0" s="21">
        <f>Tabela1[[#This Row],[DATA PREV - FORMS]]+$AN$1</f>
        <v>45764</v>
      </c>
      <c r="AO70" s="74">
        <v>45758</v>
      </c>
      <c r="AP70" s="16" cm="1">
        <f t="array" aca="1" ref="AP7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70" s="21">
        <f>Tabela1[[#This Row],[DATA PREV - EXAMES]]+$AQ$1</f>
        <v>45766</v>
      </c>
      <c r="AR70" s="74"/>
      <c r="AS70" s="15" cm="1">
        <f t="array" aca="1" ref="AS7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70" s="21">
        <f>Tabela1[[#This Row],[DATA PREV - FORMS]]+$AT$1</f>
        <v>45758</v>
      </c>
      <c r="AU70" s="74">
        <v>45764</v>
      </c>
      <c r="AV70" s="15" cm="1">
        <f t="array" aca="1" ref="AV7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70" s="21">
        <f>Tabela1[[#This Row],[DATA PREV - TREINAMENTOS]]+$AW$1</f>
        <v>45765</v>
      </c>
      <c r="AX70" s="74"/>
      <c r="AY70" s="15" cm="1">
        <f t="array" aca="1" ref="AY7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70" s="24">
        <v>45842</v>
      </c>
      <c r="BA70" s="74">
        <v>45762</v>
      </c>
      <c r="BB70" s="15" cm="1">
        <f t="array" aca="1" ref="BB7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-79</v>
      </c>
      <c r="BC70" s="21">
        <f>Tabela1[[#This Row],[DATA PREV - CONCL. TREIN.]]+$BC$1</f>
        <v>45767</v>
      </c>
      <c r="BD70" s="74"/>
      <c r="BE70" s="15" cm="1">
        <f t="array" aca="1" ref="BE7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70" s="21">
        <f>Tabela1[[#This Row],[DATA PREV - DOSSIÊ]]+$BF$1</f>
        <v>45770</v>
      </c>
      <c r="BG70" s="74"/>
      <c r="BH70" s="15" cm="1">
        <f t="array" aca="1" ref="BH7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70" s="21">
        <f>Tabela1[[#This Row],[DATA PREV - POSTAGEM]]+$BI$1</f>
        <v>45776</v>
      </c>
      <c r="BJ70" s="74"/>
      <c r="BK70" s="15" cm="1">
        <f t="array" aca="1" ref="BK7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70" s="21">
        <f>Tabela1[[#This Row],[DATA PREV - APROV FINAL]]+$BL$1</f>
        <v>45777</v>
      </c>
      <c r="BM70" s="74">
        <v>45775</v>
      </c>
      <c r="BN70" s="15" cm="1">
        <f t="array" aca="1" ref="BN7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70" s="80" t="s">
        <v>353</v>
      </c>
    </row>
    <row r="71" spans="2:67" ht="18" hidden="1" customHeight="1" x14ac:dyDescent="0.35">
      <c r="B71" s="14" t="s">
        <v>119</v>
      </c>
      <c r="C71" s="16" t="s">
        <v>93</v>
      </c>
      <c r="D71" s="16" t="s">
        <v>119</v>
      </c>
      <c r="E71" s="16"/>
      <c r="F71" s="16" t="s">
        <v>354</v>
      </c>
      <c r="G71" s="16" cm="1">
        <f t="array" ref="G71">_xlfn.IFS(Tabela1[[#This Row],[STATUS PROCESSO MOBILIZAÇÃO]]="Finalizado",1,Tabela1[[#This Row],[STATUS PROCESSO MOBILIZAÇÃO]]="Cancelado",2,Tabela1[[#This Row],[STATUS PROCESSO MOBILIZAÇÃO]]="Em andamento",3)</f>
        <v>2</v>
      </c>
      <c r="H71" s="16" cm="1">
        <f t="array" aca="1" ref="H7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FORMS]]="",$AM71&gt;$AK$1),2,
AND(Tabela1[[#This Row],[STATUS PROCESSO MOBILIZAÇÃO]]="Em andamento",Tabela1[[#This Row],[DATA REAL - FORMS]]="",$AM71&lt;=$AK$1),3,
AND(Tabela1[[#This Row],[STATUS PROCESSO MOBILIZAÇÃO]]="Em andamento",Tabela1[[#This Row],[DATA REAL - FORMS]]&lt;&gt;""),1)</f>
        <v>1</v>
      </c>
      <c r="I71" s="16" cm="1">
        <f t="array" aca="1" ref="I7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EXAMES]]="",$AP71&gt;$AN$1),2,
AND(Tabela1[[#This Row],[STATUS PROCESSO MOBILIZAÇÃO]]="Em andamento",Tabela1[[#This Row],[DATA REAL - EXAMES]]="",$AP71&lt;=$AN$1),3,
AND(Tabela1[[#This Row],[STATUS PROCESSO MOBILIZAÇÃO]]="Em andamento",Tabela1[[#This Row],[DATA REAL - EXAMES]]&lt;&gt;""),1)</f>
        <v>0</v>
      </c>
      <c r="J71" s="16" cm="1">
        <f t="array" aca="1" ref="J7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ASO]]="",$AS71&gt;$AQ$1),2,
AND(Tabela1[[#This Row],[STATUS PROCESSO MOBILIZAÇÃO]]="Em andamento",Tabela1[[#This Row],[DATA REAL - ASO]]="",$AS71&lt;=$AQ$1),3,
AND(Tabela1[[#This Row],[STATUS PROCESSO MOBILIZAÇÃO]]="Em andamento",Tabela1[[#This Row],[DATA REAL - ASO]]&lt;&gt;""),1)</f>
        <v>0</v>
      </c>
      <c r="K71" s="15" cm="1">
        <f t="array" aca="1" ref="K7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TREINAMENTOS]]="",$AV71&gt;$AT$1),2,
AND(Tabela1[[#This Row],[STATUS PROCESSO MOBILIZAÇÃO]]="Em andamento",Tabela1[[#This Row],[DATA REAL - TREINAMENTOS]]="",$AV71&lt;=$AT$1),3,
AND(Tabela1[[#This Row],[STATUS PROCESSO MOBILIZAÇÃO]]="Em andamento",Tabela1[[#This Row],[DATA REAL - TREINAMENTOS]]&lt;&gt;""),1)</f>
        <v>1</v>
      </c>
      <c r="L71" s="15" cm="1">
        <f t="array" aca="1" ref="L7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TREIN.]]="",$AY71&gt;$AW$1),2,
AND(Tabela1[[#This Row],[STATUS PROCESSO MOBILIZAÇÃO]]="Em andamento",Tabela1[[#This Row],[DATA REAL - CONCL. TREIN.]]="",$AY71&lt;=$AW$1),3,
AND(Tabela1[[#This Row],[STATUS PROCESSO MOBILIZAÇÃO]]="Em andamento",Tabela1[[#This Row],[DATA REAL - CONCL. TREIN.]]&lt;&gt;""),1)</f>
        <v>0</v>
      </c>
      <c r="M71" s="15" cm="1">
        <f t="array" aca="1" ref="M7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CONTRATUAL]]="",$BB71&gt;$AZ$1),2,
AND(Tabela1[[#This Row],[STATUS PROCESSO MOBILIZAÇÃO]]="Em andamento",Tabela1[[#This Row],[DATA FIM - ALTER. CONTRATUAL]]="",$BB71&lt;=$AZ$1),3,
AND(Tabela1[[#This Row],[STATUS PROCESSO MOBILIZAÇÃO]]="Em andamento",Tabela1[[#This Row],[DATA FIM - ALTER. CONTRATUAL]]&lt;&gt;""),1)</f>
        <v>1</v>
      </c>
      <c r="N71" s="16" cm="1">
        <f t="array" aca="1" ref="N7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DOSSIÊ]]="",$BE71&gt;$BC$1),2,
AND(Tabela1[[#This Row],[STATUS PROCESSO MOBILIZAÇÃO]]="Em andamento",Tabela1[[#This Row],[DATA REAL - DOSSIÊ]]="",$BE71&lt;=$BC$1),3,
AND(Tabela1[[#This Row],[STATUS PROCESSO MOBILIZAÇÃO]]="Em andamento",Tabela1[[#This Row],[DATA REAL - DOSSIÊ]]&lt;&gt;""),1)</f>
        <v>0</v>
      </c>
      <c r="O71" s="16" cm="1">
        <f t="array" aca="1" ref="O7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POSTAGEM]]="",$BH71&gt;$BF$1),2,
AND(Tabela1[[#This Row],[STATUS PROCESSO MOBILIZAÇÃO]]="Em andamento",Tabela1[[#This Row],[DATA REAL - POSTAGEM]]="",$BH71&lt;=$BF$1),3,
AND(Tabela1[[#This Row],[STATUS PROCESSO MOBILIZAÇÃO]]="Em andamento",Tabela1[[#This Row],[DATA REAL - POSTAGEM]]&lt;&gt;""),1)</f>
        <v>0</v>
      </c>
      <c r="P71" s="16" cm="1">
        <f t="array" aca="1" ref="P7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FINAL]]="",$BK71&gt;$BI$1),2,
AND(Tabela1[[#This Row],[STATUS PROCESSO MOBILIZAÇÃO]]="Em andamento",Tabela1[[#This Row],[DATA REAL - APROV FINAL]]="",$BK71&lt;=$BI$1),3,
AND(Tabela1[[#This Row],[STATUS PROCESSO MOBILIZAÇÃO]]="Em andamento",Tabela1[[#This Row],[DATA REAL - APROV FINAL]]&lt;&gt;""),1)</f>
        <v>0</v>
      </c>
      <c r="Q71" s="15" cm="1">
        <f t="array" aca="1" ref="Q7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CRACHÁ]]="",$BN71&gt;$BL$1),2,
AND(Tabela1[[#This Row],[STATUS PROCESSO MOBILIZAÇÃO]]="Em andamento",Tabela1[[#This Row],[DATA REAL - CRACHÁ]]="",$BN71&lt;=$BL$1),3,
AND(Tabela1[[#This Row],[STATUS PROCESSO MOBILIZAÇÃO]]="Em andamento",Tabela1[[#This Row],[DATA REAL - CRACHÁ]]&lt;&gt;""),1)</f>
        <v>1</v>
      </c>
      <c r="R71" s="21">
        <f>IF(Tabela1[[#This Row],[DATA REAL - FORMS]]&lt;&gt;"",Tabela1[[#This Row],[DATA REAL - FORMS]]+30,Tabela1[[#This Row],[DATA PREV - FORMS]]+35)</f>
        <v>45788</v>
      </c>
      <c r="S7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45763</v>
      </c>
      <c r="T7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v>
      </c>
      <c r="U7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71" s="49">
        <f>MAX(Tabela1[[#This Row],[DATA REAL - POSTAGEM]],Tabela1[[#This Row],[DATA REAL - APROV FINAL]],Tabela1[[#This Row],[DATA REAL - CRACHÁ]])-MIN(Tabela1[[#This Row],[DATA REAL - POSTAGEM]],Tabela1[[#This Row],[DATA REAL - APROV FINAL]],Tabela1[[#This Row],[DATA REAL - CRACHÁ]])+1</f>
        <v>1</v>
      </c>
      <c r="W7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1" s="15" t="s">
        <v>355</v>
      </c>
      <c r="Y71" s="16" t="s">
        <v>150</v>
      </c>
      <c r="Z71" s="18" t="s">
        <v>356</v>
      </c>
      <c r="AA71" s="18" t="s">
        <v>152</v>
      </c>
      <c r="AB71" s="16" t="s">
        <v>97</v>
      </c>
      <c r="AC71" s="16" t="s">
        <v>357</v>
      </c>
      <c r="AD71" s="16" t="s">
        <v>357</v>
      </c>
      <c r="AE71" s="16" t="s">
        <v>358</v>
      </c>
      <c r="AF71" s="16" t="s">
        <v>359</v>
      </c>
      <c r="AG71" s="16" t="str">
        <f>_xlfn.XLOOKUP(Tabela1[[#This Row],[CÓD. CT]],Controle_Projetos[COD CT],Controle_Projetos[COD PHD],"")</f>
        <v>BEMI-CT02-GERE</v>
      </c>
      <c r="AH71" s="21">
        <v>45758</v>
      </c>
      <c r="AI71" s="75">
        <v>45757</v>
      </c>
      <c r="AJ71" s="16" cm="1">
        <f t="array" aca="1" ref="AJ7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71" s="21">
        <v>45758</v>
      </c>
      <c r="AL71" s="74">
        <v>45758</v>
      </c>
      <c r="AM71" s="16" cm="1">
        <f t="array" aca="1" ref="AM7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1" s="21">
        <f>Tabela1[[#This Row],[DATA PREV - FORMS]]+$AN$1</f>
        <v>45765</v>
      </c>
      <c r="AO71" s="74"/>
      <c r="AP71" s="16" cm="1">
        <f t="array" aca="1" ref="AP7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71" s="21">
        <f>Tabela1[[#This Row],[DATA PREV - EXAMES]]+$AQ$1</f>
        <v>45767</v>
      </c>
      <c r="AR71" s="74"/>
      <c r="AS71" s="15" cm="1">
        <f t="array" aca="1" ref="AS7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71" s="21">
        <f>Tabela1[[#This Row],[DATA PREV - FORMS]]+$AT$1</f>
        <v>45759</v>
      </c>
      <c r="AU71" s="74">
        <v>45762</v>
      </c>
      <c r="AV71" s="15" cm="1">
        <f t="array" aca="1" ref="AV7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71" s="21">
        <f>Tabela1[[#This Row],[DATA PREV - TREINAMENTOS]]+$AW$1</f>
        <v>45766</v>
      </c>
      <c r="AX71" s="74"/>
      <c r="AY71" s="15" cm="1">
        <f t="array" aca="1" ref="AY7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71" s="24">
        <v>45866</v>
      </c>
      <c r="BA71" s="74">
        <v>45758</v>
      </c>
      <c r="BB71" s="15" cm="1">
        <f t="array" aca="1" ref="BB7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-107</v>
      </c>
      <c r="BC71" s="21">
        <f>Tabela1[[#This Row],[DATA PREV - CONCL. TREIN.]]+$BC$1</f>
        <v>45768</v>
      </c>
      <c r="BD71" s="74"/>
      <c r="BE71" s="15" cm="1">
        <f t="array" aca="1" ref="BE7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71" s="21">
        <f>Tabela1[[#This Row],[DATA PREV - DOSSIÊ]]+$BF$1</f>
        <v>45771</v>
      </c>
      <c r="BG71" s="74"/>
      <c r="BH71" s="15" cm="1">
        <f t="array" aca="1" ref="BH7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71" s="21">
        <f>Tabela1[[#This Row],[DATA PREV - POSTAGEM]]+$BI$1</f>
        <v>45777</v>
      </c>
      <c r="BJ71" s="74"/>
      <c r="BK71" s="15" cm="1">
        <f t="array" aca="1" ref="BK7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71" s="21">
        <f>Tabela1[[#This Row],[DATA PREV - APROV FINAL]]+$BL$1</f>
        <v>45778</v>
      </c>
      <c r="BM71" s="74">
        <v>45763</v>
      </c>
      <c r="BN71" s="15" cm="1">
        <f t="array" aca="1" ref="BN7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71" s="80" t="s">
        <v>360</v>
      </c>
    </row>
    <row r="72" spans="2:67" ht="18" hidden="1" customHeight="1" x14ac:dyDescent="0.35">
      <c r="B72" s="14" t="s">
        <v>79</v>
      </c>
      <c r="C72" s="16" t="s">
        <v>93</v>
      </c>
      <c r="D72" s="16" t="s">
        <v>81</v>
      </c>
      <c r="E72" s="16"/>
      <c r="F72" s="16" t="s">
        <v>361</v>
      </c>
      <c r="G72" s="16" cm="1">
        <f t="array" ref="G72">_xlfn.IFS(Tabela1[[#This Row],[STATUS PROCESSO MOBILIZAÇÃO]]="Finalizado",1,Tabela1[[#This Row],[STATUS PROCESSO MOBILIZAÇÃO]]="Cancelado",2,Tabela1[[#This Row],[STATUS PROCESSO MOBILIZAÇÃO]]="Em andamento",3)</f>
        <v>1</v>
      </c>
      <c r="H72" s="16" cm="1">
        <f t="array" aca="1" ref="H7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FORMS]]="",$AM72&gt;$AK$1),2,
AND(Tabela1[[#This Row],[STATUS PROCESSO MOBILIZAÇÃO]]="Em andamento",Tabela1[[#This Row],[DATA REAL - FORMS]]="",$AM72&lt;=$AK$1),3,
AND(Tabela1[[#This Row],[STATUS PROCESSO MOBILIZAÇÃO]]="Em andamento",Tabela1[[#This Row],[DATA REAL - FORMS]]&lt;&gt;""),1)</f>
        <v>1</v>
      </c>
      <c r="I72" s="16" cm="1">
        <f t="array" aca="1" ref="I7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EXAMES]]="",$AP72&gt;$AN$1),2,
AND(Tabela1[[#This Row],[STATUS PROCESSO MOBILIZAÇÃO]]="Em andamento",Tabela1[[#This Row],[DATA REAL - EXAMES]]="",$AP72&lt;=$AN$1),3,
AND(Tabela1[[#This Row],[STATUS PROCESSO MOBILIZAÇÃO]]="Em andamento",Tabela1[[#This Row],[DATA REAL - EXAMES]]&lt;&gt;""),1)</f>
        <v>1</v>
      </c>
      <c r="J72" s="16" cm="1">
        <f t="array" aca="1" ref="J7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ASO]]="",$AS72&gt;$AQ$1),2,
AND(Tabela1[[#This Row],[STATUS PROCESSO MOBILIZAÇÃO]]="Em andamento",Tabela1[[#This Row],[DATA REAL - ASO]]="",$AS72&lt;=$AQ$1),3,
AND(Tabela1[[#This Row],[STATUS PROCESSO MOBILIZAÇÃO]]="Em andamento",Tabela1[[#This Row],[DATA REAL - ASO]]&lt;&gt;""),1)</f>
        <v>1</v>
      </c>
      <c r="K72" s="15" cm="1">
        <f t="array" aca="1" ref="K7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TREINAMENTOS]]="",$AV72&gt;$AT$1),2,
AND(Tabela1[[#This Row],[STATUS PROCESSO MOBILIZAÇÃO]]="Em andamento",Tabela1[[#This Row],[DATA REAL - TREINAMENTOS]]="",$AV72&lt;=$AT$1),3,
AND(Tabela1[[#This Row],[STATUS PROCESSO MOBILIZAÇÃO]]="Em andamento",Tabela1[[#This Row],[DATA REAL - TREINAMENTOS]]&lt;&gt;""),1)</f>
        <v>1</v>
      </c>
      <c r="L72" s="15" cm="1">
        <f t="array" aca="1" ref="L7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TREIN.]]="",$AY72&gt;$AW$1),2,
AND(Tabela1[[#This Row],[STATUS PROCESSO MOBILIZAÇÃO]]="Em andamento",Tabela1[[#This Row],[DATA REAL - CONCL. TREIN.]]="",$AY72&lt;=$AW$1),3,
AND(Tabela1[[#This Row],[STATUS PROCESSO MOBILIZAÇÃO]]="Em andamento",Tabela1[[#This Row],[DATA REAL - CONCL. TREIN.]]&lt;&gt;""),1)</f>
        <v>1</v>
      </c>
      <c r="M72" s="15" cm="1">
        <f t="array" aca="1" ref="M7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CONTRATUAL]]="",$BB72&gt;$AZ$1),2,
AND(Tabela1[[#This Row],[STATUS PROCESSO MOBILIZAÇÃO]]="Em andamento",Tabela1[[#This Row],[DATA FIM - ALTER. CONTRATUAL]]="",$BB72&lt;=$AZ$1),3,
AND(Tabela1[[#This Row],[STATUS PROCESSO MOBILIZAÇÃO]]="Em andamento",Tabela1[[#This Row],[DATA FIM - ALTER. CONTRATUAL]]&lt;&gt;""),1)</f>
        <v>1</v>
      </c>
      <c r="N72" s="16" cm="1">
        <f t="array" aca="1" ref="N7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DOSSIÊ]]="",$BE72&gt;$BC$1),2,
AND(Tabela1[[#This Row],[STATUS PROCESSO MOBILIZAÇÃO]]="Em andamento",Tabela1[[#This Row],[DATA REAL - DOSSIÊ]]="",$BE72&lt;=$BC$1),3,
AND(Tabela1[[#This Row],[STATUS PROCESSO MOBILIZAÇÃO]]="Em andamento",Tabela1[[#This Row],[DATA REAL - DOSSIÊ]]&lt;&gt;""),1)</f>
        <v>1</v>
      </c>
      <c r="O72" s="16" cm="1">
        <f t="array" aca="1" ref="O7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POSTAGEM]]="",$BH72&gt;$BF$1),2,
AND(Tabela1[[#This Row],[STATUS PROCESSO MOBILIZAÇÃO]]="Em andamento",Tabela1[[#This Row],[DATA REAL - POSTAGEM]]="",$BH72&lt;=$BF$1),3,
AND(Tabela1[[#This Row],[STATUS PROCESSO MOBILIZAÇÃO]]="Em andamento",Tabela1[[#This Row],[DATA REAL - POSTAGEM]]&lt;&gt;""),1)</f>
        <v>1</v>
      </c>
      <c r="P72" s="16" cm="1">
        <f t="array" aca="1" ref="P7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FINAL]]="",$BK72&gt;$BI$1),2,
AND(Tabela1[[#This Row],[STATUS PROCESSO MOBILIZAÇÃO]]="Em andamento",Tabela1[[#This Row],[DATA REAL - APROV FINAL]]="",$BK72&lt;=$BI$1),3,
AND(Tabela1[[#This Row],[STATUS PROCESSO MOBILIZAÇÃO]]="Em andamento",Tabela1[[#This Row],[DATA REAL - APROV FINAL]]&lt;&gt;""),1)</f>
        <v>1</v>
      </c>
      <c r="Q72" s="15" cm="1">
        <f t="array" aca="1" ref="Q7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CRACHÁ]]="",$BN72&gt;$BL$1),2,
AND(Tabela1[[#This Row],[STATUS PROCESSO MOBILIZAÇÃO]]="Em andamento",Tabela1[[#This Row],[DATA REAL - CRACHÁ]]="",$BN72&lt;=$BL$1),3,
AND(Tabela1[[#This Row],[STATUS PROCESSO MOBILIZAÇÃO]]="Em andamento",Tabela1[[#This Row],[DATA REAL - CRACHÁ]]&lt;&gt;""),1)</f>
        <v>1</v>
      </c>
      <c r="R72" s="21">
        <f>IF(Tabela1[[#This Row],[DATA REAL - FORMS]]&lt;&gt;"",Tabela1[[#This Row],[DATA REAL - FORMS]]+30,Tabela1[[#This Row],[DATA PREV - FORMS]]+35)</f>
        <v>45788</v>
      </c>
      <c r="S7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45777</v>
      </c>
      <c r="T7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v>
      </c>
      <c r="U7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v>
      </c>
      <c r="V72" s="49">
        <f>MAX(Tabela1[[#This Row],[DATA REAL - POSTAGEM]],Tabela1[[#This Row],[DATA REAL - APROV FINAL]],Tabela1[[#This Row],[DATA REAL - CRACHÁ]])-MIN(Tabela1[[#This Row],[DATA REAL - POSTAGEM]],Tabela1[[#This Row],[DATA REAL - APROV FINAL]],Tabela1[[#This Row],[DATA REAL - CRACHÁ]])+1</f>
        <v>1</v>
      </c>
      <c r="W7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2" s="15" t="s">
        <v>355</v>
      </c>
      <c r="Y72" s="16" t="s">
        <v>150</v>
      </c>
      <c r="Z72" s="18" t="s">
        <v>356</v>
      </c>
      <c r="AA72" s="18" t="s">
        <v>152</v>
      </c>
      <c r="AB72" s="16" t="s">
        <v>97</v>
      </c>
      <c r="AC72" s="16" t="s">
        <v>357</v>
      </c>
      <c r="AD72" s="16" t="s">
        <v>357</v>
      </c>
      <c r="AE72" s="16" t="s">
        <v>358</v>
      </c>
      <c r="AF72" s="16" t="s">
        <v>359</v>
      </c>
      <c r="AG72" s="16" t="str">
        <f>_xlfn.XLOOKUP(Tabela1[[#This Row],[CÓD. CT]],Controle_Projetos[COD CT],Controle_Projetos[COD PHD],"")</f>
        <v>BEMI-CT02-GERE</v>
      </c>
      <c r="AH72" s="21">
        <v>45758</v>
      </c>
      <c r="AI72" s="75">
        <v>45757</v>
      </c>
      <c r="AJ72" s="16" cm="1">
        <f t="array" aca="1" ref="AJ7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72" s="21">
        <v>45758</v>
      </c>
      <c r="AL72" s="74">
        <v>45758</v>
      </c>
      <c r="AM72" s="16" cm="1">
        <f t="array" aca="1" ref="AM7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2" s="21">
        <f>Tabela1[[#This Row],[DATA PREV - FORMS]]+$AN$1</f>
        <v>45765</v>
      </c>
      <c r="AO72" s="74">
        <v>45763</v>
      </c>
      <c r="AP72" s="16" cm="1">
        <f t="array" aca="1" ref="AP7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72" s="21">
        <f>Tabela1[[#This Row],[DATA PREV - EXAMES]]+$AQ$1</f>
        <v>45767</v>
      </c>
      <c r="AR72" s="74">
        <v>45775</v>
      </c>
      <c r="AS72" s="15" cm="1">
        <f t="array" aca="1" ref="AS7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9</v>
      </c>
      <c r="AT72" s="21">
        <f>Tabela1[[#This Row],[DATA PREV - FORMS]]+$AT$1</f>
        <v>45759</v>
      </c>
      <c r="AU72" s="74">
        <v>45762</v>
      </c>
      <c r="AV72" s="15" cm="1">
        <f t="array" aca="1" ref="AV7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72" s="21">
        <f>Tabela1[[#This Row],[DATA PREV - TREINAMENTOS]]+$AW$1</f>
        <v>45766</v>
      </c>
      <c r="AX72" s="74">
        <v>45775</v>
      </c>
      <c r="AY72" s="15" cm="1">
        <f t="array" aca="1" ref="AY7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10</v>
      </c>
      <c r="AZ72" s="24">
        <v>45758</v>
      </c>
      <c r="BA72" s="74">
        <v>45759</v>
      </c>
      <c r="BB72" s="15" cm="1">
        <f t="array" aca="1" ref="BB7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v>
      </c>
      <c r="BC72" s="21">
        <f>Tabela1[[#This Row],[DATA PREV - CONCL. TREIN.]]+$BC$1</f>
        <v>45768</v>
      </c>
      <c r="BD72" s="74">
        <v>45777</v>
      </c>
      <c r="BE72" s="15" cm="1">
        <f t="array" aca="1" ref="BE7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10</v>
      </c>
      <c r="BF72" s="21">
        <f>Tabela1[[#This Row],[DATA PREV - DOSSIÊ]]+$BF$1</f>
        <v>45771</v>
      </c>
      <c r="BG72" s="74">
        <v>45777</v>
      </c>
      <c r="BH72" s="15" cm="1">
        <f t="array" aca="1" ref="BH7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72" s="21">
        <f>Tabela1[[#This Row],[DATA PREV - POSTAGEM]]+$BI$1</f>
        <v>45777</v>
      </c>
      <c r="BJ72" s="74">
        <v>45777</v>
      </c>
      <c r="BK72" s="15" cm="1">
        <f t="array" aca="1" ref="BK7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72" s="21">
        <f>Tabela1[[#This Row],[DATA PREV - APROV FINAL]]+$BL$1</f>
        <v>45778</v>
      </c>
      <c r="BM72" s="74">
        <v>45777</v>
      </c>
      <c r="BN72" s="15" cm="1">
        <f t="array" aca="1" ref="BN7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0</v>
      </c>
      <c r="BO72" s="80" t="s">
        <v>362</v>
      </c>
    </row>
    <row r="73" spans="2:67" ht="18" hidden="1" customHeight="1" x14ac:dyDescent="0.35">
      <c r="B73" s="14" t="s">
        <v>119</v>
      </c>
      <c r="C73" s="16" t="s">
        <v>93</v>
      </c>
      <c r="D73" s="16" t="s">
        <v>119</v>
      </c>
      <c r="E73" s="16"/>
      <c r="F73" s="16" t="s">
        <v>363</v>
      </c>
      <c r="G73" s="16" cm="1">
        <f t="array" ref="G73">_xlfn.IFS(Tabela1[[#This Row],[STATUS PROCESSO MOBILIZAÇÃO]]="Finalizado",1,Tabela1[[#This Row],[STATUS PROCESSO MOBILIZAÇÃO]]="Cancelado",2,Tabela1[[#This Row],[STATUS PROCESSO MOBILIZAÇÃO]]="Em andamento",3)</f>
        <v>2</v>
      </c>
      <c r="H73" s="16" cm="1">
        <f t="array" aca="1" ref="H7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FORMS]]="",$AM73&gt;$AK$1),2,
AND(Tabela1[[#This Row],[STATUS PROCESSO MOBILIZAÇÃO]]="Em andamento",Tabela1[[#This Row],[DATA REAL - FORMS]]="",$AM73&lt;=$AK$1),3,
AND(Tabela1[[#This Row],[STATUS PROCESSO MOBILIZAÇÃO]]="Em andamento",Tabela1[[#This Row],[DATA REAL - FORMS]]&lt;&gt;""),1)</f>
        <v>1</v>
      </c>
      <c r="I73" s="16" cm="1">
        <f t="array" aca="1" ref="I7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EXAMES]]="",$AP73&gt;$AN$1),2,
AND(Tabela1[[#This Row],[STATUS PROCESSO MOBILIZAÇÃO]]="Em andamento",Tabela1[[#This Row],[DATA REAL - EXAMES]]="",$AP73&lt;=$AN$1),3,
AND(Tabela1[[#This Row],[STATUS PROCESSO MOBILIZAÇÃO]]="Em andamento",Tabela1[[#This Row],[DATA REAL - EXAMES]]&lt;&gt;""),1)</f>
        <v>1</v>
      </c>
      <c r="J73" s="16" cm="1">
        <f t="array" aca="1" ref="J7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ASO]]="",$AS73&gt;$AQ$1),2,
AND(Tabela1[[#This Row],[STATUS PROCESSO MOBILIZAÇÃO]]="Em andamento",Tabela1[[#This Row],[DATA REAL - ASO]]="",$AS73&lt;=$AQ$1),3,
AND(Tabela1[[#This Row],[STATUS PROCESSO MOBILIZAÇÃO]]="Em andamento",Tabela1[[#This Row],[DATA REAL - ASO]]&lt;&gt;""),1)</f>
        <v>1</v>
      </c>
      <c r="K73" s="15" cm="1">
        <f t="array" aca="1" ref="K7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TREINAMENTOS]]="",$AV73&gt;$AT$1),2,
AND(Tabela1[[#This Row],[STATUS PROCESSO MOBILIZAÇÃO]]="Em andamento",Tabela1[[#This Row],[DATA REAL - TREINAMENTOS]]="",$AV73&lt;=$AT$1),3,
AND(Tabela1[[#This Row],[STATUS PROCESSO MOBILIZAÇÃO]]="Em andamento",Tabela1[[#This Row],[DATA REAL - TREINAMENTOS]]&lt;&gt;""),1)</f>
        <v>1</v>
      </c>
      <c r="L73" s="15" cm="1">
        <f t="array" aca="1" ref="L7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TREIN.]]="",$AY73&gt;$AW$1),2,
AND(Tabela1[[#This Row],[STATUS PROCESSO MOBILIZAÇÃO]]="Em andamento",Tabela1[[#This Row],[DATA REAL - CONCL. TREIN.]]="",$AY73&lt;=$AW$1),3,
AND(Tabela1[[#This Row],[STATUS PROCESSO MOBILIZAÇÃO]]="Em andamento",Tabela1[[#This Row],[DATA REAL - CONCL. TREIN.]]&lt;&gt;""),1)</f>
        <v>1</v>
      </c>
      <c r="M73" s="15" cm="1">
        <f t="array" aca="1" ref="M7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CONTRATUAL]]="",$BB73&gt;$AZ$1),2,
AND(Tabela1[[#This Row],[STATUS PROCESSO MOBILIZAÇÃO]]="Em andamento",Tabela1[[#This Row],[DATA FIM - ALTER. CONTRATUAL]]="",$BB73&lt;=$AZ$1),3,
AND(Tabela1[[#This Row],[STATUS PROCESSO MOBILIZAÇÃO]]="Em andamento",Tabela1[[#This Row],[DATA FIM - ALTER. CONTRATUAL]]&lt;&gt;""),1)</f>
        <v>0</v>
      </c>
      <c r="N73" s="16" cm="1">
        <f t="array" aca="1" ref="N7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DOSSIÊ]]="",$BE73&gt;$BC$1),2,
AND(Tabela1[[#This Row],[STATUS PROCESSO MOBILIZAÇÃO]]="Em andamento",Tabela1[[#This Row],[DATA REAL - DOSSIÊ]]="",$BE73&lt;=$BC$1),3,
AND(Tabela1[[#This Row],[STATUS PROCESSO MOBILIZAÇÃO]]="Em andamento",Tabela1[[#This Row],[DATA REAL - DOSSIÊ]]&lt;&gt;""),1)</f>
        <v>1</v>
      </c>
      <c r="O73" s="16" cm="1">
        <f t="array" aca="1" ref="O7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POSTAGEM]]="",$BH73&gt;$BF$1),2,
AND(Tabela1[[#This Row],[STATUS PROCESSO MOBILIZAÇÃO]]="Em andamento",Tabela1[[#This Row],[DATA REAL - POSTAGEM]]="",$BH73&lt;=$BF$1),3,
AND(Tabela1[[#This Row],[STATUS PROCESSO MOBILIZAÇÃO]]="Em andamento",Tabela1[[#This Row],[DATA REAL - POSTAGEM]]&lt;&gt;""),1)</f>
        <v>1</v>
      </c>
      <c r="P73" s="16" cm="1">
        <f t="array" aca="1" ref="P7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FINAL]]="",$BK73&gt;$BI$1),2,
AND(Tabela1[[#This Row],[STATUS PROCESSO MOBILIZAÇÃO]]="Em andamento",Tabela1[[#This Row],[DATA REAL - APROV FINAL]]="",$BK73&lt;=$BI$1),3,
AND(Tabela1[[#This Row],[STATUS PROCESSO MOBILIZAÇÃO]]="Em andamento",Tabela1[[#This Row],[DATA REAL - APROV FINAL]]&lt;&gt;""),1)</f>
        <v>1</v>
      </c>
      <c r="Q73" s="15" cm="1">
        <f t="array" aca="1" ref="Q7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CRACHÁ]]="",$BN73&gt;$BL$1),2,
AND(Tabela1[[#This Row],[STATUS PROCESSO MOBILIZAÇÃO]]="Em andamento",Tabela1[[#This Row],[DATA REAL - CRACHÁ]]="",$BN73&lt;=$BL$1),3,
AND(Tabela1[[#This Row],[STATUS PROCESSO MOBILIZAÇÃO]]="Em andamento",Tabela1[[#This Row],[DATA REAL - CRACHÁ]]&lt;&gt;""),1)</f>
        <v>1</v>
      </c>
      <c r="R73" s="21">
        <f>IF(Tabela1[[#This Row],[DATA REAL - FORMS]]&lt;&gt;"",Tabela1[[#This Row],[DATA REAL - FORMS]]+30,Tabela1[[#This Row],[DATA PREV - FORMS]]+35)</f>
        <v>45789</v>
      </c>
      <c r="S7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45784</v>
      </c>
      <c r="T7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v>
      </c>
      <c r="U7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73" s="49">
        <f>MAX(Tabela1[[#This Row],[DATA REAL - POSTAGEM]],Tabela1[[#This Row],[DATA REAL - APROV FINAL]],Tabela1[[#This Row],[DATA REAL - CRACHÁ]])-MIN(Tabela1[[#This Row],[DATA REAL - POSTAGEM]],Tabela1[[#This Row],[DATA REAL - APROV FINAL]],Tabela1[[#This Row],[DATA REAL - CRACHÁ]])+1</f>
        <v>1</v>
      </c>
      <c r="W7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3" s="15" t="s">
        <v>355</v>
      </c>
      <c r="Y73" s="16" t="s">
        <v>150</v>
      </c>
      <c r="Z73" s="18" t="s">
        <v>356</v>
      </c>
      <c r="AA73" s="18" t="s">
        <v>152</v>
      </c>
      <c r="AB73" s="16" t="s">
        <v>97</v>
      </c>
      <c r="AC73" s="16" t="s">
        <v>357</v>
      </c>
      <c r="AD73" s="16" t="s">
        <v>357</v>
      </c>
      <c r="AE73" s="16" t="s">
        <v>358</v>
      </c>
      <c r="AF73" s="16" t="s">
        <v>359</v>
      </c>
      <c r="AG73" s="16" t="str">
        <f>_xlfn.XLOOKUP(Tabela1[[#This Row],[CÓD. CT]],Controle_Projetos[COD CT],Controle_Projetos[COD PHD],"")</f>
        <v>BEMI-CT02-GERE</v>
      </c>
      <c r="AH73" s="21">
        <v>45758</v>
      </c>
      <c r="AI73" s="75">
        <v>45757</v>
      </c>
      <c r="AJ73" s="16" cm="1">
        <f t="array" aca="1" ref="AJ7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73" s="21">
        <v>45758</v>
      </c>
      <c r="AL73" s="74">
        <v>45759</v>
      </c>
      <c r="AM73" s="16" cm="1">
        <f t="array" aca="1" ref="AM7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73" s="21">
        <f>Tabela1[[#This Row],[DATA PREV - FORMS]]+$AN$1</f>
        <v>45765</v>
      </c>
      <c r="AO73" s="74">
        <v>45771</v>
      </c>
      <c r="AP73" s="16" cm="1">
        <f t="array" aca="1" ref="AP7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73" s="21">
        <f>Tabela1[[#This Row],[DATA PREV - EXAMES]]+$AQ$1</f>
        <v>45767</v>
      </c>
      <c r="AR73" s="74">
        <v>45777</v>
      </c>
      <c r="AS73" s="15" cm="1">
        <f t="array" aca="1" ref="AS7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11</v>
      </c>
      <c r="AT73" s="21">
        <f>Tabela1[[#This Row],[DATA PREV - FORMS]]+$AT$1</f>
        <v>45759</v>
      </c>
      <c r="AU73" s="74">
        <v>45764</v>
      </c>
      <c r="AV73" s="15" cm="1">
        <f t="array" aca="1" ref="AV7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6</v>
      </c>
      <c r="AW73" s="21">
        <f>Tabela1[[#This Row],[DATA PREV - TREINAMENTOS]]+$AW$1</f>
        <v>45766</v>
      </c>
      <c r="AX73" s="74">
        <v>45777</v>
      </c>
      <c r="AY73" s="15" cm="1">
        <f t="array" aca="1" ref="AY7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12</v>
      </c>
      <c r="AZ73" s="24">
        <v>45758</v>
      </c>
      <c r="BA73" s="74"/>
      <c r="BB73" s="15" cm="1">
        <f t="array" aca="1" ref="BB7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73" s="21">
        <f>Tabela1[[#This Row],[DATA PREV - CONCL. TREIN.]]+$BC$1</f>
        <v>45768</v>
      </c>
      <c r="BD73" s="74">
        <v>45784</v>
      </c>
      <c r="BE73" s="15" cm="1">
        <f t="array" aca="1" ref="BE7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17</v>
      </c>
      <c r="BF73" s="21">
        <f>Tabela1[[#This Row],[DATA PREV - DOSSIÊ]]+$BF$1</f>
        <v>45771</v>
      </c>
      <c r="BG73" s="74">
        <v>45784</v>
      </c>
      <c r="BH73" s="15" cm="1">
        <f t="array" aca="1" ref="BH7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14</v>
      </c>
      <c r="BI73" s="21">
        <f>Tabela1[[#This Row],[DATA PREV - POSTAGEM]]+$BI$1</f>
        <v>45777</v>
      </c>
      <c r="BJ73" s="74">
        <v>45784</v>
      </c>
      <c r="BK73" s="15" cm="1">
        <f t="array" aca="1" ref="BK7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73" s="21">
        <f>Tabela1[[#This Row],[DATA PREV - APROV FINAL]]+$BL$1</f>
        <v>45778</v>
      </c>
      <c r="BM73" s="74">
        <v>45784</v>
      </c>
      <c r="BN73" s="15" cm="1">
        <f t="array" aca="1" ref="BN7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73" s="80" t="s">
        <v>364</v>
      </c>
    </row>
    <row r="74" spans="2:67" ht="18" hidden="1" customHeight="1" x14ac:dyDescent="0.35">
      <c r="B74" s="14" t="s">
        <v>119</v>
      </c>
      <c r="C74" s="16" t="s">
        <v>136</v>
      </c>
      <c r="D74" s="16" t="s">
        <v>81</v>
      </c>
      <c r="E74" s="16"/>
      <c r="F74" s="16" t="s">
        <v>365</v>
      </c>
      <c r="G74" s="16" cm="1">
        <f t="array" ref="G74">_xlfn.IFS(Tabela1[[#This Row],[STATUS PROCESSO MOBILIZAÇÃO]]="Finalizado",1,Tabela1[[#This Row],[STATUS PROCESSO MOBILIZAÇÃO]]="Cancelado",2,Tabela1[[#This Row],[STATUS PROCESSO MOBILIZAÇÃO]]="Em andamento",3)</f>
        <v>2</v>
      </c>
      <c r="H74" s="16" cm="1">
        <f t="array" aca="1" ref="H7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FORMS]]="",$AM74&gt;$AK$1),2,
AND(Tabela1[[#This Row],[STATUS PROCESSO MOBILIZAÇÃO]]="Em andamento",Tabela1[[#This Row],[DATA REAL - FORMS]]="",$AM74&lt;=$AK$1),3,
AND(Tabela1[[#This Row],[STATUS PROCESSO MOBILIZAÇÃO]]="Em andamento",Tabela1[[#This Row],[DATA REAL - FORMS]]&lt;&gt;""),1)</f>
        <v>1</v>
      </c>
      <c r="I74" s="16" cm="1">
        <f t="array" aca="1" ref="I7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EXAMES]]="",$AP74&gt;$AN$1),2,
AND(Tabela1[[#This Row],[STATUS PROCESSO MOBILIZAÇÃO]]="Em andamento",Tabela1[[#This Row],[DATA REAL - EXAMES]]="",$AP74&lt;=$AN$1),3,
AND(Tabela1[[#This Row],[STATUS PROCESSO MOBILIZAÇÃO]]="Em andamento",Tabela1[[#This Row],[DATA REAL - EXAMES]]&lt;&gt;""),1)</f>
        <v>1</v>
      </c>
      <c r="J74" s="16" cm="1">
        <f t="array" aca="1" ref="J7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ASO]]="",$AS74&gt;$AQ$1),2,
AND(Tabela1[[#This Row],[STATUS PROCESSO MOBILIZAÇÃO]]="Em andamento",Tabela1[[#This Row],[DATA REAL - ASO]]="",$AS74&lt;=$AQ$1),3,
AND(Tabela1[[#This Row],[STATUS PROCESSO MOBILIZAÇÃO]]="Em andamento",Tabela1[[#This Row],[DATA REAL - ASO]]&lt;&gt;""),1)</f>
        <v>0</v>
      </c>
      <c r="K74" s="15" cm="1">
        <f t="array" aca="1" ref="K7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TREINAMENTOS]]="",$AV74&gt;$AT$1),2,
AND(Tabela1[[#This Row],[STATUS PROCESSO MOBILIZAÇÃO]]="Em andamento",Tabela1[[#This Row],[DATA REAL - TREINAMENTOS]]="",$AV74&lt;=$AT$1),3,
AND(Tabela1[[#This Row],[STATUS PROCESSO MOBILIZAÇÃO]]="Em andamento",Tabela1[[#This Row],[DATA REAL - TREINAMENTOS]]&lt;&gt;""),1)</f>
        <v>1</v>
      </c>
      <c r="L74" s="15" cm="1">
        <f t="array" aca="1" ref="L7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TREIN.]]="",$AY74&gt;$AW$1),2,
AND(Tabela1[[#This Row],[STATUS PROCESSO MOBILIZAÇÃO]]="Em andamento",Tabela1[[#This Row],[DATA REAL - CONCL. TREIN.]]="",$AY74&lt;=$AW$1),3,
AND(Tabela1[[#This Row],[STATUS PROCESSO MOBILIZAÇÃO]]="Em andamento",Tabela1[[#This Row],[DATA REAL - CONCL. TREIN.]]&lt;&gt;""),1)</f>
        <v>0</v>
      </c>
      <c r="M74" s="15" cm="1">
        <f t="array" aca="1" ref="M7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CONTRATUAL]]="",$BB74&gt;$AZ$1),2,
AND(Tabela1[[#This Row],[STATUS PROCESSO MOBILIZAÇÃO]]="Em andamento",Tabela1[[#This Row],[DATA FIM - ALTER. CONTRATUAL]]="",$BB74&lt;=$AZ$1),3,
AND(Tabela1[[#This Row],[STATUS PROCESSO MOBILIZAÇÃO]]="Em andamento",Tabela1[[#This Row],[DATA FIM - ALTER. CONTRATUAL]]&lt;&gt;""),1)</f>
        <v>1</v>
      </c>
      <c r="N74" s="16" cm="1">
        <f t="array" aca="1" ref="N7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DOSSIÊ]]="",$BE74&gt;$BC$1),2,
AND(Tabela1[[#This Row],[STATUS PROCESSO MOBILIZAÇÃO]]="Em andamento",Tabela1[[#This Row],[DATA REAL - DOSSIÊ]]="",$BE74&lt;=$BC$1),3,
AND(Tabela1[[#This Row],[STATUS PROCESSO MOBILIZAÇÃO]]="Em andamento",Tabela1[[#This Row],[DATA REAL - DOSSIÊ]]&lt;&gt;""),1)</f>
        <v>0</v>
      </c>
      <c r="O74" s="16" cm="1">
        <f t="array" aca="1" ref="O7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POSTAGEM]]="",$BH74&gt;$BF$1),2,
AND(Tabela1[[#This Row],[STATUS PROCESSO MOBILIZAÇÃO]]="Em andamento",Tabela1[[#This Row],[DATA REAL - POSTAGEM]]="",$BH74&lt;=$BF$1),3,
AND(Tabela1[[#This Row],[STATUS PROCESSO MOBILIZAÇÃO]]="Em andamento",Tabela1[[#This Row],[DATA REAL - POSTAGEM]]&lt;&gt;""),1)</f>
        <v>0</v>
      </c>
      <c r="P74" s="16" cm="1">
        <f t="array" aca="1" ref="P7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FINAL]]="",$BK74&gt;$BI$1),2,
AND(Tabela1[[#This Row],[STATUS PROCESSO MOBILIZAÇÃO]]="Em andamento",Tabela1[[#This Row],[DATA REAL - APROV FINAL]]="",$BK74&lt;=$BI$1),3,
AND(Tabela1[[#This Row],[STATUS PROCESSO MOBILIZAÇÃO]]="Em andamento",Tabela1[[#This Row],[DATA REAL - APROV FINAL]]&lt;&gt;""),1)</f>
        <v>1</v>
      </c>
      <c r="Q74" s="15" cm="1">
        <f t="array" aca="1" ref="Q7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CRACHÁ]]="",$BN74&gt;$BL$1),2,
AND(Tabela1[[#This Row],[STATUS PROCESSO MOBILIZAÇÃO]]="Em andamento",Tabela1[[#This Row],[DATA REAL - CRACHÁ]]="",$BN74&lt;=$BL$1),3,
AND(Tabela1[[#This Row],[STATUS PROCESSO MOBILIZAÇÃO]]="Em andamento",Tabela1[[#This Row],[DATA REAL - CRACHÁ]]&lt;&gt;""),1)</f>
        <v>1</v>
      </c>
      <c r="R74" s="21">
        <f>IF(Tabela1[[#This Row],[DATA REAL - FORMS]]&lt;&gt;"",Tabela1[[#This Row],[DATA REAL - FORMS]]+30,Tabela1[[#This Row],[DATA PREV - FORMS]]+35)</f>
        <v>45805</v>
      </c>
      <c r="S7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45777</v>
      </c>
      <c r="T7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185</v>
      </c>
      <c r="U7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184</v>
      </c>
      <c r="V74" s="49">
        <f>MAX(Tabela1[[#This Row],[DATA REAL - POSTAGEM]],Tabela1[[#This Row],[DATA REAL - APROV FINAL]],Tabela1[[#This Row],[DATA REAL - CRACHÁ]])-MIN(Tabela1[[#This Row],[DATA REAL - POSTAGEM]],Tabela1[[#This Row],[DATA REAL - APROV FINAL]],Tabela1[[#This Row],[DATA REAL - CRACHÁ]])+1</f>
        <v>1</v>
      </c>
      <c r="W7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4" s="15" t="s">
        <v>103</v>
      </c>
      <c r="Y74" s="16" t="s">
        <v>84</v>
      </c>
      <c r="Z74" s="18" t="s">
        <v>104</v>
      </c>
      <c r="AA74" s="18" t="s">
        <v>86</v>
      </c>
      <c r="AB74" s="16" t="s">
        <v>97</v>
      </c>
      <c r="AC74" s="16" t="s">
        <v>219</v>
      </c>
      <c r="AD74" s="16" t="s">
        <v>184</v>
      </c>
      <c r="AE74" s="16" t="s">
        <v>220</v>
      </c>
      <c r="AF74" s="16" t="s">
        <v>221</v>
      </c>
      <c r="AG74" s="16" t="str">
        <f>_xlfn.XLOOKUP(Tabela1[[#This Row],[CÓD. CT]],Controle_Projetos[COD CT],Controle_Projetos[COD PHD],"")</f>
        <v>CRET-CT01-TANQ</v>
      </c>
      <c r="AH74" s="21"/>
      <c r="AI74" s="75">
        <v>45592</v>
      </c>
      <c r="AJ74" s="16" t="str" cm="1">
        <f t="array" aca="1" ref="AJ7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4" s="21">
        <v>45775</v>
      </c>
      <c r="AL74" s="74">
        <v>45775</v>
      </c>
      <c r="AM74" s="16" cm="1">
        <f t="array" aca="1" ref="AM7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4" s="21">
        <f>Tabela1[[#This Row],[DATA PREV - FORMS]]+$AN$1</f>
        <v>45782</v>
      </c>
      <c r="AO74" s="74">
        <v>45776</v>
      </c>
      <c r="AP74" s="16" cm="1">
        <f t="array" aca="1" ref="AP7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74" s="21">
        <f>Tabela1[[#This Row],[DATA PREV - EXAMES]]+$AQ$1</f>
        <v>45784</v>
      </c>
      <c r="AR74" s="74"/>
      <c r="AS74" s="15" cm="1">
        <f t="array" aca="1" ref="AS7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74" s="21">
        <f>Tabela1[[#This Row],[DATA PREV - FORMS]]+$AT$1</f>
        <v>45776</v>
      </c>
      <c r="AU74" s="74">
        <v>45776</v>
      </c>
      <c r="AV74" s="15" cm="1">
        <f t="array" aca="1" ref="AV7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74" s="21">
        <f>Tabela1[[#This Row],[DATA PREV - TREINAMENTOS]]+$AW$1</f>
        <v>45783</v>
      </c>
      <c r="AX74" s="74"/>
      <c r="AY74" s="15" cm="1">
        <f t="array" aca="1" ref="AY7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74" s="24"/>
      <c r="BA74" s="74">
        <v>45776</v>
      </c>
      <c r="BB74" s="15" t="str" cm="1">
        <f t="array" aca="1" ref="BB7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74" s="21">
        <f>Tabela1[[#This Row],[DATA PREV - CONCL. TREIN.]]+$BC$1</f>
        <v>45785</v>
      </c>
      <c r="BD74" s="74"/>
      <c r="BE74" s="15" cm="1">
        <f t="array" aca="1" ref="BE7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74" s="21">
        <f>Tabela1[[#This Row],[DATA PREV - DOSSIÊ]]+$BF$1</f>
        <v>45788</v>
      </c>
      <c r="BG74" s="74"/>
      <c r="BH74" s="15" cm="1">
        <f t="array" aca="1" ref="BH7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74" s="21">
        <f>Tabela1[[#This Row],[DATA PREV - POSTAGEM]]+$BI$1</f>
        <v>45794</v>
      </c>
      <c r="BJ74" s="74">
        <v>45777</v>
      </c>
      <c r="BK74" s="15" cm="1">
        <f t="array" aca="1" ref="BK7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74" s="21">
        <f>Tabela1[[#This Row],[DATA PREV - APROV FINAL]]+$BL$1</f>
        <v>45795</v>
      </c>
      <c r="BM74" s="74">
        <v>45777</v>
      </c>
      <c r="BN74" s="15" cm="1">
        <f t="array" aca="1" ref="BN7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-17</v>
      </c>
      <c r="BO74" s="80" t="s">
        <v>366</v>
      </c>
    </row>
    <row r="75" spans="2:67" ht="18" hidden="1" customHeight="1" x14ac:dyDescent="0.35">
      <c r="B75" s="14" t="s">
        <v>79</v>
      </c>
      <c r="C75" s="16" t="s">
        <v>136</v>
      </c>
      <c r="D75" s="16" t="s">
        <v>81</v>
      </c>
      <c r="E75" s="16"/>
      <c r="F75" s="16" t="s">
        <v>367</v>
      </c>
      <c r="G75" s="16" cm="1">
        <f t="array" ref="G75">_xlfn.IFS(Tabela1[[#This Row],[STATUS PROCESSO MOBILIZAÇÃO]]="Finalizado",1,Tabela1[[#This Row],[STATUS PROCESSO MOBILIZAÇÃO]]="Cancelado",2,Tabela1[[#This Row],[STATUS PROCESSO MOBILIZAÇÃO]]="Em andamento",3)</f>
        <v>1</v>
      </c>
      <c r="H75" s="16" cm="1">
        <f t="array" aca="1" ref="H7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FORMS]]="",$AM75&gt;$AK$1),2,
AND(Tabela1[[#This Row],[STATUS PROCESSO MOBILIZAÇÃO]]="Em andamento",Tabela1[[#This Row],[DATA REAL - FORMS]]="",$AM75&lt;=$AK$1),3,
AND(Tabela1[[#This Row],[STATUS PROCESSO MOBILIZAÇÃO]]="Em andamento",Tabela1[[#This Row],[DATA REAL - FORMS]]&lt;&gt;""),1)</f>
        <v>1</v>
      </c>
      <c r="I75" s="16" cm="1">
        <f t="array" aca="1" ref="I7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EXAMES]]="",$AP75&gt;$AN$1),2,
AND(Tabela1[[#This Row],[STATUS PROCESSO MOBILIZAÇÃO]]="Em andamento",Tabela1[[#This Row],[DATA REAL - EXAMES]]="",$AP75&lt;=$AN$1),3,
AND(Tabela1[[#This Row],[STATUS PROCESSO MOBILIZAÇÃO]]="Em andamento",Tabela1[[#This Row],[DATA REAL - EXAMES]]&lt;&gt;""),1)</f>
        <v>1</v>
      </c>
      <c r="J75" s="16" cm="1">
        <f t="array" aca="1" ref="J7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ASO]]="",$AS75&gt;$AQ$1),2,
AND(Tabela1[[#This Row],[STATUS PROCESSO MOBILIZAÇÃO]]="Em andamento",Tabela1[[#This Row],[DATA REAL - ASO]]="",$AS75&lt;=$AQ$1),3,
AND(Tabela1[[#This Row],[STATUS PROCESSO MOBILIZAÇÃO]]="Em andamento",Tabela1[[#This Row],[DATA REAL - ASO]]&lt;&gt;""),1)</f>
        <v>1</v>
      </c>
      <c r="K75" s="15" cm="1">
        <f t="array" aca="1" ref="K7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TREINAMENTOS]]="",$AV75&gt;$AT$1),2,
AND(Tabela1[[#This Row],[STATUS PROCESSO MOBILIZAÇÃO]]="Em andamento",Tabela1[[#This Row],[DATA REAL - TREINAMENTOS]]="",$AV75&lt;=$AT$1),3,
AND(Tabela1[[#This Row],[STATUS PROCESSO MOBILIZAÇÃO]]="Em andamento",Tabela1[[#This Row],[DATA REAL - TREINAMENTOS]]&lt;&gt;""),1)</f>
        <v>1</v>
      </c>
      <c r="L75" s="15" cm="1">
        <f t="array" aca="1" ref="L7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TREIN.]]="",$AY75&gt;$AW$1),2,
AND(Tabela1[[#This Row],[STATUS PROCESSO MOBILIZAÇÃO]]="Em andamento",Tabela1[[#This Row],[DATA REAL - CONCL. TREIN.]]="",$AY75&lt;=$AW$1),3,
AND(Tabela1[[#This Row],[STATUS PROCESSO MOBILIZAÇÃO]]="Em andamento",Tabela1[[#This Row],[DATA REAL - CONCL. TREIN.]]&lt;&gt;""),1)</f>
        <v>1</v>
      </c>
      <c r="M75" s="15" cm="1">
        <f t="array" aca="1" ref="M7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CONTRATUAL]]="",$BB75&gt;$AZ$1),2,
AND(Tabela1[[#This Row],[STATUS PROCESSO MOBILIZAÇÃO]]="Em andamento",Tabela1[[#This Row],[DATA FIM - ALTER. CONTRATUAL]]="",$BB75&lt;=$AZ$1),3,
AND(Tabela1[[#This Row],[STATUS PROCESSO MOBILIZAÇÃO]]="Em andamento",Tabela1[[#This Row],[DATA FIM - ALTER. CONTRATUAL]]&lt;&gt;""),1)</f>
        <v>1</v>
      </c>
      <c r="N75" s="16" cm="1">
        <f t="array" aca="1" ref="N7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DOSSIÊ]]="",$BE75&gt;$BC$1),2,
AND(Tabela1[[#This Row],[STATUS PROCESSO MOBILIZAÇÃO]]="Em andamento",Tabela1[[#This Row],[DATA REAL - DOSSIÊ]]="",$BE75&lt;=$BC$1),3,
AND(Tabela1[[#This Row],[STATUS PROCESSO MOBILIZAÇÃO]]="Em andamento",Tabela1[[#This Row],[DATA REAL - DOSSIÊ]]&lt;&gt;""),1)</f>
        <v>1</v>
      </c>
      <c r="O75" s="16" cm="1">
        <f t="array" aca="1" ref="O7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POSTAGEM]]="",$BH75&gt;$BF$1),2,
AND(Tabela1[[#This Row],[STATUS PROCESSO MOBILIZAÇÃO]]="Em andamento",Tabela1[[#This Row],[DATA REAL - POSTAGEM]]="",$BH75&lt;=$BF$1),3,
AND(Tabela1[[#This Row],[STATUS PROCESSO MOBILIZAÇÃO]]="Em andamento",Tabela1[[#This Row],[DATA REAL - POSTAGEM]]&lt;&gt;""),1)</f>
        <v>1</v>
      </c>
      <c r="P75" s="16" cm="1">
        <f t="array" aca="1" ref="P7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FINAL]]="",$BK75&gt;$BI$1),2,
AND(Tabela1[[#This Row],[STATUS PROCESSO MOBILIZAÇÃO]]="Em andamento",Tabela1[[#This Row],[DATA REAL - APROV FINAL]]="",$BK75&lt;=$BI$1),3,
AND(Tabela1[[#This Row],[STATUS PROCESSO MOBILIZAÇÃO]]="Em andamento",Tabela1[[#This Row],[DATA REAL - APROV FINAL]]&lt;&gt;""),1)</f>
        <v>1</v>
      </c>
      <c r="Q75" s="15" cm="1">
        <f t="array" aca="1" ref="Q7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CRACHÁ]]="",$BN75&gt;$BL$1),2,
AND(Tabela1[[#This Row],[STATUS PROCESSO MOBILIZAÇÃO]]="Em andamento",Tabela1[[#This Row],[DATA REAL - CRACHÁ]]="",$BN75&lt;=$BL$1),3,
AND(Tabela1[[#This Row],[STATUS PROCESSO MOBILIZAÇÃO]]="Em andamento",Tabela1[[#This Row],[DATA REAL - CRACHÁ]]&lt;&gt;""),1)</f>
        <v>1</v>
      </c>
      <c r="R75" s="21">
        <f>IF(Tabela1[[#This Row],[DATA REAL - FORMS]]&lt;&gt;"",Tabela1[[#This Row],[DATA REAL - FORMS]]+30,Tabela1[[#This Row],[DATA PREV - FORMS]]+35)</f>
        <v>45806</v>
      </c>
      <c r="S7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45804</v>
      </c>
      <c r="T7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90</v>
      </c>
      <c r="U7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70</v>
      </c>
      <c r="V75" s="49">
        <f>MAX(Tabela1[[#This Row],[DATA REAL - POSTAGEM]],Tabela1[[#This Row],[DATA REAL - APROV FINAL]],Tabela1[[#This Row],[DATA REAL - CRACHÁ]])-MIN(Tabela1[[#This Row],[DATA REAL - POSTAGEM]],Tabela1[[#This Row],[DATA REAL - APROV FINAL]],Tabela1[[#This Row],[DATA REAL - CRACHÁ]])+1</f>
        <v>12</v>
      </c>
      <c r="W7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5" s="15" t="s">
        <v>122</v>
      </c>
      <c r="Y75" s="16" t="s">
        <v>122</v>
      </c>
      <c r="Z75" s="18" t="s">
        <v>124</v>
      </c>
      <c r="AA75" s="18" t="s">
        <v>124</v>
      </c>
      <c r="AB75" s="16" t="s">
        <v>97</v>
      </c>
      <c r="AC75" s="16" t="s">
        <v>199</v>
      </c>
      <c r="AD75" s="16" t="s">
        <v>89</v>
      </c>
      <c r="AE75" s="16" t="s">
        <v>200</v>
      </c>
      <c r="AF75" s="16" t="s">
        <v>201</v>
      </c>
      <c r="AG75" s="16" t="str">
        <f>_xlfn.XLOOKUP(Tabela1[[#This Row],[CÓD. CT]],Controle_Projetos[COD CT],Controle_Projetos[COD PHD],"")</f>
        <v>ENES-CT02-EXCE</v>
      </c>
      <c r="AH75" s="21">
        <v>45776</v>
      </c>
      <c r="AI75" s="75">
        <v>45714</v>
      </c>
      <c r="AJ75" s="16" t="str" cm="1">
        <f t="array" aca="1" ref="AJ7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5" s="21">
        <v>45776</v>
      </c>
      <c r="AL75" s="74">
        <v>45776</v>
      </c>
      <c r="AM75" s="16" cm="1">
        <f t="array" aca="1" ref="AM7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5" s="21">
        <f>Tabela1[[#This Row],[DATA PREV - FORMS]]+$AN$1</f>
        <v>45783</v>
      </c>
      <c r="AO75" s="74">
        <v>45777</v>
      </c>
      <c r="AP75" s="16" cm="1">
        <f t="array" aca="1" ref="AP7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75" s="21">
        <f>Tabela1[[#This Row],[DATA PREV - EXAMES]]+$AQ$1</f>
        <v>45785</v>
      </c>
      <c r="AR75" s="74">
        <v>45779</v>
      </c>
      <c r="AS75" s="15" cm="1">
        <f t="array" aca="1" ref="AS7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75" s="21">
        <f>Tabela1[[#This Row],[DATA PREV - FORMS]]+$AT$1</f>
        <v>45777</v>
      </c>
      <c r="AU75" s="74">
        <v>45779</v>
      </c>
      <c r="AV75" s="15" cm="1">
        <f t="array" aca="1" ref="AV7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75" s="21">
        <f>Tabela1[[#This Row],[DATA PREV - TREINAMENTOS]]+$AW$1</f>
        <v>45784</v>
      </c>
      <c r="AX75" s="74">
        <v>45784</v>
      </c>
      <c r="AY75" s="15" cm="1">
        <f t="array" aca="1" ref="AY7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75" s="24">
        <v>45699</v>
      </c>
      <c r="BA75" s="74">
        <v>45776</v>
      </c>
      <c r="BB75" s="15" cm="1">
        <f t="array" aca="1" ref="BB7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78</v>
      </c>
      <c r="BC75" s="21">
        <f>Tabela1[[#This Row],[DATA PREV - CONCL. TREIN.]]+$BC$1</f>
        <v>45786</v>
      </c>
      <c r="BD75" s="74">
        <v>45782</v>
      </c>
      <c r="BE75" s="15" cm="1">
        <f t="array" aca="1" ref="BE7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75" s="21">
        <f>Tabela1[[#This Row],[DATA PREV - DOSSIÊ]]+$BF$1</f>
        <v>45789</v>
      </c>
      <c r="BG75" s="74">
        <v>45793</v>
      </c>
      <c r="BH75" s="15" cm="1">
        <f t="array" aca="1" ref="BH7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75" s="21">
        <f>Tabela1[[#This Row],[DATA PREV - POSTAGEM]]+$BI$1</f>
        <v>45795</v>
      </c>
      <c r="BJ75" s="74">
        <v>45804</v>
      </c>
      <c r="BK75" s="15" cm="1">
        <f t="array" aca="1" ref="BK7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75" s="21">
        <f>Tabela1[[#This Row],[DATA PREV - APROV FINAL]]+$BL$1</f>
        <v>45796</v>
      </c>
      <c r="BM75" s="74">
        <v>45796</v>
      </c>
      <c r="BN75" s="15" cm="1">
        <f t="array" aca="1" ref="BN7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75" s="80" t="s">
        <v>368</v>
      </c>
    </row>
    <row r="76" spans="2:67" ht="18" hidden="1" customHeight="1" x14ac:dyDescent="0.35">
      <c r="B76" s="14" t="s">
        <v>79</v>
      </c>
      <c r="C76" s="16" t="s">
        <v>136</v>
      </c>
      <c r="D76" s="16" t="s">
        <v>81</v>
      </c>
      <c r="E76" s="16"/>
      <c r="F76" s="16" t="s">
        <v>369</v>
      </c>
      <c r="G76" s="16" cm="1">
        <f t="array" ref="G76">_xlfn.IFS(Tabela1[[#This Row],[STATUS PROCESSO MOBILIZAÇÃO]]="Finalizado",1,Tabela1[[#This Row],[STATUS PROCESSO MOBILIZAÇÃO]]="Cancelado",2,Tabela1[[#This Row],[STATUS PROCESSO MOBILIZAÇÃO]]="Em andamento",3)</f>
        <v>1</v>
      </c>
      <c r="H76" s="16" cm="1">
        <f t="array" aca="1" ref="H7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FORMS]]="",$AM76&gt;$AK$1),2,
AND(Tabela1[[#This Row],[STATUS PROCESSO MOBILIZAÇÃO]]="Em andamento",Tabela1[[#This Row],[DATA REAL - FORMS]]="",$AM76&lt;=$AK$1),3,
AND(Tabela1[[#This Row],[STATUS PROCESSO MOBILIZAÇÃO]]="Em andamento",Tabela1[[#This Row],[DATA REAL - FORMS]]&lt;&gt;""),1)</f>
        <v>1</v>
      </c>
      <c r="I76" s="16" cm="1">
        <f t="array" aca="1" ref="I7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EXAMES]]="",$AP76&gt;$AN$1),2,
AND(Tabela1[[#This Row],[STATUS PROCESSO MOBILIZAÇÃO]]="Em andamento",Tabela1[[#This Row],[DATA REAL - EXAMES]]="",$AP76&lt;=$AN$1),3,
AND(Tabela1[[#This Row],[STATUS PROCESSO MOBILIZAÇÃO]]="Em andamento",Tabela1[[#This Row],[DATA REAL - EXAMES]]&lt;&gt;""),1)</f>
        <v>1</v>
      </c>
      <c r="J76" s="16" cm="1">
        <f t="array" aca="1" ref="J7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ASO]]="",$AS76&gt;$AQ$1),2,
AND(Tabela1[[#This Row],[STATUS PROCESSO MOBILIZAÇÃO]]="Em andamento",Tabela1[[#This Row],[DATA REAL - ASO]]="",$AS76&lt;=$AQ$1),3,
AND(Tabela1[[#This Row],[STATUS PROCESSO MOBILIZAÇÃO]]="Em andamento",Tabela1[[#This Row],[DATA REAL - ASO]]&lt;&gt;""),1)</f>
        <v>1</v>
      </c>
      <c r="K76" s="15" cm="1">
        <f t="array" aca="1" ref="K7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TREINAMENTOS]]="",$AV76&gt;$AT$1),2,
AND(Tabela1[[#This Row],[STATUS PROCESSO MOBILIZAÇÃO]]="Em andamento",Tabela1[[#This Row],[DATA REAL - TREINAMENTOS]]="",$AV76&lt;=$AT$1),3,
AND(Tabela1[[#This Row],[STATUS PROCESSO MOBILIZAÇÃO]]="Em andamento",Tabela1[[#This Row],[DATA REAL - TREINAMENTOS]]&lt;&gt;""),1)</f>
        <v>1</v>
      </c>
      <c r="L76" s="15" cm="1">
        <f t="array" aca="1" ref="L7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TREIN.]]="",$AY76&gt;$AW$1),2,
AND(Tabela1[[#This Row],[STATUS PROCESSO MOBILIZAÇÃO]]="Em andamento",Tabela1[[#This Row],[DATA REAL - CONCL. TREIN.]]="",$AY76&lt;=$AW$1),3,
AND(Tabela1[[#This Row],[STATUS PROCESSO MOBILIZAÇÃO]]="Em andamento",Tabela1[[#This Row],[DATA REAL - CONCL. TREIN.]]&lt;&gt;""),1)</f>
        <v>1</v>
      </c>
      <c r="M76" s="15" cm="1">
        <f t="array" aca="1" ref="M7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CONTRATUAL]]="",$BB76&gt;$AZ$1),2,
AND(Tabela1[[#This Row],[STATUS PROCESSO MOBILIZAÇÃO]]="Em andamento",Tabela1[[#This Row],[DATA FIM - ALTER. CONTRATUAL]]="",$BB76&lt;=$AZ$1),3,
AND(Tabela1[[#This Row],[STATUS PROCESSO MOBILIZAÇÃO]]="Em andamento",Tabela1[[#This Row],[DATA FIM - ALTER. CONTRATUAL]]&lt;&gt;""),1)</f>
        <v>0</v>
      </c>
      <c r="N76" s="16" cm="1">
        <f t="array" aca="1" ref="N7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DOSSIÊ]]="",$BE76&gt;$BC$1),2,
AND(Tabela1[[#This Row],[STATUS PROCESSO MOBILIZAÇÃO]]="Em andamento",Tabela1[[#This Row],[DATA REAL - DOSSIÊ]]="",$BE76&lt;=$BC$1),3,
AND(Tabela1[[#This Row],[STATUS PROCESSO MOBILIZAÇÃO]]="Em andamento",Tabela1[[#This Row],[DATA REAL - DOSSIÊ]]&lt;&gt;""),1)</f>
        <v>1</v>
      </c>
      <c r="O76" s="16" cm="1">
        <f t="array" aca="1" ref="O7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POSTAGEM]]="",$BH76&gt;$BF$1),2,
AND(Tabela1[[#This Row],[STATUS PROCESSO MOBILIZAÇÃO]]="Em andamento",Tabela1[[#This Row],[DATA REAL - POSTAGEM]]="",$BH76&lt;=$BF$1),3,
AND(Tabela1[[#This Row],[STATUS PROCESSO MOBILIZAÇÃO]]="Em andamento",Tabela1[[#This Row],[DATA REAL - POSTAGEM]]&lt;&gt;""),1)</f>
        <v>1</v>
      </c>
      <c r="P76" s="16" cm="1">
        <f t="array" aca="1" ref="P7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FINAL]]="",$BK76&gt;$BI$1),2,
AND(Tabela1[[#This Row],[STATUS PROCESSO MOBILIZAÇÃO]]="Em andamento",Tabela1[[#This Row],[DATA REAL - APROV FINAL]]="",$BK76&lt;=$BI$1),3,
AND(Tabela1[[#This Row],[STATUS PROCESSO MOBILIZAÇÃO]]="Em andamento",Tabela1[[#This Row],[DATA REAL - APROV FINAL]]&lt;&gt;""),1)</f>
        <v>1</v>
      </c>
      <c r="Q76" s="15" cm="1">
        <f t="array" aca="1" ref="Q7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CRACHÁ]]="",$BN76&gt;$BL$1),2,
AND(Tabela1[[#This Row],[STATUS PROCESSO MOBILIZAÇÃO]]="Em andamento",Tabela1[[#This Row],[DATA REAL - CRACHÁ]]="",$BN76&lt;=$BL$1),3,
AND(Tabela1[[#This Row],[STATUS PROCESSO MOBILIZAÇÃO]]="Em andamento",Tabela1[[#This Row],[DATA REAL - CRACHÁ]]&lt;&gt;""),1)</f>
        <v>1</v>
      </c>
      <c r="R76" s="21">
        <f>IF(Tabela1[[#This Row],[DATA REAL - FORMS]]&lt;&gt;"",Tabela1[[#This Row],[DATA REAL - FORMS]]+30,Tabela1[[#This Row],[DATA PREV - FORMS]]+35)</f>
        <v>45826</v>
      </c>
      <c r="S7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45798</v>
      </c>
      <c r="T7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U7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39</v>
      </c>
      <c r="V76" s="49">
        <f>MAX(Tabela1[[#This Row],[DATA REAL - POSTAGEM]],Tabela1[[#This Row],[DATA REAL - APROV FINAL]],Tabela1[[#This Row],[DATA REAL - CRACHÁ]])-MIN(Tabela1[[#This Row],[DATA REAL - POSTAGEM]],Tabela1[[#This Row],[DATA REAL - APROV FINAL]],Tabela1[[#This Row],[DATA REAL - CRACHÁ]])+1</f>
        <v>1</v>
      </c>
      <c r="W7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6" s="15" t="s">
        <v>355</v>
      </c>
      <c r="Y76" s="16" t="s">
        <v>150</v>
      </c>
      <c r="Z76" s="18" t="s">
        <v>152</v>
      </c>
      <c r="AA76" s="18" t="s">
        <v>152</v>
      </c>
      <c r="AB76" s="16" t="s">
        <v>97</v>
      </c>
      <c r="AC76" s="16" t="s">
        <v>357</v>
      </c>
      <c r="AD76" s="16" t="s">
        <v>357</v>
      </c>
      <c r="AE76" s="16" t="s">
        <v>358</v>
      </c>
      <c r="AF76" s="16" t="s">
        <v>359</v>
      </c>
      <c r="AG76" s="16" t="str">
        <f>_xlfn.XLOOKUP(Tabela1[[#This Row],[CÓD. CT]],Controle_Projetos[COD CT],Controle_Projetos[COD PHD],"")</f>
        <v>BEMI-CT02-GERE</v>
      </c>
      <c r="AH76" s="21"/>
      <c r="AI76" s="75">
        <v>45757</v>
      </c>
      <c r="AJ76" s="16" t="str" cm="1">
        <f t="array" aca="1" ref="AJ7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6" s="21">
        <v>45777</v>
      </c>
      <c r="AL76" s="74">
        <v>45796</v>
      </c>
      <c r="AM76" s="16" cm="1">
        <f t="array" aca="1" ref="AM7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20</v>
      </c>
      <c r="AN76" s="21">
        <f>Tabela1[[#This Row],[DATA PREV - FORMS]]+$AN$1</f>
        <v>45784</v>
      </c>
      <c r="AO76" s="74">
        <v>45777</v>
      </c>
      <c r="AP76" s="16" cm="1">
        <f t="array" aca="1" ref="AP7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76" s="21">
        <f>Tabela1[[#This Row],[DATA PREV - EXAMES]]+$AQ$1</f>
        <v>45786</v>
      </c>
      <c r="AR76" s="74">
        <v>45786</v>
      </c>
      <c r="AS76" s="15" cm="1">
        <f t="array" aca="1" ref="AS7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76" s="21">
        <f>Tabela1[[#This Row],[DATA PREV - FORMS]]+$AT$1</f>
        <v>45778</v>
      </c>
      <c r="AU76" s="74">
        <v>45779</v>
      </c>
      <c r="AV76" s="15" cm="1">
        <f t="array" aca="1" ref="AV7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76" s="21">
        <f>Tabela1[[#This Row],[DATA PREV - TREINAMENTOS]]+$AW$1</f>
        <v>45785</v>
      </c>
      <c r="AX76" s="74">
        <v>45786</v>
      </c>
      <c r="AY76" s="15" cm="1">
        <f t="array" aca="1" ref="AY7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76" s="24">
        <v>45758</v>
      </c>
      <c r="BA76" s="74"/>
      <c r="BB76" s="15" cm="1">
        <f t="array" aca="1" ref="BB7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76" s="21">
        <f>Tabela1[[#This Row],[DATA PREV - CONCL. TREIN.]]+$BC$1</f>
        <v>45787</v>
      </c>
      <c r="BD76" s="74">
        <v>45789</v>
      </c>
      <c r="BE76" s="15" cm="1">
        <f t="array" aca="1" ref="BE7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76" s="21">
        <f>Tabela1[[#This Row],[DATA PREV - DOSSIÊ]]+$BF$1</f>
        <v>45790</v>
      </c>
      <c r="BG76" s="74">
        <v>45798</v>
      </c>
      <c r="BH76" s="15" cm="1">
        <f t="array" aca="1" ref="BH7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76" s="21">
        <f>Tabela1[[#This Row],[DATA PREV - POSTAGEM]]+$BI$1</f>
        <v>45796</v>
      </c>
      <c r="BJ76" s="74">
        <v>45798</v>
      </c>
      <c r="BK76" s="15" cm="1">
        <f t="array" aca="1" ref="BK7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76" s="21">
        <f>Tabela1[[#This Row],[DATA PREV - APROV FINAL]]+$BL$1</f>
        <v>45797</v>
      </c>
      <c r="BM76" s="74">
        <v>45798</v>
      </c>
      <c r="BN76" s="15" cm="1">
        <f t="array" aca="1" ref="BN7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76" s="80" t="s">
        <v>370</v>
      </c>
    </row>
    <row r="77" spans="2:67" ht="18" hidden="1" customHeight="1" x14ac:dyDescent="0.35">
      <c r="B77" s="14" t="s">
        <v>79</v>
      </c>
      <c r="C77" s="16" t="s">
        <v>136</v>
      </c>
      <c r="D77" s="16" t="s">
        <v>81</v>
      </c>
      <c r="E77" s="16"/>
      <c r="F77" s="16" t="s">
        <v>350</v>
      </c>
      <c r="G77" s="16" cm="1">
        <f t="array" ref="G77">_xlfn.IFS(Tabela1[[#This Row],[STATUS PROCESSO MOBILIZAÇÃO]]="Finalizado",1,Tabela1[[#This Row],[STATUS PROCESSO MOBILIZAÇÃO]]="Cancelado",2,Tabela1[[#This Row],[STATUS PROCESSO MOBILIZAÇÃO]]="Em andamento",3)</f>
        <v>1</v>
      </c>
      <c r="H77" s="16" cm="1">
        <f t="array" aca="1" ref="H7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FORMS]]="",$AM77&gt;$AK$1),2,
AND(Tabela1[[#This Row],[STATUS PROCESSO MOBILIZAÇÃO]]="Em andamento",Tabela1[[#This Row],[DATA REAL - FORMS]]="",$AM77&lt;=$AK$1),3,
AND(Tabela1[[#This Row],[STATUS PROCESSO MOBILIZAÇÃO]]="Em andamento",Tabela1[[#This Row],[DATA REAL - FORMS]]&lt;&gt;""),1)</f>
        <v>1</v>
      </c>
      <c r="I77" s="16" cm="1">
        <f t="array" aca="1" ref="I7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EXAMES]]="",$AP77&gt;$AN$1),2,
AND(Tabela1[[#This Row],[STATUS PROCESSO MOBILIZAÇÃO]]="Em andamento",Tabela1[[#This Row],[DATA REAL - EXAMES]]="",$AP77&lt;=$AN$1),3,
AND(Tabela1[[#This Row],[STATUS PROCESSO MOBILIZAÇÃO]]="Em andamento",Tabela1[[#This Row],[DATA REAL - EXAMES]]&lt;&gt;""),1)</f>
        <v>1</v>
      </c>
      <c r="J77" s="16" cm="1">
        <f t="array" aca="1" ref="J7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ASO]]="",$AS77&gt;$AQ$1),2,
AND(Tabela1[[#This Row],[STATUS PROCESSO MOBILIZAÇÃO]]="Em andamento",Tabela1[[#This Row],[DATA REAL - ASO]]="",$AS77&lt;=$AQ$1),3,
AND(Tabela1[[#This Row],[STATUS PROCESSO MOBILIZAÇÃO]]="Em andamento",Tabela1[[#This Row],[DATA REAL - ASO]]&lt;&gt;""),1)</f>
        <v>1</v>
      </c>
      <c r="K77" s="15" cm="1">
        <f t="array" aca="1" ref="K7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TREINAMENTOS]]="",$AV77&gt;$AT$1),2,
AND(Tabela1[[#This Row],[STATUS PROCESSO MOBILIZAÇÃO]]="Em andamento",Tabela1[[#This Row],[DATA REAL - TREINAMENTOS]]="",$AV77&lt;=$AT$1),3,
AND(Tabela1[[#This Row],[STATUS PROCESSO MOBILIZAÇÃO]]="Em andamento",Tabela1[[#This Row],[DATA REAL - TREINAMENTOS]]&lt;&gt;""),1)</f>
        <v>1</v>
      </c>
      <c r="L77" s="15" cm="1">
        <f t="array" aca="1" ref="L7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TREIN.]]="",$AY77&gt;$AW$1),2,
AND(Tabela1[[#This Row],[STATUS PROCESSO MOBILIZAÇÃO]]="Em andamento",Tabela1[[#This Row],[DATA REAL - CONCL. TREIN.]]="",$AY77&lt;=$AW$1),3,
AND(Tabela1[[#This Row],[STATUS PROCESSO MOBILIZAÇÃO]]="Em andamento",Tabela1[[#This Row],[DATA REAL - CONCL. TREIN.]]&lt;&gt;""),1)</f>
        <v>1</v>
      </c>
      <c r="M77" s="15" cm="1">
        <f t="array" aca="1" ref="M7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CONTRATUAL]]="",$BB77&gt;$AZ$1),2,
AND(Tabela1[[#This Row],[STATUS PROCESSO MOBILIZAÇÃO]]="Em andamento",Tabela1[[#This Row],[DATA FIM - ALTER. CONTRATUAL]]="",$BB77&lt;=$AZ$1),3,
AND(Tabela1[[#This Row],[STATUS PROCESSO MOBILIZAÇÃO]]="Em andamento",Tabela1[[#This Row],[DATA FIM - ALTER. CONTRATUAL]]&lt;&gt;""),1)</f>
        <v>1</v>
      </c>
      <c r="N77" s="16" cm="1">
        <f t="array" aca="1" ref="N7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DOSSIÊ]]="",$BE77&gt;$BC$1),2,
AND(Tabela1[[#This Row],[STATUS PROCESSO MOBILIZAÇÃO]]="Em andamento",Tabela1[[#This Row],[DATA REAL - DOSSIÊ]]="",$BE77&lt;=$BC$1),3,
AND(Tabela1[[#This Row],[STATUS PROCESSO MOBILIZAÇÃO]]="Em andamento",Tabela1[[#This Row],[DATA REAL - DOSSIÊ]]&lt;&gt;""),1)</f>
        <v>1</v>
      </c>
      <c r="O77" s="16" cm="1">
        <f t="array" aca="1" ref="O7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POSTAGEM]]="",$BH77&gt;$BF$1),2,
AND(Tabela1[[#This Row],[STATUS PROCESSO MOBILIZAÇÃO]]="Em andamento",Tabela1[[#This Row],[DATA REAL - POSTAGEM]]="",$BH77&lt;=$BF$1),3,
AND(Tabela1[[#This Row],[STATUS PROCESSO MOBILIZAÇÃO]]="Em andamento",Tabela1[[#This Row],[DATA REAL - POSTAGEM]]&lt;&gt;""),1)</f>
        <v>1</v>
      </c>
      <c r="P77" s="16" cm="1">
        <f t="array" aca="1" ref="P7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FINAL]]="",$BK77&gt;$BI$1),2,
AND(Tabela1[[#This Row],[STATUS PROCESSO MOBILIZAÇÃO]]="Em andamento",Tabela1[[#This Row],[DATA REAL - APROV FINAL]]="",$BK77&lt;=$BI$1),3,
AND(Tabela1[[#This Row],[STATUS PROCESSO MOBILIZAÇÃO]]="Em andamento",Tabela1[[#This Row],[DATA REAL - APROV FINAL]]&lt;&gt;""),1)</f>
        <v>1</v>
      </c>
      <c r="Q77" s="15" cm="1">
        <f t="array" aca="1" ref="Q7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CRACHÁ]]="",$BN77&gt;$BL$1),2,
AND(Tabela1[[#This Row],[STATUS PROCESSO MOBILIZAÇÃO]]="Em andamento",Tabela1[[#This Row],[DATA REAL - CRACHÁ]]="",$BN77&lt;=$BL$1),3,
AND(Tabela1[[#This Row],[STATUS PROCESSO MOBILIZAÇÃO]]="Em andamento",Tabela1[[#This Row],[DATA REAL - CRACHÁ]]&lt;&gt;""),1)</f>
        <v>1</v>
      </c>
      <c r="R77" s="21">
        <f>IF(Tabela1[[#This Row],[DATA REAL - FORMS]]&lt;&gt;"",Tabela1[[#This Row],[DATA REAL - FORMS]]+30,Tabela1[[#This Row],[DATA PREV - FORMS]]+35)</f>
        <v>45815</v>
      </c>
      <c r="S7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45824</v>
      </c>
      <c r="T7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232</v>
      </c>
      <c r="U7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207</v>
      </c>
      <c r="V77" s="49">
        <f>MAX(Tabela1[[#This Row],[DATA REAL - POSTAGEM]],Tabela1[[#This Row],[DATA REAL - APROV FINAL]],Tabela1[[#This Row],[DATA REAL - CRACHÁ]])-MIN(Tabela1[[#This Row],[DATA REAL - POSTAGEM]],Tabela1[[#This Row],[DATA REAL - APROV FINAL]],Tabela1[[#This Row],[DATA REAL - CRACHÁ]])+1</f>
        <v>25</v>
      </c>
      <c r="W7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7" s="15" t="s">
        <v>103</v>
      </c>
      <c r="Y77" s="16" t="s">
        <v>84</v>
      </c>
      <c r="Z77" s="18" t="s">
        <v>104</v>
      </c>
      <c r="AA77" s="18" t="s">
        <v>86</v>
      </c>
      <c r="AB77" s="16" t="s">
        <v>97</v>
      </c>
      <c r="AC77" s="16" t="s">
        <v>219</v>
      </c>
      <c r="AD77" s="16" t="s">
        <v>184</v>
      </c>
      <c r="AE77" s="16" t="s">
        <v>220</v>
      </c>
      <c r="AF77" s="16" t="s">
        <v>221</v>
      </c>
      <c r="AG77" s="16" t="str">
        <f>_xlfn.XLOOKUP(Tabela1[[#This Row],[CÓD. CT]],Controle_Projetos[COD CT],Controle_Projetos[COD PHD],"")</f>
        <v>CRET-CT01-TANQ</v>
      </c>
      <c r="AH77" s="21">
        <v>45785</v>
      </c>
      <c r="AI77" s="75">
        <v>45592</v>
      </c>
      <c r="AJ77" s="16" t="str" cm="1">
        <f t="array" aca="1" ref="AJ7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7" s="21">
        <v>45785</v>
      </c>
      <c r="AL77" s="74">
        <v>45785</v>
      </c>
      <c r="AM77" s="16" cm="1">
        <f t="array" aca="1" ref="AM7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7" s="21">
        <f>Tabela1[[#This Row],[DATA PREV - FORMS]]+$AN$1</f>
        <v>45792</v>
      </c>
      <c r="AO77" s="74">
        <v>45786</v>
      </c>
      <c r="AP77" s="16" cm="1">
        <f t="array" aca="1" ref="AP7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77" s="21">
        <f>Tabela1[[#This Row],[DATA PREV - EXAMES]]+$AQ$1</f>
        <v>45794</v>
      </c>
      <c r="AR77" s="74">
        <v>45799</v>
      </c>
      <c r="AS77" s="15" cm="1">
        <f t="array" aca="1" ref="AS7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77" s="21">
        <f>Tabela1[[#This Row],[DATA PREV - FORMS]]+$AT$1</f>
        <v>45786</v>
      </c>
      <c r="AU77" s="74">
        <v>45789</v>
      </c>
      <c r="AV77" s="15" cm="1">
        <f t="array" aca="1" ref="AV7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77" s="21">
        <f>Tabela1[[#This Row],[DATA PREV - TREINAMENTOS]]+$AW$1</f>
        <v>45793</v>
      </c>
      <c r="AX77" s="74">
        <v>45789</v>
      </c>
      <c r="AY77" s="15" cm="1">
        <f t="array" aca="1" ref="AY7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77" s="24">
        <v>45776</v>
      </c>
      <c r="BA77" s="74">
        <v>45789</v>
      </c>
      <c r="BB77" s="15" cm="1">
        <f t="array" aca="1" ref="BB7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v>
      </c>
      <c r="BC77" s="21">
        <f>Tabela1[[#This Row],[DATA PREV - CONCL. TREIN.]]+$BC$1</f>
        <v>45795</v>
      </c>
      <c r="BD77" s="74">
        <v>45799</v>
      </c>
      <c r="BE77" s="15" cm="1">
        <f t="array" aca="1" ref="BE7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77" s="21">
        <f>Tabela1[[#This Row],[DATA PREV - DOSSIÊ]]+$BF$1</f>
        <v>45798</v>
      </c>
      <c r="BG77" s="74">
        <v>45800</v>
      </c>
      <c r="BH77" s="15" cm="1">
        <f t="array" aca="1" ref="BH7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77" s="21">
        <f>Tabela1[[#This Row],[DATA PREV - POSTAGEM]]+$BI$1</f>
        <v>45804</v>
      </c>
      <c r="BJ77" s="74">
        <v>45814</v>
      </c>
      <c r="BK77" s="15" cm="1">
        <f t="array" aca="1" ref="BK7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77" s="21">
        <f>Tabela1[[#This Row],[DATA PREV - APROV FINAL]]+$BL$1</f>
        <v>45805</v>
      </c>
      <c r="BM77" s="74">
        <v>45824</v>
      </c>
      <c r="BN77" s="15" cm="1">
        <f t="array" aca="1" ref="BN7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20</v>
      </c>
      <c r="BO77" s="80" t="s">
        <v>371</v>
      </c>
    </row>
    <row r="78" spans="2:67" ht="18" hidden="1" customHeight="1" x14ac:dyDescent="0.35">
      <c r="B78" s="14" t="s">
        <v>79</v>
      </c>
      <c r="C78" s="16" t="s">
        <v>136</v>
      </c>
      <c r="D78" s="16" t="s">
        <v>81</v>
      </c>
      <c r="E78" s="16"/>
      <c r="F78" s="16" t="s">
        <v>217</v>
      </c>
      <c r="G78" s="16" cm="1">
        <f t="array" ref="G78">_xlfn.IFS(Tabela1[[#This Row],[STATUS PROCESSO MOBILIZAÇÃO]]="Finalizado",1,Tabela1[[#This Row],[STATUS PROCESSO MOBILIZAÇÃO]]="Cancelado",2,Tabela1[[#This Row],[STATUS PROCESSO MOBILIZAÇÃO]]="Em andamento",3)</f>
        <v>1</v>
      </c>
      <c r="H78" s="16" cm="1">
        <f t="array" aca="1" ref="H7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FORMS]]="",$AM78&gt;$AK$1),2,
AND(Tabela1[[#This Row],[STATUS PROCESSO MOBILIZAÇÃO]]="Em andamento",Tabela1[[#This Row],[DATA REAL - FORMS]]="",$AM78&lt;=$AK$1),3,
AND(Tabela1[[#This Row],[STATUS PROCESSO MOBILIZAÇÃO]]="Em andamento",Tabela1[[#This Row],[DATA REAL - FORMS]]&lt;&gt;""),1)</f>
        <v>1</v>
      </c>
      <c r="I78" s="16" cm="1">
        <f t="array" aca="1" ref="I7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EXAMES]]="",$AP78&gt;$AN$1),2,
AND(Tabela1[[#This Row],[STATUS PROCESSO MOBILIZAÇÃO]]="Em andamento",Tabela1[[#This Row],[DATA REAL - EXAMES]]="",$AP78&lt;=$AN$1),3,
AND(Tabela1[[#This Row],[STATUS PROCESSO MOBILIZAÇÃO]]="Em andamento",Tabela1[[#This Row],[DATA REAL - EXAMES]]&lt;&gt;""),1)</f>
        <v>1</v>
      </c>
      <c r="J78" s="16" cm="1">
        <f t="array" aca="1" ref="J7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ASO]]="",$AS78&gt;$AQ$1),2,
AND(Tabela1[[#This Row],[STATUS PROCESSO MOBILIZAÇÃO]]="Em andamento",Tabela1[[#This Row],[DATA REAL - ASO]]="",$AS78&lt;=$AQ$1),3,
AND(Tabela1[[#This Row],[STATUS PROCESSO MOBILIZAÇÃO]]="Em andamento",Tabela1[[#This Row],[DATA REAL - ASO]]&lt;&gt;""),1)</f>
        <v>1</v>
      </c>
      <c r="K78" s="15" cm="1">
        <f t="array" aca="1" ref="K7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TREINAMENTOS]]="",$AV78&gt;$AT$1),2,
AND(Tabela1[[#This Row],[STATUS PROCESSO MOBILIZAÇÃO]]="Em andamento",Tabela1[[#This Row],[DATA REAL - TREINAMENTOS]]="",$AV78&lt;=$AT$1),3,
AND(Tabela1[[#This Row],[STATUS PROCESSO MOBILIZAÇÃO]]="Em andamento",Tabela1[[#This Row],[DATA REAL - TREINAMENTOS]]&lt;&gt;""),1)</f>
        <v>1</v>
      </c>
      <c r="L78" s="15" cm="1">
        <f t="array" aca="1" ref="L7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TREIN.]]="",$AY78&gt;$AW$1),2,
AND(Tabela1[[#This Row],[STATUS PROCESSO MOBILIZAÇÃO]]="Em andamento",Tabela1[[#This Row],[DATA REAL - CONCL. TREIN.]]="",$AY78&lt;=$AW$1),3,
AND(Tabela1[[#This Row],[STATUS PROCESSO MOBILIZAÇÃO]]="Em andamento",Tabela1[[#This Row],[DATA REAL - CONCL. TREIN.]]&lt;&gt;""),1)</f>
        <v>1</v>
      </c>
      <c r="M78" s="15" cm="1">
        <f t="array" aca="1" ref="M7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CONTRATUAL]]="",$BB78&gt;$AZ$1),2,
AND(Tabela1[[#This Row],[STATUS PROCESSO MOBILIZAÇÃO]]="Em andamento",Tabela1[[#This Row],[DATA FIM - ALTER. CONTRATUAL]]="",$BB78&lt;=$AZ$1),3,
AND(Tabela1[[#This Row],[STATUS PROCESSO MOBILIZAÇÃO]]="Em andamento",Tabela1[[#This Row],[DATA FIM - ALTER. CONTRATUAL]]&lt;&gt;""),1)</f>
        <v>1</v>
      </c>
      <c r="N78" s="16" cm="1">
        <f t="array" aca="1" ref="N7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DOSSIÊ]]="",$BE78&gt;$BC$1),2,
AND(Tabela1[[#This Row],[STATUS PROCESSO MOBILIZAÇÃO]]="Em andamento",Tabela1[[#This Row],[DATA REAL - DOSSIÊ]]="",$BE78&lt;=$BC$1),3,
AND(Tabela1[[#This Row],[STATUS PROCESSO MOBILIZAÇÃO]]="Em andamento",Tabela1[[#This Row],[DATA REAL - DOSSIÊ]]&lt;&gt;""),1)</f>
        <v>1</v>
      </c>
      <c r="O78" s="16" cm="1">
        <f t="array" aca="1" ref="O7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POSTAGEM]]="",$BH78&gt;$BF$1),2,
AND(Tabela1[[#This Row],[STATUS PROCESSO MOBILIZAÇÃO]]="Em andamento",Tabela1[[#This Row],[DATA REAL - POSTAGEM]]="",$BH78&lt;=$BF$1),3,
AND(Tabela1[[#This Row],[STATUS PROCESSO MOBILIZAÇÃO]]="Em andamento",Tabela1[[#This Row],[DATA REAL - POSTAGEM]]&lt;&gt;""),1)</f>
        <v>1</v>
      </c>
      <c r="P78" s="16" cm="1">
        <f t="array" aca="1" ref="P7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FINAL]]="",$BK78&gt;$BI$1),2,
AND(Tabela1[[#This Row],[STATUS PROCESSO MOBILIZAÇÃO]]="Em andamento",Tabela1[[#This Row],[DATA REAL - APROV FINAL]]="",$BK78&lt;=$BI$1),3,
AND(Tabela1[[#This Row],[STATUS PROCESSO MOBILIZAÇÃO]]="Em andamento",Tabela1[[#This Row],[DATA REAL - APROV FINAL]]&lt;&gt;""),1)</f>
        <v>1</v>
      </c>
      <c r="Q78" s="15" cm="1">
        <f t="array" aca="1" ref="Q7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CRACHÁ]]="",$BN78&gt;$BL$1),2,
AND(Tabela1[[#This Row],[STATUS PROCESSO MOBILIZAÇÃO]]="Em andamento",Tabela1[[#This Row],[DATA REAL - CRACHÁ]]="",$BN78&lt;=$BL$1),3,
AND(Tabela1[[#This Row],[STATUS PROCESSO MOBILIZAÇÃO]]="Em andamento",Tabela1[[#This Row],[DATA REAL - CRACHÁ]]&lt;&gt;""),1)</f>
        <v>1</v>
      </c>
      <c r="R78" s="21">
        <f>IF(Tabela1[[#This Row],[DATA REAL - FORMS]]&lt;&gt;"",Tabela1[[#This Row],[DATA REAL - FORMS]]+30,Tabela1[[#This Row],[DATA PREV - FORMS]]+35)</f>
        <v>45819</v>
      </c>
      <c r="S7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45867</v>
      </c>
      <c r="T7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275</v>
      </c>
      <c r="U7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207</v>
      </c>
      <c r="V78" s="49">
        <f>MAX(Tabela1[[#This Row],[DATA REAL - POSTAGEM]],Tabela1[[#This Row],[DATA REAL - APROV FINAL]],Tabela1[[#This Row],[DATA REAL - CRACHÁ]])-MIN(Tabela1[[#This Row],[DATA REAL - POSTAGEM]],Tabela1[[#This Row],[DATA REAL - APROV FINAL]],Tabela1[[#This Row],[DATA REAL - CRACHÁ]])+1</f>
        <v>34</v>
      </c>
      <c r="W7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8" s="15" t="s">
        <v>103</v>
      </c>
      <c r="Y78" s="16" t="s">
        <v>84</v>
      </c>
      <c r="Z78" s="18" t="s">
        <v>104</v>
      </c>
      <c r="AA78" s="18" t="s">
        <v>86</v>
      </c>
      <c r="AB78" s="16" t="s">
        <v>97</v>
      </c>
      <c r="AC78" s="16" t="s">
        <v>219</v>
      </c>
      <c r="AD78" s="16" t="s">
        <v>184</v>
      </c>
      <c r="AE78" s="16" t="s">
        <v>220</v>
      </c>
      <c r="AF78" s="16" t="s">
        <v>221</v>
      </c>
      <c r="AG78" s="16" t="str">
        <f>_xlfn.XLOOKUP(Tabela1[[#This Row],[CÓD. CT]],Controle_Projetos[COD CT],Controle_Projetos[COD PHD],"")</f>
        <v>CRET-CT01-TANQ</v>
      </c>
      <c r="AH78" s="21">
        <v>45789</v>
      </c>
      <c r="AI78" s="75">
        <v>45592</v>
      </c>
      <c r="AJ78" s="16" t="str" cm="1">
        <f t="array" aca="1" ref="AJ7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8" s="21">
        <v>45789</v>
      </c>
      <c r="AL78" s="74">
        <v>45789</v>
      </c>
      <c r="AM78" s="16" cm="1">
        <f t="array" aca="1" ref="AM7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8" s="21">
        <f>Tabela1[[#This Row],[DATA PREV - FORMS]]+$AN$1</f>
        <v>45796</v>
      </c>
      <c r="AO78" s="74">
        <v>45789</v>
      </c>
      <c r="AP78" s="16" cm="1">
        <f t="array" aca="1" ref="AP7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78" s="21">
        <f>Tabela1[[#This Row],[DATA PREV - EXAMES]]+$AQ$1</f>
        <v>45798</v>
      </c>
      <c r="AR78" s="74">
        <v>45799</v>
      </c>
      <c r="AS78" s="15" cm="1">
        <f t="array" aca="1" ref="AS7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78" s="21">
        <f>Tabela1[[#This Row],[DATA PREV - FORMS]]+$AT$1</f>
        <v>45790</v>
      </c>
      <c r="AU78" s="74">
        <v>45789</v>
      </c>
      <c r="AV78" s="15" cm="1">
        <f t="array" aca="1" ref="AV7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78" s="21">
        <f>Tabela1[[#This Row],[DATA PREV - TREINAMENTOS]]+$AW$1</f>
        <v>45797</v>
      </c>
      <c r="AX78" s="74">
        <v>45789</v>
      </c>
      <c r="AY78" s="15" cm="1">
        <f t="array" aca="1" ref="AY7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78" s="24">
        <v>45789</v>
      </c>
      <c r="BA78" s="74">
        <v>45789</v>
      </c>
      <c r="BB78" s="15" cm="1">
        <f t="array" aca="1" ref="BB7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78" s="21">
        <f>Tabela1[[#This Row],[DATA PREV - CONCL. TREIN.]]+$BC$1</f>
        <v>45799</v>
      </c>
      <c r="BD78" s="74">
        <v>45799</v>
      </c>
      <c r="BE78" s="15" cm="1">
        <f t="array" aca="1" ref="BE7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78" s="21">
        <f>Tabela1[[#This Row],[DATA PREV - DOSSIÊ]]+$BF$1</f>
        <v>45802</v>
      </c>
      <c r="BG78" s="74">
        <v>45834</v>
      </c>
      <c r="BH78" s="15" cm="1">
        <f t="array" aca="1" ref="BH7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33</v>
      </c>
      <c r="BI78" s="21">
        <f>Tabela1[[#This Row],[DATA PREV - POSTAGEM]]+$BI$1</f>
        <v>45808</v>
      </c>
      <c r="BJ78" s="74">
        <v>45867</v>
      </c>
      <c r="BK78" s="15" cm="1">
        <f t="array" aca="1" ref="BK7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60</v>
      </c>
      <c r="BL78" s="21">
        <f>Tabela1[[#This Row],[DATA PREV - APROV FINAL]]+$BL$1</f>
        <v>45809</v>
      </c>
      <c r="BM78" s="74">
        <v>45867</v>
      </c>
      <c r="BN78" s="15" cm="1">
        <f t="array" aca="1" ref="BN7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59</v>
      </c>
      <c r="BO78" s="80" t="s">
        <v>372</v>
      </c>
    </row>
    <row r="79" spans="2:67" ht="18" hidden="1" customHeight="1" x14ac:dyDescent="0.35">
      <c r="B79" s="14" t="s">
        <v>79</v>
      </c>
      <c r="C79" s="16" t="s">
        <v>136</v>
      </c>
      <c r="D79" s="16" t="s">
        <v>81</v>
      </c>
      <c r="E79" s="16"/>
      <c r="F79" s="16" t="s">
        <v>373</v>
      </c>
      <c r="G79" s="16" cm="1">
        <f t="array" ref="G79">_xlfn.IFS(Tabela1[[#This Row],[STATUS PROCESSO MOBILIZAÇÃO]]="Finalizado",1,Tabela1[[#This Row],[STATUS PROCESSO MOBILIZAÇÃO]]="Cancelado",2,Tabela1[[#This Row],[STATUS PROCESSO MOBILIZAÇÃO]]="Em andamento",3)</f>
        <v>1</v>
      </c>
      <c r="H79" s="16" cm="1">
        <f t="array" aca="1" ref="H7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FORMS]]="",$AM79&gt;$AK$1),2,
AND(Tabela1[[#This Row],[STATUS PROCESSO MOBILIZAÇÃO]]="Em andamento",Tabela1[[#This Row],[DATA REAL - FORMS]]="",$AM79&lt;=$AK$1),3,
AND(Tabela1[[#This Row],[STATUS PROCESSO MOBILIZAÇÃO]]="Em andamento",Tabela1[[#This Row],[DATA REAL - FORMS]]&lt;&gt;""),1)</f>
        <v>1</v>
      </c>
      <c r="I79" s="16" cm="1">
        <f t="array" aca="1" ref="I7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EXAMES]]="",$AP79&gt;$AN$1),2,
AND(Tabela1[[#This Row],[STATUS PROCESSO MOBILIZAÇÃO]]="Em andamento",Tabela1[[#This Row],[DATA REAL - EXAMES]]="",$AP79&lt;=$AN$1),3,
AND(Tabela1[[#This Row],[STATUS PROCESSO MOBILIZAÇÃO]]="Em andamento",Tabela1[[#This Row],[DATA REAL - EXAMES]]&lt;&gt;""),1)</f>
        <v>1</v>
      </c>
      <c r="J79" s="16" cm="1">
        <f t="array" aca="1" ref="J7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ASO]]="",$AS79&gt;$AQ$1),2,
AND(Tabela1[[#This Row],[STATUS PROCESSO MOBILIZAÇÃO]]="Em andamento",Tabela1[[#This Row],[DATA REAL - ASO]]="",$AS79&lt;=$AQ$1),3,
AND(Tabela1[[#This Row],[STATUS PROCESSO MOBILIZAÇÃO]]="Em andamento",Tabela1[[#This Row],[DATA REAL - ASO]]&lt;&gt;""),1)</f>
        <v>1</v>
      </c>
      <c r="K79" s="15" cm="1">
        <f t="array" aca="1" ref="K7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TREINAMENTOS]]="",$AV79&gt;$AT$1),2,
AND(Tabela1[[#This Row],[STATUS PROCESSO MOBILIZAÇÃO]]="Em andamento",Tabela1[[#This Row],[DATA REAL - TREINAMENTOS]]="",$AV79&lt;=$AT$1),3,
AND(Tabela1[[#This Row],[STATUS PROCESSO MOBILIZAÇÃO]]="Em andamento",Tabela1[[#This Row],[DATA REAL - TREINAMENTOS]]&lt;&gt;""),1)</f>
        <v>1</v>
      </c>
      <c r="L79" s="15" cm="1">
        <f t="array" aca="1" ref="L7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TREIN.]]="",$AY79&gt;$AW$1),2,
AND(Tabela1[[#This Row],[STATUS PROCESSO MOBILIZAÇÃO]]="Em andamento",Tabela1[[#This Row],[DATA REAL - CONCL. TREIN.]]="",$AY79&lt;=$AW$1),3,
AND(Tabela1[[#This Row],[STATUS PROCESSO MOBILIZAÇÃO]]="Em andamento",Tabela1[[#This Row],[DATA REAL - CONCL. TREIN.]]&lt;&gt;""),1)</f>
        <v>1</v>
      </c>
      <c r="M79" s="15" cm="1">
        <f t="array" aca="1" ref="M7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CONTRATUAL]]="",$BB79&gt;$AZ$1),2,
AND(Tabela1[[#This Row],[STATUS PROCESSO MOBILIZAÇÃO]]="Em andamento",Tabela1[[#This Row],[DATA FIM - ALTER. CONTRATUAL]]="",$BB79&lt;=$AZ$1),3,
AND(Tabela1[[#This Row],[STATUS PROCESSO MOBILIZAÇÃO]]="Em andamento",Tabela1[[#This Row],[DATA FIM - ALTER. CONTRATUAL]]&lt;&gt;""),1)</f>
        <v>0</v>
      </c>
      <c r="N79" s="16" cm="1">
        <f t="array" aca="1" ref="N7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DOSSIÊ]]="",$BE79&gt;$BC$1),2,
AND(Tabela1[[#This Row],[STATUS PROCESSO MOBILIZAÇÃO]]="Em andamento",Tabela1[[#This Row],[DATA REAL - DOSSIÊ]]="",$BE79&lt;=$BC$1),3,
AND(Tabela1[[#This Row],[STATUS PROCESSO MOBILIZAÇÃO]]="Em andamento",Tabela1[[#This Row],[DATA REAL - DOSSIÊ]]&lt;&gt;""),1)</f>
        <v>1</v>
      </c>
      <c r="O79" s="16" cm="1">
        <f t="array" aca="1" ref="O7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POSTAGEM]]="",$BH79&gt;$BF$1),2,
AND(Tabela1[[#This Row],[STATUS PROCESSO MOBILIZAÇÃO]]="Em andamento",Tabela1[[#This Row],[DATA REAL - POSTAGEM]]="",$BH79&lt;=$BF$1),3,
AND(Tabela1[[#This Row],[STATUS PROCESSO MOBILIZAÇÃO]]="Em andamento",Tabela1[[#This Row],[DATA REAL - POSTAGEM]]&lt;&gt;""),1)</f>
        <v>1</v>
      </c>
      <c r="P79" s="16" cm="1">
        <f t="array" aca="1" ref="P7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FINAL]]="",$BK79&gt;$BI$1),2,
AND(Tabela1[[#This Row],[STATUS PROCESSO MOBILIZAÇÃO]]="Em andamento",Tabela1[[#This Row],[DATA REAL - APROV FINAL]]="",$BK79&lt;=$BI$1),3,
AND(Tabela1[[#This Row],[STATUS PROCESSO MOBILIZAÇÃO]]="Em andamento",Tabela1[[#This Row],[DATA REAL - APROV FINAL]]&lt;&gt;""),1)</f>
        <v>1</v>
      </c>
      <c r="Q79" s="15" cm="1">
        <f t="array" aca="1" ref="Q7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CRACHÁ]]="",$BN79&gt;$BL$1),2,
AND(Tabela1[[#This Row],[STATUS PROCESSO MOBILIZAÇÃO]]="Em andamento",Tabela1[[#This Row],[DATA REAL - CRACHÁ]]="",$BN79&lt;=$BL$1),3,
AND(Tabela1[[#This Row],[STATUS PROCESSO MOBILIZAÇÃO]]="Em andamento",Tabela1[[#This Row],[DATA REAL - CRACHÁ]]&lt;&gt;""),1)</f>
        <v>1</v>
      </c>
      <c r="R79" s="21">
        <f>IF(Tabela1[[#This Row],[DATA REAL - FORMS]]&lt;&gt;"",Tabela1[[#This Row],[DATA REAL - FORMS]]+30,Tabela1[[#This Row],[DATA PREV - FORMS]]+35)</f>
        <v>45819</v>
      </c>
      <c r="S7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45818</v>
      </c>
      <c r="T7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266</v>
      </c>
      <c r="U7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255</v>
      </c>
      <c r="V79" s="49">
        <f>MAX(Tabela1[[#This Row],[DATA REAL - POSTAGEM]],Tabela1[[#This Row],[DATA REAL - APROV FINAL]],Tabela1[[#This Row],[DATA REAL - CRACHÁ]])-MIN(Tabela1[[#This Row],[DATA REAL - POSTAGEM]],Tabela1[[#This Row],[DATA REAL - APROV FINAL]],Tabela1[[#This Row],[DATA REAL - CRACHÁ]])+1</f>
        <v>6</v>
      </c>
      <c r="W7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79" s="15" t="s">
        <v>83</v>
      </c>
      <c r="Y79" s="16" t="s">
        <v>84</v>
      </c>
      <c r="Z79" s="18" t="s">
        <v>85</v>
      </c>
      <c r="AA79" s="18" t="s">
        <v>86</v>
      </c>
      <c r="AB79" s="16" t="s">
        <v>87</v>
      </c>
      <c r="AC79" s="16" t="s">
        <v>88</v>
      </c>
      <c r="AD79" s="16" t="s">
        <v>89</v>
      </c>
      <c r="AE79" s="16" t="s">
        <v>90</v>
      </c>
      <c r="AF79" s="16" t="s">
        <v>91</v>
      </c>
      <c r="AG79" s="16" t="str">
        <f>_xlfn.XLOOKUP(Tabela1[[#This Row],[CÓD. CT]],Controle_Projetos[COD CT],Controle_Projetos[COD PHD],"")</f>
        <v>IMCS-CT08-ABOB</v>
      </c>
      <c r="AH79" s="21">
        <v>45789</v>
      </c>
      <c r="AI79" s="75">
        <v>45552</v>
      </c>
      <c r="AJ79" s="16" t="str" cm="1">
        <f t="array" aca="1" ref="AJ7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79" s="21">
        <v>45789</v>
      </c>
      <c r="AL79" s="74">
        <v>45789</v>
      </c>
      <c r="AM79" s="16" cm="1">
        <f t="array" aca="1" ref="AM7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79" s="21">
        <f>Tabela1[[#This Row],[DATA PREV - FORMS]]+$AN$1</f>
        <v>45796</v>
      </c>
      <c r="AO79" s="74">
        <v>45791</v>
      </c>
      <c r="AP79" s="16" cm="1">
        <f t="array" aca="1" ref="AP7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79" s="21">
        <f>Tabela1[[#This Row],[DATA PREV - EXAMES]]+$AQ$1</f>
        <v>45798</v>
      </c>
      <c r="AR79" s="74">
        <v>45806</v>
      </c>
      <c r="AS79" s="15" cm="1">
        <f t="array" aca="1" ref="AS7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9</v>
      </c>
      <c r="AT79" s="21">
        <f>Tabela1[[#This Row],[DATA PREV - FORMS]]+$AT$1</f>
        <v>45790</v>
      </c>
      <c r="AU79" s="74">
        <v>45789</v>
      </c>
      <c r="AV79" s="15" cm="1">
        <f t="array" aca="1" ref="AV7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79" s="21">
        <f>Tabela1[[#This Row],[DATA PREV - TREINAMENTOS]]+$AW$1</f>
        <v>45797</v>
      </c>
      <c r="AX79" s="74">
        <v>45789</v>
      </c>
      <c r="AY79" s="15" cm="1">
        <f t="array" aca="1" ref="AY7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79" s="24">
        <v>45356</v>
      </c>
      <c r="BA79" s="74"/>
      <c r="BB79" s="15" cm="1">
        <f t="array" aca="1" ref="BB7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79" s="21">
        <f>Tabela1[[#This Row],[DATA PREV - CONCL. TREIN.]]+$BC$1</f>
        <v>45799</v>
      </c>
      <c r="BD79" s="74">
        <v>45807</v>
      </c>
      <c r="BE79" s="15" cm="1">
        <f t="array" aca="1" ref="BE7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79" s="21">
        <f>Tabela1[[#This Row],[DATA PREV - DOSSIÊ]]+$BF$1</f>
        <v>45802</v>
      </c>
      <c r="BG79" s="74">
        <v>45813</v>
      </c>
      <c r="BH79" s="15" cm="1">
        <f t="array" aca="1" ref="BH7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79" s="21">
        <f>Tabela1[[#This Row],[DATA PREV - POSTAGEM]]+$BI$1</f>
        <v>45808</v>
      </c>
      <c r="BJ79" s="74">
        <v>45818</v>
      </c>
      <c r="BK79" s="15" cm="1">
        <f t="array" aca="1" ref="BK7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79" s="21">
        <f>Tabela1[[#This Row],[DATA PREV - APROV FINAL]]+$BL$1</f>
        <v>45809</v>
      </c>
      <c r="BM79" s="74">
        <v>45818</v>
      </c>
      <c r="BN79" s="15" cm="1">
        <f t="array" aca="1" ref="BN7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79" s="80" t="s">
        <v>374</v>
      </c>
    </row>
    <row r="80" spans="2:67" ht="18" hidden="1" customHeight="1" x14ac:dyDescent="0.35">
      <c r="B80" s="14" t="s">
        <v>79</v>
      </c>
      <c r="C80" s="16" t="s">
        <v>136</v>
      </c>
      <c r="D80" s="16" t="s">
        <v>81</v>
      </c>
      <c r="E80" s="16"/>
      <c r="F80" s="16" t="s">
        <v>165</v>
      </c>
      <c r="G80" s="16" cm="1">
        <f t="array" ref="G80">_xlfn.IFS(Tabela1[[#This Row],[STATUS PROCESSO MOBILIZAÇÃO]]="Finalizado",1,Tabela1[[#This Row],[STATUS PROCESSO MOBILIZAÇÃO]]="Cancelado",2,Tabela1[[#This Row],[STATUS PROCESSO MOBILIZAÇÃO]]="Em andamento",3)</f>
        <v>1</v>
      </c>
      <c r="H80" s="16" cm="1">
        <f t="array" aca="1" ref="H8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FORMS]]="",$AM80&gt;$AK$1),2,
AND(Tabela1[[#This Row],[STATUS PROCESSO MOBILIZAÇÃO]]="Em andamento",Tabela1[[#This Row],[DATA REAL - FORMS]]="",$AM80&lt;=$AK$1),3,
AND(Tabela1[[#This Row],[STATUS PROCESSO MOBILIZAÇÃO]]="Em andamento",Tabela1[[#This Row],[DATA REAL - FORMS]]&lt;&gt;""),1)</f>
        <v>1</v>
      </c>
      <c r="I80" s="16" cm="1">
        <f t="array" aca="1" ref="I8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EXAMES]]="",$AP80&gt;$AN$1),2,
AND(Tabela1[[#This Row],[STATUS PROCESSO MOBILIZAÇÃO]]="Em andamento",Tabela1[[#This Row],[DATA REAL - EXAMES]]="",$AP80&lt;=$AN$1),3,
AND(Tabela1[[#This Row],[STATUS PROCESSO MOBILIZAÇÃO]]="Em andamento",Tabela1[[#This Row],[DATA REAL - EXAMES]]&lt;&gt;""),1)</f>
        <v>1</v>
      </c>
      <c r="J80" s="16" cm="1">
        <f t="array" aca="1" ref="J8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ASO]]="",$AS80&gt;$AQ$1),2,
AND(Tabela1[[#This Row],[STATUS PROCESSO MOBILIZAÇÃO]]="Em andamento",Tabela1[[#This Row],[DATA REAL - ASO]]="",$AS80&lt;=$AQ$1),3,
AND(Tabela1[[#This Row],[STATUS PROCESSO MOBILIZAÇÃO]]="Em andamento",Tabela1[[#This Row],[DATA REAL - ASO]]&lt;&gt;""),1)</f>
        <v>1</v>
      </c>
      <c r="K80" s="15" cm="1">
        <f t="array" aca="1" ref="K8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TREINAMENTOS]]="",$AV80&gt;$AT$1),2,
AND(Tabela1[[#This Row],[STATUS PROCESSO MOBILIZAÇÃO]]="Em andamento",Tabela1[[#This Row],[DATA REAL - TREINAMENTOS]]="",$AV80&lt;=$AT$1),3,
AND(Tabela1[[#This Row],[STATUS PROCESSO MOBILIZAÇÃO]]="Em andamento",Tabela1[[#This Row],[DATA REAL - TREINAMENTOS]]&lt;&gt;""),1)</f>
        <v>1</v>
      </c>
      <c r="L80" s="15" cm="1">
        <f t="array" aca="1" ref="L8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TREIN.]]="",$AY80&gt;$AW$1),2,
AND(Tabela1[[#This Row],[STATUS PROCESSO MOBILIZAÇÃO]]="Em andamento",Tabela1[[#This Row],[DATA REAL - CONCL. TREIN.]]="",$AY80&lt;=$AW$1),3,
AND(Tabela1[[#This Row],[STATUS PROCESSO MOBILIZAÇÃO]]="Em andamento",Tabela1[[#This Row],[DATA REAL - CONCL. TREIN.]]&lt;&gt;""),1)</f>
        <v>1</v>
      </c>
      <c r="M80" s="15" cm="1">
        <f t="array" aca="1" ref="M8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CONTRATUAL]]="",$BB80&gt;$AZ$1),2,
AND(Tabela1[[#This Row],[STATUS PROCESSO MOBILIZAÇÃO]]="Em andamento",Tabela1[[#This Row],[DATA FIM - ALTER. CONTRATUAL]]="",$BB80&lt;=$AZ$1),3,
AND(Tabela1[[#This Row],[STATUS PROCESSO MOBILIZAÇÃO]]="Em andamento",Tabela1[[#This Row],[DATA FIM - ALTER. CONTRATUAL]]&lt;&gt;""),1)</f>
        <v>1</v>
      </c>
      <c r="N80" s="16" cm="1">
        <f t="array" aca="1" ref="N8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DOSSIÊ]]="",$BE80&gt;$BC$1),2,
AND(Tabela1[[#This Row],[STATUS PROCESSO MOBILIZAÇÃO]]="Em andamento",Tabela1[[#This Row],[DATA REAL - DOSSIÊ]]="",$BE80&lt;=$BC$1),3,
AND(Tabela1[[#This Row],[STATUS PROCESSO MOBILIZAÇÃO]]="Em andamento",Tabela1[[#This Row],[DATA REAL - DOSSIÊ]]&lt;&gt;""),1)</f>
        <v>1</v>
      </c>
      <c r="O80" s="16" cm="1">
        <f t="array" aca="1" ref="O8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POSTAGEM]]="",$BH80&gt;$BF$1),2,
AND(Tabela1[[#This Row],[STATUS PROCESSO MOBILIZAÇÃO]]="Em andamento",Tabela1[[#This Row],[DATA REAL - POSTAGEM]]="",$BH80&lt;=$BF$1),3,
AND(Tabela1[[#This Row],[STATUS PROCESSO MOBILIZAÇÃO]]="Em andamento",Tabela1[[#This Row],[DATA REAL - POSTAGEM]]&lt;&gt;""),1)</f>
        <v>1</v>
      </c>
      <c r="P80" s="16" cm="1">
        <f t="array" aca="1" ref="P8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FINAL]]="",$BK80&gt;$BI$1),2,
AND(Tabela1[[#This Row],[STATUS PROCESSO MOBILIZAÇÃO]]="Em andamento",Tabela1[[#This Row],[DATA REAL - APROV FINAL]]="",$BK80&lt;=$BI$1),3,
AND(Tabela1[[#This Row],[STATUS PROCESSO MOBILIZAÇÃO]]="Em andamento",Tabela1[[#This Row],[DATA REAL - APROV FINAL]]&lt;&gt;""),1)</f>
        <v>1</v>
      </c>
      <c r="Q80" s="15" cm="1">
        <f t="array" aca="1" ref="Q8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CRACHÁ]]="",$BN80&gt;$BL$1),2,
AND(Tabela1[[#This Row],[STATUS PROCESSO MOBILIZAÇÃO]]="Em andamento",Tabela1[[#This Row],[DATA REAL - CRACHÁ]]="",$BN80&lt;=$BL$1),3,
AND(Tabela1[[#This Row],[STATUS PROCESSO MOBILIZAÇÃO]]="Em andamento",Tabela1[[#This Row],[DATA REAL - CRACHÁ]]&lt;&gt;""),1)</f>
        <v>1</v>
      </c>
      <c r="R80" s="21">
        <f>IF(Tabela1[[#This Row],[DATA REAL - FORMS]]&lt;&gt;"",Tabela1[[#This Row],[DATA REAL - FORMS]]+30,Tabela1[[#This Row],[DATA PREV - FORMS]]+35)</f>
        <v>45822</v>
      </c>
      <c r="S8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45813</v>
      </c>
      <c r="T8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260</v>
      </c>
      <c r="U8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254</v>
      </c>
      <c r="V80" s="49">
        <f>MAX(Tabela1[[#This Row],[DATA REAL - POSTAGEM]],Tabela1[[#This Row],[DATA REAL - APROV FINAL]],Tabela1[[#This Row],[DATA REAL - CRACHÁ]])-MIN(Tabela1[[#This Row],[DATA REAL - POSTAGEM]],Tabela1[[#This Row],[DATA REAL - APROV FINAL]],Tabela1[[#This Row],[DATA REAL - CRACHÁ]])+1</f>
        <v>2</v>
      </c>
      <c r="W8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0" s="15" t="s">
        <v>83</v>
      </c>
      <c r="Y80" s="16" t="s">
        <v>84</v>
      </c>
      <c r="Z80" s="18" t="s">
        <v>96</v>
      </c>
      <c r="AA80" s="18" t="s">
        <v>86</v>
      </c>
      <c r="AB80" s="16" t="s">
        <v>97</v>
      </c>
      <c r="AC80" s="16" t="s">
        <v>98</v>
      </c>
      <c r="AD80" s="16" t="s">
        <v>89</v>
      </c>
      <c r="AE80" s="16" t="s">
        <v>99</v>
      </c>
      <c r="AF80" s="16" t="s">
        <v>100</v>
      </c>
      <c r="AG80" s="16" t="str">
        <f>_xlfn.XLOOKUP(Tabela1[[#This Row],[CÓD. CT]],Controle_Projetos[COD CT],Controle_Projetos[COD PHD],"")</f>
        <v>SALU-CT08-TAMA</v>
      </c>
      <c r="AH80" s="21">
        <v>45792</v>
      </c>
      <c r="AI80" s="75">
        <v>45553</v>
      </c>
      <c r="AJ80" s="16" t="str" cm="1">
        <f t="array" aca="1" ref="AJ8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0" s="21">
        <v>45792</v>
      </c>
      <c r="AL80" s="74">
        <v>45792</v>
      </c>
      <c r="AM80" s="16" cm="1">
        <f t="array" aca="1" ref="AM8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0" s="21">
        <f>Tabela1[[#This Row],[DATA PREV - FORMS]]+$AN$1</f>
        <v>45799</v>
      </c>
      <c r="AO80" s="74">
        <v>45792</v>
      </c>
      <c r="AP80" s="16" cm="1">
        <f t="array" aca="1" ref="AP8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80" s="21">
        <f>Tabela1[[#This Row],[DATA PREV - EXAMES]]+$AQ$1</f>
        <v>45801</v>
      </c>
      <c r="AR80" s="74">
        <v>45805</v>
      </c>
      <c r="AS80" s="15" cm="1">
        <f t="array" aca="1" ref="AS8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80" s="21">
        <f>Tabela1[[#This Row],[DATA PREV - FORMS]]+$AT$1</f>
        <v>45793</v>
      </c>
      <c r="AU80" s="74">
        <v>45792</v>
      </c>
      <c r="AV80" s="15" cm="1">
        <f t="array" aca="1" ref="AV8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0" s="21">
        <f>Tabela1[[#This Row],[DATA PREV - TREINAMENTOS]]+$AW$1</f>
        <v>45800</v>
      </c>
      <c r="AX80" s="74">
        <v>45804</v>
      </c>
      <c r="AY80" s="15" cm="1">
        <f t="array" aca="1" ref="AY8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80" s="24"/>
      <c r="BA80" s="74">
        <v>45792</v>
      </c>
      <c r="BB80" s="15" t="str" cm="1">
        <f t="array" aca="1" ref="BB8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80" s="21">
        <f>Tabela1[[#This Row],[DATA PREV - CONCL. TREIN.]]+$BC$1</f>
        <v>45802</v>
      </c>
      <c r="BD80" s="74">
        <v>45807</v>
      </c>
      <c r="BE80" s="15" cm="1">
        <f t="array" aca="1" ref="BE8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80" s="21">
        <f>Tabela1[[#This Row],[DATA PREV - DOSSIÊ]]+$BF$1</f>
        <v>45805</v>
      </c>
      <c r="BG80" s="74">
        <v>45812</v>
      </c>
      <c r="BH80" s="15" cm="1">
        <f t="array" aca="1" ref="BH8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80" s="21">
        <f>Tabela1[[#This Row],[DATA PREV - POSTAGEM]]+$BI$1</f>
        <v>45811</v>
      </c>
      <c r="BJ80" s="74">
        <v>45812</v>
      </c>
      <c r="BK80" s="15" cm="1">
        <f t="array" aca="1" ref="BK8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80" s="21">
        <f>Tabela1[[#This Row],[DATA PREV - APROV FINAL]]+$BL$1</f>
        <v>45812</v>
      </c>
      <c r="BM80" s="74">
        <v>45813</v>
      </c>
      <c r="BN80" s="15" cm="1">
        <f t="array" aca="1" ref="BN8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80" s="80" t="s">
        <v>375</v>
      </c>
    </row>
    <row r="81" spans="2:67" ht="18" hidden="1" customHeight="1" x14ac:dyDescent="0.35">
      <c r="B81" s="14" t="s">
        <v>79</v>
      </c>
      <c r="C81" s="16" t="s">
        <v>136</v>
      </c>
      <c r="D81" s="16" t="s">
        <v>81</v>
      </c>
      <c r="E81" s="16"/>
      <c r="F81" s="16" t="s">
        <v>188</v>
      </c>
      <c r="G81" s="16" cm="1">
        <f t="array" ref="G81">_xlfn.IFS(Tabela1[[#This Row],[STATUS PROCESSO MOBILIZAÇÃO]]="Finalizado",1,Tabela1[[#This Row],[STATUS PROCESSO MOBILIZAÇÃO]]="Cancelado",2,Tabela1[[#This Row],[STATUS PROCESSO MOBILIZAÇÃO]]="Em andamento",3)</f>
        <v>1</v>
      </c>
      <c r="H81" s="16" cm="1">
        <f t="array" aca="1" ref="H8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FORMS]]="",$AM81&gt;$AK$1),2,
AND(Tabela1[[#This Row],[STATUS PROCESSO MOBILIZAÇÃO]]="Em andamento",Tabela1[[#This Row],[DATA REAL - FORMS]]="",$AM81&lt;=$AK$1),3,
AND(Tabela1[[#This Row],[STATUS PROCESSO MOBILIZAÇÃO]]="Em andamento",Tabela1[[#This Row],[DATA REAL - FORMS]]&lt;&gt;""),1)</f>
        <v>0</v>
      </c>
      <c r="I81" s="16" cm="1">
        <f t="array" aca="1" ref="I8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EXAMES]]="",$AP81&gt;$AN$1),2,
AND(Tabela1[[#This Row],[STATUS PROCESSO MOBILIZAÇÃO]]="Em andamento",Tabela1[[#This Row],[DATA REAL - EXAMES]]="",$AP81&lt;=$AN$1),3,
AND(Tabela1[[#This Row],[STATUS PROCESSO MOBILIZAÇÃO]]="Em andamento",Tabela1[[#This Row],[DATA REAL - EXAMES]]&lt;&gt;""),1)</f>
        <v>1</v>
      </c>
      <c r="J81" s="16" cm="1">
        <f t="array" aca="1" ref="J8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ASO]]="",$AS81&gt;$AQ$1),2,
AND(Tabela1[[#This Row],[STATUS PROCESSO MOBILIZAÇÃO]]="Em andamento",Tabela1[[#This Row],[DATA REAL - ASO]]="",$AS81&lt;=$AQ$1),3,
AND(Tabela1[[#This Row],[STATUS PROCESSO MOBILIZAÇÃO]]="Em andamento",Tabela1[[#This Row],[DATA REAL - ASO]]&lt;&gt;""),1)</f>
        <v>1</v>
      </c>
      <c r="K81" s="15" cm="1">
        <f t="array" aca="1" ref="K8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TREINAMENTOS]]="",$AV81&gt;$AT$1),2,
AND(Tabela1[[#This Row],[STATUS PROCESSO MOBILIZAÇÃO]]="Em andamento",Tabela1[[#This Row],[DATA REAL - TREINAMENTOS]]="",$AV81&lt;=$AT$1),3,
AND(Tabela1[[#This Row],[STATUS PROCESSO MOBILIZAÇÃO]]="Em andamento",Tabela1[[#This Row],[DATA REAL - TREINAMENTOS]]&lt;&gt;""),1)</f>
        <v>1</v>
      </c>
      <c r="L81" s="15" cm="1">
        <f t="array" aca="1" ref="L8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TREIN.]]="",$AY81&gt;$AW$1),2,
AND(Tabela1[[#This Row],[STATUS PROCESSO MOBILIZAÇÃO]]="Em andamento",Tabela1[[#This Row],[DATA REAL - CONCL. TREIN.]]="",$AY81&lt;=$AW$1),3,
AND(Tabela1[[#This Row],[STATUS PROCESSO MOBILIZAÇÃO]]="Em andamento",Tabela1[[#This Row],[DATA REAL - CONCL. TREIN.]]&lt;&gt;""),1)</f>
        <v>1</v>
      </c>
      <c r="M81" s="15" cm="1">
        <f t="array" aca="1" ref="M8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CONTRATUAL]]="",$BB81&gt;$AZ$1),2,
AND(Tabela1[[#This Row],[STATUS PROCESSO MOBILIZAÇÃO]]="Em andamento",Tabela1[[#This Row],[DATA FIM - ALTER. CONTRATUAL]]="",$BB81&lt;=$AZ$1),3,
AND(Tabela1[[#This Row],[STATUS PROCESSO MOBILIZAÇÃO]]="Em andamento",Tabela1[[#This Row],[DATA FIM - ALTER. CONTRATUAL]]&lt;&gt;""),1)</f>
        <v>0</v>
      </c>
      <c r="N81" s="16" cm="1">
        <f t="array" aca="1" ref="N8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DOSSIÊ]]="",$BE81&gt;$BC$1),2,
AND(Tabela1[[#This Row],[STATUS PROCESSO MOBILIZAÇÃO]]="Em andamento",Tabela1[[#This Row],[DATA REAL - DOSSIÊ]]="",$BE81&lt;=$BC$1),3,
AND(Tabela1[[#This Row],[STATUS PROCESSO MOBILIZAÇÃO]]="Em andamento",Tabela1[[#This Row],[DATA REAL - DOSSIÊ]]&lt;&gt;""),1)</f>
        <v>1</v>
      </c>
      <c r="O81" s="16" cm="1">
        <f t="array" aca="1" ref="O8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POSTAGEM]]="",$BH81&gt;$BF$1),2,
AND(Tabela1[[#This Row],[STATUS PROCESSO MOBILIZAÇÃO]]="Em andamento",Tabela1[[#This Row],[DATA REAL - POSTAGEM]]="",$BH81&lt;=$BF$1),3,
AND(Tabela1[[#This Row],[STATUS PROCESSO MOBILIZAÇÃO]]="Em andamento",Tabela1[[#This Row],[DATA REAL - POSTAGEM]]&lt;&gt;""),1)</f>
        <v>1</v>
      </c>
      <c r="P81" s="16" cm="1">
        <f t="array" aca="1" ref="P8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FINAL]]="",$BK81&gt;$BI$1),2,
AND(Tabela1[[#This Row],[STATUS PROCESSO MOBILIZAÇÃO]]="Em andamento",Tabela1[[#This Row],[DATA REAL - APROV FINAL]]="",$BK81&lt;=$BI$1),3,
AND(Tabela1[[#This Row],[STATUS PROCESSO MOBILIZAÇÃO]]="Em andamento",Tabela1[[#This Row],[DATA REAL - APROV FINAL]]&lt;&gt;""),1)</f>
        <v>1</v>
      </c>
      <c r="Q81" s="15" cm="1">
        <f t="array" aca="1" ref="Q8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CRACHÁ]]="",$BN81&gt;$BL$1),2,
AND(Tabela1[[#This Row],[STATUS PROCESSO MOBILIZAÇÃO]]="Em andamento",Tabela1[[#This Row],[DATA REAL - CRACHÁ]]="",$BN81&lt;=$BL$1),3,
AND(Tabela1[[#This Row],[STATUS PROCESSO MOBILIZAÇÃO]]="Em andamento",Tabela1[[#This Row],[DATA REAL - CRACHÁ]]&lt;&gt;""),1)</f>
        <v>1</v>
      </c>
      <c r="R81" s="21">
        <f>IF(Tabela1[[#This Row],[DATA REAL - FORMS]]&lt;&gt;"",Tabela1[[#This Row],[DATA REAL - FORMS]]+30,Tabela1[[#This Row],[DATA PREV - FORMS]]+35)</f>
        <v>45827</v>
      </c>
      <c r="S8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45824</v>
      </c>
      <c r="T8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v>
      </c>
      <c r="U8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32</v>
      </c>
      <c r="V81" s="49">
        <f>MAX(Tabela1[[#This Row],[DATA REAL - POSTAGEM]],Tabela1[[#This Row],[DATA REAL - APROV FINAL]],Tabela1[[#This Row],[DATA REAL - CRACHÁ]])-MIN(Tabela1[[#This Row],[DATA REAL - POSTAGEM]],Tabela1[[#This Row],[DATA REAL - APROV FINAL]],Tabela1[[#This Row],[DATA REAL - CRACHÁ]])+1</f>
        <v>1</v>
      </c>
      <c r="W8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v>
      </c>
      <c r="X81" s="15"/>
      <c r="Y81" s="16" t="s">
        <v>122</v>
      </c>
      <c r="Z81" s="18" t="s">
        <v>124</v>
      </c>
      <c r="AA81" s="18" t="s">
        <v>124</v>
      </c>
      <c r="AB81" s="16" t="s">
        <v>87</v>
      </c>
      <c r="AC81" s="16"/>
      <c r="AD81" s="16" t="s">
        <v>249</v>
      </c>
      <c r="AE81" s="16" t="s">
        <v>376</v>
      </c>
      <c r="AF81" s="16" t="s">
        <v>377</v>
      </c>
      <c r="AG81" s="16" t="str">
        <f>_xlfn.XLOOKUP(Tabela1[[#This Row],[CÓD. CT]],Controle_Projetos[COD CT],Controle_Projetos[COD PHD],"")</f>
        <v>ARCL-CT03-CGH7</v>
      </c>
      <c r="AH81" s="21">
        <v>45790</v>
      </c>
      <c r="AI81" s="75">
        <v>45824</v>
      </c>
      <c r="AJ81" s="16" cm="1">
        <f t="array" aca="1" ref="AJ8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35</v>
      </c>
      <c r="AK81" s="21">
        <v>45792</v>
      </c>
      <c r="AL81" s="74"/>
      <c r="AM81" s="16" cm="1">
        <f t="array" aca="1" ref="AM8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1" s="21">
        <f>Tabela1[[#This Row],[DATA PREV - FORMS]]+$AN$1</f>
        <v>45799</v>
      </c>
      <c r="AO81" s="74">
        <v>45805</v>
      </c>
      <c r="AP81" s="16" cm="1">
        <f t="array" aca="1" ref="AP8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81" s="21">
        <f>Tabela1[[#This Row],[DATA PREV - EXAMES]]+$AQ$1</f>
        <v>45801</v>
      </c>
      <c r="AR81" s="74">
        <v>45810</v>
      </c>
      <c r="AS81" s="15" cm="1">
        <f t="array" aca="1" ref="AS8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10</v>
      </c>
      <c r="AT81" s="21">
        <f>Tabela1[[#This Row],[DATA PREV - FORMS]]+$AT$1</f>
        <v>45793</v>
      </c>
      <c r="AU81" s="74">
        <v>45792</v>
      </c>
      <c r="AV81" s="15" cm="1">
        <f t="array" aca="1" ref="AV8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1" s="21">
        <f>Tabela1[[#This Row],[DATA PREV - TREINAMENTOS]]+$AW$1</f>
        <v>45800</v>
      </c>
      <c r="AX81" s="74">
        <v>45792</v>
      </c>
      <c r="AY81" s="15" cm="1">
        <f t="array" aca="1" ref="AY8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81" s="24">
        <v>45880</v>
      </c>
      <c r="BA81" s="74"/>
      <c r="BB81" s="15" cm="1">
        <f t="array" aca="1" ref="BB8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81" s="21">
        <f>Tabela1[[#This Row],[DATA PREV - CONCL. TREIN.]]+$BC$1</f>
        <v>45802</v>
      </c>
      <c r="BD81" s="74">
        <v>45812</v>
      </c>
      <c r="BE81" s="15" cm="1">
        <f t="array" aca="1" ref="BE8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81" s="21">
        <f>Tabela1[[#This Row],[DATA PREV - DOSSIÊ]]+$BF$1</f>
        <v>45805</v>
      </c>
      <c r="BG81" s="74">
        <v>45813</v>
      </c>
      <c r="BH81" s="15" cm="1">
        <f t="array" aca="1" ref="BH8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81" s="21">
        <f>Tabela1[[#This Row],[DATA PREV - POSTAGEM]]+$BI$1</f>
        <v>45811</v>
      </c>
      <c r="BJ81" s="74">
        <v>45813</v>
      </c>
      <c r="BK81" s="15" cm="1">
        <f t="array" aca="1" ref="BK8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81" s="21">
        <f>Tabela1[[#This Row],[DATA PREV - APROV FINAL]]+$BL$1</f>
        <v>45812</v>
      </c>
      <c r="BM81" s="74">
        <v>45813</v>
      </c>
      <c r="BN81" s="15" cm="1">
        <f t="array" aca="1" ref="BN8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81" s="80" t="s">
        <v>378</v>
      </c>
    </row>
    <row r="82" spans="2:67" ht="18" hidden="1" customHeight="1" x14ac:dyDescent="0.35">
      <c r="B82" s="14" t="s">
        <v>79</v>
      </c>
      <c r="C82" s="16" t="s">
        <v>136</v>
      </c>
      <c r="D82" s="16" t="s">
        <v>108</v>
      </c>
      <c r="E82" s="16"/>
      <c r="F82" s="16" t="s">
        <v>265</v>
      </c>
      <c r="G82" s="16" cm="1">
        <f t="array" ref="G82">_xlfn.IFS(Tabela1[[#This Row],[STATUS PROCESSO MOBILIZAÇÃO]]="Finalizado",1,Tabela1[[#This Row],[STATUS PROCESSO MOBILIZAÇÃO]]="Cancelado",2,Tabela1[[#This Row],[STATUS PROCESSO MOBILIZAÇÃO]]="Em andamento",3)</f>
        <v>1</v>
      </c>
      <c r="H82" s="16" cm="1">
        <f t="array" aca="1" ref="H8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FORMS]]="",$AM82&gt;$AK$1),2,
AND(Tabela1[[#This Row],[STATUS PROCESSO MOBILIZAÇÃO]]="Em andamento",Tabela1[[#This Row],[DATA REAL - FORMS]]="",$AM82&lt;=$AK$1),3,
AND(Tabela1[[#This Row],[STATUS PROCESSO MOBILIZAÇÃO]]="Em andamento",Tabela1[[#This Row],[DATA REAL - FORMS]]&lt;&gt;""),1)</f>
        <v>1</v>
      </c>
      <c r="I82" s="16" cm="1">
        <f t="array" aca="1" ref="I8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EXAMES]]="",$AP82&gt;$AN$1),2,
AND(Tabela1[[#This Row],[STATUS PROCESSO MOBILIZAÇÃO]]="Em andamento",Tabela1[[#This Row],[DATA REAL - EXAMES]]="",$AP82&lt;=$AN$1),3,
AND(Tabela1[[#This Row],[STATUS PROCESSO MOBILIZAÇÃO]]="Em andamento",Tabela1[[#This Row],[DATA REAL - EXAMES]]&lt;&gt;""),1)</f>
        <v>1</v>
      </c>
      <c r="J82" s="16" cm="1">
        <f t="array" aca="1" ref="J8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ASO]]="",$AS82&gt;$AQ$1),2,
AND(Tabela1[[#This Row],[STATUS PROCESSO MOBILIZAÇÃO]]="Em andamento",Tabela1[[#This Row],[DATA REAL - ASO]]="",$AS82&lt;=$AQ$1),3,
AND(Tabela1[[#This Row],[STATUS PROCESSO MOBILIZAÇÃO]]="Em andamento",Tabela1[[#This Row],[DATA REAL - ASO]]&lt;&gt;""),1)</f>
        <v>1</v>
      </c>
      <c r="K82" s="15" cm="1">
        <f t="array" aca="1" ref="K8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TREINAMENTOS]]="",$AV82&gt;$AT$1),2,
AND(Tabela1[[#This Row],[STATUS PROCESSO MOBILIZAÇÃO]]="Em andamento",Tabela1[[#This Row],[DATA REAL - TREINAMENTOS]]="",$AV82&lt;=$AT$1),3,
AND(Tabela1[[#This Row],[STATUS PROCESSO MOBILIZAÇÃO]]="Em andamento",Tabela1[[#This Row],[DATA REAL - TREINAMENTOS]]&lt;&gt;""),1)</f>
        <v>1</v>
      </c>
      <c r="L82" s="15" cm="1">
        <f t="array" aca="1" ref="L8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TREIN.]]="",$AY82&gt;$AW$1),2,
AND(Tabela1[[#This Row],[STATUS PROCESSO MOBILIZAÇÃO]]="Em andamento",Tabela1[[#This Row],[DATA REAL - CONCL. TREIN.]]="",$AY82&lt;=$AW$1),3,
AND(Tabela1[[#This Row],[STATUS PROCESSO MOBILIZAÇÃO]]="Em andamento",Tabela1[[#This Row],[DATA REAL - CONCL. TREIN.]]&lt;&gt;""),1)</f>
        <v>1</v>
      </c>
      <c r="M82" s="15" cm="1">
        <f t="array" aca="1" ref="M8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CONTRATUAL]]="",$BB82&gt;$AZ$1),2,
AND(Tabela1[[#This Row],[STATUS PROCESSO MOBILIZAÇÃO]]="Em andamento",Tabela1[[#This Row],[DATA FIM - ALTER. CONTRATUAL]]="",$BB82&lt;=$AZ$1),3,
AND(Tabela1[[#This Row],[STATUS PROCESSO MOBILIZAÇÃO]]="Em andamento",Tabela1[[#This Row],[DATA FIM - ALTER. CONTRATUAL]]&lt;&gt;""),1)</f>
        <v>1</v>
      </c>
      <c r="N82" s="16" cm="1">
        <f t="array" aca="1" ref="N8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DOSSIÊ]]="",$BE82&gt;$BC$1),2,
AND(Tabela1[[#This Row],[STATUS PROCESSO MOBILIZAÇÃO]]="Em andamento",Tabela1[[#This Row],[DATA REAL - DOSSIÊ]]="",$BE82&lt;=$BC$1),3,
AND(Tabela1[[#This Row],[STATUS PROCESSO MOBILIZAÇÃO]]="Em andamento",Tabela1[[#This Row],[DATA REAL - DOSSIÊ]]&lt;&gt;""),1)</f>
        <v>1</v>
      </c>
      <c r="O82" s="16" cm="1">
        <f t="array" aca="1" ref="O8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POSTAGEM]]="",$BH82&gt;$BF$1),2,
AND(Tabela1[[#This Row],[STATUS PROCESSO MOBILIZAÇÃO]]="Em andamento",Tabela1[[#This Row],[DATA REAL - POSTAGEM]]="",$BH82&lt;=$BF$1),3,
AND(Tabela1[[#This Row],[STATUS PROCESSO MOBILIZAÇÃO]]="Em andamento",Tabela1[[#This Row],[DATA REAL - POSTAGEM]]&lt;&gt;""),1)</f>
        <v>1</v>
      </c>
      <c r="P82" s="16" cm="1">
        <f t="array" aca="1" ref="P8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FINAL]]="",$BK82&gt;$BI$1),2,
AND(Tabela1[[#This Row],[STATUS PROCESSO MOBILIZAÇÃO]]="Em andamento",Tabela1[[#This Row],[DATA REAL - APROV FINAL]]="",$BK82&lt;=$BI$1),3,
AND(Tabela1[[#This Row],[STATUS PROCESSO MOBILIZAÇÃO]]="Em andamento",Tabela1[[#This Row],[DATA REAL - APROV FINAL]]&lt;&gt;""),1)</f>
        <v>1</v>
      </c>
      <c r="Q82" s="15" cm="1">
        <f t="array" aca="1" ref="Q8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CRACHÁ]]="",$BN82&gt;$BL$1),2,
AND(Tabela1[[#This Row],[STATUS PROCESSO MOBILIZAÇÃO]]="Em andamento",Tabela1[[#This Row],[DATA REAL - CRACHÁ]]="",$BN82&lt;=$BL$1),3,
AND(Tabela1[[#This Row],[STATUS PROCESSO MOBILIZAÇÃO]]="Em andamento",Tabela1[[#This Row],[DATA REAL - CRACHÁ]]&lt;&gt;""),1)</f>
        <v>1</v>
      </c>
      <c r="R82" s="21">
        <f>IF(Tabela1[[#This Row],[DATA REAL - FORMS]]&lt;&gt;"",Tabela1[[#This Row],[DATA REAL - FORMS]]+30,Tabela1[[#This Row],[DATA PREV - FORMS]]+35)</f>
        <v>45826</v>
      </c>
      <c r="S8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45804</v>
      </c>
      <c r="T8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8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82" s="49">
        <f>MAX(Tabela1[[#This Row],[DATA REAL - POSTAGEM]],Tabela1[[#This Row],[DATA REAL - APROV FINAL]],Tabela1[[#This Row],[DATA REAL - CRACHÁ]])-MIN(Tabela1[[#This Row],[DATA REAL - POSTAGEM]],Tabela1[[#This Row],[DATA REAL - APROV FINAL]],Tabela1[[#This Row],[DATA REAL - CRACHÁ]])+1</f>
        <v>1</v>
      </c>
      <c r="W8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2" s="15" t="s">
        <v>355</v>
      </c>
      <c r="Y82" s="16" t="s">
        <v>150</v>
      </c>
      <c r="Z82" s="18" t="s">
        <v>356</v>
      </c>
      <c r="AA82" s="18" t="s">
        <v>152</v>
      </c>
      <c r="AB82" s="16" t="s">
        <v>97</v>
      </c>
      <c r="AC82" s="16" t="s">
        <v>132</v>
      </c>
      <c r="AD82" s="16" t="s">
        <v>132</v>
      </c>
      <c r="AE82" s="16" t="s">
        <v>337</v>
      </c>
      <c r="AF82" s="16" t="s">
        <v>379</v>
      </c>
      <c r="AG82" s="16" t="str">
        <f>_xlfn.XLOOKUP(Tabela1[[#This Row],[CÓD. CT]],Controle_Projetos[COD CT],Controle_Projetos[COD PHD],"")</f>
        <v>GERD-CT14-PIND</v>
      </c>
      <c r="AH82" s="21">
        <v>45796</v>
      </c>
      <c r="AI82" s="75">
        <v>45792</v>
      </c>
      <c r="AJ82" s="16" t="str" cm="1">
        <f t="array" aca="1" ref="AJ8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2" s="21">
        <v>45796</v>
      </c>
      <c r="AL82" s="74">
        <v>45796</v>
      </c>
      <c r="AM82" s="16" cm="1">
        <f t="array" aca="1" ref="AM8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2" s="21">
        <f>Tabela1[[#This Row],[DATA PREV - FORMS]]+$AN$1</f>
        <v>45803</v>
      </c>
      <c r="AO82" s="74">
        <v>45796</v>
      </c>
      <c r="AP82" s="16" cm="1">
        <f t="array" aca="1" ref="AP8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82" s="21">
        <f>Tabela1[[#This Row],[DATA PREV - EXAMES]]+$AQ$1</f>
        <v>45805</v>
      </c>
      <c r="AR82" s="74">
        <v>45804</v>
      </c>
      <c r="AS82" s="15" cm="1">
        <f t="array" aca="1" ref="AS8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82" s="21">
        <f>Tabela1[[#This Row],[DATA PREV - FORMS]]+$AT$1</f>
        <v>45797</v>
      </c>
      <c r="AU82" s="74">
        <v>45796</v>
      </c>
      <c r="AV82" s="15" cm="1">
        <f t="array" aca="1" ref="AV8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2" s="21">
        <f>Tabela1[[#This Row],[DATA PREV - TREINAMENTOS]]+$AW$1</f>
        <v>45804</v>
      </c>
      <c r="AX82" s="74">
        <v>45796</v>
      </c>
      <c r="AY82" s="15" cm="1">
        <f t="array" aca="1" ref="AY8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82" s="24">
        <v>45796</v>
      </c>
      <c r="BA82" s="74">
        <v>45796</v>
      </c>
      <c r="BB82" s="15" cm="1">
        <f t="array" aca="1" ref="BB8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82" s="21">
        <f>Tabela1[[#This Row],[DATA PREV - CONCL. TREIN.]]+$BC$1</f>
        <v>45806</v>
      </c>
      <c r="BD82" s="74">
        <v>45804</v>
      </c>
      <c r="BE82" s="15" cm="1">
        <f t="array" aca="1" ref="BE8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82" s="21">
        <f>Tabela1[[#This Row],[DATA PREV - DOSSIÊ]]+$BF$1</f>
        <v>45809</v>
      </c>
      <c r="BG82" s="74">
        <v>45804</v>
      </c>
      <c r="BH82" s="15" cm="1">
        <f t="array" aca="1" ref="BH8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82" s="21">
        <f>Tabela1[[#This Row],[DATA PREV - POSTAGEM]]+$BI$1</f>
        <v>45815</v>
      </c>
      <c r="BJ82" s="74">
        <v>45804</v>
      </c>
      <c r="BK82" s="15" cm="1">
        <f t="array" aca="1" ref="BK8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82" s="21">
        <f>Tabela1[[#This Row],[DATA PREV - APROV FINAL]]+$BL$1</f>
        <v>45816</v>
      </c>
      <c r="BM82" s="74">
        <v>45804</v>
      </c>
      <c r="BN82" s="15" cm="1">
        <f t="array" aca="1" ref="BN8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82" s="80" t="s">
        <v>380</v>
      </c>
    </row>
    <row r="83" spans="2:67" ht="18" hidden="1" customHeight="1" x14ac:dyDescent="0.35">
      <c r="B83" s="14" t="s">
        <v>119</v>
      </c>
      <c r="C83" s="16" t="s">
        <v>381</v>
      </c>
      <c r="D83" s="16" t="s">
        <v>119</v>
      </c>
      <c r="E83" s="16"/>
      <c r="F83" s="16" t="s">
        <v>382</v>
      </c>
      <c r="G83" s="16" cm="1">
        <f t="array" ref="G83">_xlfn.IFS(Tabela1[[#This Row],[STATUS PROCESSO MOBILIZAÇÃO]]="Finalizado",1,Tabela1[[#This Row],[STATUS PROCESSO MOBILIZAÇÃO]]="Cancelado",2,Tabela1[[#This Row],[STATUS PROCESSO MOBILIZAÇÃO]]="Em andamento",3)</f>
        <v>2</v>
      </c>
      <c r="H83" s="16" cm="1">
        <f t="array" aca="1" ref="H8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FORMS]]="",$AM83&gt;$AK$1),2,
AND(Tabela1[[#This Row],[STATUS PROCESSO MOBILIZAÇÃO]]="Em andamento",Tabela1[[#This Row],[DATA REAL - FORMS]]="",$AM83&lt;=$AK$1),3,
AND(Tabela1[[#This Row],[STATUS PROCESSO MOBILIZAÇÃO]]="Em andamento",Tabela1[[#This Row],[DATA REAL - FORMS]]&lt;&gt;""),1)</f>
        <v>1</v>
      </c>
      <c r="I83" s="16" cm="1">
        <f t="array" aca="1" ref="I8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EXAMES]]="",$AP83&gt;$AN$1),2,
AND(Tabela1[[#This Row],[STATUS PROCESSO MOBILIZAÇÃO]]="Em andamento",Tabela1[[#This Row],[DATA REAL - EXAMES]]="",$AP83&lt;=$AN$1),3,
AND(Tabela1[[#This Row],[STATUS PROCESSO MOBILIZAÇÃO]]="Em andamento",Tabela1[[#This Row],[DATA REAL - EXAMES]]&lt;&gt;""),1)</f>
        <v>1</v>
      </c>
      <c r="J83" s="16" cm="1">
        <f t="array" aca="1" ref="J8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ASO]]="",$AS83&gt;$AQ$1),2,
AND(Tabela1[[#This Row],[STATUS PROCESSO MOBILIZAÇÃO]]="Em andamento",Tabela1[[#This Row],[DATA REAL - ASO]]="",$AS83&lt;=$AQ$1),3,
AND(Tabela1[[#This Row],[STATUS PROCESSO MOBILIZAÇÃO]]="Em andamento",Tabela1[[#This Row],[DATA REAL - ASO]]&lt;&gt;""),1)</f>
        <v>1</v>
      </c>
      <c r="K83" s="15" cm="1">
        <f t="array" aca="1" ref="K8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TREINAMENTOS]]="",$AV83&gt;$AT$1),2,
AND(Tabela1[[#This Row],[STATUS PROCESSO MOBILIZAÇÃO]]="Em andamento",Tabela1[[#This Row],[DATA REAL - TREINAMENTOS]]="",$AV83&lt;=$AT$1),3,
AND(Tabela1[[#This Row],[STATUS PROCESSO MOBILIZAÇÃO]]="Em andamento",Tabela1[[#This Row],[DATA REAL - TREINAMENTOS]]&lt;&gt;""),1)</f>
        <v>1</v>
      </c>
      <c r="L83" s="15" cm="1">
        <f t="array" aca="1" ref="L8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TREIN.]]="",$AY83&gt;$AW$1),2,
AND(Tabela1[[#This Row],[STATUS PROCESSO MOBILIZAÇÃO]]="Em andamento",Tabela1[[#This Row],[DATA REAL - CONCL. TREIN.]]="",$AY83&lt;=$AW$1),3,
AND(Tabela1[[#This Row],[STATUS PROCESSO MOBILIZAÇÃO]]="Em andamento",Tabela1[[#This Row],[DATA REAL - CONCL. TREIN.]]&lt;&gt;""),1)</f>
        <v>1</v>
      </c>
      <c r="M83" s="15" cm="1">
        <f t="array" aca="1" ref="M8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CONTRATUAL]]="",$BB83&gt;$AZ$1),2,
AND(Tabela1[[#This Row],[STATUS PROCESSO MOBILIZAÇÃO]]="Em andamento",Tabela1[[#This Row],[DATA FIM - ALTER. CONTRATUAL]]="",$BB83&lt;=$AZ$1),3,
AND(Tabela1[[#This Row],[STATUS PROCESSO MOBILIZAÇÃO]]="Em andamento",Tabela1[[#This Row],[DATA FIM - ALTER. CONTRATUAL]]&lt;&gt;""),1)</f>
        <v>0</v>
      </c>
      <c r="N83" s="16" cm="1">
        <f t="array" aca="1" ref="N8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DOSSIÊ]]="",$BE83&gt;$BC$1),2,
AND(Tabela1[[#This Row],[STATUS PROCESSO MOBILIZAÇÃO]]="Em andamento",Tabela1[[#This Row],[DATA REAL - DOSSIÊ]]="",$BE83&lt;=$BC$1),3,
AND(Tabela1[[#This Row],[STATUS PROCESSO MOBILIZAÇÃO]]="Em andamento",Tabela1[[#This Row],[DATA REAL - DOSSIÊ]]&lt;&gt;""),1)</f>
        <v>0</v>
      </c>
      <c r="O83" s="16" cm="1">
        <f t="array" aca="1" ref="O8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POSTAGEM]]="",$BH83&gt;$BF$1),2,
AND(Tabela1[[#This Row],[STATUS PROCESSO MOBILIZAÇÃO]]="Em andamento",Tabela1[[#This Row],[DATA REAL - POSTAGEM]]="",$BH83&lt;=$BF$1),3,
AND(Tabela1[[#This Row],[STATUS PROCESSO MOBILIZAÇÃO]]="Em andamento",Tabela1[[#This Row],[DATA REAL - POSTAGEM]]&lt;&gt;""),1)</f>
        <v>0</v>
      </c>
      <c r="P83" s="16" cm="1">
        <f t="array" aca="1" ref="P8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FINAL]]="",$BK83&gt;$BI$1),2,
AND(Tabela1[[#This Row],[STATUS PROCESSO MOBILIZAÇÃO]]="Em andamento",Tabela1[[#This Row],[DATA REAL - APROV FINAL]]="",$BK83&lt;=$BI$1),3,
AND(Tabela1[[#This Row],[STATUS PROCESSO MOBILIZAÇÃO]]="Em andamento",Tabela1[[#This Row],[DATA REAL - APROV FINAL]]&lt;&gt;""),1)</f>
        <v>0</v>
      </c>
      <c r="Q83" s="15" cm="1">
        <f t="array" aca="1" ref="Q8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CRACHÁ]]="",$BN83&gt;$BL$1),2,
AND(Tabela1[[#This Row],[STATUS PROCESSO MOBILIZAÇÃO]]="Em andamento",Tabela1[[#This Row],[DATA REAL - CRACHÁ]]="",$BN83&lt;=$BL$1),3,
AND(Tabela1[[#This Row],[STATUS PROCESSO MOBILIZAÇÃO]]="Em andamento",Tabela1[[#This Row],[DATA REAL - CRACHÁ]]&lt;&gt;""),1)</f>
        <v>1</v>
      </c>
      <c r="R83" s="21">
        <f>IF(Tabela1[[#This Row],[DATA REAL - FORMS]]&lt;&gt;"",Tabela1[[#This Row],[DATA REAL - FORMS]]+30,Tabela1[[#This Row],[DATA PREV - FORMS]]+35)</f>
        <v>45826</v>
      </c>
      <c r="S8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45824</v>
      </c>
      <c r="T8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61</v>
      </c>
      <c r="U8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47</v>
      </c>
      <c r="V83" s="49">
        <f>MAX(Tabela1[[#This Row],[DATA REAL - POSTAGEM]],Tabela1[[#This Row],[DATA REAL - APROV FINAL]],Tabela1[[#This Row],[DATA REAL - CRACHÁ]])-MIN(Tabela1[[#This Row],[DATA REAL - POSTAGEM]],Tabela1[[#This Row],[DATA REAL - APROV FINAL]],Tabela1[[#This Row],[DATA REAL - CRACHÁ]])+1</f>
        <v>1</v>
      </c>
      <c r="W8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3" s="15" t="s">
        <v>103</v>
      </c>
      <c r="Y83" s="16" t="s">
        <v>84</v>
      </c>
      <c r="Z83" s="18" t="s">
        <v>104</v>
      </c>
      <c r="AA83" s="18" t="s">
        <v>86</v>
      </c>
      <c r="AB83" s="16" t="s">
        <v>97</v>
      </c>
      <c r="AC83" s="16" t="s">
        <v>261</v>
      </c>
      <c r="AD83" s="16" t="s">
        <v>89</v>
      </c>
      <c r="AE83" s="16" t="s">
        <v>383</v>
      </c>
      <c r="AF83" s="16" t="s">
        <v>263</v>
      </c>
      <c r="AG83" s="16" t="str">
        <f>_xlfn.XLOOKUP(Tabela1[[#This Row],[CÓD. CT]],Controle_Projetos[COD CT],Controle_Projetos[COD PHD],"")</f>
        <v>CEMI-CT02-CAPA</v>
      </c>
      <c r="AH83" s="21"/>
      <c r="AI83" s="75">
        <v>45763</v>
      </c>
      <c r="AJ83" s="16" t="str" cm="1">
        <f t="array" aca="1" ref="AJ8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3" s="21">
        <v>45796</v>
      </c>
      <c r="AL83" s="74">
        <v>45796</v>
      </c>
      <c r="AM83" s="16" cm="1">
        <f t="array" aca="1" ref="AM8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3" s="21">
        <f>Tabela1[[#This Row],[DATA PREV - FORMS]]+$AN$1</f>
        <v>45803</v>
      </c>
      <c r="AO83" s="74">
        <v>45798</v>
      </c>
      <c r="AP83" s="16" cm="1">
        <f t="array" aca="1" ref="AP8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83" s="21">
        <f>Tabela1[[#This Row],[DATA PREV - EXAMES]]+$AQ$1</f>
        <v>45805</v>
      </c>
      <c r="AR83" s="74">
        <v>45800</v>
      </c>
      <c r="AS83" s="15" cm="1">
        <f t="array" aca="1" ref="AS8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83" s="21">
        <f>Tabela1[[#This Row],[DATA PREV - FORMS]]+$AT$1</f>
        <v>45797</v>
      </c>
      <c r="AU83" s="74">
        <v>45800</v>
      </c>
      <c r="AV83" s="15" cm="1">
        <f t="array" aca="1" ref="AV8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83" s="21">
        <f>Tabela1[[#This Row],[DATA PREV - TREINAMENTOS]]+$AW$1</f>
        <v>45804</v>
      </c>
      <c r="AX83" s="74">
        <v>45810</v>
      </c>
      <c r="AY83" s="15" cm="1">
        <f t="array" aca="1" ref="AY8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83" s="24">
        <v>45712</v>
      </c>
      <c r="BA83" s="74"/>
      <c r="BB83" s="15" cm="1">
        <f t="array" aca="1" ref="BB8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83" s="21">
        <f>Tabela1[[#This Row],[DATA PREV - CONCL. TREIN.]]+$BC$1</f>
        <v>45806</v>
      </c>
      <c r="BD83" s="74"/>
      <c r="BE83" s="15" cm="1">
        <f t="array" aca="1" ref="BE8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83" s="21">
        <f>Tabela1[[#This Row],[DATA PREV - DOSSIÊ]]+$BF$1</f>
        <v>45809</v>
      </c>
      <c r="BG83" s="74"/>
      <c r="BH83" s="15" cm="1">
        <f t="array" aca="1" ref="BH8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83" s="21">
        <f>Tabela1[[#This Row],[DATA PREV - POSTAGEM]]+$BI$1</f>
        <v>45815</v>
      </c>
      <c r="BJ83" s="74"/>
      <c r="BK83" s="15" cm="1">
        <f t="array" aca="1" ref="BK8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83" s="21">
        <f>Tabela1[[#This Row],[DATA PREV - APROV FINAL]]+$BL$1</f>
        <v>45816</v>
      </c>
      <c r="BM83" s="74">
        <v>45824</v>
      </c>
      <c r="BN83" s="15" cm="1">
        <f t="array" aca="1" ref="BN8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83" s="80" t="s">
        <v>384</v>
      </c>
    </row>
    <row r="84" spans="2:67" ht="18" hidden="1" customHeight="1" x14ac:dyDescent="0.35">
      <c r="B84" s="14" t="s">
        <v>119</v>
      </c>
      <c r="C84" s="16" t="s">
        <v>136</v>
      </c>
      <c r="D84" s="16" t="s">
        <v>119</v>
      </c>
      <c r="E84" s="16"/>
      <c r="F84" s="16" t="s">
        <v>385</v>
      </c>
      <c r="G84" s="16" cm="1">
        <f t="array" ref="G84">_xlfn.IFS(Tabela1[[#This Row],[STATUS PROCESSO MOBILIZAÇÃO]]="Finalizado",1,Tabela1[[#This Row],[STATUS PROCESSO MOBILIZAÇÃO]]="Cancelado",2,Tabela1[[#This Row],[STATUS PROCESSO MOBILIZAÇÃO]]="Em andamento",3)</f>
        <v>2</v>
      </c>
      <c r="H84" s="16" cm="1">
        <f t="array" aca="1" ref="H8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FORMS]]="",$AM84&gt;$AK$1),2,
AND(Tabela1[[#This Row],[STATUS PROCESSO MOBILIZAÇÃO]]="Em andamento",Tabela1[[#This Row],[DATA REAL - FORMS]]="",$AM84&lt;=$AK$1),3,
AND(Tabela1[[#This Row],[STATUS PROCESSO MOBILIZAÇÃO]]="Em andamento",Tabela1[[#This Row],[DATA REAL - FORMS]]&lt;&gt;""),1)</f>
        <v>1</v>
      </c>
      <c r="I84" s="16" cm="1">
        <f t="array" aca="1" ref="I8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EXAMES]]="",$AP84&gt;$AN$1),2,
AND(Tabela1[[#This Row],[STATUS PROCESSO MOBILIZAÇÃO]]="Em andamento",Tabela1[[#This Row],[DATA REAL - EXAMES]]="",$AP84&lt;=$AN$1),3,
AND(Tabela1[[#This Row],[STATUS PROCESSO MOBILIZAÇÃO]]="Em andamento",Tabela1[[#This Row],[DATA REAL - EXAMES]]&lt;&gt;""),1)</f>
        <v>0</v>
      </c>
      <c r="J84" s="16" cm="1">
        <f t="array" aca="1" ref="J8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ASO]]="",$AS84&gt;$AQ$1),2,
AND(Tabela1[[#This Row],[STATUS PROCESSO MOBILIZAÇÃO]]="Em andamento",Tabela1[[#This Row],[DATA REAL - ASO]]="",$AS84&lt;=$AQ$1),3,
AND(Tabela1[[#This Row],[STATUS PROCESSO MOBILIZAÇÃO]]="Em andamento",Tabela1[[#This Row],[DATA REAL - ASO]]&lt;&gt;""),1)</f>
        <v>0</v>
      </c>
      <c r="K84" s="15" cm="1">
        <f t="array" aca="1" ref="K8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TREINAMENTOS]]="",$AV84&gt;$AT$1),2,
AND(Tabela1[[#This Row],[STATUS PROCESSO MOBILIZAÇÃO]]="Em andamento",Tabela1[[#This Row],[DATA REAL - TREINAMENTOS]]="",$AV84&lt;=$AT$1),3,
AND(Tabela1[[#This Row],[STATUS PROCESSO MOBILIZAÇÃO]]="Em andamento",Tabela1[[#This Row],[DATA REAL - TREINAMENTOS]]&lt;&gt;""),1)</f>
        <v>0</v>
      </c>
      <c r="L84" s="15" cm="1">
        <f t="array" aca="1" ref="L8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TREIN.]]="",$AY84&gt;$AW$1),2,
AND(Tabela1[[#This Row],[STATUS PROCESSO MOBILIZAÇÃO]]="Em andamento",Tabela1[[#This Row],[DATA REAL - CONCL. TREIN.]]="",$AY84&lt;=$AW$1),3,
AND(Tabela1[[#This Row],[STATUS PROCESSO MOBILIZAÇÃO]]="Em andamento",Tabela1[[#This Row],[DATA REAL - CONCL. TREIN.]]&lt;&gt;""),1)</f>
        <v>0</v>
      </c>
      <c r="M84" s="15" cm="1">
        <f t="array" aca="1" ref="M8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CONTRATUAL]]="",$BB84&gt;$AZ$1),2,
AND(Tabela1[[#This Row],[STATUS PROCESSO MOBILIZAÇÃO]]="Em andamento",Tabela1[[#This Row],[DATA FIM - ALTER. CONTRATUAL]]="",$BB84&lt;=$AZ$1),3,
AND(Tabela1[[#This Row],[STATUS PROCESSO MOBILIZAÇÃO]]="Em andamento",Tabela1[[#This Row],[DATA FIM - ALTER. CONTRATUAL]]&lt;&gt;""),1)</f>
        <v>0</v>
      </c>
      <c r="N84" s="16" cm="1">
        <f t="array" aca="1" ref="N8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DOSSIÊ]]="",$BE84&gt;$BC$1),2,
AND(Tabela1[[#This Row],[STATUS PROCESSO MOBILIZAÇÃO]]="Em andamento",Tabela1[[#This Row],[DATA REAL - DOSSIÊ]]="",$BE84&lt;=$BC$1),3,
AND(Tabela1[[#This Row],[STATUS PROCESSO MOBILIZAÇÃO]]="Em andamento",Tabela1[[#This Row],[DATA REAL - DOSSIÊ]]&lt;&gt;""),1)</f>
        <v>0</v>
      </c>
      <c r="O84" s="16" cm="1">
        <f t="array" aca="1" ref="O8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POSTAGEM]]="",$BH84&gt;$BF$1),2,
AND(Tabela1[[#This Row],[STATUS PROCESSO MOBILIZAÇÃO]]="Em andamento",Tabela1[[#This Row],[DATA REAL - POSTAGEM]]="",$BH84&lt;=$BF$1),3,
AND(Tabela1[[#This Row],[STATUS PROCESSO MOBILIZAÇÃO]]="Em andamento",Tabela1[[#This Row],[DATA REAL - POSTAGEM]]&lt;&gt;""),1)</f>
        <v>0</v>
      </c>
      <c r="P84" s="16" cm="1">
        <f t="array" aca="1" ref="P8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FINAL]]="",$BK84&gt;$BI$1),2,
AND(Tabela1[[#This Row],[STATUS PROCESSO MOBILIZAÇÃO]]="Em andamento",Tabela1[[#This Row],[DATA REAL - APROV FINAL]]="",$BK84&lt;=$BI$1),3,
AND(Tabela1[[#This Row],[STATUS PROCESSO MOBILIZAÇÃO]]="Em andamento",Tabela1[[#This Row],[DATA REAL - APROV FINAL]]&lt;&gt;""),1)</f>
        <v>0</v>
      </c>
      <c r="Q84" s="15" cm="1">
        <f t="array" aca="1" ref="Q8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CRACHÁ]]="",$BN84&gt;$BL$1),2,
AND(Tabela1[[#This Row],[STATUS PROCESSO MOBILIZAÇÃO]]="Em andamento",Tabela1[[#This Row],[DATA REAL - CRACHÁ]]="",$BN84&lt;=$BL$1),3,
AND(Tabela1[[#This Row],[STATUS PROCESSO MOBILIZAÇÃO]]="Em andamento",Tabela1[[#This Row],[DATA REAL - CRACHÁ]]&lt;&gt;""),1)</f>
        <v>1</v>
      </c>
      <c r="R84" s="21">
        <f>IF(Tabela1[[#This Row],[DATA REAL - FORMS]]&lt;&gt;"",Tabela1[[#This Row],[DATA REAL - FORMS]]+30,Tabela1[[#This Row],[DATA PREV - FORMS]]+35)</f>
        <v>45826</v>
      </c>
      <c r="S8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45803</v>
      </c>
      <c r="T8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U8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84" s="49">
        <f>MAX(Tabela1[[#This Row],[DATA REAL - POSTAGEM]],Tabela1[[#This Row],[DATA REAL - APROV FINAL]],Tabela1[[#This Row],[DATA REAL - CRACHÁ]])-MIN(Tabela1[[#This Row],[DATA REAL - POSTAGEM]],Tabela1[[#This Row],[DATA REAL - APROV FINAL]],Tabela1[[#This Row],[DATA REAL - CRACHÁ]])+1</f>
        <v>1</v>
      </c>
      <c r="W8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4" s="15" t="s">
        <v>355</v>
      </c>
      <c r="Y84" s="16" t="s">
        <v>150</v>
      </c>
      <c r="Z84" s="18" t="s">
        <v>356</v>
      </c>
      <c r="AA84" s="18" t="s">
        <v>152</v>
      </c>
      <c r="AB84" s="16" t="s">
        <v>97</v>
      </c>
      <c r="AC84" s="16" t="s">
        <v>132</v>
      </c>
      <c r="AD84" s="16" t="s">
        <v>132</v>
      </c>
      <c r="AE84" s="16" t="s">
        <v>337</v>
      </c>
      <c r="AF84" s="16" t="s">
        <v>379</v>
      </c>
      <c r="AG84" s="16" t="str">
        <f>_xlfn.XLOOKUP(Tabela1[[#This Row],[CÓD. CT]],Controle_Projetos[COD CT],Controle_Projetos[COD PHD],"")</f>
        <v>GERD-CT14-PIND</v>
      </c>
      <c r="AH84" s="21">
        <v>45793</v>
      </c>
      <c r="AI84" s="75">
        <v>45792</v>
      </c>
      <c r="AJ84" s="16" cm="1">
        <f t="array" aca="1" ref="AJ8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84" s="21">
        <v>45796</v>
      </c>
      <c r="AL84" s="74">
        <v>45796</v>
      </c>
      <c r="AM84" s="16" cm="1">
        <f t="array" aca="1" ref="AM8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4" s="21">
        <f>Tabela1[[#This Row],[DATA PREV - FORMS]]+$AN$1</f>
        <v>45803</v>
      </c>
      <c r="AO84" s="74"/>
      <c r="AP84" s="16" cm="1">
        <f t="array" aca="1" ref="AP8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84" s="21">
        <f>Tabela1[[#This Row],[DATA PREV - EXAMES]]+$AQ$1</f>
        <v>45805</v>
      </c>
      <c r="AR84" s="74"/>
      <c r="AS84" s="15" cm="1">
        <f t="array" aca="1" ref="AS8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84" s="21">
        <f>Tabela1[[#This Row],[DATA PREV - FORMS]]+$AT$1</f>
        <v>45797</v>
      </c>
      <c r="AU84" s="74"/>
      <c r="AV84" s="15" cm="1">
        <f t="array" aca="1" ref="AV8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84" s="21">
        <f>Tabela1[[#This Row],[DATA PREV - TREINAMENTOS]]+$AW$1</f>
        <v>45804</v>
      </c>
      <c r="AX84" s="74"/>
      <c r="AY84" s="15" cm="1">
        <f t="array" aca="1" ref="AY8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84" s="24"/>
      <c r="BA84" s="74"/>
      <c r="BB84" s="15" t="str" cm="1">
        <f t="array" aca="1" ref="BB8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84" s="21">
        <f>Tabela1[[#This Row],[DATA PREV - CONCL. TREIN.]]+$BC$1</f>
        <v>45806</v>
      </c>
      <c r="BD84" s="74"/>
      <c r="BE84" s="15" cm="1">
        <f t="array" aca="1" ref="BE8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84" s="21">
        <f>Tabela1[[#This Row],[DATA PREV - DOSSIÊ]]+$BF$1</f>
        <v>45809</v>
      </c>
      <c r="BG84" s="74"/>
      <c r="BH84" s="15" cm="1">
        <f t="array" aca="1" ref="BH8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84" s="21">
        <f>Tabela1[[#This Row],[DATA PREV - POSTAGEM]]+$BI$1</f>
        <v>45815</v>
      </c>
      <c r="BJ84" s="74"/>
      <c r="BK84" s="15" cm="1">
        <f t="array" aca="1" ref="BK8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84" s="21">
        <f>Tabela1[[#This Row],[DATA PREV - APROV FINAL]]+$BL$1</f>
        <v>45816</v>
      </c>
      <c r="BM84" s="74">
        <v>45803</v>
      </c>
      <c r="BN84" s="15" cm="1">
        <f t="array" aca="1" ref="BN8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84" s="80" t="s">
        <v>386</v>
      </c>
    </row>
    <row r="85" spans="2:67" ht="18" hidden="1" customHeight="1" x14ac:dyDescent="0.35">
      <c r="B85" s="14" t="s">
        <v>79</v>
      </c>
      <c r="C85" s="16" t="s">
        <v>381</v>
      </c>
      <c r="D85" s="16" t="s">
        <v>81</v>
      </c>
      <c r="E85" s="16"/>
      <c r="F85" s="16" t="s">
        <v>387</v>
      </c>
      <c r="G85" s="16" cm="1">
        <f t="array" ref="G85">_xlfn.IFS(Tabela1[[#This Row],[STATUS PROCESSO MOBILIZAÇÃO]]="Finalizado",1,Tabela1[[#This Row],[STATUS PROCESSO MOBILIZAÇÃO]]="Cancelado",2,Tabela1[[#This Row],[STATUS PROCESSO MOBILIZAÇÃO]]="Em andamento",3)</f>
        <v>1</v>
      </c>
      <c r="H85" s="16" cm="1">
        <f t="array" aca="1" ref="H8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FORMS]]="",$AM85&gt;$AK$1),2,
AND(Tabela1[[#This Row],[STATUS PROCESSO MOBILIZAÇÃO]]="Em andamento",Tabela1[[#This Row],[DATA REAL - FORMS]]="",$AM85&lt;=$AK$1),3,
AND(Tabela1[[#This Row],[STATUS PROCESSO MOBILIZAÇÃO]]="Em andamento",Tabela1[[#This Row],[DATA REAL - FORMS]]&lt;&gt;""),1)</f>
        <v>1</v>
      </c>
      <c r="I85" s="16" cm="1">
        <f t="array" aca="1" ref="I8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EXAMES]]="",$AP85&gt;$AN$1),2,
AND(Tabela1[[#This Row],[STATUS PROCESSO MOBILIZAÇÃO]]="Em andamento",Tabela1[[#This Row],[DATA REAL - EXAMES]]="",$AP85&lt;=$AN$1),3,
AND(Tabela1[[#This Row],[STATUS PROCESSO MOBILIZAÇÃO]]="Em andamento",Tabela1[[#This Row],[DATA REAL - EXAMES]]&lt;&gt;""),1)</f>
        <v>1</v>
      </c>
      <c r="J85" s="16" cm="1">
        <f t="array" aca="1" ref="J8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ASO]]="",$AS85&gt;$AQ$1),2,
AND(Tabela1[[#This Row],[STATUS PROCESSO MOBILIZAÇÃO]]="Em andamento",Tabela1[[#This Row],[DATA REAL - ASO]]="",$AS85&lt;=$AQ$1),3,
AND(Tabela1[[#This Row],[STATUS PROCESSO MOBILIZAÇÃO]]="Em andamento",Tabela1[[#This Row],[DATA REAL - ASO]]&lt;&gt;""),1)</f>
        <v>1</v>
      </c>
      <c r="K85" s="15" cm="1">
        <f t="array" aca="1" ref="K8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TREINAMENTOS]]="",$AV85&gt;$AT$1),2,
AND(Tabela1[[#This Row],[STATUS PROCESSO MOBILIZAÇÃO]]="Em andamento",Tabela1[[#This Row],[DATA REAL - TREINAMENTOS]]="",$AV85&lt;=$AT$1),3,
AND(Tabela1[[#This Row],[STATUS PROCESSO MOBILIZAÇÃO]]="Em andamento",Tabela1[[#This Row],[DATA REAL - TREINAMENTOS]]&lt;&gt;""),1)</f>
        <v>1</v>
      </c>
      <c r="L85" s="15" cm="1">
        <f t="array" aca="1" ref="L8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TREIN.]]="",$AY85&gt;$AW$1),2,
AND(Tabela1[[#This Row],[STATUS PROCESSO MOBILIZAÇÃO]]="Em andamento",Tabela1[[#This Row],[DATA REAL - CONCL. TREIN.]]="",$AY85&lt;=$AW$1),3,
AND(Tabela1[[#This Row],[STATUS PROCESSO MOBILIZAÇÃO]]="Em andamento",Tabela1[[#This Row],[DATA REAL - CONCL. TREIN.]]&lt;&gt;""),1)</f>
        <v>1</v>
      </c>
      <c r="M85" s="15" cm="1">
        <f t="array" aca="1" ref="M8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CONTRATUAL]]="",$BB85&gt;$AZ$1),2,
AND(Tabela1[[#This Row],[STATUS PROCESSO MOBILIZAÇÃO]]="Em andamento",Tabela1[[#This Row],[DATA FIM - ALTER. CONTRATUAL]]="",$BB85&lt;=$AZ$1),3,
AND(Tabela1[[#This Row],[STATUS PROCESSO MOBILIZAÇÃO]]="Em andamento",Tabela1[[#This Row],[DATA FIM - ALTER. CONTRATUAL]]&lt;&gt;""),1)</f>
        <v>0</v>
      </c>
      <c r="N85" s="16" cm="1">
        <f t="array" aca="1" ref="N8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DOSSIÊ]]="",$BE85&gt;$BC$1),2,
AND(Tabela1[[#This Row],[STATUS PROCESSO MOBILIZAÇÃO]]="Em andamento",Tabela1[[#This Row],[DATA REAL - DOSSIÊ]]="",$BE85&lt;=$BC$1),3,
AND(Tabela1[[#This Row],[STATUS PROCESSO MOBILIZAÇÃO]]="Em andamento",Tabela1[[#This Row],[DATA REAL - DOSSIÊ]]&lt;&gt;""),1)</f>
        <v>1</v>
      </c>
      <c r="O85" s="16" cm="1">
        <f t="array" aca="1" ref="O8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POSTAGEM]]="",$BH85&gt;$BF$1),2,
AND(Tabela1[[#This Row],[STATUS PROCESSO MOBILIZAÇÃO]]="Em andamento",Tabela1[[#This Row],[DATA REAL - POSTAGEM]]="",$BH85&lt;=$BF$1),3,
AND(Tabela1[[#This Row],[STATUS PROCESSO MOBILIZAÇÃO]]="Em andamento",Tabela1[[#This Row],[DATA REAL - POSTAGEM]]&lt;&gt;""),1)</f>
        <v>1</v>
      </c>
      <c r="P85" s="16" cm="1">
        <f t="array" aca="1" ref="P8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FINAL]]="",$BK85&gt;$BI$1),2,
AND(Tabela1[[#This Row],[STATUS PROCESSO MOBILIZAÇÃO]]="Em andamento",Tabela1[[#This Row],[DATA REAL - APROV FINAL]]="",$BK85&lt;=$BI$1),3,
AND(Tabela1[[#This Row],[STATUS PROCESSO MOBILIZAÇÃO]]="Em andamento",Tabela1[[#This Row],[DATA REAL - APROV FINAL]]&lt;&gt;""),1)</f>
        <v>1</v>
      </c>
      <c r="Q85" s="15" cm="1">
        <f t="array" aca="1" ref="Q8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CRACHÁ]]="",$BN85&gt;$BL$1),2,
AND(Tabela1[[#This Row],[STATUS PROCESSO MOBILIZAÇÃO]]="Em andamento",Tabela1[[#This Row],[DATA REAL - CRACHÁ]]="",$BN85&lt;=$BL$1),3,
AND(Tabela1[[#This Row],[STATUS PROCESSO MOBILIZAÇÃO]]="Em andamento",Tabela1[[#This Row],[DATA REAL - CRACHÁ]]&lt;&gt;""),1)</f>
        <v>1</v>
      </c>
      <c r="R85" s="21">
        <f>IF(Tabela1[[#This Row],[DATA REAL - FORMS]]&lt;&gt;"",Tabela1[[#This Row],[DATA REAL - FORMS]]+30,Tabela1[[#This Row],[DATA PREV - FORMS]]+35)</f>
        <v>45828</v>
      </c>
      <c r="S8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45812</v>
      </c>
      <c r="T8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v>
      </c>
      <c r="U8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v>
      </c>
      <c r="V85" s="49">
        <f>MAX(Tabela1[[#This Row],[DATA REAL - POSTAGEM]],Tabela1[[#This Row],[DATA REAL - APROV FINAL]],Tabela1[[#This Row],[DATA REAL - CRACHÁ]])-MIN(Tabela1[[#This Row],[DATA REAL - POSTAGEM]],Tabela1[[#This Row],[DATA REAL - APROV FINAL]],Tabela1[[#This Row],[DATA REAL - CRACHÁ]])+1</f>
        <v>1</v>
      </c>
      <c r="W8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5" s="15" t="s">
        <v>355</v>
      </c>
      <c r="Y85" s="16" t="s">
        <v>150</v>
      </c>
      <c r="Z85" s="18" t="s">
        <v>356</v>
      </c>
      <c r="AA85" s="18" t="s">
        <v>152</v>
      </c>
      <c r="AB85" s="16" t="s">
        <v>97</v>
      </c>
      <c r="AC85" s="16" t="s">
        <v>132</v>
      </c>
      <c r="AD85" s="16" t="s">
        <v>132</v>
      </c>
      <c r="AE85" s="16" t="s">
        <v>337</v>
      </c>
      <c r="AF85" s="16" t="s">
        <v>379</v>
      </c>
      <c r="AG85" s="16" t="str">
        <f>_xlfn.XLOOKUP(Tabela1[[#This Row],[CÓD. CT]],Controle_Projetos[COD CT],Controle_Projetos[COD PHD],"")</f>
        <v>GERD-CT14-PIND</v>
      </c>
      <c r="AH85" s="21">
        <v>45798</v>
      </c>
      <c r="AI85" s="75">
        <v>45792</v>
      </c>
      <c r="AJ85" s="16" t="str" cm="1">
        <f t="array" aca="1" ref="AJ8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5" s="21">
        <v>45798</v>
      </c>
      <c r="AL85" s="74">
        <v>45798</v>
      </c>
      <c r="AM85" s="16" cm="1">
        <f t="array" aca="1" ref="AM8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5" s="21">
        <f>Tabela1[[#This Row],[DATA PREV - FORMS]]+$AN$1</f>
        <v>45805</v>
      </c>
      <c r="AO85" s="74">
        <v>45798</v>
      </c>
      <c r="AP85" s="16" cm="1">
        <f t="array" aca="1" ref="AP8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85" s="21">
        <f>Tabela1[[#This Row],[DATA PREV - EXAMES]]+$AQ$1</f>
        <v>45807</v>
      </c>
      <c r="AR85" s="74">
        <v>45805</v>
      </c>
      <c r="AS85" s="15" cm="1">
        <f t="array" aca="1" ref="AS8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85" s="21">
        <f>Tabela1[[#This Row],[DATA PREV - FORMS]]+$AT$1</f>
        <v>45799</v>
      </c>
      <c r="AU85" s="74">
        <v>45798</v>
      </c>
      <c r="AV85" s="15" cm="1">
        <f t="array" aca="1" ref="AV8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5" s="21">
        <f>Tabela1[[#This Row],[DATA PREV - TREINAMENTOS]]+$AW$1</f>
        <v>45806</v>
      </c>
      <c r="AX85" s="74">
        <v>45799</v>
      </c>
      <c r="AY85" s="15" cm="1">
        <f t="array" aca="1" ref="AY8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85" s="24"/>
      <c r="BA85" s="74"/>
      <c r="BB85" s="15" t="str" cm="1">
        <f t="array" aca="1" ref="BB8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85" s="21">
        <f>Tabela1[[#This Row],[DATA PREV - CONCL. TREIN.]]+$BC$1</f>
        <v>45808</v>
      </c>
      <c r="BD85" s="74">
        <v>45812</v>
      </c>
      <c r="BE85" s="15" cm="1">
        <f t="array" aca="1" ref="BE8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85" s="21">
        <f>Tabela1[[#This Row],[DATA PREV - DOSSIÊ]]+$BF$1</f>
        <v>45811</v>
      </c>
      <c r="BG85" s="74">
        <v>45812</v>
      </c>
      <c r="BH85" s="15" cm="1">
        <f t="array" aca="1" ref="BH8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85" s="21">
        <f>Tabela1[[#This Row],[DATA PREV - POSTAGEM]]+$BI$1</f>
        <v>45817</v>
      </c>
      <c r="BJ85" s="74">
        <v>45812</v>
      </c>
      <c r="BK85" s="15" cm="1">
        <f t="array" aca="1" ref="BK8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85" s="21">
        <f>Tabela1[[#This Row],[DATA PREV - APROV FINAL]]+$BL$1</f>
        <v>45818</v>
      </c>
      <c r="BM85" s="74">
        <v>45812</v>
      </c>
      <c r="BN85" s="15" cm="1">
        <f t="array" aca="1" ref="BN8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85" s="80" t="s">
        <v>388</v>
      </c>
    </row>
    <row r="86" spans="2:67" ht="18" hidden="1" customHeight="1" x14ac:dyDescent="0.35">
      <c r="B86" s="14" t="s">
        <v>79</v>
      </c>
      <c r="C86" s="16" t="s">
        <v>381</v>
      </c>
      <c r="D86" s="16" t="s">
        <v>81</v>
      </c>
      <c r="E86" s="16"/>
      <c r="F86" s="16" t="s">
        <v>389</v>
      </c>
      <c r="G86" s="16" cm="1">
        <f t="array" ref="G86">_xlfn.IFS(Tabela1[[#This Row],[STATUS PROCESSO MOBILIZAÇÃO]]="Finalizado",1,Tabela1[[#This Row],[STATUS PROCESSO MOBILIZAÇÃO]]="Cancelado",2,Tabela1[[#This Row],[STATUS PROCESSO MOBILIZAÇÃO]]="Em andamento",3)</f>
        <v>1</v>
      </c>
      <c r="H86" s="16" cm="1">
        <f t="array" aca="1" ref="H8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FORMS]]="",$AM86&gt;$AK$1),2,
AND(Tabela1[[#This Row],[STATUS PROCESSO MOBILIZAÇÃO]]="Em andamento",Tabela1[[#This Row],[DATA REAL - FORMS]]="",$AM86&lt;=$AK$1),3,
AND(Tabela1[[#This Row],[STATUS PROCESSO MOBILIZAÇÃO]]="Em andamento",Tabela1[[#This Row],[DATA REAL - FORMS]]&lt;&gt;""),1)</f>
        <v>1</v>
      </c>
      <c r="I86" s="16" cm="1">
        <f t="array" aca="1" ref="I8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EXAMES]]="",$AP86&gt;$AN$1),2,
AND(Tabela1[[#This Row],[STATUS PROCESSO MOBILIZAÇÃO]]="Em andamento",Tabela1[[#This Row],[DATA REAL - EXAMES]]="",$AP86&lt;=$AN$1),3,
AND(Tabela1[[#This Row],[STATUS PROCESSO MOBILIZAÇÃO]]="Em andamento",Tabela1[[#This Row],[DATA REAL - EXAMES]]&lt;&gt;""),1)</f>
        <v>1</v>
      </c>
      <c r="J86" s="16" cm="1">
        <f t="array" aca="1" ref="J8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ASO]]="",$AS86&gt;$AQ$1),2,
AND(Tabela1[[#This Row],[STATUS PROCESSO MOBILIZAÇÃO]]="Em andamento",Tabela1[[#This Row],[DATA REAL - ASO]]="",$AS86&lt;=$AQ$1),3,
AND(Tabela1[[#This Row],[STATUS PROCESSO MOBILIZAÇÃO]]="Em andamento",Tabela1[[#This Row],[DATA REAL - ASO]]&lt;&gt;""),1)</f>
        <v>1</v>
      </c>
      <c r="K86" s="15" cm="1">
        <f t="array" aca="1" ref="K8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TREINAMENTOS]]="",$AV86&gt;$AT$1),2,
AND(Tabela1[[#This Row],[STATUS PROCESSO MOBILIZAÇÃO]]="Em andamento",Tabela1[[#This Row],[DATA REAL - TREINAMENTOS]]="",$AV86&lt;=$AT$1),3,
AND(Tabela1[[#This Row],[STATUS PROCESSO MOBILIZAÇÃO]]="Em andamento",Tabela1[[#This Row],[DATA REAL - TREINAMENTOS]]&lt;&gt;""),1)</f>
        <v>1</v>
      </c>
      <c r="L86" s="15" cm="1">
        <f t="array" aca="1" ref="L8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TREIN.]]="",$AY86&gt;$AW$1),2,
AND(Tabela1[[#This Row],[STATUS PROCESSO MOBILIZAÇÃO]]="Em andamento",Tabela1[[#This Row],[DATA REAL - CONCL. TREIN.]]="",$AY86&lt;=$AW$1),3,
AND(Tabela1[[#This Row],[STATUS PROCESSO MOBILIZAÇÃO]]="Em andamento",Tabela1[[#This Row],[DATA REAL - CONCL. TREIN.]]&lt;&gt;""),1)</f>
        <v>1</v>
      </c>
      <c r="M86" s="15" cm="1">
        <f t="array" aca="1" ref="M8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CONTRATUAL]]="",$BB86&gt;$AZ$1),2,
AND(Tabela1[[#This Row],[STATUS PROCESSO MOBILIZAÇÃO]]="Em andamento",Tabela1[[#This Row],[DATA FIM - ALTER. CONTRATUAL]]="",$BB86&lt;=$AZ$1),3,
AND(Tabela1[[#This Row],[STATUS PROCESSO MOBILIZAÇÃO]]="Em andamento",Tabela1[[#This Row],[DATA FIM - ALTER. CONTRATUAL]]&lt;&gt;""),1)</f>
        <v>0</v>
      </c>
      <c r="N86" s="16" cm="1">
        <f t="array" aca="1" ref="N8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DOSSIÊ]]="",$BE86&gt;$BC$1),2,
AND(Tabela1[[#This Row],[STATUS PROCESSO MOBILIZAÇÃO]]="Em andamento",Tabela1[[#This Row],[DATA REAL - DOSSIÊ]]="",$BE86&lt;=$BC$1),3,
AND(Tabela1[[#This Row],[STATUS PROCESSO MOBILIZAÇÃO]]="Em andamento",Tabela1[[#This Row],[DATA REAL - DOSSIÊ]]&lt;&gt;""),1)</f>
        <v>1</v>
      </c>
      <c r="O86" s="16" cm="1">
        <f t="array" aca="1" ref="O8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POSTAGEM]]="",$BH86&gt;$BF$1),2,
AND(Tabela1[[#This Row],[STATUS PROCESSO MOBILIZAÇÃO]]="Em andamento",Tabela1[[#This Row],[DATA REAL - POSTAGEM]]="",$BH86&lt;=$BF$1),3,
AND(Tabela1[[#This Row],[STATUS PROCESSO MOBILIZAÇÃO]]="Em andamento",Tabela1[[#This Row],[DATA REAL - POSTAGEM]]&lt;&gt;""),1)</f>
        <v>1</v>
      </c>
      <c r="P86" s="16" cm="1">
        <f t="array" aca="1" ref="P8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FINAL]]="",$BK86&gt;$BI$1),2,
AND(Tabela1[[#This Row],[STATUS PROCESSO MOBILIZAÇÃO]]="Em andamento",Tabela1[[#This Row],[DATA REAL - APROV FINAL]]="",$BK86&lt;=$BI$1),3,
AND(Tabela1[[#This Row],[STATUS PROCESSO MOBILIZAÇÃO]]="Em andamento",Tabela1[[#This Row],[DATA REAL - APROV FINAL]]&lt;&gt;""),1)</f>
        <v>1</v>
      </c>
      <c r="Q86" s="15" cm="1">
        <f t="array" aca="1" ref="Q8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CRACHÁ]]="",$BN86&gt;$BL$1),2,
AND(Tabela1[[#This Row],[STATUS PROCESSO MOBILIZAÇÃO]]="Em andamento",Tabela1[[#This Row],[DATA REAL - CRACHÁ]]="",$BN86&lt;=$BL$1),3,
AND(Tabela1[[#This Row],[STATUS PROCESSO MOBILIZAÇÃO]]="Em andamento",Tabela1[[#This Row],[DATA REAL - CRACHÁ]]&lt;&gt;""),1)</f>
        <v>1</v>
      </c>
      <c r="R86" s="21">
        <f>IF(Tabela1[[#This Row],[DATA REAL - FORMS]]&lt;&gt;"",Tabela1[[#This Row],[DATA REAL - FORMS]]+30,Tabela1[[#This Row],[DATA PREV - FORMS]]+35)</f>
        <v>45828</v>
      </c>
      <c r="S8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45804</v>
      </c>
      <c r="T8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8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86" s="49">
        <f>MAX(Tabela1[[#This Row],[DATA REAL - POSTAGEM]],Tabela1[[#This Row],[DATA REAL - APROV FINAL]],Tabela1[[#This Row],[DATA REAL - CRACHÁ]])-MIN(Tabela1[[#This Row],[DATA REAL - POSTAGEM]],Tabela1[[#This Row],[DATA REAL - APROV FINAL]],Tabela1[[#This Row],[DATA REAL - CRACHÁ]])+1</f>
        <v>1</v>
      </c>
      <c r="W8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6" s="15" t="s">
        <v>355</v>
      </c>
      <c r="Y86" s="16" t="s">
        <v>150</v>
      </c>
      <c r="Z86" s="18" t="s">
        <v>356</v>
      </c>
      <c r="AA86" s="18" t="s">
        <v>152</v>
      </c>
      <c r="AB86" s="16" t="s">
        <v>87</v>
      </c>
      <c r="AC86" s="16" t="s">
        <v>132</v>
      </c>
      <c r="AD86" s="16" t="s">
        <v>132</v>
      </c>
      <c r="AE86" s="16" t="s">
        <v>337</v>
      </c>
      <c r="AF86" s="16" t="s">
        <v>379</v>
      </c>
      <c r="AG86" s="16" t="str">
        <f>_xlfn.XLOOKUP(Tabela1[[#This Row],[CÓD. CT]],Controle_Projetos[COD CT],Controle_Projetos[COD PHD],"")</f>
        <v>GERD-CT14-PIND</v>
      </c>
      <c r="AH86" s="21">
        <v>45798</v>
      </c>
      <c r="AI86" s="75">
        <v>45792</v>
      </c>
      <c r="AJ86" s="16" t="str" cm="1">
        <f t="array" aca="1" ref="AJ8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6" s="21">
        <v>45798</v>
      </c>
      <c r="AL86" s="74">
        <v>45798</v>
      </c>
      <c r="AM86" s="16" cm="1">
        <f t="array" aca="1" ref="AM8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6" s="21">
        <f>Tabela1[[#This Row],[DATA PREV - FORMS]]+$AN$1</f>
        <v>45805</v>
      </c>
      <c r="AO86" s="74">
        <v>45799</v>
      </c>
      <c r="AP86" s="16" cm="1">
        <f t="array" aca="1" ref="AP8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86" s="21">
        <f>Tabela1[[#This Row],[DATA PREV - EXAMES]]+$AQ$1</f>
        <v>45807</v>
      </c>
      <c r="AR86" s="74">
        <v>45804</v>
      </c>
      <c r="AS86" s="15" cm="1">
        <f t="array" aca="1" ref="AS8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86" s="21">
        <f>Tabela1[[#This Row],[DATA PREV - FORMS]]+$AT$1</f>
        <v>45799</v>
      </c>
      <c r="AU86" s="74">
        <v>45799</v>
      </c>
      <c r="AV86" s="15" cm="1">
        <f t="array" aca="1" ref="AV8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86" s="21">
        <f>Tabela1[[#This Row],[DATA PREV - TREINAMENTOS]]+$AW$1</f>
        <v>45806</v>
      </c>
      <c r="AX86" s="74">
        <v>45799</v>
      </c>
      <c r="AY86" s="15" cm="1">
        <f t="array" aca="1" ref="AY8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86" s="24">
        <v>45798</v>
      </c>
      <c r="BA86" s="74"/>
      <c r="BB86" s="15" cm="1">
        <f t="array" aca="1" ref="BB8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86" s="21">
        <f>Tabela1[[#This Row],[DATA PREV - CONCL. TREIN.]]+$BC$1</f>
        <v>45808</v>
      </c>
      <c r="BD86" s="74">
        <v>45804</v>
      </c>
      <c r="BE86" s="15" cm="1">
        <f t="array" aca="1" ref="BE8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86" s="21">
        <f>Tabela1[[#This Row],[DATA PREV - DOSSIÊ]]+$BF$1</f>
        <v>45811</v>
      </c>
      <c r="BG86" s="74">
        <v>45804</v>
      </c>
      <c r="BH86" s="15" cm="1">
        <f t="array" aca="1" ref="BH8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86" s="21">
        <f>Tabela1[[#This Row],[DATA PREV - POSTAGEM]]+$BI$1</f>
        <v>45817</v>
      </c>
      <c r="BJ86" s="74">
        <v>45804</v>
      </c>
      <c r="BK86" s="15" cm="1">
        <f t="array" aca="1" ref="BK8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-12</v>
      </c>
      <c r="BL86" s="21">
        <f>Tabela1[[#This Row],[DATA PREV - APROV FINAL]]+$BL$1</f>
        <v>45818</v>
      </c>
      <c r="BM86" s="74">
        <v>45804</v>
      </c>
      <c r="BN86" s="15" cm="1">
        <f t="array" aca="1" ref="BN8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86" s="80" t="s">
        <v>390</v>
      </c>
    </row>
    <row r="87" spans="2:67" ht="18" hidden="1" customHeight="1" x14ac:dyDescent="0.35">
      <c r="B87" s="14" t="s">
        <v>79</v>
      </c>
      <c r="C87" s="16" t="s">
        <v>381</v>
      </c>
      <c r="D87" s="16" t="s">
        <v>81</v>
      </c>
      <c r="E87" s="16"/>
      <c r="F87" s="16" t="s">
        <v>391</v>
      </c>
      <c r="G87" s="16" cm="1">
        <f t="array" ref="G87">_xlfn.IFS(Tabela1[[#This Row],[STATUS PROCESSO MOBILIZAÇÃO]]="Finalizado",1,Tabela1[[#This Row],[STATUS PROCESSO MOBILIZAÇÃO]]="Cancelado",2,Tabela1[[#This Row],[STATUS PROCESSO MOBILIZAÇÃO]]="Em andamento",3)</f>
        <v>1</v>
      </c>
      <c r="H87" s="16" cm="1">
        <f t="array" aca="1" ref="H8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FORMS]]="",$AM87&gt;$AK$1),2,
AND(Tabela1[[#This Row],[STATUS PROCESSO MOBILIZAÇÃO]]="Em andamento",Tabela1[[#This Row],[DATA REAL - FORMS]]="",$AM87&lt;=$AK$1),3,
AND(Tabela1[[#This Row],[STATUS PROCESSO MOBILIZAÇÃO]]="Em andamento",Tabela1[[#This Row],[DATA REAL - FORMS]]&lt;&gt;""),1)</f>
        <v>1</v>
      </c>
      <c r="I87" s="16" cm="1">
        <f t="array" aca="1" ref="I8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EXAMES]]="",$AP87&gt;$AN$1),2,
AND(Tabela1[[#This Row],[STATUS PROCESSO MOBILIZAÇÃO]]="Em andamento",Tabela1[[#This Row],[DATA REAL - EXAMES]]="",$AP87&lt;=$AN$1),3,
AND(Tabela1[[#This Row],[STATUS PROCESSO MOBILIZAÇÃO]]="Em andamento",Tabela1[[#This Row],[DATA REAL - EXAMES]]&lt;&gt;""),1)</f>
        <v>1</v>
      </c>
      <c r="J87" s="16" cm="1">
        <f t="array" aca="1" ref="J8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ASO]]="",$AS87&gt;$AQ$1),2,
AND(Tabela1[[#This Row],[STATUS PROCESSO MOBILIZAÇÃO]]="Em andamento",Tabela1[[#This Row],[DATA REAL - ASO]]="",$AS87&lt;=$AQ$1),3,
AND(Tabela1[[#This Row],[STATUS PROCESSO MOBILIZAÇÃO]]="Em andamento",Tabela1[[#This Row],[DATA REAL - ASO]]&lt;&gt;""),1)</f>
        <v>1</v>
      </c>
      <c r="K87" s="15" cm="1">
        <f t="array" aca="1" ref="K8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TREINAMENTOS]]="",$AV87&gt;$AT$1),2,
AND(Tabela1[[#This Row],[STATUS PROCESSO MOBILIZAÇÃO]]="Em andamento",Tabela1[[#This Row],[DATA REAL - TREINAMENTOS]]="",$AV87&lt;=$AT$1),3,
AND(Tabela1[[#This Row],[STATUS PROCESSO MOBILIZAÇÃO]]="Em andamento",Tabela1[[#This Row],[DATA REAL - TREINAMENTOS]]&lt;&gt;""),1)</f>
        <v>1</v>
      </c>
      <c r="L87" s="15" cm="1">
        <f t="array" aca="1" ref="L8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TREIN.]]="",$AY87&gt;$AW$1),2,
AND(Tabela1[[#This Row],[STATUS PROCESSO MOBILIZAÇÃO]]="Em andamento",Tabela1[[#This Row],[DATA REAL - CONCL. TREIN.]]="",$AY87&lt;=$AW$1),3,
AND(Tabela1[[#This Row],[STATUS PROCESSO MOBILIZAÇÃO]]="Em andamento",Tabela1[[#This Row],[DATA REAL - CONCL. TREIN.]]&lt;&gt;""),1)</f>
        <v>1</v>
      </c>
      <c r="M87" s="15" cm="1">
        <f t="array" aca="1" ref="M8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CONTRATUAL]]="",$BB87&gt;$AZ$1),2,
AND(Tabela1[[#This Row],[STATUS PROCESSO MOBILIZAÇÃO]]="Em andamento",Tabela1[[#This Row],[DATA FIM - ALTER. CONTRATUAL]]="",$BB87&lt;=$AZ$1),3,
AND(Tabela1[[#This Row],[STATUS PROCESSO MOBILIZAÇÃO]]="Em andamento",Tabela1[[#This Row],[DATA FIM - ALTER. CONTRATUAL]]&lt;&gt;""),1)</f>
        <v>1</v>
      </c>
      <c r="N87" s="16" cm="1">
        <f t="array" aca="1" ref="N8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DOSSIÊ]]="",$BE87&gt;$BC$1),2,
AND(Tabela1[[#This Row],[STATUS PROCESSO MOBILIZAÇÃO]]="Em andamento",Tabela1[[#This Row],[DATA REAL - DOSSIÊ]]="",$BE87&lt;=$BC$1),3,
AND(Tabela1[[#This Row],[STATUS PROCESSO MOBILIZAÇÃO]]="Em andamento",Tabela1[[#This Row],[DATA REAL - DOSSIÊ]]&lt;&gt;""),1)</f>
        <v>1</v>
      </c>
      <c r="O87" s="16" cm="1">
        <f t="array" aca="1" ref="O8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POSTAGEM]]="",$BH87&gt;$BF$1),2,
AND(Tabela1[[#This Row],[STATUS PROCESSO MOBILIZAÇÃO]]="Em andamento",Tabela1[[#This Row],[DATA REAL - POSTAGEM]]="",$BH87&lt;=$BF$1),3,
AND(Tabela1[[#This Row],[STATUS PROCESSO MOBILIZAÇÃO]]="Em andamento",Tabela1[[#This Row],[DATA REAL - POSTAGEM]]&lt;&gt;""),1)</f>
        <v>1</v>
      </c>
      <c r="P87" s="16" cm="1">
        <f t="array" aca="1" ref="P8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FINAL]]="",$BK87&gt;$BI$1),2,
AND(Tabela1[[#This Row],[STATUS PROCESSO MOBILIZAÇÃO]]="Em andamento",Tabela1[[#This Row],[DATA REAL - APROV FINAL]]="",$BK87&lt;=$BI$1),3,
AND(Tabela1[[#This Row],[STATUS PROCESSO MOBILIZAÇÃO]]="Em andamento",Tabela1[[#This Row],[DATA REAL - APROV FINAL]]&lt;&gt;""),1)</f>
        <v>1</v>
      </c>
      <c r="Q87" s="15" cm="1">
        <f t="array" aca="1" ref="Q8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CRACHÁ]]="",$BN87&gt;$BL$1),2,
AND(Tabela1[[#This Row],[STATUS PROCESSO MOBILIZAÇÃO]]="Em andamento",Tabela1[[#This Row],[DATA REAL - CRACHÁ]]="",$BN87&lt;=$BL$1),3,
AND(Tabela1[[#This Row],[STATUS PROCESSO MOBILIZAÇÃO]]="Em andamento",Tabela1[[#This Row],[DATA REAL - CRACHÁ]]&lt;&gt;""),1)</f>
        <v>1</v>
      </c>
      <c r="R87" s="21">
        <f>IF(Tabela1[[#This Row],[DATA REAL - FORMS]]&lt;&gt;"",Tabela1[[#This Row],[DATA REAL - FORMS]]+30,Tabela1[[#This Row],[DATA PREV - FORMS]]+35)</f>
        <v>45828</v>
      </c>
      <c r="S8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45811</v>
      </c>
      <c r="T8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19</v>
      </c>
      <c r="U8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18</v>
      </c>
      <c r="V87" s="49">
        <f>MAX(Tabela1[[#This Row],[DATA REAL - POSTAGEM]],Tabela1[[#This Row],[DATA REAL - APROV FINAL]],Tabela1[[#This Row],[DATA REAL - CRACHÁ]])-MIN(Tabela1[[#This Row],[DATA REAL - POSTAGEM]],Tabela1[[#This Row],[DATA REAL - APROV FINAL]],Tabela1[[#This Row],[DATA REAL - CRACHÁ]])+1</f>
        <v>2</v>
      </c>
      <c r="W8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7" s="15" t="s">
        <v>355</v>
      </c>
      <c r="Y87" s="16" t="s">
        <v>150</v>
      </c>
      <c r="Z87" s="18" t="s">
        <v>356</v>
      </c>
      <c r="AA87" s="18" t="s">
        <v>152</v>
      </c>
      <c r="AB87" s="16" t="s">
        <v>97</v>
      </c>
      <c r="AC87" s="16" t="s">
        <v>132</v>
      </c>
      <c r="AD87" s="16" t="s">
        <v>132</v>
      </c>
      <c r="AE87" s="16" t="s">
        <v>337</v>
      </c>
      <c r="AF87" s="16" t="s">
        <v>379</v>
      </c>
      <c r="AG87" s="16" t="str">
        <f>_xlfn.XLOOKUP(Tabela1[[#This Row],[CÓD. CT]],Controle_Projetos[COD CT],Controle_Projetos[COD PHD],"")</f>
        <v>GERD-CT14-PIND</v>
      </c>
      <c r="AH87" s="21">
        <v>45798</v>
      </c>
      <c r="AI87" s="75">
        <v>45792</v>
      </c>
      <c r="AJ87" s="16" t="str" cm="1">
        <f t="array" aca="1" ref="AJ8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7" s="21">
        <v>45798</v>
      </c>
      <c r="AL87" s="74">
        <v>45798</v>
      </c>
      <c r="AM87" s="16" cm="1">
        <f t="array" aca="1" ref="AM8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7" s="21">
        <f>Tabela1[[#This Row],[DATA PREV - FORMS]]+$AN$1</f>
        <v>45805</v>
      </c>
      <c r="AO87" s="74">
        <v>45798</v>
      </c>
      <c r="AP87" s="16" cm="1">
        <f t="array" aca="1" ref="AP8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87" s="21">
        <f>Tabela1[[#This Row],[DATA PREV - EXAMES]]+$AQ$1</f>
        <v>45807</v>
      </c>
      <c r="AR87" s="74">
        <v>45804</v>
      </c>
      <c r="AS87" s="15" cm="1">
        <f t="array" aca="1" ref="AS8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87" s="21">
        <f>Tabela1[[#This Row],[DATA PREV - FORMS]]+$AT$1</f>
        <v>45799</v>
      </c>
      <c r="AU87" s="74">
        <v>45798</v>
      </c>
      <c r="AV87" s="15" cm="1">
        <f t="array" aca="1" ref="AV8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7" s="21">
        <f>Tabela1[[#This Row],[DATA PREV - TREINAMENTOS]]+$AW$1</f>
        <v>45806</v>
      </c>
      <c r="AX87" s="74">
        <v>45810</v>
      </c>
      <c r="AY87" s="15" cm="1">
        <f t="array" aca="1" ref="AY8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87" s="24">
        <v>45817</v>
      </c>
      <c r="BA87" s="74">
        <v>45798</v>
      </c>
      <c r="BB87" s="15" cm="1">
        <f t="array" aca="1" ref="BB8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-18</v>
      </c>
      <c r="BC87" s="21">
        <f>Tabela1[[#This Row],[DATA PREV - CONCL. TREIN.]]+$BC$1</f>
        <v>45808</v>
      </c>
      <c r="BD87" s="74">
        <v>45810</v>
      </c>
      <c r="BE87" s="15" cm="1">
        <f t="array" aca="1" ref="BE8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87" s="21">
        <f>Tabela1[[#This Row],[DATA PREV - DOSSIÊ]]+$BF$1</f>
        <v>45811</v>
      </c>
      <c r="BG87" s="74">
        <v>45810</v>
      </c>
      <c r="BH87" s="15" cm="1">
        <f t="array" aca="1" ref="BH8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87" s="21">
        <f>Tabela1[[#This Row],[DATA PREV - POSTAGEM]]+$BI$1</f>
        <v>45817</v>
      </c>
      <c r="BJ87" s="74">
        <v>45811</v>
      </c>
      <c r="BK87" s="15" cm="1">
        <f t="array" aca="1" ref="BK8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87" s="21">
        <f>Tabela1[[#This Row],[DATA PREV - APROV FINAL]]+$BL$1</f>
        <v>45818</v>
      </c>
      <c r="BM87" s="74">
        <v>45811</v>
      </c>
      <c r="BN87" s="15" cm="1">
        <f t="array" aca="1" ref="BN8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87" s="80" t="s">
        <v>392</v>
      </c>
    </row>
    <row r="88" spans="2:67" ht="18" hidden="1" customHeight="1" x14ac:dyDescent="0.35">
      <c r="B88" s="14" t="s">
        <v>79</v>
      </c>
      <c r="C88" s="16" t="s">
        <v>381</v>
      </c>
      <c r="D88" s="16" t="s">
        <v>81</v>
      </c>
      <c r="E88" s="16"/>
      <c r="F88" s="16" t="s">
        <v>260</v>
      </c>
      <c r="G88" s="16" cm="1">
        <f t="array" ref="G88">_xlfn.IFS(Tabela1[[#This Row],[STATUS PROCESSO MOBILIZAÇÃO]]="Finalizado",1,Tabela1[[#This Row],[STATUS PROCESSO MOBILIZAÇÃO]]="Cancelado",2,Tabela1[[#This Row],[STATUS PROCESSO MOBILIZAÇÃO]]="Em andamento",3)</f>
        <v>1</v>
      </c>
      <c r="H88" s="16" cm="1">
        <f t="array" aca="1" ref="H8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FORMS]]="",$AM88&gt;$AK$1),2,
AND(Tabela1[[#This Row],[STATUS PROCESSO MOBILIZAÇÃO]]="Em andamento",Tabela1[[#This Row],[DATA REAL - FORMS]]="",$AM88&lt;=$AK$1),3,
AND(Tabela1[[#This Row],[STATUS PROCESSO MOBILIZAÇÃO]]="Em andamento",Tabela1[[#This Row],[DATA REAL - FORMS]]&lt;&gt;""),1)</f>
        <v>1</v>
      </c>
      <c r="I88" s="16" cm="1">
        <f t="array" aca="1" ref="I8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EXAMES]]="",$AP88&gt;$AN$1),2,
AND(Tabela1[[#This Row],[STATUS PROCESSO MOBILIZAÇÃO]]="Em andamento",Tabela1[[#This Row],[DATA REAL - EXAMES]]="",$AP88&lt;=$AN$1),3,
AND(Tabela1[[#This Row],[STATUS PROCESSO MOBILIZAÇÃO]]="Em andamento",Tabela1[[#This Row],[DATA REAL - EXAMES]]&lt;&gt;""),1)</f>
        <v>1</v>
      </c>
      <c r="J88" s="16" cm="1">
        <f t="array" aca="1" ref="J8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ASO]]="",$AS88&gt;$AQ$1),2,
AND(Tabela1[[#This Row],[STATUS PROCESSO MOBILIZAÇÃO]]="Em andamento",Tabela1[[#This Row],[DATA REAL - ASO]]="",$AS88&lt;=$AQ$1),3,
AND(Tabela1[[#This Row],[STATUS PROCESSO MOBILIZAÇÃO]]="Em andamento",Tabela1[[#This Row],[DATA REAL - ASO]]&lt;&gt;""),1)</f>
        <v>1</v>
      </c>
      <c r="K88" s="15" cm="1">
        <f t="array" aca="1" ref="K8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TREINAMENTOS]]="",$AV88&gt;$AT$1),2,
AND(Tabela1[[#This Row],[STATUS PROCESSO MOBILIZAÇÃO]]="Em andamento",Tabela1[[#This Row],[DATA REAL - TREINAMENTOS]]="",$AV88&lt;=$AT$1),3,
AND(Tabela1[[#This Row],[STATUS PROCESSO MOBILIZAÇÃO]]="Em andamento",Tabela1[[#This Row],[DATA REAL - TREINAMENTOS]]&lt;&gt;""),1)</f>
        <v>1</v>
      </c>
      <c r="L88" s="15" cm="1">
        <f t="array" aca="1" ref="L8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TREIN.]]="",$AY88&gt;$AW$1),2,
AND(Tabela1[[#This Row],[STATUS PROCESSO MOBILIZAÇÃO]]="Em andamento",Tabela1[[#This Row],[DATA REAL - CONCL. TREIN.]]="",$AY88&lt;=$AW$1),3,
AND(Tabela1[[#This Row],[STATUS PROCESSO MOBILIZAÇÃO]]="Em andamento",Tabela1[[#This Row],[DATA REAL - CONCL. TREIN.]]&lt;&gt;""),1)</f>
        <v>1</v>
      </c>
      <c r="M88" s="15" cm="1">
        <f t="array" aca="1" ref="M8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CONTRATUAL]]="",$BB88&gt;$AZ$1),2,
AND(Tabela1[[#This Row],[STATUS PROCESSO MOBILIZAÇÃO]]="Em andamento",Tabela1[[#This Row],[DATA FIM - ALTER. CONTRATUAL]]="",$BB88&lt;=$AZ$1),3,
AND(Tabela1[[#This Row],[STATUS PROCESSO MOBILIZAÇÃO]]="Em andamento",Tabela1[[#This Row],[DATA FIM - ALTER. CONTRATUAL]]&lt;&gt;""),1)</f>
        <v>1</v>
      </c>
      <c r="N88" s="16" cm="1">
        <f t="array" aca="1" ref="N8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DOSSIÊ]]="",$BE88&gt;$BC$1),2,
AND(Tabela1[[#This Row],[STATUS PROCESSO MOBILIZAÇÃO]]="Em andamento",Tabela1[[#This Row],[DATA REAL - DOSSIÊ]]="",$BE88&lt;=$BC$1),3,
AND(Tabela1[[#This Row],[STATUS PROCESSO MOBILIZAÇÃO]]="Em andamento",Tabela1[[#This Row],[DATA REAL - DOSSIÊ]]&lt;&gt;""),1)</f>
        <v>1</v>
      </c>
      <c r="O88" s="16" cm="1">
        <f t="array" aca="1" ref="O8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POSTAGEM]]="",$BH88&gt;$BF$1),2,
AND(Tabela1[[#This Row],[STATUS PROCESSO MOBILIZAÇÃO]]="Em andamento",Tabela1[[#This Row],[DATA REAL - POSTAGEM]]="",$BH88&lt;=$BF$1),3,
AND(Tabela1[[#This Row],[STATUS PROCESSO MOBILIZAÇÃO]]="Em andamento",Tabela1[[#This Row],[DATA REAL - POSTAGEM]]&lt;&gt;""),1)</f>
        <v>1</v>
      </c>
      <c r="P88" s="16" cm="1">
        <f t="array" aca="1" ref="P8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FINAL]]="",$BK88&gt;$BI$1),2,
AND(Tabela1[[#This Row],[STATUS PROCESSO MOBILIZAÇÃO]]="Em andamento",Tabela1[[#This Row],[DATA REAL - APROV FINAL]]="",$BK88&lt;=$BI$1),3,
AND(Tabela1[[#This Row],[STATUS PROCESSO MOBILIZAÇÃO]]="Em andamento",Tabela1[[#This Row],[DATA REAL - APROV FINAL]]&lt;&gt;""),1)</f>
        <v>1</v>
      </c>
      <c r="Q88" s="15" cm="1">
        <f t="array" aca="1" ref="Q8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CRACHÁ]]="",$BN88&gt;$BL$1),2,
AND(Tabela1[[#This Row],[STATUS PROCESSO MOBILIZAÇÃO]]="Em andamento",Tabela1[[#This Row],[DATA REAL - CRACHÁ]]="",$BN88&lt;=$BL$1),3,
AND(Tabela1[[#This Row],[STATUS PROCESSO MOBILIZAÇÃO]]="Em andamento",Tabela1[[#This Row],[DATA REAL - CRACHÁ]]&lt;&gt;""),1)</f>
        <v>1</v>
      </c>
      <c r="R88" s="21">
        <f>IF(Tabela1[[#This Row],[DATA REAL - FORMS]]&lt;&gt;"",Tabela1[[#This Row],[DATA REAL - FORMS]]+30,Tabela1[[#This Row],[DATA PREV - FORMS]]+35)</f>
        <v>45835</v>
      </c>
      <c r="S8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45826</v>
      </c>
      <c r="T8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139</v>
      </c>
      <c r="U8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133</v>
      </c>
      <c r="V88" s="49">
        <f>MAX(Tabela1[[#This Row],[DATA REAL - POSTAGEM]],Tabela1[[#This Row],[DATA REAL - APROV FINAL]],Tabela1[[#This Row],[DATA REAL - CRACHÁ]])-MIN(Tabela1[[#This Row],[DATA REAL - POSTAGEM]],Tabela1[[#This Row],[DATA REAL - APROV FINAL]],Tabela1[[#This Row],[DATA REAL - CRACHÁ]])+1</f>
        <v>6</v>
      </c>
      <c r="W8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88" s="15" t="s">
        <v>121</v>
      </c>
      <c r="Y88" s="16" t="s">
        <v>122</v>
      </c>
      <c r="Z88" s="18" t="s">
        <v>123</v>
      </c>
      <c r="AA88" s="18" t="s">
        <v>124</v>
      </c>
      <c r="AB88" s="16" t="s">
        <v>97</v>
      </c>
      <c r="AC88" s="16" t="s">
        <v>226</v>
      </c>
      <c r="AD88" s="16" t="s">
        <v>227</v>
      </c>
      <c r="AE88" s="16" t="s">
        <v>228</v>
      </c>
      <c r="AF88" s="16" t="s">
        <v>229</v>
      </c>
      <c r="AG88" s="16" t="str">
        <f>_xlfn.XLOOKUP(Tabela1[[#This Row],[CÓD. CT]],Controle_Projetos[COD CT],Controle_Projetos[COD PHD],"")</f>
        <v>ARCL-CT02-LPSA</v>
      </c>
      <c r="AH88" s="21">
        <v>45805</v>
      </c>
      <c r="AI88" s="75">
        <v>45687</v>
      </c>
      <c r="AJ88" s="16" t="str" cm="1">
        <f t="array" aca="1" ref="AJ8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88" s="21">
        <v>45805</v>
      </c>
      <c r="AL88" s="74">
        <v>45805</v>
      </c>
      <c r="AM88" s="16" cm="1">
        <f t="array" aca="1" ref="AM8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8" s="21">
        <f>Tabela1[[#This Row],[DATA PREV - FORMS]]+$AN$1</f>
        <v>45812</v>
      </c>
      <c r="AO88" s="74">
        <v>45806</v>
      </c>
      <c r="AP88" s="16" cm="1">
        <f t="array" aca="1" ref="AP8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88" s="21">
        <f>Tabela1[[#This Row],[DATA PREV - EXAMES]]+$AQ$1</f>
        <v>45814</v>
      </c>
      <c r="AR88" s="74">
        <v>45820</v>
      </c>
      <c r="AS88" s="15" cm="1">
        <f t="array" aca="1" ref="AS8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88" s="21">
        <f>Tabela1[[#This Row],[DATA PREV - FORMS]]+$AT$1</f>
        <v>45806</v>
      </c>
      <c r="AU88" s="74">
        <v>45805</v>
      </c>
      <c r="AV88" s="15" cm="1">
        <f t="array" aca="1" ref="AV8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88" s="21">
        <f>Tabela1[[#This Row],[DATA PREV - TREINAMENTOS]]+$AW$1</f>
        <v>45813</v>
      </c>
      <c r="AX88" s="74">
        <v>45805</v>
      </c>
      <c r="AY88" s="15" cm="1">
        <f t="array" aca="1" ref="AY8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88" s="24">
        <v>45805</v>
      </c>
      <c r="BA88" s="74">
        <v>45805</v>
      </c>
      <c r="BB88" s="15" cm="1">
        <f t="array" aca="1" ref="BB8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88" s="21">
        <f>Tabela1[[#This Row],[DATA PREV - CONCL. TREIN.]]+$BC$1</f>
        <v>45815</v>
      </c>
      <c r="BD88" s="74">
        <v>45820</v>
      </c>
      <c r="BE88" s="15" cm="1">
        <f t="array" aca="1" ref="BE8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88" s="21">
        <f>Tabela1[[#This Row],[DATA PREV - DOSSIÊ]]+$BF$1</f>
        <v>45818</v>
      </c>
      <c r="BG88" s="74">
        <v>45821</v>
      </c>
      <c r="BH88" s="15" cm="1">
        <f t="array" aca="1" ref="BH8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88" s="21">
        <f>Tabela1[[#This Row],[DATA PREV - POSTAGEM]]+$BI$1</f>
        <v>45824</v>
      </c>
      <c r="BJ88" s="74">
        <v>45825</v>
      </c>
      <c r="BK88" s="15" cm="1">
        <f t="array" aca="1" ref="BK8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88" s="21">
        <f>Tabela1[[#This Row],[DATA PREV - APROV FINAL]]+$BL$1</f>
        <v>45825</v>
      </c>
      <c r="BM88" s="74">
        <v>45826</v>
      </c>
      <c r="BN88" s="15" cm="1">
        <f t="array" aca="1" ref="BN8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88" s="80" t="s">
        <v>393</v>
      </c>
    </row>
    <row r="89" spans="2:67" ht="18" hidden="1" customHeight="1" x14ac:dyDescent="0.35">
      <c r="B89" s="14" t="s">
        <v>79</v>
      </c>
      <c r="C89" s="16" t="s">
        <v>381</v>
      </c>
      <c r="D89" s="16" t="s">
        <v>81</v>
      </c>
      <c r="E89" s="16"/>
      <c r="F89" s="16" t="s">
        <v>394</v>
      </c>
      <c r="G89" s="16" cm="1">
        <f t="array" ref="G89">_xlfn.IFS(Tabela1[[#This Row],[STATUS PROCESSO MOBILIZAÇÃO]]="Finalizado",1,Tabela1[[#This Row],[STATUS PROCESSO MOBILIZAÇÃO]]="Cancelado",2,Tabela1[[#This Row],[STATUS PROCESSO MOBILIZAÇÃO]]="Em andamento",3)</f>
        <v>1</v>
      </c>
      <c r="H89" s="16" cm="1">
        <f t="array" aca="1" ref="H8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FORMS]]="",$AM89&gt;$AK$1),2,
AND(Tabela1[[#This Row],[STATUS PROCESSO MOBILIZAÇÃO]]="Em andamento",Tabela1[[#This Row],[DATA REAL - FORMS]]="",$AM89&lt;=$AK$1),3,
AND(Tabela1[[#This Row],[STATUS PROCESSO MOBILIZAÇÃO]]="Em andamento",Tabela1[[#This Row],[DATA REAL - FORMS]]&lt;&gt;""),1)</f>
        <v>1</v>
      </c>
      <c r="I89" s="16" cm="1">
        <f t="array" aca="1" ref="I8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EXAMES]]="",$AP89&gt;$AN$1),2,
AND(Tabela1[[#This Row],[STATUS PROCESSO MOBILIZAÇÃO]]="Em andamento",Tabela1[[#This Row],[DATA REAL - EXAMES]]="",$AP89&lt;=$AN$1),3,
AND(Tabela1[[#This Row],[STATUS PROCESSO MOBILIZAÇÃO]]="Em andamento",Tabela1[[#This Row],[DATA REAL - EXAMES]]&lt;&gt;""),1)</f>
        <v>1</v>
      </c>
      <c r="J89" s="16" cm="1">
        <f t="array" aca="1" ref="J8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ASO]]="",$AS89&gt;$AQ$1),2,
AND(Tabela1[[#This Row],[STATUS PROCESSO MOBILIZAÇÃO]]="Em andamento",Tabela1[[#This Row],[DATA REAL - ASO]]="",$AS89&lt;=$AQ$1),3,
AND(Tabela1[[#This Row],[STATUS PROCESSO MOBILIZAÇÃO]]="Em andamento",Tabela1[[#This Row],[DATA REAL - ASO]]&lt;&gt;""),1)</f>
        <v>1</v>
      </c>
      <c r="K89" s="15" cm="1">
        <f t="array" aca="1" ref="K8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TREINAMENTOS]]="",$AV89&gt;$AT$1),2,
AND(Tabela1[[#This Row],[STATUS PROCESSO MOBILIZAÇÃO]]="Em andamento",Tabela1[[#This Row],[DATA REAL - TREINAMENTOS]]="",$AV89&lt;=$AT$1),3,
AND(Tabela1[[#This Row],[STATUS PROCESSO MOBILIZAÇÃO]]="Em andamento",Tabela1[[#This Row],[DATA REAL - TREINAMENTOS]]&lt;&gt;""),1)</f>
        <v>1</v>
      </c>
      <c r="L89" s="15" cm="1">
        <f t="array" aca="1" ref="L8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TREIN.]]="",$AY89&gt;$AW$1),2,
AND(Tabela1[[#This Row],[STATUS PROCESSO MOBILIZAÇÃO]]="Em andamento",Tabela1[[#This Row],[DATA REAL - CONCL. TREIN.]]="",$AY89&lt;=$AW$1),3,
AND(Tabela1[[#This Row],[STATUS PROCESSO MOBILIZAÇÃO]]="Em andamento",Tabela1[[#This Row],[DATA REAL - CONCL. TREIN.]]&lt;&gt;""),1)</f>
        <v>1</v>
      </c>
      <c r="M89" s="15" cm="1">
        <f t="array" aca="1" ref="M8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CONTRATUAL]]="",$BB89&gt;$AZ$1),2,
AND(Tabela1[[#This Row],[STATUS PROCESSO MOBILIZAÇÃO]]="Em andamento",Tabela1[[#This Row],[DATA FIM - ALTER. CONTRATUAL]]="",$BB89&lt;=$AZ$1),3,
AND(Tabela1[[#This Row],[STATUS PROCESSO MOBILIZAÇÃO]]="Em andamento",Tabela1[[#This Row],[DATA FIM - ALTER. CONTRATUAL]]&lt;&gt;""),1)</f>
        <v>1</v>
      </c>
      <c r="N89" s="16" cm="1">
        <f t="array" aca="1" ref="N8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DOSSIÊ]]="",$BE89&gt;$BC$1),2,
AND(Tabela1[[#This Row],[STATUS PROCESSO MOBILIZAÇÃO]]="Em andamento",Tabela1[[#This Row],[DATA REAL - DOSSIÊ]]="",$BE89&lt;=$BC$1),3,
AND(Tabela1[[#This Row],[STATUS PROCESSO MOBILIZAÇÃO]]="Em andamento",Tabela1[[#This Row],[DATA REAL - DOSSIÊ]]&lt;&gt;""),1)</f>
        <v>1</v>
      </c>
      <c r="O89" s="16" cm="1">
        <f t="array" aca="1" ref="O8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POSTAGEM]]="",$BH89&gt;$BF$1),2,
AND(Tabela1[[#This Row],[STATUS PROCESSO MOBILIZAÇÃO]]="Em andamento",Tabela1[[#This Row],[DATA REAL - POSTAGEM]]="",$BH89&lt;=$BF$1),3,
AND(Tabela1[[#This Row],[STATUS PROCESSO MOBILIZAÇÃO]]="Em andamento",Tabela1[[#This Row],[DATA REAL - POSTAGEM]]&lt;&gt;""),1)</f>
        <v>1</v>
      </c>
      <c r="P89" s="16" cm="1">
        <f t="array" aca="1" ref="P8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FINAL]]="",$BK89&gt;$BI$1),2,
AND(Tabela1[[#This Row],[STATUS PROCESSO MOBILIZAÇÃO]]="Em andamento",Tabela1[[#This Row],[DATA REAL - APROV FINAL]]="",$BK89&lt;=$BI$1),3,
AND(Tabela1[[#This Row],[STATUS PROCESSO MOBILIZAÇÃO]]="Em andamento",Tabela1[[#This Row],[DATA REAL - APROV FINAL]]&lt;&gt;""),1)</f>
        <v>1</v>
      </c>
      <c r="Q89" s="15" cm="1">
        <f t="array" aca="1" ref="Q8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CRACHÁ]]="",$BN89&gt;$BL$1),2,
AND(Tabela1[[#This Row],[STATUS PROCESSO MOBILIZAÇÃO]]="Em andamento",Tabela1[[#This Row],[DATA REAL - CRACHÁ]]="",$BN89&lt;=$BL$1),3,
AND(Tabela1[[#This Row],[STATUS PROCESSO MOBILIZAÇÃO]]="Em andamento",Tabela1[[#This Row],[DATA REAL - CRACHÁ]]&lt;&gt;""),1)</f>
        <v>1</v>
      </c>
      <c r="R89" s="21">
        <f>IF(Tabela1[[#This Row],[DATA REAL - FORMS]]&lt;&gt;"",Tabela1[[#This Row],[DATA REAL - FORMS]]+30,Tabela1[[#This Row],[DATA PREV - FORMS]]+35)</f>
        <v>45840</v>
      </c>
      <c r="S8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45848</v>
      </c>
      <c r="T8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38</v>
      </c>
      <c r="U8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35</v>
      </c>
      <c r="V89" s="49">
        <f>MAX(Tabela1[[#This Row],[DATA REAL - POSTAGEM]],Tabela1[[#This Row],[DATA REAL - APROV FINAL]],Tabela1[[#This Row],[DATA REAL - CRACHÁ]])-MIN(Tabela1[[#This Row],[DATA REAL - POSTAGEM]],Tabela1[[#This Row],[DATA REAL - APROV FINAL]],Tabela1[[#This Row],[DATA REAL - CRACHÁ]])+1</f>
        <v>4</v>
      </c>
      <c r="W8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89" s="15" t="s">
        <v>84</v>
      </c>
      <c r="Y89" s="16" t="s">
        <v>84</v>
      </c>
      <c r="Z89" s="18"/>
      <c r="AA89" s="18" t="s">
        <v>86</v>
      </c>
      <c r="AB89" s="16" t="s">
        <v>97</v>
      </c>
      <c r="AC89" s="16" t="s">
        <v>395</v>
      </c>
      <c r="AD89" s="16" t="s">
        <v>395</v>
      </c>
      <c r="AE89" s="16" t="s">
        <v>396</v>
      </c>
      <c r="AF89" s="16" t="s">
        <v>397</v>
      </c>
      <c r="AG89" s="16" t="str">
        <f>_xlfn.XLOOKUP(Tabela1[[#This Row],[CÓD. CT]],Controle_Projetos[COD CT],Controle_Projetos[COD PHD],"")</f>
        <v>EMPA-CT03-PLAN</v>
      </c>
      <c r="AH89" s="21">
        <v>45786</v>
      </c>
      <c r="AI89" s="75">
        <v>45811</v>
      </c>
      <c r="AJ89" s="16" cm="1">
        <f t="array" aca="1" ref="AJ8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26</v>
      </c>
      <c r="AK89" s="21">
        <v>45810</v>
      </c>
      <c r="AL89" s="74">
        <v>45810</v>
      </c>
      <c r="AM89" s="16" cm="1">
        <f t="array" aca="1" ref="AM8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89" s="21">
        <f>Tabela1[[#This Row],[DATA PREV - FORMS]]+$AN$1</f>
        <v>45817</v>
      </c>
      <c r="AO89" s="74">
        <v>45810</v>
      </c>
      <c r="AP89" s="16" cm="1">
        <f t="array" aca="1" ref="AP8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89" s="21">
        <f>Tabela1[[#This Row],[DATA PREV - EXAMES]]+$AQ$1</f>
        <v>45819</v>
      </c>
      <c r="AR89" s="74">
        <v>45813</v>
      </c>
      <c r="AS89" s="15" cm="1">
        <f t="array" aca="1" ref="AS8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89" s="21">
        <f>Tabela1[[#This Row],[DATA PREV - FORMS]]+$AT$1</f>
        <v>45811</v>
      </c>
      <c r="AU89" s="74">
        <v>45814</v>
      </c>
      <c r="AV89" s="15" cm="1">
        <f t="array" aca="1" ref="AV8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89" s="21">
        <f>Tabela1[[#This Row],[DATA PREV - TREINAMENTOS]]+$AW$1</f>
        <v>45818</v>
      </c>
      <c r="AX89" s="74">
        <v>45819</v>
      </c>
      <c r="AY89" s="15" cm="1">
        <f t="array" aca="1" ref="AY8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89" s="24">
        <v>45741</v>
      </c>
      <c r="BA89" s="74">
        <v>45845</v>
      </c>
      <c r="BB89" s="15" cm="1">
        <f t="array" aca="1" ref="BB8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105</v>
      </c>
      <c r="BC89" s="21">
        <f>Tabela1[[#This Row],[DATA PREV - CONCL. TREIN.]]+$BC$1</f>
        <v>45820</v>
      </c>
      <c r="BD89" s="74">
        <v>45845</v>
      </c>
      <c r="BE89" s="15" cm="1">
        <f t="array" aca="1" ref="BE8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26</v>
      </c>
      <c r="BF89" s="21">
        <f>Tabela1[[#This Row],[DATA PREV - DOSSIÊ]]+$BF$1</f>
        <v>45823</v>
      </c>
      <c r="BG89" s="74">
        <v>45845</v>
      </c>
      <c r="BH89" s="15" cm="1">
        <f t="array" aca="1" ref="BH8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23</v>
      </c>
      <c r="BI89" s="21">
        <f>Tabela1[[#This Row],[DATA PREV - POSTAGEM]]+$BI$1</f>
        <v>45829</v>
      </c>
      <c r="BJ89" s="74">
        <v>45848</v>
      </c>
      <c r="BK89" s="15" cm="1">
        <f t="array" aca="1" ref="BK8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20</v>
      </c>
      <c r="BL89" s="21">
        <f>Tabela1[[#This Row],[DATA PREV - APROV FINAL]]+$BL$1</f>
        <v>45830</v>
      </c>
      <c r="BM89" s="74">
        <v>45848</v>
      </c>
      <c r="BN89" s="15" cm="1">
        <f t="array" aca="1" ref="BN8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19</v>
      </c>
      <c r="BO89" s="80" t="s">
        <v>398</v>
      </c>
    </row>
    <row r="90" spans="2:67" ht="18" hidden="1" customHeight="1" x14ac:dyDescent="0.35">
      <c r="B90" s="14" t="s">
        <v>79</v>
      </c>
      <c r="C90" s="16" t="s">
        <v>381</v>
      </c>
      <c r="D90" s="16" t="s">
        <v>81</v>
      </c>
      <c r="E90" s="16"/>
      <c r="F90" s="16" t="s">
        <v>399</v>
      </c>
      <c r="G90" s="16" cm="1">
        <f t="array" ref="G90">_xlfn.IFS(Tabela1[[#This Row],[STATUS PROCESSO MOBILIZAÇÃO]]="Finalizado",1,Tabela1[[#This Row],[STATUS PROCESSO MOBILIZAÇÃO]]="Cancelado",2,Tabela1[[#This Row],[STATUS PROCESSO MOBILIZAÇÃO]]="Em andamento",3)</f>
        <v>1</v>
      </c>
      <c r="H90" s="16" cm="1">
        <f t="array" aca="1" ref="H9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FORMS]]="",$AM90&gt;$AK$1),2,
AND(Tabela1[[#This Row],[STATUS PROCESSO MOBILIZAÇÃO]]="Em andamento",Tabela1[[#This Row],[DATA REAL - FORMS]]="",$AM90&lt;=$AK$1),3,
AND(Tabela1[[#This Row],[STATUS PROCESSO MOBILIZAÇÃO]]="Em andamento",Tabela1[[#This Row],[DATA REAL - FORMS]]&lt;&gt;""),1)</f>
        <v>1</v>
      </c>
      <c r="I90" s="16" cm="1">
        <f t="array" aca="1" ref="I9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EXAMES]]="",$AP90&gt;$AN$1),2,
AND(Tabela1[[#This Row],[STATUS PROCESSO MOBILIZAÇÃO]]="Em andamento",Tabela1[[#This Row],[DATA REAL - EXAMES]]="",$AP90&lt;=$AN$1),3,
AND(Tabela1[[#This Row],[STATUS PROCESSO MOBILIZAÇÃO]]="Em andamento",Tabela1[[#This Row],[DATA REAL - EXAMES]]&lt;&gt;""),1)</f>
        <v>1</v>
      </c>
      <c r="J90" s="16" cm="1">
        <f t="array" aca="1" ref="J9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ASO]]="",$AS90&gt;$AQ$1),2,
AND(Tabela1[[#This Row],[STATUS PROCESSO MOBILIZAÇÃO]]="Em andamento",Tabela1[[#This Row],[DATA REAL - ASO]]="",$AS90&lt;=$AQ$1),3,
AND(Tabela1[[#This Row],[STATUS PROCESSO MOBILIZAÇÃO]]="Em andamento",Tabela1[[#This Row],[DATA REAL - ASO]]&lt;&gt;""),1)</f>
        <v>1</v>
      </c>
      <c r="K90" s="15" cm="1">
        <f t="array" aca="1" ref="K9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TREINAMENTOS]]="",$AV90&gt;$AT$1),2,
AND(Tabela1[[#This Row],[STATUS PROCESSO MOBILIZAÇÃO]]="Em andamento",Tabela1[[#This Row],[DATA REAL - TREINAMENTOS]]="",$AV90&lt;=$AT$1),3,
AND(Tabela1[[#This Row],[STATUS PROCESSO MOBILIZAÇÃO]]="Em andamento",Tabela1[[#This Row],[DATA REAL - TREINAMENTOS]]&lt;&gt;""),1)</f>
        <v>1</v>
      </c>
      <c r="L90" s="15" cm="1">
        <f t="array" aca="1" ref="L9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TREIN.]]="",$AY90&gt;$AW$1),2,
AND(Tabela1[[#This Row],[STATUS PROCESSO MOBILIZAÇÃO]]="Em andamento",Tabela1[[#This Row],[DATA REAL - CONCL. TREIN.]]="",$AY90&lt;=$AW$1),3,
AND(Tabela1[[#This Row],[STATUS PROCESSO MOBILIZAÇÃO]]="Em andamento",Tabela1[[#This Row],[DATA REAL - CONCL. TREIN.]]&lt;&gt;""),1)</f>
        <v>1</v>
      </c>
      <c r="M90" s="15" cm="1">
        <f t="array" aca="1" ref="M9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CONTRATUAL]]="",$BB90&gt;$AZ$1),2,
AND(Tabela1[[#This Row],[STATUS PROCESSO MOBILIZAÇÃO]]="Em andamento",Tabela1[[#This Row],[DATA FIM - ALTER. CONTRATUAL]]="",$BB90&lt;=$AZ$1),3,
AND(Tabela1[[#This Row],[STATUS PROCESSO MOBILIZAÇÃO]]="Em andamento",Tabela1[[#This Row],[DATA FIM - ALTER. CONTRATUAL]]&lt;&gt;""),1)</f>
        <v>1</v>
      </c>
      <c r="N90" s="16" cm="1">
        <f t="array" aca="1" ref="N9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DOSSIÊ]]="",$BE90&gt;$BC$1),2,
AND(Tabela1[[#This Row],[STATUS PROCESSO MOBILIZAÇÃO]]="Em andamento",Tabela1[[#This Row],[DATA REAL - DOSSIÊ]]="",$BE90&lt;=$BC$1),3,
AND(Tabela1[[#This Row],[STATUS PROCESSO MOBILIZAÇÃO]]="Em andamento",Tabela1[[#This Row],[DATA REAL - DOSSIÊ]]&lt;&gt;""),1)</f>
        <v>1</v>
      </c>
      <c r="O90" s="16" cm="1">
        <f t="array" aca="1" ref="O9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POSTAGEM]]="",$BH90&gt;$BF$1),2,
AND(Tabela1[[#This Row],[STATUS PROCESSO MOBILIZAÇÃO]]="Em andamento",Tabela1[[#This Row],[DATA REAL - POSTAGEM]]="",$BH90&lt;=$BF$1),3,
AND(Tabela1[[#This Row],[STATUS PROCESSO MOBILIZAÇÃO]]="Em andamento",Tabela1[[#This Row],[DATA REAL - POSTAGEM]]&lt;&gt;""),1)</f>
        <v>1</v>
      </c>
      <c r="P90" s="16" cm="1">
        <f t="array" aca="1" ref="P9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FINAL]]="",$BK90&gt;$BI$1),2,
AND(Tabela1[[#This Row],[STATUS PROCESSO MOBILIZAÇÃO]]="Em andamento",Tabela1[[#This Row],[DATA REAL - APROV FINAL]]="",$BK90&lt;=$BI$1),3,
AND(Tabela1[[#This Row],[STATUS PROCESSO MOBILIZAÇÃO]]="Em andamento",Tabela1[[#This Row],[DATA REAL - APROV FINAL]]&lt;&gt;""),1)</f>
        <v>1</v>
      </c>
      <c r="Q90" s="15" cm="1">
        <f t="array" aca="1" ref="Q9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CRACHÁ]]="",$BN90&gt;$BL$1),2,
AND(Tabela1[[#This Row],[STATUS PROCESSO MOBILIZAÇÃO]]="Em andamento",Tabela1[[#This Row],[DATA REAL - CRACHÁ]]="",$BN90&lt;=$BL$1),3,
AND(Tabela1[[#This Row],[STATUS PROCESSO MOBILIZAÇÃO]]="Em andamento",Tabela1[[#This Row],[DATA REAL - CRACHÁ]]&lt;&gt;""),1)</f>
        <v>1</v>
      </c>
      <c r="R90" s="21">
        <f>IF(Tabela1[[#This Row],[DATA REAL - FORMS]]&lt;&gt;"",Tabela1[[#This Row],[DATA REAL - FORMS]]+30,Tabela1[[#This Row],[DATA PREV - FORMS]]+35)</f>
        <v>45840</v>
      </c>
      <c r="S9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45848</v>
      </c>
      <c r="T9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49</v>
      </c>
      <c r="U9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26</v>
      </c>
      <c r="V90" s="49">
        <f>MAX(Tabela1[[#This Row],[DATA REAL - POSTAGEM]],Tabela1[[#This Row],[DATA REAL - APROV FINAL]],Tabela1[[#This Row],[DATA REAL - CRACHÁ]])-MIN(Tabela1[[#This Row],[DATA REAL - POSTAGEM]],Tabela1[[#This Row],[DATA REAL - APROV FINAL]],Tabela1[[#This Row],[DATA REAL - CRACHÁ]])+1</f>
        <v>7</v>
      </c>
      <c r="W9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0" s="15"/>
      <c r="Y90" s="16" t="s">
        <v>84</v>
      </c>
      <c r="Z90" s="18"/>
      <c r="AA90" s="18" t="s">
        <v>86</v>
      </c>
      <c r="AB90" s="16" t="s">
        <v>97</v>
      </c>
      <c r="AC90" s="16" t="s">
        <v>400</v>
      </c>
      <c r="AD90" s="16" t="s">
        <v>89</v>
      </c>
      <c r="AE90" s="16" t="s">
        <v>401</v>
      </c>
      <c r="AF90" s="16" t="s">
        <v>402</v>
      </c>
      <c r="AG90" s="16" t="str">
        <f>_xlfn.XLOOKUP(Tabela1[[#This Row],[CÓD. CT]],Controle_Projetos[COD CT],Controle_Projetos[COD PHD],"")</f>
        <v>FIDE-CT02-PDER</v>
      </c>
      <c r="AH90" s="21">
        <v>45786</v>
      </c>
      <c r="AI90" s="75">
        <v>45799</v>
      </c>
      <c r="AJ90" s="16" cm="1">
        <f t="array" aca="1" ref="AJ9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14</v>
      </c>
      <c r="AK90" s="21">
        <v>45810</v>
      </c>
      <c r="AL90" s="74">
        <v>45810</v>
      </c>
      <c r="AM90" s="16" cm="1">
        <f t="array" aca="1" ref="AM9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0" s="21">
        <f>Tabela1[[#This Row],[DATA PREV - FORMS]]+$AN$1</f>
        <v>45817</v>
      </c>
      <c r="AO90" s="74">
        <v>45810</v>
      </c>
      <c r="AP90" s="16" cm="1">
        <f t="array" aca="1" ref="AP9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90" s="21">
        <f>Tabela1[[#This Row],[DATA PREV - EXAMES]]+$AQ$1</f>
        <v>45819</v>
      </c>
      <c r="AR90" s="74">
        <v>45824</v>
      </c>
      <c r="AS90" s="15" cm="1">
        <f t="array" aca="1" ref="AS9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90" s="21">
        <f>Tabela1[[#This Row],[DATA PREV - FORMS]]+$AT$1</f>
        <v>45811</v>
      </c>
      <c r="AU90" s="74">
        <v>45813</v>
      </c>
      <c r="AV90" s="15" cm="1">
        <f t="array" aca="1" ref="AV9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90" s="21">
        <f>Tabela1[[#This Row],[DATA PREV - TREINAMENTOS]]+$AW$1</f>
        <v>45818</v>
      </c>
      <c r="AX90" s="74">
        <v>45818</v>
      </c>
      <c r="AY90" s="15" cm="1">
        <f t="array" aca="1" ref="AY9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90" s="24">
        <v>45874</v>
      </c>
      <c r="BA90" s="74">
        <v>45810</v>
      </c>
      <c r="BB90" s="15" cm="1">
        <f t="array" aca="1" ref="BB9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-63</v>
      </c>
      <c r="BC90" s="21">
        <f>Tabela1[[#This Row],[DATA PREV - CONCL. TREIN.]]+$BC$1</f>
        <v>45820</v>
      </c>
      <c r="BD90" s="74">
        <v>45825</v>
      </c>
      <c r="BE90" s="15" cm="1">
        <f t="array" aca="1" ref="BE9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90" s="21">
        <f>Tabela1[[#This Row],[DATA PREV - DOSSIÊ]]+$BF$1</f>
        <v>45823</v>
      </c>
      <c r="BG90" s="74">
        <v>45842</v>
      </c>
      <c r="BH90" s="15" cm="1">
        <f t="array" aca="1" ref="BH9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20</v>
      </c>
      <c r="BI90" s="21">
        <f>Tabela1[[#This Row],[DATA PREV - POSTAGEM]]+$BI$1</f>
        <v>45829</v>
      </c>
      <c r="BJ90" s="74">
        <v>45848</v>
      </c>
      <c r="BK90" s="15" cm="1">
        <f t="array" aca="1" ref="BK9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20</v>
      </c>
      <c r="BL90" s="21">
        <f>Tabela1[[#This Row],[DATA PREV - APROV FINAL]]+$BL$1</f>
        <v>45830</v>
      </c>
      <c r="BM90" s="74">
        <v>45845</v>
      </c>
      <c r="BN90" s="15" cm="1">
        <f t="array" aca="1" ref="BN9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90" s="80" t="s">
        <v>403</v>
      </c>
    </row>
    <row r="91" spans="2:67" ht="18" hidden="1" customHeight="1" x14ac:dyDescent="0.35">
      <c r="B91" s="14" t="s">
        <v>79</v>
      </c>
      <c r="C91" s="16" t="s">
        <v>381</v>
      </c>
      <c r="D91" s="16" t="s">
        <v>81</v>
      </c>
      <c r="E91" s="16"/>
      <c r="F91" s="16" t="s">
        <v>404</v>
      </c>
      <c r="G91" s="16" cm="1">
        <f t="array" ref="G91">_xlfn.IFS(Tabela1[[#This Row],[STATUS PROCESSO MOBILIZAÇÃO]]="Finalizado",1,Tabela1[[#This Row],[STATUS PROCESSO MOBILIZAÇÃO]]="Cancelado",2,Tabela1[[#This Row],[STATUS PROCESSO MOBILIZAÇÃO]]="Em andamento",3)</f>
        <v>1</v>
      </c>
      <c r="H91" s="16" cm="1">
        <f t="array" aca="1" ref="H9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FORMS]]="",$AM91&gt;$AK$1),2,
AND(Tabela1[[#This Row],[STATUS PROCESSO MOBILIZAÇÃO]]="Em andamento",Tabela1[[#This Row],[DATA REAL - FORMS]]="",$AM91&lt;=$AK$1),3,
AND(Tabela1[[#This Row],[STATUS PROCESSO MOBILIZAÇÃO]]="Em andamento",Tabela1[[#This Row],[DATA REAL - FORMS]]&lt;&gt;""),1)</f>
        <v>1</v>
      </c>
      <c r="I91" s="16" cm="1">
        <f t="array" aca="1" ref="I9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EXAMES]]="",$AP91&gt;$AN$1),2,
AND(Tabela1[[#This Row],[STATUS PROCESSO MOBILIZAÇÃO]]="Em andamento",Tabela1[[#This Row],[DATA REAL - EXAMES]]="",$AP91&lt;=$AN$1),3,
AND(Tabela1[[#This Row],[STATUS PROCESSO MOBILIZAÇÃO]]="Em andamento",Tabela1[[#This Row],[DATA REAL - EXAMES]]&lt;&gt;""),1)</f>
        <v>1</v>
      </c>
      <c r="J91" s="16" cm="1">
        <f t="array" aca="1" ref="J9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ASO]]="",$AS91&gt;$AQ$1),2,
AND(Tabela1[[#This Row],[STATUS PROCESSO MOBILIZAÇÃO]]="Em andamento",Tabela1[[#This Row],[DATA REAL - ASO]]="",$AS91&lt;=$AQ$1),3,
AND(Tabela1[[#This Row],[STATUS PROCESSO MOBILIZAÇÃO]]="Em andamento",Tabela1[[#This Row],[DATA REAL - ASO]]&lt;&gt;""),1)</f>
        <v>1</v>
      </c>
      <c r="K91" s="15" cm="1">
        <f t="array" aca="1" ref="K9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TREINAMENTOS]]="",$AV91&gt;$AT$1),2,
AND(Tabela1[[#This Row],[STATUS PROCESSO MOBILIZAÇÃO]]="Em andamento",Tabela1[[#This Row],[DATA REAL - TREINAMENTOS]]="",$AV91&lt;=$AT$1),3,
AND(Tabela1[[#This Row],[STATUS PROCESSO MOBILIZAÇÃO]]="Em andamento",Tabela1[[#This Row],[DATA REAL - TREINAMENTOS]]&lt;&gt;""),1)</f>
        <v>1</v>
      </c>
      <c r="L91" s="15" cm="1">
        <f t="array" aca="1" ref="L9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TREIN.]]="",$AY91&gt;$AW$1),2,
AND(Tabela1[[#This Row],[STATUS PROCESSO MOBILIZAÇÃO]]="Em andamento",Tabela1[[#This Row],[DATA REAL - CONCL. TREIN.]]="",$AY91&lt;=$AW$1),3,
AND(Tabela1[[#This Row],[STATUS PROCESSO MOBILIZAÇÃO]]="Em andamento",Tabela1[[#This Row],[DATA REAL - CONCL. TREIN.]]&lt;&gt;""),1)</f>
        <v>1</v>
      </c>
      <c r="M91" s="15" cm="1">
        <f t="array" aca="1" ref="M9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CONTRATUAL]]="",$BB91&gt;$AZ$1),2,
AND(Tabela1[[#This Row],[STATUS PROCESSO MOBILIZAÇÃO]]="Em andamento",Tabela1[[#This Row],[DATA FIM - ALTER. CONTRATUAL]]="",$BB91&lt;=$AZ$1),3,
AND(Tabela1[[#This Row],[STATUS PROCESSO MOBILIZAÇÃO]]="Em andamento",Tabela1[[#This Row],[DATA FIM - ALTER. CONTRATUAL]]&lt;&gt;""),1)</f>
        <v>1</v>
      </c>
      <c r="N91" s="16" cm="1">
        <f t="array" aca="1" ref="N9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DOSSIÊ]]="",$BE91&gt;$BC$1),2,
AND(Tabela1[[#This Row],[STATUS PROCESSO MOBILIZAÇÃO]]="Em andamento",Tabela1[[#This Row],[DATA REAL - DOSSIÊ]]="",$BE91&lt;=$BC$1),3,
AND(Tabela1[[#This Row],[STATUS PROCESSO MOBILIZAÇÃO]]="Em andamento",Tabela1[[#This Row],[DATA REAL - DOSSIÊ]]&lt;&gt;""),1)</f>
        <v>1</v>
      </c>
      <c r="O91" s="16" cm="1">
        <f t="array" aca="1" ref="O9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POSTAGEM]]="",$BH91&gt;$BF$1),2,
AND(Tabela1[[#This Row],[STATUS PROCESSO MOBILIZAÇÃO]]="Em andamento",Tabela1[[#This Row],[DATA REAL - POSTAGEM]]="",$BH91&lt;=$BF$1),3,
AND(Tabela1[[#This Row],[STATUS PROCESSO MOBILIZAÇÃO]]="Em andamento",Tabela1[[#This Row],[DATA REAL - POSTAGEM]]&lt;&gt;""),1)</f>
        <v>1</v>
      </c>
      <c r="P91" s="16" cm="1">
        <f t="array" aca="1" ref="P9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FINAL]]="",$BK91&gt;$BI$1),2,
AND(Tabela1[[#This Row],[STATUS PROCESSO MOBILIZAÇÃO]]="Em andamento",Tabela1[[#This Row],[DATA REAL - APROV FINAL]]="",$BK91&lt;=$BI$1),3,
AND(Tabela1[[#This Row],[STATUS PROCESSO MOBILIZAÇÃO]]="Em andamento",Tabela1[[#This Row],[DATA REAL - APROV FINAL]]&lt;&gt;""),1)</f>
        <v>1</v>
      </c>
      <c r="Q91" s="15" cm="1">
        <f t="array" aca="1" ref="Q9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CRACHÁ]]="",$BN91&gt;$BL$1),2,
AND(Tabela1[[#This Row],[STATUS PROCESSO MOBILIZAÇÃO]]="Em andamento",Tabela1[[#This Row],[DATA REAL - CRACHÁ]]="",$BN91&lt;=$BL$1),3,
AND(Tabela1[[#This Row],[STATUS PROCESSO MOBILIZAÇÃO]]="Em andamento",Tabela1[[#This Row],[DATA REAL - CRACHÁ]]&lt;&gt;""),1)</f>
        <v>1</v>
      </c>
      <c r="R91" s="21">
        <f>IF(Tabela1[[#This Row],[DATA REAL - FORMS]]&lt;&gt;"",Tabela1[[#This Row],[DATA REAL - FORMS]]+30,Tabela1[[#This Row],[DATA PREV - FORMS]]+35)</f>
        <v>45840</v>
      </c>
      <c r="S9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45835</v>
      </c>
      <c r="T9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9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91" s="49">
        <f>MAX(Tabela1[[#This Row],[DATA REAL - POSTAGEM]],Tabela1[[#This Row],[DATA REAL - APROV FINAL]],Tabela1[[#This Row],[DATA REAL - CRACHÁ]])-MIN(Tabela1[[#This Row],[DATA REAL - POSTAGEM]],Tabela1[[#This Row],[DATA REAL - APROV FINAL]],Tabela1[[#This Row],[DATA REAL - CRACHÁ]])+1</f>
        <v>17</v>
      </c>
      <c r="W9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464</v>
      </c>
      <c r="X91" s="15" t="s">
        <v>130</v>
      </c>
      <c r="Y91" s="16" t="s">
        <v>130</v>
      </c>
      <c r="Z91" s="18" t="s">
        <v>131</v>
      </c>
      <c r="AA91" s="18" t="s">
        <v>131</v>
      </c>
      <c r="AB91" s="16" t="s">
        <v>97</v>
      </c>
      <c r="AC91" s="16" t="s">
        <v>89</v>
      </c>
      <c r="AD91" s="16" t="s">
        <v>89</v>
      </c>
      <c r="AE91" s="16" t="s">
        <v>405</v>
      </c>
      <c r="AF91" s="16" t="s">
        <v>406</v>
      </c>
      <c r="AG91" s="16" t="str">
        <f>_xlfn.XLOOKUP(Tabela1[[#This Row],[CÓD. CT]],Controle_Projetos[COD CT],Controle_Projetos[COD PHD],"")</f>
        <v>VALE-CT01-OC01</v>
      </c>
      <c r="AH91" s="21">
        <v>45813</v>
      </c>
      <c r="AI91" s="75"/>
      <c r="AJ91" s="16" cm="1">
        <f t="array" aca="1" ref="AJ9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91" s="21">
        <v>45810</v>
      </c>
      <c r="AL91" s="74">
        <v>45810</v>
      </c>
      <c r="AM91" s="16" cm="1">
        <f t="array" aca="1" ref="AM9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1" s="21">
        <f>Tabela1[[#This Row],[DATA PREV - FORMS]]+$AN$1</f>
        <v>45817</v>
      </c>
      <c r="AO91" s="74">
        <v>45813</v>
      </c>
      <c r="AP91" s="16" cm="1">
        <f t="array" aca="1" ref="AP9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91" s="21">
        <f>Tabela1[[#This Row],[DATA PREV - EXAMES]]+$AQ$1</f>
        <v>45819</v>
      </c>
      <c r="AR91" s="74">
        <v>45813</v>
      </c>
      <c r="AS91" s="15" cm="1">
        <f t="array" aca="1" ref="AS9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91" s="21">
        <f>Tabela1[[#This Row],[DATA PREV - FORMS]]+$AT$1</f>
        <v>45811</v>
      </c>
      <c r="AU91" s="74">
        <v>45814</v>
      </c>
      <c r="AV91" s="15" cm="1">
        <f t="array" aca="1" ref="AV9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91" s="21">
        <f>Tabela1[[#This Row],[DATA PREV - TREINAMENTOS]]+$AW$1</f>
        <v>45818</v>
      </c>
      <c r="AX91" s="74">
        <v>45819</v>
      </c>
      <c r="AY91" s="15" cm="1">
        <f t="array" aca="1" ref="AY9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91" s="24">
        <v>45874</v>
      </c>
      <c r="BA91" s="74">
        <v>45813</v>
      </c>
      <c r="BB91" s="15" cm="1">
        <f t="array" aca="1" ref="BB9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-60</v>
      </c>
      <c r="BC91" s="21">
        <f>Tabela1[[#This Row],[DATA PREV - CONCL. TREIN.]]+$BC$1</f>
        <v>45820</v>
      </c>
      <c r="BD91" s="74">
        <v>45819</v>
      </c>
      <c r="BE91" s="15" cm="1">
        <f t="array" aca="1" ref="BE9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91" s="21">
        <f>Tabela1[[#This Row],[DATA PREV - DOSSIÊ]]+$BF$1</f>
        <v>45823</v>
      </c>
      <c r="BG91" s="74">
        <v>45819</v>
      </c>
      <c r="BH91" s="15" cm="1">
        <f t="array" aca="1" ref="BH9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91" s="21">
        <f>Tabela1[[#This Row],[DATA PREV - POSTAGEM]]+$BI$1</f>
        <v>45829</v>
      </c>
      <c r="BJ91" s="74">
        <v>45835</v>
      </c>
      <c r="BK91" s="15" cm="1">
        <f t="array" aca="1" ref="BK9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91" s="21">
        <f>Tabela1[[#This Row],[DATA PREV - APROV FINAL]]+$BL$1</f>
        <v>45830</v>
      </c>
      <c r="BM91" s="74">
        <v>45835</v>
      </c>
      <c r="BN91" s="15" cm="1">
        <f t="array" aca="1" ref="BN9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91" s="80" t="s">
        <v>407</v>
      </c>
    </row>
    <row r="92" spans="2:67" ht="18" hidden="1" customHeight="1" x14ac:dyDescent="0.35">
      <c r="B92" s="14" t="s">
        <v>79</v>
      </c>
      <c r="C92" s="16" t="s">
        <v>381</v>
      </c>
      <c r="D92" s="16" t="s">
        <v>81</v>
      </c>
      <c r="E92" s="16"/>
      <c r="F92" s="16" t="s">
        <v>408</v>
      </c>
      <c r="G92" s="16" cm="1">
        <f t="array" ref="G92">_xlfn.IFS(Tabela1[[#This Row],[STATUS PROCESSO MOBILIZAÇÃO]]="Finalizado",1,Tabela1[[#This Row],[STATUS PROCESSO MOBILIZAÇÃO]]="Cancelado",2,Tabela1[[#This Row],[STATUS PROCESSO MOBILIZAÇÃO]]="Em andamento",3)</f>
        <v>1</v>
      </c>
      <c r="H92" s="16" cm="1">
        <f t="array" aca="1" ref="H9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FORMS]]="",$AM92&gt;$AK$1),2,
AND(Tabela1[[#This Row],[STATUS PROCESSO MOBILIZAÇÃO]]="Em andamento",Tabela1[[#This Row],[DATA REAL - FORMS]]="",$AM92&lt;=$AK$1),3,
AND(Tabela1[[#This Row],[STATUS PROCESSO MOBILIZAÇÃO]]="Em andamento",Tabela1[[#This Row],[DATA REAL - FORMS]]&lt;&gt;""),1)</f>
        <v>1</v>
      </c>
      <c r="I92" s="16" cm="1">
        <f t="array" aca="1" ref="I9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EXAMES]]="",$AP92&gt;$AN$1),2,
AND(Tabela1[[#This Row],[STATUS PROCESSO MOBILIZAÇÃO]]="Em andamento",Tabela1[[#This Row],[DATA REAL - EXAMES]]="",$AP92&lt;=$AN$1),3,
AND(Tabela1[[#This Row],[STATUS PROCESSO MOBILIZAÇÃO]]="Em andamento",Tabela1[[#This Row],[DATA REAL - EXAMES]]&lt;&gt;""),1)</f>
        <v>1</v>
      </c>
      <c r="J92" s="16" cm="1">
        <f t="array" aca="1" ref="J9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ASO]]="",$AS92&gt;$AQ$1),2,
AND(Tabela1[[#This Row],[STATUS PROCESSO MOBILIZAÇÃO]]="Em andamento",Tabela1[[#This Row],[DATA REAL - ASO]]="",$AS92&lt;=$AQ$1),3,
AND(Tabela1[[#This Row],[STATUS PROCESSO MOBILIZAÇÃO]]="Em andamento",Tabela1[[#This Row],[DATA REAL - ASO]]&lt;&gt;""),1)</f>
        <v>1</v>
      </c>
      <c r="K92" s="15" cm="1">
        <f t="array" aca="1" ref="K9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TREINAMENTOS]]="",$AV92&gt;$AT$1),2,
AND(Tabela1[[#This Row],[STATUS PROCESSO MOBILIZAÇÃO]]="Em andamento",Tabela1[[#This Row],[DATA REAL - TREINAMENTOS]]="",$AV92&lt;=$AT$1),3,
AND(Tabela1[[#This Row],[STATUS PROCESSO MOBILIZAÇÃO]]="Em andamento",Tabela1[[#This Row],[DATA REAL - TREINAMENTOS]]&lt;&gt;""),1)</f>
        <v>1</v>
      </c>
      <c r="L92" s="15" cm="1">
        <f t="array" aca="1" ref="L9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TREIN.]]="",$AY92&gt;$AW$1),2,
AND(Tabela1[[#This Row],[STATUS PROCESSO MOBILIZAÇÃO]]="Em andamento",Tabela1[[#This Row],[DATA REAL - CONCL. TREIN.]]="",$AY92&lt;=$AW$1),3,
AND(Tabela1[[#This Row],[STATUS PROCESSO MOBILIZAÇÃO]]="Em andamento",Tabela1[[#This Row],[DATA REAL - CONCL. TREIN.]]&lt;&gt;""),1)</f>
        <v>1</v>
      </c>
      <c r="M92" s="15" cm="1">
        <f t="array" aca="1" ref="M9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CONTRATUAL]]="",$BB92&gt;$AZ$1),2,
AND(Tabela1[[#This Row],[STATUS PROCESSO MOBILIZAÇÃO]]="Em andamento",Tabela1[[#This Row],[DATA FIM - ALTER. CONTRATUAL]]="",$BB92&lt;=$AZ$1),3,
AND(Tabela1[[#This Row],[STATUS PROCESSO MOBILIZAÇÃO]]="Em andamento",Tabela1[[#This Row],[DATA FIM - ALTER. CONTRATUAL]]&lt;&gt;""),1)</f>
        <v>1</v>
      </c>
      <c r="N92" s="16" cm="1">
        <f t="array" aca="1" ref="N9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DOSSIÊ]]="",$BE92&gt;$BC$1),2,
AND(Tabela1[[#This Row],[STATUS PROCESSO MOBILIZAÇÃO]]="Em andamento",Tabela1[[#This Row],[DATA REAL - DOSSIÊ]]="",$BE92&lt;=$BC$1),3,
AND(Tabela1[[#This Row],[STATUS PROCESSO MOBILIZAÇÃO]]="Em andamento",Tabela1[[#This Row],[DATA REAL - DOSSIÊ]]&lt;&gt;""),1)</f>
        <v>1</v>
      </c>
      <c r="O92" s="16" cm="1">
        <f t="array" aca="1" ref="O9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POSTAGEM]]="",$BH92&gt;$BF$1),2,
AND(Tabela1[[#This Row],[STATUS PROCESSO MOBILIZAÇÃO]]="Em andamento",Tabela1[[#This Row],[DATA REAL - POSTAGEM]]="",$BH92&lt;=$BF$1),3,
AND(Tabela1[[#This Row],[STATUS PROCESSO MOBILIZAÇÃO]]="Em andamento",Tabela1[[#This Row],[DATA REAL - POSTAGEM]]&lt;&gt;""),1)</f>
        <v>1</v>
      </c>
      <c r="P92" s="16" cm="1">
        <f t="array" aca="1" ref="P9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FINAL]]="",$BK92&gt;$BI$1),2,
AND(Tabela1[[#This Row],[STATUS PROCESSO MOBILIZAÇÃO]]="Em andamento",Tabela1[[#This Row],[DATA REAL - APROV FINAL]]="",$BK92&lt;=$BI$1),3,
AND(Tabela1[[#This Row],[STATUS PROCESSO MOBILIZAÇÃO]]="Em andamento",Tabela1[[#This Row],[DATA REAL - APROV FINAL]]&lt;&gt;""),1)</f>
        <v>1</v>
      </c>
      <c r="Q92" s="15" cm="1">
        <f t="array" aca="1" ref="Q9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CRACHÁ]]="",$BN92&gt;$BL$1),2,
AND(Tabela1[[#This Row],[STATUS PROCESSO MOBILIZAÇÃO]]="Em andamento",Tabela1[[#This Row],[DATA REAL - CRACHÁ]]="",$BN92&lt;=$BL$1),3,
AND(Tabela1[[#This Row],[STATUS PROCESSO MOBILIZAÇÃO]]="Em andamento",Tabela1[[#This Row],[DATA REAL - CRACHÁ]]&lt;&gt;""),1)</f>
        <v>1</v>
      </c>
      <c r="R92" s="21">
        <f>IF(Tabela1[[#This Row],[DATA REAL - FORMS]]&lt;&gt;"",Tabela1[[#This Row],[DATA REAL - FORMS]]+30,Tabela1[[#This Row],[DATA PREV - FORMS]]+35)</f>
        <v>45840</v>
      </c>
      <c r="S9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45835</v>
      </c>
      <c r="T9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9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92" s="49">
        <f>MAX(Tabela1[[#This Row],[DATA REAL - POSTAGEM]],Tabela1[[#This Row],[DATA REAL - APROV FINAL]],Tabela1[[#This Row],[DATA REAL - CRACHÁ]])-MIN(Tabela1[[#This Row],[DATA REAL - POSTAGEM]],Tabela1[[#This Row],[DATA REAL - APROV FINAL]],Tabela1[[#This Row],[DATA REAL - CRACHÁ]])+1</f>
        <v>17</v>
      </c>
      <c r="W9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464</v>
      </c>
      <c r="X92" s="15" t="s">
        <v>130</v>
      </c>
      <c r="Y92" s="16" t="s">
        <v>130</v>
      </c>
      <c r="Z92" s="18" t="s">
        <v>131</v>
      </c>
      <c r="AA92" s="18" t="s">
        <v>131</v>
      </c>
      <c r="AB92" s="16" t="s">
        <v>97</v>
      </c>
      <c r="AC92" s="16" t="s">
        <v>89</v>
      </c>
      <c r="AD92" s="16" t="s">
        <v>89</v>
      </c>
      <c r="AE92" s="16" t="s">
        <v>405</v>
      </c>
      <c r="AF92" s="16" t="s">
        <v>406</v>
      </c>
      <c r="AG92" s="16" t="str">
        <f>_xlfn.XLOOKUP(Tabela1[[#This Row],[CÓD. CT]],Controle_Projetos[COD CT],Controle_Projetos[COD PHD],"")</f>
        <v>VALE-CT01-OC01</v>
      </c>
      <c r="AH92" s="21">
        <v>45813</v>
      </c>
      <c r="AI92" s="75"/>
      <c r="AJ92" s="16" cm="1">
        <f t="array" aca="1" ref="AJ9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92" s="21">
        <v>45810</v>
      </c>
      <c r="AL92" s="74">
        <v>45810</v>
      </c>
      <c r="AM92" s="16" cm="1">
        <f t="array" aca="1" ref="AM9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2" s="21">
        <f>Tabela1[[#This Row],[DATA PREV - FORMS]]+$AN$1</f>
        <v>45817</v>
      </c>
      <c r="AO92" s="74">
        <v>45813</v>
      </c>
      <c r="AP92" s="16" cm="1">
        <f t="array" aca="1" ref="AP9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92" s="21">
        <f>Tabela1[[#This Row],[DATA PREV - EXAMES]]+$AQ$1</f>
        <v>45819</v>
      </c>
      <c r="AR92" s="74">
        <v>45817</v>
      </c>
      <c r="AS92" s="15" cm="1">
        <f t="array" aca="1" ref="AS9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92" s="21">
        <f>Tabela1[[#This Row],[DATA PREV - FORMS]]+$AT$1</f>
        <v>45811</v>
      </c>
      <c r="AU92" s="74">
        <v>45814</v>
      </c>
      <c r="AV92" s="15" cm="1">
        <f t="array" aca="1" ref="AV9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92" s="21">
        <f>Tabela1[[#This Row],[DATA PREV - TREINAMENTOS]]+$AW$1</f>
        <v>45818</v>
      </c>
      <c r="AX92" s="74">
        <v>45819</v>
      </c>
      <c r="AY92" s="15" cm="1">
        <f t="array" aca="1" ref="AY9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92" s="24"/>
      <c r="BA92" s="74">
        <v>45813</v>
      </c>
      <c r="BB92" s="15" t="str" cm="1">
        <f t="array" aca="1" ref="BB9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92" s="21">
        <f>Tabela1[[#This Row],[DATA PREV - CONCL. TREIN.]]+$BC$1</f>
        <v>45820</v>
      </c>
      <c r="BD92" s="74">
        <v>45819</v>
      </c>
      <c r="BE92" s="15" cm="1">
        <f t="array" aca="1" ref="BE9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92" s="21">
        <f>Tabela1[[#This Row],[DATA PREV - DOSSIÊ]]+$BF$1</f>
        <v>45823</v>
      </c>
      <c r="BG92" s="74">
        <v>45819</v>
      </c>
      <c r="BH92" s="15" cm="1">
        <f t="array" aca="1" ref="BH9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92" s="21">
        <f>Tabela1[[#This Row],[DATA PREV - POSTAGEM]]+$BI$1</f>
        <v>45829</v>
      </c>
      <c r="BJ92" s="74">
        <v>45835</v>
      </c>
      <c r="BK92" s="15" cm="1">
        <f t="array" aca="1" ref="BK9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92" s="21">
        <f>Tabela1[[#This Row],[DATA PREV - APROV FINAL]]+$BL$1</f>
        <v>45830</v>
      </c>
      <c r="BM92" s="74">
        <v>45835</v>
      </c>
      <c r="BN92" s="15" cm="1">
        <f t="array" aca="1" ref="BN9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92" s="80" t="s">
        <v>409</v>
      </c>
    </row>
    <row r="93" spans="2:67" ht="18" hidden="1" customHeight="1" x14ac:dyDescent="0.35">
      <c r="B93" s="14" t="s">
        <v>79</v>
      </c>
      <c r="C93" s="16" t="s">
        <v>136</v>
      </c>
      <c r="D93" s="16" t="s">
        <v>81</v>
      </c>
      <c r="E93" s="16"/>
      <c r="F93" s="16" t="s">
        <v>410</v>
      </c>
      <c r="G93" s="16" cm="1">
        <f t="array" ref="G93">_xlfn.IFS(Tabela1[[#This Row],[STATUS PROCESSO MOBILIZAÇÃO]]="Finalizado",1,Tabela1[[#This Row],[STATUS PROCESSO MOBILIZAÇÃO]]="Cancelado",2,Tabela1[[#This Row],[STATUS PROCESSO MOBILIZAÇÃO]]="Em andamento",3)</f>
        <v>1</v>
      </c>
      <c r="H93" s="16" cm="1">
        <f t="array" aca="1" ref="H9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FORMS]]="",$AM93&gt;$AK$1),2,
AND(Tabela1[[#This Row],[STATUS PROCESSO MOBILIZAÇÃO]]="Em andamento",Tabela1[[#This Row],[DATA REAL - FORMS]]="",$AM93&lt;=$AK$1),3,
AND(Tabela1[[#This Row],[STATUS PROCESSO MOBILIZAÇÃO]]="Em andamento",Tabela1[[#This Row],[DATA REAL - FORMS]]&lt;&gt;""),1)</f>
        <v>1</v>
      </c>
      <c r="I93" s="16" cm="1">
        <f t="array" aca="1" ref="I9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EXAMES]]="",$AP93&gt;$AN$1),2,
AND(Tabela1[[#This Row],[STATUS PROCESSO MOBILIZAÇÃO]]="Em andamento",Tabela1[[#This Row],[DATA REAL - EXAMES]]="",$AP93&lt;=$AN$1),3,
AND(Tabela1[[#This Row],[STATUS PROCESSO MOBILIZAÇÃO]]="Em andamento",Tabela1[[#This Row],[DATA REAL - EXAMES]]&lt;&gt;""),1)</f>
        <v>1</v>
      </c>
      <c r="J93" s="16" cm="1">
        <f t="array" aca="1" ref="J9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ASO]]="",$AS93&gt;$AQ$1),2,
AND(Tabela1[[#This Row],[STATUS PROCESSO MOBILIZAÇÃO]]="Em andamento",Tabela1[[#This Row],[DATA REAL - ASO]]="",$AS93&lt;=$AQ$1),3,
AND(Tabela1[[#This Row],[STATUS PROCESSO MOBILIZAÇÃO]]="Em andamento",Tabela1[[#This Row],[DATA REAL - ASO]]&lt;&gt;""),1)</f>
        <v>1</v>
      </c>
      <c r="K93" s="15" cm="1">
        <f t="array" aca="1" ref="K9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TREINAMENTOS]]="",$AV93&gt;$AT$1),2,
AND(Tabela1[[#This Row],[STATUS PROCESSO MOBILIZAÇÃO]]="Em andamento",Tabela1[[#This Row],[DATA REAL - TREINAMENTOS]]="",$AV93&lt;=$AT$1),3,
AND(Tabela1[[#This Row],[STATUS PROCESSO MOBILIZAÇÃO]]="Em andamento",Tabela1[[#This Row],[DATA REAL - TREINAMENTOS]]&lt;&gt;""),1)</f>
        <v>1</v>
      </c>
      <c r="L93" s="15" cm="1">
        <f t="array" aca="1" ref="L9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TREIN.]]="",$AY93&gt;$AW$1),2,
AND(Tabela1[[#This Row],[STATUS PROCESSO MOBILIZAÇÃO]]="Em andamento",Tabela1[[#This Row],[DATA REAL - CONCL. TREIN.]]="",$AY93&lt;=$AW$1),3,
AND(Tabela1[[#This Row],[STATUS PROCESSO MOBILIZAÇÃO]]="Em andamento",Tabela1[[#This Row],[DATA REAL - CONCL. TREIN.]]&lt;&gt;""),1)</f>
        <v>1</v>
      </c>
      <c r="M93" s="15" cm="1">
        <f t="array" aca="1" ref="M9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CONTRATUAL]]="",$BB93&gt;$AZ$1),2,
AND(Tabela1[[#This Row],[STATUS PROCESSO MOBILIZAÇÃO]]="Em andamento",Tabela1[[#This Row],[DATA FIM - ALTER. CONTRATUAL]]="",$BB93&lt;=$AZ$1),3,
AND(Tabela1[[#This Row],[STATUS PROCESSO MOBILIZAÇÃO]]="Em andamento",Tabela1[[#This Row],[DATA FIM - ALTER. CONTRATUAL]]&lt;&gt;""),1)</f>
        <v>1</v>
      </c>
      <c r="N93" s="16" cm="1">
        <f t="array" aca="1" ref="N9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DOSSIÊ]]="",$BE93&gt;$BC$1),2,
AND(Tabela1[[#This Row],[STATUS PROCESSO MOBILIZAÇÃO]]="Em andamento",Tabela1[[#This Row],[DATA REAL - DOSSIÊ]]="",$BE93&lt;=$BC$1),3,
AND(Tabela1[[#This Row],[STATUS PROCESSO MOBILIZAÇÃO]]="Em andamento",Tabela1[[#This Row],[DATA REAL - DOSSIÊ]]&lt;&gt;""),1)</f>
        <v>1</v>
      </c>
      <c r="O93" s="16" cm="1">
        <f t="array" aca="1" ref="O9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POSTAGEM]]="",$BH93&gt;$BF$1),2,
AND(Tabela1[[#This Row],[STATUS PROCESSO MOBILIZAÇÃO]]="Em andamento",Tabela1[[#This Row],[DATA REAL - POSTAGEM]]="",$BH93&lt;=$BF$1),3,
AND(Tabela1[[#This Row],[STATUS PROCESSO MOBILIZAÇÃO]]="Em andamento",Tabela1[[#This Row],[DATA REAL - POSTAGEM]]&lt;&gt;""),1)</f>
        <v>1</v>
      </c>
      <c r="P93" s="16" cm="1">
        <f t="array" aca="1" ref="P9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FINAL]]="",$BK93&gt;$BI$1),2,
AND(Tabela1[[#This Row],[STATUS PROCESSO MOBILIZAÇÃO]]="Em andamento",Tabela1[[#This Row],[DATA REAL - APROV FINAL]]="",$BK93&lt;=$BI$1),3,
AND(Tabela1[[#This Row],[STATUS PROCESSO MOBILIZAÇÃO]]="Em andamento",Tabela1[[#This Row],[DATA REAL - APROV FINAL]]&lt;&gt;""),1)</f>
        <v>1</v>
      </c>
      <c r="Q93" s="15" cm="1">
        <f t="array" aca="1" ref="Q9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CRACHÁ]]="",$BN93&gt;$BL$1),2,
AND(Tabela1[[#This Row],[STATUS PROCESSO MOBILIZAÇÃO]]="Em andamento",Tabela1[[#This Row],[DATA REAL - CRACHÁ]]="",$BN93&lt;=$BL$1),3,
AND(Tabela1[[#This Row],[STATUS PROCESSO MOBILIZAÇÃO]]="Em andamento",Tabela1[[#This Row],[DATA REAL - CRACHÁ]]&lt;&gt;""),1)</f>
        <v>1</v>
      </c>
      <c r="R93" s="21">
        <f>IF(Tabela1[[#This Row],[DATA REAL - FORMS]]&lt;&gt;"",Tabela1[[#This Row],[DATA REAL - FORMS]]+30,Tabela1[[#This Row],[DATA PREV - FORMS]]+35)</f>
        <v>45840</v>
      </c>
      <c r="S9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45874</v>
      </c>
      <c r="T9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85</v>
      </c>
      <c r="U9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56</v>
      </c>
      <c r="V93" s="49">
        <f>MAX(Tabela1[[#This Row],[DATA REAL - POSTAGEM]],Tabela1[[#This Row],[DATA REAL - APROV FINAL]],Tabela1[[#This Row],[DATA REAL - CRACHÁ]])-MIN(Tabela1[[#This Row],[DATA REAL - POSTAGEM]],Tabela1[[#This Row],[DATA REAL - APROV FINAL]],Tabela1[[#This Row],[DATA REAL - CRACHÁ]])+1</f>
        <v>30</v>
      </c>
      <c r="W9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3" s="15" t="s">
        <v>103</v>
      </c>
      <c r="Y93" s="16" t="s">
        <v>84</v>
      </c>
      <c r="Z93" s="18" t="s">
        <v>104</v>
      </c>
      <c r="AA93" s="18" t="s">
        <v>86</v>
      </c>
      <c r="AB93" s="16" t="s">
        <v>97</v>
      </c>
      <c r="AC93" s="16" t="s">
        <v>219</v>
      </c>
      <c r="AD93" s="16" t="s">
        <v>184</v>
      </c>
      <c r="AE93" s="16" t="s">
        <v>220</v>
      </c>
      <c r="AF93" s="16" t="s">
        <v>411</v>
      </c>
      <c r="AG93" s="16" t="str">
        <f>_xlfn.XLOOKUP(Tabela1[[#This Row],[CÓD. CT]],Controle_Projetos[COD CT],Controle_Projetos[COD PHD],"")</f>
        <v>CRET-CT03-PLAN</v>
      </c>
      <c r="AH93" s="21">
        <v>45805</v>
      </c>
      <c r="AI93" s="75">
        <v>45789</v>
      </c>
      <c r="AJ93" s="16" t="str" cm="1">
        <f t="array" aca="1" ref="AJ9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3" s="21">
        <v>45811</v>
      </c>
      <c r="AL93" s="74">
        <v>45810</v>
      </c>
      <c r="AM93" s="16" cm="1">
        <f t="array" aca="1" ref="AM9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0</v>
      </c>
      <c r="AN93" s="21">
        <f>Tabela1[[#This Row],[DATA PREV - FORMS]]+$AN$1</f>
        <v>45818</v>
      </c>
      <c r="AO93" s="74">
        <v>45818</v>
      </c>
      <c r="AP93" s="16" cm="1">
        <f t="array" aca="1" ref="AP9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93" s="21">
        <f>Tabela1[[#This Row],[DATA PREV - EXAMES]]+$AQ$1</f>
        <v>45820</v>
      </c>
      <c r="AR93" s="74">
        <v>45824</v>
      </c>
      <c r="AS93" s="15" cm="1">
        <f t="array" aca="1" ref="AS9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93" s="21">
        <f>Tabela1[[#This Row],[DATA PREV - FORMS]]+$AT$1</f>
        <v>45812</v>
      </c>
      <c r="AU93" s="74">
        <v>45812</v>
      </c>
      <c r="AV93" s="15" cm="1">
        <f t="array" aca="1" ref="AV9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93" s="21">
        <f>Tabela1[[#This Row],[DATA PREV - TREINAMENTOS]]+$AW$1</f>
        <v>45819</v>
      </c>
      <c r="AX93" s="74">
        <v>45818</v>
      </c>
      <c r="AY93" s="15" cm="1">
        <f t="array" aca="1" ref="AY9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93" s="24">
        <v>45789</v>
      </c>
      <c r="BA93" s="74">
        <v>45845</v>
      </c>
      <c r="BB93" s="15" cm="1">
        <f t="array" aca="1" ref="BB9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57</v>
      </c>
      <c r="BC93" s="21">
        <f>Tabela1[[#This Row],[DATA PREV - CONCL. TREIN.]]+$BC$1</f>
        <v>45821</v>
      </c>
      <c r="BD93" s="74">
        <v>45845</v>
      </c>
      <c r="BE93" s="15" cm="1">
        <f t="array" aca="1" ref="BE9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25</v>
      </c>
      <c r="BF93" s="21">
        <f>Tabela1[[#This Row],[DATA PREV - DOSSIÊ]]+$BF$1</f>
        <v>45824</v>
      </c>
      <c r="BG93" s="74">
        <v>45845</v>
      </c>
      <c r="BH93" s="15" cm="1">
        <f t="array" aca="1" ref="BH9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22</v>
      </c>
      <c r="BI93" s="21">
        <f>Tabela1[[#This Row],[DATA PREV - POSTAGEM]]+$BI$1</f>
        <v>45830</v>
      </c>
      <c r="BJ93" s="74">
        <v>45874</v>
      </c>
      <c r="BK93" s="15" cm="1">
        <f t="array" aca="1" ref="BK9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45</v>
      </c>
      <c r="BL93" s="21">
        <f>Tabela1[[#This Row],[DATA PREV - APROV FINAL]]+$BL$1</f>
        <v>45831</v>
      </c>
      <c r="BM93" s="74">
        <v>45874</v>
      </c>
      <c r="BN93" s="15" cm="1">
        <f t="array" aca="1" ref="BN9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44</v>
      </c>
      <c r="BO93" s="80" t="s">
        <v>412</v>
      </c>
    </row>
    <row r="94" spans="2:67" ht="18" hidden="1" customHeight="1" x14ac:dyDescent="0.35">
      <c r="B94" s="14" t="s">
        <v>79</v>
      </c>
      <c r="C94" s="16" t="s">
        <v>381</v>
      </c>
      <c r="D94" s="16" t="s">
        <v>81</v>
      </c>
      <c r="E94" s="16"/>
      <c r="F94" s="16" t="s">
        <v>270</v>
      </c>
      <c r="G94" s="16" cm="1">
        <f t="array" ref="G94">_xlfn.IFS(Tabela1[[#This Row],[STATUS PROCESSO MOBILIZAÇÃO]]="Finalizado",1,Tabela1[[#This Row],[STATUS PROCESSO MOBILIZAÇÃO]]="Cancelado",2,Tabela1[[#This Row],[STATUS PROCESSO MOBILIZAÇÃO]]="Em andamento",3)</f>
        <v>1</v>
      </c>
      <c r="H94" s="16" cm="1">
        <f t="array" aca="1" ref="H9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FORMS]]="",$AM94&gt;$AK$1),2,
AND(Tabela1[[#This Row],[STATUS PROCESSO MOBILIZAÇÃO]]="Em andamento",Tabela1[[#This Row],[DATA REAL - FORMS]]="",$AM94&lt;=$AK$1),3,
AND(Tabela1[[#This Row],[STATUS PROCESSO MOBILIZAÇÃO]]="Em andamento",Tabela1[[#This Row],[DATA REAL - FORMS]]&lt;&gt;""),1)</f>
        <v>1</v>
      </c>
      <c r="I94" s="16" cm="1">
        <f t="array" aca="1" ref="I9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EXAMES]]="",$AP94&gt;$AN$1),2,
AND(Tabela1[[#This Row],[STATUS PROCESSO MOBILIZAÇÃO]]="Em andamento",Tabela1[[#This Row],[DATA REAL - EXAMES]]="",$AP94&lt;=$AN$1),3,
AND(Tabela1[[#This Row],[STATUS PROCESSO MOBILIZAÇÃO]]="Em andamento",Tabela1[[#This Row],[DATA REAL - EXAMES]]&lt;&gt;""),1)</f>
        <v>1</v>
      </c>
      <c r="J94" s="16" cm="1">
        <f t="array" aca="1" ref="J9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ASO]]="",$AS94&gt;$AQ$1),2,
AND(Tabela1[[#This Row],[STATUS PROCESSO MOBILIZAÇÃO]]="Em andamento",Tabela1[[#This Row],[DATA REAL - ASO]]="",$AS94&lt;=$AQ$1),3,
AND(Tabela1[[#This Row],[STATUS PROCESSO MOBILIZAÇÃO]]="Em andamento",Tabela1[[#This Row],[DATA REAL - ASO]]&lt;&gt;""),1)</f>
        <v>1</v>
      </c>
      <c r="K94" s="15" cm="1">
        <f t="array" aca="1" ref="K9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TREINAMENTOS]]="",$AV94&gt;$AT$1),2,
AND(Tabela1[[#This Row],[STATUS PROCESSO MOBILIZAÇÃO]]="Em andamento",Tabela1[[#This Row],[DATA REAL - TREINAMENTOS]]="",$AV94&lt;=$AT$1),3,
AND(Tabela1[[#This Row],[STATUS PROCESSO MOBILIZAÇÃO]]="Em andamento",Tabela1[[#This Row],[DATA REAL - TREINAMENTOS]]&lt;&gt;""),1)</f>
        <v>1</v>
      </c>
      <c r="L94" s="15" cm="1">
        <f t="array" aca="1" ref="L9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TREIN.]]="",$AY94&gt;$AW$1),2,
AND(Tabela1[[#This Row],[STATUS PROCESSO MOBILIZAÇÃO]]="Em andamento",Tabela1[[#This Row],[DATA REAL - CONCL. TREIN.]]="",$AY94&lt;=$AW$1),3,
AND(Tabela1[[#This Row],[STATUS PROCESSO MOBILIZAÇÃO]]="Em andamento",Tabela1[[#This Row],[DATA REAL - CONCL. TREIN.]]&lt;&gt;""),1)</f>
        <v>1</v>
      </c>
      <c r="M94" s="15" cm="1">
        <f t="array" aca="1" ref="M9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CONTRATUAL]]="",$BB94&gt;$AZ$1),2,
AND(Tabela1[[#This Row],[STATUS PROCESSO MOBILIZAÇÃO]]="Em andamento",Tabela1[[#This Row],[DATA FIM - ALTER. CONTRATUAL]]="",$BB94&lt;=$AZ$1),3,
AND(Tabela1[[#This Row],[STATUS PROCESSO MOBILIZAÇÃO]]="Em andamento",Tabela1[[#This Row],[DATA FIM - ALTER. CONTRATUAL]]&lt;&gt;""),1)</f>
        <v>1</v>
      </c>
      <c r="N94" s="16" cm="1">
        <f t="array" aca="1" ref="N9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DOSSIÊ]]="",$BE94&gt;$BC$1),2,
AND(Tabela1[[#This Row],[STATUS PROCESSO MOBILIZAÇÃO]]="Em andamento",Tabela1[[#This Row],[DATA REAL - DOSSIÊ]]="",$BE94&lt;=$BC$1),3,
AND(Tabela1[[#This Row],[STATUS PROCESSO MOBILIZAÇÃO]]="Em andamento",Tabela1[[#This Row],[DATA REAL - DOSSIÊ]]&lt;&gt;""),1)</f>
        <v>1</v>
      </c>
      <c r="O94" s="16" cm="1">
        <f t="array" aca="1" ref="O9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POSTAGEM]]="",$BH94&gt;$BF$1),2,
AND(Tabela1[[#This Row],[STATUS PROCESSO MOBILIZAÇÃO]]="Em andamento",Tabela1[[#This Row],[DATA REAL - POSTAGEM]]="",$BH94&lt;=$BF$1),3,
AND(Tabela1[[#This Row],[STATUS PROCESSO MOBILIZAÇÃO]]="Em andamento",Tabela1[[#This Row],[DATA REAL - POSTAGEM]]&lt;&gt;""),1)</f>
        <v>1</v>
      </c>
      <c r="P94" s="16" cm="1">
        <f t="array" aca="1" ref="P9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FINAL]]="",$BK94&gt;$BI$1),2,
AND(Tabela1[[#This Row],[STATUS PROCESSO MOBILIZAÇÃO]]="Em andamento",Tabela1[[#This Row],[DATA REAL - APROV FINAL]]="",$BK94&lt;=$BI$1),3,
AND(Tabela1[[#This Row],[STATUS PROCESSO MOBILIZAÇÃO]]="Em andamento",Tabela1[[#This Row],[DATA REAL - APROV FINAL]]&lt;&gt;""),1)</f>
        <v>1</v>
      </c>
      <c r="Q94" s="15" cm="1">
        <f t="array" aca="1" ref="Q9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CRACHÁ]]="",$BN94&gt;$BL$1),2,
AND(Tabela1[[#This Row],[STATUS PROCESSO MOBILIZAÇÃO]]="Em andamento",Tabela1[[#This Row],[DATA REAL - CRACHÁ]]="",$BN94&lt;=$BL$1),3,
AND(Tabela1[[#This Row],[STATUS PROCESSO MOBILIZAÇÃO]]="Em andamento",Tabela1[[#This Row],[DATA REAL - CRACHÁ]]&lt;&gt;""),1)</f>
        <v>1</v>
      </c>
      <c r="R94" s="21">
        <f>IF(Tabela1[[#This Row],[DATA REAL - FORMS]]&lt;&gt;"",Tabela1[[#This Row],[DATA REAL - FORMS]]+30,Tabela1[[#This Row],[DATA PREV - FORMS]]+35)</f>
        <v>45847</v>
      </c>
      <c r="S9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45833</v>
      </c>
      <c r="T9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U9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94" s="49">
        <f>MAX(Tabela1[[#This Row],[DATA REAL - POSTAGEM]],Tabela1[[#This Row],[DATA REAL - APROV FINAL]],Tabela1[[#This Row],[DATA REAL - CRACHÁ]])-MIN(Tabela1[[#This Row],[DATA REAL - POSTAGEM]],Tabela1[[#This Row],[DATA REAL - APROV FINAL]],Tabela1[[#This Row],[DATA REAL - CRACHÁ]])+1</f>
        <v>15</v>
      </c>
      <c r="W9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4" s="15" t="s">
        <v>355</v>
      </c>
      <c r="Y94" s="16" t="s">
        <v>150</v>
      </c>
      <c r="Z94" s="18" t="s">
        <v>356</v>
      </c>
      <c r="AA94" s="18" t="s">
        <v>152</v>
      </c>
      <c r="AB94" s="16" t="s">
        <v>97</v>
      </c>
      <c r="AC94" s="16" t="s">
        <v>132</v>
      </c>
      <c r="AD94" s="16" t="s">
        <v>132</v>
      </c>
      <c r="AE94" s="16" t="s">
        <v>337</v>
      </c>
      <c r="AF94" s="16" t="s">
        <v>379</v>
      </c>
      <c r="AG94" s="16" t="str">
        <f>_xlfn.XLOOKUP(Tabela1[[#This Row],[CÓD. CT]],Controle_Projetos[COD CT],Controle_Projetos[COD PHD],"")</f>
        <v>GERD-CT14-PIND</v>
      </c>
      <c r="AH94" s="21">
        <v>45798</v>
      </c>
      <c r="AI94" s="75">
        <v>45792</v>
      </c>
      <c r="AJ94" s="16" t="str" cm="1">
        <f t="array" aca="1" ref="AJ9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4" s="21">
        <v>45811</v>
      </c>
      <c r="AL94" s="74">
        <v>45817</v>
      </c>
      <c r="AM94" s="16" cm="1">
        <f t="array" aca="1" ref="AM9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94" s="21">
        <f>Tabela1[[#This Row],[DATA PREV - FORMS]]+$AN$1</f>
        <v>45818</v>
      </c>
      <c r="AO94" s="74">
        <v>45813</v>
      </c>
      <c r="AP94" s="16" cm="1">
        <f t="array" aca="1" ref="AP9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94" s="21">
        <f>Tabela1[[#This Row],[DATA PREV - EXAMES]]+$AQ$1</f>
        <v>45820</v>
      </c>
      <c r="AR94" s="74">
        <v>45814</v>
      </c>
      <c r="AS94" s="15" cm="1">
        <f t="array" aca="1" ref="AS9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94" s="21">
        <f>Tabela1[[#This Row],[DATA PREV - FORMS]]+$AT$1</f>
        <v>45812</v>
      </c>
      <c r="AU94" s="74">
        <v>45813</v>
      </c>
      <c r="AV94" s="15" cm="1">
        <f t="array" aca="1" ref="AV9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94" s="21">
        <f>Tabela1[[#This Row],[DATA PREV - TREINAMENTOS]]+$AW$1</f>
        <v>45819</v>
      </c>
      <c r="AX94" s="74">
        <v>45817</v>
      </c>
      <c r="AY94" s="15" cm="1">
        <f t="array" aca="1" ref="AY9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94" s="24"/>
      <c r="BA94" s="74">
        <v>45817</v>
      </c>
      <c r="BB94" s="15" t="str" cm="1">
        <f t="array" aca="1" ref="BB9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94" s="21">
        <f>Tabela1[[#This Row],[DATA PREV - CONCL. TREIN.]]+$BC$1</f>
        <v>45821</v>
      </c>
      <c r="BD94" s="74">
        <v>45819</v>
      </c>
      <c r="BE94" s="15" cm="1">
        <f t="array" aca="1" ref="BE9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94" s="21">
        <f>Tabela1[[#This Row],[DATA PREV - DOSSIÊ]]+$BF$1</f>
        <v>45824</v>
      </c>
      <c r="BG94" s="74">
        <v>45819</v>
      </c>
      <c r="BH94" s="15" cm="1">
        <f t="array" aca="1" ref="BH9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94" s="21">
        <f>Tabela1[[#This Row],[DATA PREV - POSTAGEM]]+$BI$1</f>
        <v>45830</v>
      </c>
      <c r="BJ94" s="74">
        <v>45833</v>
      </c>
      <c r="BK94" s="15" cm="1">
        <f t="array" aca="1" ref="BK9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94" s="21">
        <f>Tabela1[[#This Row],[DATA PREV - APROV FINAL]]+$BL$1</f>
        <v>45831</v>
      </c>
      <c r="BM94" s="74">
        <v>45833</v>
      </c>
      <c r="BN94" s="15" cm="1">
        <f t="array" aca="1" ref="BN9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94" s="80" t="s">
        <v>413</v>
      </c>
    </row>
    <row r="95" spans="2:67" ht="18" hidden="1" customHeight="1" x14ac:dyDescent="0.35">
      <c r="B95" s="14" t="s">
        <v>119</v>
      </c>
      <c r="C95" s="16" t="s">
        <v>381</v>
      </c>
      <c r="D95" s="16" t="s">
        <v>119</v>
      </c>
      <c r="E95" s="16"/>
      <c r="F95" s="16" t="s">
        <v>414</v>
      </c>
      <c r="G95" s="16" cm="1">
        <f t="array" ref="G95">_xlfn.IFS(Tabela1[[#This Row],[STATUS PROCESSO MOBILIZAÇÃO]]="Finalizado",1,Tabela1[[#This Row],[STATUS PROCESSO MOBILIZAÇÃO]]="Cancelado",2,Tabela1[[#This Row],[STATUS PROCESSO MOBILIZAÇÃO]]="Em andamento",3)</f>
        <v>2</v>
      </c>
      <c r="H95" s="16" cm="1">
        <f t="array" aca="1" ref="H9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FORMS]]="",$AM95&gt;$AK$1),2,
AND(Tabela1[[#This Row],[STATUS PROCESSO MOBILIZAÇÃO]]="Em andamento",Tabela1[[#This Row],[DATA REAL - FORMS]]="",$AM95&lt;=$AK$1),3,
AND(Tabela1[[#This Row],[STATUS PROCESSO MOBILIZAÇÃO]]="Em andamento",Tabela1[[#This Row],[DATA REAL - FORMS]]&lt;&gt;""),1)</f>
        <v>1</v>
      </c>
      <c r="I95" s="16" cm="1">
        <f t="array" aca="1" ref="I9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EXAMES]]="",$AP95&gt;$AN$1),2,
AND(Tabela1[[#This Row],[STATUS PROCESSO MOBILIZAÇÃO]]="Em andamento",Tabela1[[#This Row],[DATA REAL - EXAMES]]="",$AP95&lt;=$AN$1),3,
AND(Tabela1[[#This Row],[STATUS PROCESSO MOBILIZAÇÃO]]="Em andamento",Tabela1[[#This Row],[DATA REAL - EXAMES]]&lt;&gt;""),1)</f>
        <v>0</v>
      </c>
      <c r="J95" s="16" cm="1">
        <f t="array" aca="1" ref="J9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ASO]]="",$AS95&gt;$AQ$1),2,
AND(Tabela1[[#This Row],[STATUS PROCESSO MOBILIZAÇÃO]]="Em andamento",Tabela1[[#This Row],[DATA REAL - ASO]]="",$AS95&lt;=$AQ$1),3,
AND(Tabela1[[#This Row],[STATUS PROCESSO MOBILIZAÇÃO]]="Em andamento",Tabela1[[#This Row],[DATA REAL - ASO]]&lt;&gt;""),1)</f>
        <v>0</v>
      </c>
      <c r="K95" s="15" cm="1">
        <f t="array" aca="1" ref="K9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TREINAMENTOS]]="",$AV95&gt;$AT$1),2,
AND(Tabela1[[#This Row],[STATUS PROCESSO MOBILIZAÇÃO]]="Em andamento",Tabela1[[#This Row],[DATA REAL - TREINAMENTOS]]="",$AV95&lt;=$AT$1),3,
AND(Tabela1[[#This Row],[STATUS PROCESSO MOBILIZAÇÃO]]="Em andamento",Tabela1[[#This Row],[DATA REAL - TREINAMENTOS]]&lt;&gt;""),1)</f>
        <v>0</v>
      </c>
      <c r="L95" s="15" cm="1">
        <f t="array" aca="1" ref="L9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TREIN.]]="",$AY95&gt;$AW$1),2,
AND(Tabela1[[#This Row],[STATUS PROCESSO MOBILIZAÇÃO]]="Em andamento",Tabela1[[#This Row],[DATA REAL - CONCL. TREIN.]]="",$AY95&lt;=$AW$1),3,
AND(Tabela1[[#This Row],[STATUS PROCESSO MOBILIZAÇÃO]]="Em andamento",Tabela1[[#This Row],[DATA REAL - CONCL. TREIN.]]&lt;&gt;""),1)</f>
        <v>0</v>
      </c>
      <c r="M95" s="15" cm="1">
        <f t="array" aca="1" ref="M9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CONTRATUAL]]="",$BB95&gt;$AZ$1),2,
AND(Tabela1[[#This Row],[STATUS PROCESSO MOBILIZAÇÃO]]="Em andamento",Tabela1[[#This Row],[DATA FIM - ALTER. CONTRATUAL]]="",$BB95&lt;=$AZ$1),3,
AND(Tabela1[[#This Row],[STATUS PROCESSO MOBILIZAÇÃO]]="Em andamento",Tabela1[[#This Row],[DATA FIM - ALTER. CONTRATUAL]]&lt;&gt;""),1)</f>
        <v>0</v>
      </c>
      <c r="N95" s="16" cm="1">
        <f t="array" aca="1" ref="N9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DOSSIÊ]]="",$BE95&gt;$BC$1),2,
AND(Tabela1[[#This Row],[STATUS PROCESSO MOBILIZAÇÃO]]="Em andamento",Tabela1[[#This Row],[DATA REAL - DOSSIÊ]]="",$BE95&lt;=$BC$1),3,
AND(Tabela1[[#This Row],[STATUS PROCESSO MOBILIZAÇÃO]]="Em andamento",Tabela1[[#This Row],[DATA REAL - DOSSIÊ]]&lt;&gt;""),1)</f>
        <v>0</v>
      </c>
      <c r="O95" s="16" cm="1">
        <f t="array" aca="1" ref="O9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POSTAGEM]]="",$BH95&gt;$BF$1),2,
AND(Tabela1[[#This Row],[STATUS PROCESSO MOBILIZAÇÃO]]="Em andamento",Tabela1[[#This Row],[DATA REAL - POSTAGEM]]="",$BH95&lt;=$BF$1),3,
AND(Tabela1[[#This Row],[STATUS PROCESSO MOBILIZAÇÃO]]="Em andamento",Tabela1[[#This Row],[DATA REAL - POSTAGEM]]&lt;&gt;""),1)</f>
        <v>0</v>
      </c>
      <c r="P95" s="16" cm="1">
        <f t="array" aca="1" ref="P9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FINAL]]="",$BK95&gt;$BI$1),2,
AND(Tabela1[[#This Row],[STATUS PROCESSO MOBILIZAÇÃO]]="Em andamento",Tabela1[[#This Row],[DATA REAL - APROV FINAL]]="",$BK95&lt;=$BI$1),3,
AND(Tabela1[[#This Row],[STATUS PROCESSO MOBILIZAÇÃO]]="Em andamento",Tabela1[[#This Row],[DATA REAL - APROV FINAL]]&lt;&gt;""),1)</f>
        <v>0</v>
      </c>
      <c r="Q95" s="15" cm="1">
        <f t="array" aca="1" ref="Q9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CRACHÁ]]="",$BN95&gt;$BL$1),2,
AND(Tabela1[[#This Row],[STATUS PROCESSO MOBILIZAÇÃO]]="Em andamento",Tabela1[[#This Row],[DATA REAL - CRACHÁ]]="",$BN95&lt;=$BL$1),3,
AND(Tabela1[[#This Row],[STATUS PROCESSO MOBILIZAÇÃO]]="Em andamento",Tabela1[[#This Row],[DATA REAL - CRACHÁ]]&lt;&gt;""),1)</f>
        <v>1</v>
      </c>
      <c r="R95" s="21">
        <f>IF(Tabela1[[#This Row],[DATA REAL - FORMS]]&lt;&gt;"",Tabela1[[#This Row],[DATA REAL - FORMS]]+30,Tabela1[[#This Row],[DATA PREV - FORMS]]+35)</f>
        <v>45849</v>
      </c>
      <c r="S9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45819</v>
      </c>
      <c r="T9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v>
      </c>
      <c r="U9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95" s="49">
        <f>MAX(Tabela1[[#This Row],[DATA REAL - POSTAGEM]],Tabela1[[#This Row],[DATA REAL - APROV FINAL]],Tabela1[[#This Row],[DATA REAL - CRACHÁ]])-MIN(Tabela1[[#This Row],[DATA REAL - POSTAGEM]],Tabela1[[#This Row],[DATA REAL - APROV FINAL]],Tabela1[[#This Row],[DATA REAL - CRACHÁ]])+1</f>
        <v>1</v>
      </c>
      <c r="W9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5" s="15" t="s">
        <v>84</v>
      </c>
      <c r="Y95" s="16" t="s">
        <v>84</v>
      </c>
      <c r="Z95" s="18"/>
      <c r="AA95" s="18" t="s">
        <v>86</v>
      </c>
      <c r="AB95" s="16" t="s">
        <v>97</v>
      </c>
      <c r="AC95" s="16" t="s">
        <v>415</v>
      </c>
      <c r="AD95" s="16" t="s">
        <v>415</v>
      </c>
      <c r="AE95" s="16" t="s">
        <v>416</v>
      </c>
      <c r="AF95" s="16" t="s">
        <v>417</v>
      </c>
      <c r="AG95" s="16" t="str">
        <f>_xlfn.XLOOKUP(Tabela1[[#This Row],[CÓD. CT]],Controle_Projetos[COD CT],Controle_Projetos[COD PHD],"")</f>
        <v>NEXA-CT03-GERE</v>
      </c>
      <c r="AH95" s="21"/>
      <c r="AI95" s="75">
        <v>45813</v>
      </c>
      <c r="AJ95" s="16" t="str" cm="1">
        <f t="array" aca="1" ref="AJ9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5" s="21">
        <v>45819</v>
      </c>
      <c r="AL95" s="74">
        <v>45819</v>
      </c>
      <c r="AM95" s="16" cm="1">
        <f t="array" aca="1" ref="AM9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5" s="21">
        <f>Tabela1[[#This Row],[DATA PREV - FORMS]]+$AN$1</f>
        <v>45826</v>
      </c>
      <c r="AO95" s="74"/>
      <c r="AP95" s="16" cm="1">
        <f t="array" aca="1" ref="AP9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95" s="21">
        <f>Tabela1[[#This Row],[DATA PREV - EXAMES]]+$AQ$1</f>
        <v>45828</v>
      </c>
      <c r="AR95" s="74"/>
      <c r="AS95" s="15" cm="1">
        <f t="array" aca="1" ref="AS9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95" s="21">
        <f>Tabela1[[#This Row],[DATA PREV - FORMS]]+$AT$1</f>
        <v>45820</v>
      </c>
      <c r="AU95" s="74"/>
      <c r="AV95" s="15" cm="1">
        <f t="array" aca="1" ref="AV9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95" s="21">
        <f>Tabela1[[#This Row],[DATA PREV - TREINAMENTOS]]+$AW$1</f>
        <v>45827</v>
      </c>
      <c r="AX95" s="74"/>
      <c r="AY95" s="15" cm="1">
        <f t="array" aca="1" ref="AY9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95" s="24">
        <v>45831</v>
      </c>
      <c r="BA95" s="74"/>
      <c r="BB95" s="15" cm="1">
        <f t="array" aca="1" ref="BB9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95" s="21">
        <f>Tabela1[[#This Row],[DATA PREV - CONCL. TREIN.]]+$BC$1</f>
        <v>45829</v>
      </c>
      <c r="BD95" s="74"/>
      <c r="BE95" s="15" cm="1">
        <f t="array" aca="1" ref="BE9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95" s="21">
        <f>Tabela1[[#This Row],[DATA PREV - DOSSIÊ]]+$BF$1</f>
        <v>45832</v>
      </c>
      <c r="BG95" s="74"/>
      <c r="BH95" s="15" cm="1">
        <f t="array" aca="1" ref="BH9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95" s="21">
        <f>Tabela1[[#This Row],[DATA PREV - POSTAGEM]]+$BI$1</f>
        <v>45838</v>
      </c>
      <c r="BJ95" s="74"/>
      <c r="BK95" s="15" cm="1">
        <f t="array" aca="1" ref="BK9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95" s="21">
        <f>Tabela1[[#This Row],[DATA PREV - APROV FINAL]]+$BL$1</f>
        <v>45839</v>
      </c>
      <c r="BM95" s="74">
        <v>45819</v>
      </c>
      <c r="BN95" s="15" cm="1">
        <f t="array" aca="1" ref="BN9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-19</v>
      </c>
      <c r="BO95" s="80" t="s">
        <v>418</v>
      </c>
    </row>
    <row r="96" spans="2:67" ht="18" hidden="1" customHeight="1" x14ac:dyDescent="0.35">
      <c r="B96" s="14" t="s">
        <v>79</v>
      </c>
      <c r="C96" s="16" t="s">
        <v>381</v>
      </c>
      <c r="D96" s="16" t="s">
        <v>81</v>
      </c>
      <c r="E96" s="16"/>
      <c r="F96" s="16" t="s">
        <v>419</v>
      </c>
      <c r="G96" s="16" cm="1">
        <f t="array" ref="G96">_xlfn.IFS(Tabela1[[#This Row],[STATUS PROCESSO MOBILIZAÇÃO]]="Finalizado",1,Tabela1[[#This Row],[STATUS PROCESSO MOBILIZAÇÃO]]="Cancelado",2,Tabela1[[#This Row],[STATUS PROCESSO MOBILIZAÇÃO]]="Em andamento",3)</f>
        <v>1</v>
      </c>
      <c r="H96" s="16" cm="1">
        <f t="array" aca="1" ref="H9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FORMS]]="",$AM96&gt;$AK$1),2,
AND(Tabela1[[#This Row],[STATUS PROCESSO MOBILIZAÇÃO]]="Em andamento",Tabela1[[#This Row],[DATA REAL - FORMS]]="",$AM96&lt;=$AK$1),3,
AND(Tabela1[[#This Row],[STATUS PROCESSO MOBILIZAÇÃO]]="Em andamento",Tabela1[[#This Row],[DATA REAL - FORMS]]&lt;&gt;""),1)</f>
        <v>1</v>
      </c>
      <c r="I96" s="16" cm="1">
        <f t="array" aca="1" ref="I9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EXAMES]]="",$AP96&gt;$AN$1),2,
AND(Tabela1[[#This Row],[STATUS PROCESSO MOBILIZAÇÃO]]="Em andamento",Tabela1[[#This Row],[DATA REAL - EXAMES]]="",$AP96&lt;=$AN$1),3,
AND(Tabela1[[#This Row],[STATUS PROCESSO MOBILIZAÇÃO]]="Em andamento",Tabela1[[#This Row],[DATA REAL - EXAMES]]&lt;&gt;""),1)</f>
        <v>1</v>
      </c>
      <c r="J96" s="16" cm="1">
        <f t="array" aca="1" ref="J9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ASO]]="",$AS96&gt;$AQ$1),2,
AND(Tabela1[[#This Row],[STATUS PROCESSO MOBILIZAÇÃO]]="Em andamento",Tabela1[[#This Row],[DATA REAL - ASO]]="",$AS96&lt;=$AQ$1),3,
AND(Tabela1[[#This Row],[STATUS PROCESSO MOBILIZAÇÃO]]="Em andamento",Tabela1[[#This Row],[DATA REAL - ASO]]&lt;&gt;""),1)</f>
        <v>1</v>
      </c>
      <c r="K96" s="15" cm="1">
        <f t="array" aca="1" ref="K9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TREINAMENTOS]]="",$AV96&gt;$AT$1),2,
AND(Tabela1[[#This Row],[STATUS PROCESSO MOBILIZAÇÃO]]="Em andamento",Tabela1[[#This Row],[DATA REAL - TREINAMENTOS]]="",$AV96&lt;=$AT$1),3,
AND(Tabela1[[#This Row],[STATUS PROCESSO MOBILIZAÇÃO]]="Em andamento",Tabela1[[#This Row],[DATA REAL - TREINAMENTOS]]&lt;&gt;""),1)</f>
        <v>1</v>
      </c>
      <c r="L96" s="15" cm="1">
        <f t="array" aca="1" ref="L9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TREIN.]]="",$AY96&gt;$AW$1),2,
AND(Tabela1[[#This Row],[STATUS PROCESSO MOBILIZAÇÃO]]="Em andamento",Tabela1[[#This Row],[DATA REAL - CONCL. TREIN.]]="",$AY96&lt;=$AW$1),3,
AND(Tabela1[[#This Row],[STATUS PROCESSO MOBILIZAÇÃO]]="Em andamento",Tabela1[[#This Row],[DATA REAL - CONCL. TREIN.]]&lt;&gt;""),1)</f>
        <v>1</v>
      </c>
      <c r="M96" s="15" cm="1">
        <f t="array" aca="1" ref="M9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CONTRATUAL]]="",$BB96&gt;$AZ$1),2,
AND(Tabela1[[#This Row],[STATUS PROCESSO MOBILIZAÇÃO]]="Em andamento",Tabela1[[#This Row],[DATA FIM - ALTER. CONTRATUAL]]="",$BB96&lt;=$AZ$1),3,
AND(Tabela1[[#This Row],[STATUS PROCESSO MOBILIZAÇÃO]]="Em andamento",Tabela1[[#This Row],[DATA FIM - ALTER. CONTRATUAL]]&lt;&gt;""),1)</f>
        <v>1</v>
      </c>
      <c r="N96" s="16" cm="1">
        <f t="array" aca="1" ref="N9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DOSSIÊ]]="",$BE96&gt;$BC$1),2,
AND(Tabela1[[#This Row],[STATUS PROCESSO MOBILIZAÇÃO]]="Em andamento",Tabela1[[#This Row],[DATA REAL - DOSSIÊ]]="",$BE96&lt;=$BC$1),3,
AND(Tabela1[[#This Row],[STATUS PROCESSO MOBILIZAÇÃO]]="Em andamento",Tabela1[[#This Row],[DATA REAL - DOSSIÊ]]&lt;&gt;""),1)</f>
        <v>1</v>
      </c>
      <c r="O96" s="16" cm="1">
        <f t="array" aca="1" ref="O9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POSTAGEM]]="",$BH96&gt;$BF$1),2,
AND(Tabela1[[#This Row],[STATUS PROCESSO MOBILIZAÇÃO]]="Em andamento",Tabela1[[#This Row],[DATA REAL - POSTAGEM]]="",$BH96&lt;=$BF$1),3,
AND(Tabela1[[#This Row],[STATUS PROCESSO MOBILIZAÇÃO]]="Em andamento",Tabela1[[#This Row],[DATA REAL - POSTAGEM]]&lt;&gt;""),1)</f>
        <v>1</v>
      </c>
      <c r="P96" s="16" cm="1">
        <f t="array" aca="1" ref="P9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FINAL]]="",$BK96&gt;$BI$1),2,
AND(Tabela1[[#This Row],[STATUS PROCESSO MOBILIZAÇÃO]]="Em andamento",Tabela1[[#This Row],[DATA REAL - APROV FINAL]]="",$BK96&lt;=$BI$1),3,
AND(Tabela1[[#This Row],[STATUS PROCESSO MOBILIZAÇÃO]]="Em andamento",Tabela1[[#This Row],[DATA REAL - APROV FINAL]]&lt;&gt;""),1)</f>
        <v>1</v>
      </c>
      <c r="Q96" s="15" cm="1">
        <f t="array" aca="1" ref="Q9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CRACHÁ]]="",$BN96&gt;$BL$1),2,
AND(Tabela1[[#This Row],[STATUS PROCESSO MOBILIZAÇÃO]]="Em andamento",Tabela1[[#This Row],[DATA REAL - CRACHÁ]]="",$BN96&lt;=$BL$1),3,
AND(Tabela1[[#This Row],[STATUS PROCESSO MOBILIZAÇÃO]]="Em andamento",Tabela1[[#This Row],[DATA REAL - CRACHÁ]]&lt;&gt;""),1)</f>
        <v>1</v>
      </c>
      <c r="R96" s="21">
        <f>IF(Tabela1[[#This Row],[DATA REAL - FORMS]]&lt;&gt;"",Tabela1[[#This Row],[DATA REAL - FORMS]]+30,Tabela1[[#This Row],[DATA PREV - FORMS]]+35)</f>
        <v>45849</v>
      </c>
      <c r="S9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45854</v>
      </c>
      <c r="T9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U9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39</v>
      </c>
      <c r="V96" s="49">
        <f>MAX(Tabela1[[#This Row],[DATA REAL - POSTAGEM]],Tabela1[[#This Row],[DATA REAL - APROV FINAL]],Tabela1[[#This Row],[DATA REAL - CRACHÁ]])-MIN(Tabela1[[#This Row],[DATA REAL - POSTAGEM]],Tabela1[[#This Row],[DATA REAL - APROV FINAL]],Tabela1[[#This Row],[DATA REAL - CRACHÁ]])+1</f>
        <v>3</v>
      </c>
      <c r="W9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6" s="15" t="s">
        <v>84</v>
      </c>
      <c r="Y96" s="16" t="s">
        <v>84</v>
      </c>
      <c r="Z96" s="18"/>
      <c r="AA96" s="18" t="s">
        <v>86</v>
      </c>
      <c r="AB96" s="16" t="s">
        <v>97</v>
      </c>
      <c r="AC96" s="16" t="s">
        <v>415</v>
      </c>
      <c r="AD96" s="16" t="s">
        <v>415</v>
      </c>
      <c r="AE96" s="16" t="s">
        <v>416</v>
      </c>
      <c r="AF96" s="16" t="s">
        <v>417</v>
      </c>
      <c r="AG96" s="16" t="str">
        <f>_xlfn.XLOOKUP(Tabela1[[#This Row],[CÓD. CT]],Controle_Projetos[COD CT],Controle_Projetos[COD PHD],"")</f>
        <v>NEXA-CT03-GERE</v>
      </c>
      <c r="AH96" s="21"/>
      <c r="AI96" s="75">
        <v>45813</v>
      </c>
      <c r="AJ96" s="16" t="str" cm="1">
        <f t="array" aca="1" ref="AJ9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6" s="21">
        <v>45819</v>
      </c>
      <c r="AL96" s="74">
        <v>45819</v>
      </c>
      <c r="AM96" s="16" cm="1">
        <f t="array" aca="1" ref="AM9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6" s="21">
        <f>Tabela1[[#This Row],[DATA PREV - FORMS]]+$AN$1</f>
        <v>45826</v>
      </c>
      <c r="AO96" s="74">
        <v>45833</v>
      </c>
      <c r="AP96" s="16" cm="1">
        <f t="array" aca="1" ref="AP9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8</v>
      </c>
      <c r="AQ96" s="21">
        <f>Tabela1[[#This Row],[DATA PREV - EXAMES]]+$AQ$1</f>
        <v>45828</v>
      </c>
      <c r="AR96" s="74">
        <v>45840</v>
      </c>
      <c r="AS96" s="15" cm="1">
        <f t="array" aca="1" ref="AS9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13</v>
      </c>
      <c r="AT96" s="21">
        <f>Tabela1[[#This Row],[DATA PREV - FORMS]]+$AT$1</f>
        <v>45820</v>
      </c>
      <c r="AU96" s="74">
        <v>45831</v>
      </c>
      <c r="AV96" s="15" cm="1">
        <f t="array" aca="1" ref="AV9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12</v>
      </c>
      <c r="AW96" s="21">
        <f>Tabela1[[#This Row],[DATA PREV - TREINAMENTOS]]+$AW$1</f>
        <v>45827</v>
      </c>
      <c r="AX96" s="74">
        <v>45848</v>
      </c>
      <c r="AY96" s="15" cm="1">
        <f t="array" aca="1" ref="AY9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22</v>
      </c>
      <c r="AZ96" s="24">
        <v>45777</v>
      </c>
      <c r="BA96" s="74">
        <v>45849</v>
      </c>
      <c r="BB96" s="15" cm="1">
        <f t="array" aca="1" ref="BB9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73</v>
      </c>
      <c r="BC96" s="21">
        <f>Tabela1[[#This Row],[DATA PREV - CONCL. TREIN.]]+$BC$1</f>
        <v>45829</v>
      </c>
      <c r="BD96" s="74">
        <v>45852</v>
      </c>
      <c r="BE96" s="15" cm="1">
        <f t="array" aca="1" ref="BE9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24</v>
      </c>
      <c r="BF96" s="21">
        <f>Tabela1[[#This Row],[DATA PREV - DOSSIÊ]]+$BF$1</f>
        <v>45832</v>
      </c>
      <c r="BG96" s="74">
        <v>45852</v>
      </c>
      <c r="BH96" s="15" cm="1">
        <f t="array" aca="1" ref="BH9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21</v>
      </c>
      <c r="BI96" s="21">
        <f>Tabela1[[#This Row],[DATA PREV - POSTAGEM]]+$BI$1</f>
        <v>45838</v>
      </c>
      <c r="BJ96" s="74">
        <v>45854</v>
      </c>
      <c r="BK96" s="15" cm="1">
        <f t="array" aca="1" ref="BK9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96" s="21">
        <f>Tabela1[[#This Row],[DATA PREV - APROV FINAL]]+$BL$1</f>
        <v>45839</v>
      </c>
      <c r="BM96" s="74">
        <v>45854</v>
      </c>
      <c r="BN96" s="15" cm="1">
        <f t="array" aca="1" ref="BN9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96" s="80" t="s">
        <v>420</v>
      </c>
    </row>
    <row r="97" spans="2:67" ht="18" hidden="1" customHeight="1" x14ac:dyDescent="0.35">
      <c r="B97" s="14" t="s">
        <v>119</v>
      </c>
      <c r="C97" s="16" t="s">
        <v>381</v>
      </c>
      <c r="D97" s="16" t="s">
        <v>81</v>
      </c>
      <c r="E97" s="16"/>
      <c r="F97" s="16" t="s">
        <v>251</v>
      </c>
      <c r="G97" s="16" cm="1">
        <f t="array" ref="G97">_xlfn.IFS(Tabela1[[#This Row],[STATUS PROCESSO MOBILIZAÇÃO]]="Finalizado",1,Tabela1[[#This Row],[STATUS PROCESSO MOBILIZAÇÃO]]="Cancelado",2,Tabela1[[#This Row],[STATUS PROCESSO MOBILIZAÇÃO]]="Em andamento",3)</f>
        <v>2</v>
      </c>
      <c r="H97" s="16" cm="1">
        <f t="array" aca="1" ref="H9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FORMS]]="",$AM97&gt;$AK$1),2,
AND(Tabela1[[#This Row],[STATUS PROCESSO MOBILIZAÇÃO]]="Em andamento",Tabela1[[#This Row],[DATA REAL - FORMS]]="",$AM97&lt;=$AK$1),3,
AND(Tabela1[[#This Row],[STATUS PROCESSO MOBILIZAÇÃO]]="Em andamento",Tabela1[[#This Row],[DATA REAL - FORMS]]&lt;&gt;""),1)</f>
        <v>1</v>
      </c>
      <c r="I97" s="16" cm="1">
        <f t="array" aca="1" ref="I9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EXAMES]]="",$AP97&gt;$AN$1),2,
AND(Tabela1[[#This Row],[STATUS PROCESSO MOBILIZAÇÃO]]="Em andamento",Tabela1[[#This Row],[DATA REAL - EXAMES]]="",$AP97&lt;=$AN$1),3,
AND(Tabela1[[#This Row],[STATUS PROCESSO MOBILIZAÇÃO]]="Em andamento",Tabela1[[#This Row],[DATA REAL - EXAMES]]&lt;&gt;""),1)</f>
        <v>1</v>
      </c>
      <c r="J97" s="16" cm="1">
        <f t="array" aca="1" ref="J9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ASO]]="",$AS97&gt;$AQ$1),2,
AND(Tabela1[[#This Row],[STATUS PROCESSO MOBILIZAÇÃO]]="Em andamento",Tabela1[[#This Row],[DATA REAL - ASO]]="",$AS97&lt;=$AQ$1),3,
AND(Tabela1[[#This Row],[STATUS PROCESSO MOBILIZAÇÃO]]="Em andamento",Tabela1[[#This Row],[DATA REAL - ASO]]&lt;&gt;""),1)</f>
        <v>1</v>
      </c>
      <c r="K97" s="15" cm="1">
        <f t="array" aca="1" ref="K9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TREINAMENTOS]]="",$AV97&gt;$AT$1),2,
AND(Tabela1[[#This Row],[STATUS PROCESSO MOBILIZAÇÃO]]="Em andamento",Tabela1[[#This Row],[DATA REAL - TREINAMENTOS]]="",$AV97&lt;=$AT$1),3,
AND(Tabela1[[#This Row],[STATUS PROCESSO MOBILIZAÇÃO]]="Em andamento",Tabela1[[#This Row],[DATA REAL - TREINAMENTOS]]&lt;&gt;""),1)</f>
        <v>1</v>
      </c>
      <c r="L97" s="15" cm="1">
        <f t="array" aca="1" ref="L9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TREIN.]]="",$AY97&gt;$AW$1),2,
AND(Tabela1[[#This Row],[STATUS PROCESSO MOBILIZAÇÃO]]="Em andamento",Tabela1[[#This Row],[DATA REAL - CONCL. TREIN.]]="",$AY97&lt;=$AW$1),3,
AND(Tabela1[[#This Row],[STATUS PROCESSO MOBILIZAÇÃO]]="Em andamento",Tabela1[[#This Row],[DATA REAL - CONCL. TREIN.]]&lt;&gt;""),1)</f>
        <v>1</v>
      </c>
      <c r="M97" s="15" cm="1">
        <f t="array" aca="1" ref="M9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CONTRATUAL]]="",$BB97&gt;$AZ$1),2,
AND(Tabela1[[#This Row],[STATUS PROCESSO MOBILIZAÇÃO]]="Em andamento",Tabela1[[#This Row],[DATA FIM - ALTER. CONTRATUAL]]="",$BB97&lt;=$AZ$1),3,
AND(Tabela1[[#This Row],[STATUS PROCESSO MOBILIZAÇÃO]]="Em andamento",Tabela1[[#This Row],[DATA FIM - ALTER. CONTRATUAL]]&lt;&gt;""),1)</f>
        <v>1</v>
      </c>
      <c r="N97" s="16" cm="1">
        <f t="array" aca="1" ref="N9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DOSSIÊ]]="",$BE97&gt;$BC$1),2,
AND(Tabela1[[#This Row],[STATUS PROCESSO MOBILIZAÇÃO]]="Em andamento",Tabela1[[#This Row],[DATA REAL - DOSSIÊ]]="",$BE97&lt;=$BC$1),3,
AND(Tabela1[[#This Row],[STATUS PROCESSO MOBILIZAÇÃO]]="Em andamento",Tabela1[[#This Row],[DATA REAL - DOSSIÊ]]&lt;&gt;""),1)</f>
        <v>1</v>
      </c>
      <c r="O97" s="16" cm="1">
        <f t="array" aca="1" ref="O9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POSTAGEM]]="",$BH97&gt;$BF$1),2,
AND(Tabela1[[#This Row],[STATUS PROCESSO MOBILIZAÇÃO]]="Em andamento",Tabela1[[#This Row],[DATA REAL - POSTAGEM]]="",$BH97&lt;=$BF$1),3,
AND(Tabela1[[#This Row],[STATUS PROCESSO MOBILIZAÇÃO]]="Em andamento",Tabela1[[#This Row],[DATA REAL - POSTAGEM]]&lt;&gt;""),1)</f>
        <v>0</v>
      </c>
      <c r="P97" s="16" cm="1">
        <f t="array" aca="1" ref="P9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FINAL]]="",$BK97&gt;$BI$1),2,
AND(Tabela1[[#This Row],[STATUS PROCESSO MOBILIZAÇÃO]]="Em andamento",Tabela1[[#This Row],[DATA REAL - APROV FINAL]]="",$BK97&lt;=$BI$1),3,
AND(Tabela1[[#This Row],[STATUS PROCESSO MOBILIZAÇÃO]]="Em andamento",Tabela1[[#This Row],[DATA REAL - APROV FINAL]]&lt;&gt;""),1)</f>
        <v>0</v>
      </c>
      <c r="Q97" s="15" cm="1">
        <f t="array" aca="1" ref="Q9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CRACHÁ]]="",$BN97&gt;$BL$1),2,
AND(Tabela1[[#This Row],[STATUS PROCESSO MOBILIZAÇÃO]]="Em andamento",Tabela1[[#This Row],[DATA REAL - CRACHÁ]]="",$BN97&lt;=$BL$1),3,
AND(Tabela1[[#This Row],[STATUS PROCESSO MOBILIZAÇÃO]]="Em andamento",Tabela1[[#This Row],[DATA REAL - CRACHÁ]]&lt;&gt;""),1)</f>
        <v>1</v>
      </c>
      <c r="R97" s="21">
        <f>IF(Tabela1[[#This Row],[DATA REAL - FORMS]]&lt;&gt;"",Tabela1[[#This Row],[DATA REAL - FORMS]]+30,Tabela1[[#This Row],[DATA PREV - FORMS]]+35)</f>
        <v>45855</v>
      </c>
      <c r="S9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45838</v>
      </c>
      <c r="T9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89</v>
      </c>
      <c r="U9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76</v>
      </c>
      <c r="V97" s="49">
        <f>MAX(Tabela1[[#This Row],[DATA REAL - POSTAGEM]],Tabela1[[#This Row],[DATA REAL - APROV FINAL]],Tabela1[[#This Row],[DATA REAL - CRACHÁ]])-MIN(Tabela1[[#This Row],[DATA REAL - POSTAGEM]],Tabela1[[#This Row],[DATA REAL - APROV FINAL]],Tabela1[[#This Row],[DATA REAL - CRACHÁ]])+1</f>
        <v>1</v>
      </c>
      <c r="W9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7" s="15"/>
      <c r="Y97" s="16"/>
      <c r="Z97" s="18"/>
      <c r="AA97" s="18"/>
      <c r="AB97" s="16" t="s">
        <v>97</v>
      </c>
      <c r="AC97" s="16" t="s">
        <v>245</v>
      </c>
      <c r="AD97" s="16" t="s">
        <v>326</v>
      </c>
      <c r="AE97" s="16" t="s">
        <v>327</v>
      </c>
      <c r="AF97" s="16" t="s">
        <v>328</v>
      </c>
      <c r="AG97" s="16" t="str">
        <f>_xlfn.XLOOKUP(Tabela1[[#This Row],[CÓD. CT]],Controle_Projetos[COD CT],Controle_Projetos[COD PHD],"")</f>
        <v>PAIN-CT02-PLAN</v>
      </c>
      <c r="AH97" s="21">
        <v>45825</v>
      </c>
      <c r="AI97" s="75">
        <v>45749</v>
      </c>
      <c r="AJ97" s="16" t="str" cm="1">
        <f t="array" aca="1" ref="AJ9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97" s="21">
        <v>45825</v>
      </c>
      <c r="AL97" s="74">
        <v>45825</v>
      </c>
      <c r="AM97" s="16" cm="1">
        <f t="array" aca="1" ref="AM9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7" s="21">
        <f>Tabela1[[#This Row],[DATA PREV - FORMS]]+$AN$1</f>
        <v>45832</v>
      </c>
      <c r="AO97" s="74">
        <v>45825</v>
      </c>
      <c r="AP97" s="16" cm="1">
        <f t="array" aca="1" ref="AP9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97" s="21">
        <f>Tabela1[[#This Row],[DATA PREV - EXAMES]]+$AQ$1</f>
        <v>45834</v>
      </c>
      <c r="AR97" s="74">
        <v>45825</v>
      </c>
      <c r="AS97" s="15" cm="1">
        <f t="array" aca="1" ref="AS9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97" s="21">
        <f>Tabela1[[#This Row],[DATA PREV - FORMS]]+$AT$1</f>
        <v>45826</v>
      </c>
      <c r="AU97" s="74">
        <v>45825</v>
      </c>
      <c r="AV97" s="15" cm="1">
        <f t="array" aca="1" ref="AV9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97" s="21">
        <f>Tabela1[[#This Row],[DATA PREV - TREINAMENTOS]]+$AW$1</f>
        <v>45833</v>
      </c>
      <c r="AX97" s="74">
        <v>45825</v>
      </c>
      <c r="AY97" s="15" cm="1">
        <f t="array" aca="1" ref="AY9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97" s="24">
        <v>45712</v>
      </c>
      <c r="BA97" s="74">
        <v>45825</v>
      </c>
      <c r="BB97" s="15" cm="1">
        <f t="array" aca="1" ref="BB9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114</v>
      </c>
      <c r="BC97" s="21">
        <f>Tabela1[[#This Row],[DATA PREV - CONCL. TREIN.]]+$BC$1</f>
        <v>45835</v>
      </c>
      <c r="BD97" s="74">
        <v>45825</v>
      </c>
      <c r="BE97" s="15" cm="1">
        <f t="array" aca="1" ref="BE9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97" s="21">
        <f>Tabela1[[#This Row],[DATA PREV - DOSSIÊ]]+$BF$1</f>
        <v>45838</v>
      </c>
      <c r="BG97" s="74"/>
      <c r="BH97" s="15" cm="1">
        <f t="array" aca="1" ref="BH9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97" s="21">
        <f>Tabela1[[#This Row],[DATA PREV - POSTAGEM]]+$BI$1</f>
        <v>45844</v>
      </c>
      <c r="BJ97" s="74"/>
      <c r="BK97" s="15" cm="1">
        <f t="array" aca="1" ref="BK9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97" s="21">
        <f>Tabela1[[#This Row],[DATA PREV - APROV FINAL]]+$BL$1</f>
        <v>45845</v>
      </c>
      <c r="BM97" s="74">
        <v>45838</v>
      </c>
      <c r="BN97" s="15" cm="1">
        <f t="array" aca="1" ref="BN9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97" s="80" t="s">
        <v>421</v>
      </c>
    </row>
    <row r="98" spans="2:67" ht="18" hidden="1" customHeight="1" x14ac:dyDescent="0.35">
      <c r="B98" s="14" t="s">
        <v>79</v>
      </c>
      <c r="C98" s="16" t="s">
        <v>381</v>
      </c>
      <c r="D98" s="16" t="s">
        <v>81</v>
      </c>
      <c r="E98" s="16"/>
      <c r="F98" s="16" t="s">
        <v>382</v>
      </c>
      <c r="G98" s="16" cm="1">
        <f t="array" ref="G98">_xlfn.IFS(Tabela1[[#This Row],[STATUS PROCESSO MOBILIZAÇÃO]]="Finalizado",1,Tabela1[[#This Row],[STATUS PROCESSO MOBILIZAÇÃO]]="Cancelado",2,Tabela1[[#This Row],[STATUS PROCESSO MOBILIZAÇÃO]]="Em andamento",3)</f>
        <v>1</v>
      </c>
      <c r="H98" s="16" cm="1">
        <f t="array" aca="1" ref="H9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FORMS]]="",$AM98&gt;$AK$1),2,
AND(Tabela1[[#This Row],[STATUS PROCESSO MOBILIZAÇÃO]]="Em andamento",Tabela1[[#This Row],[DATA REAL - FORMS]]="",$AM98&lt;=$AK$1),3,
AND(Tabela1[[#This Row],[STATUS PROCESSO MOBILIZAÇÃO]]="Em andamento",Tabela1[[#This Row],[DATA REAL - FORMS]]&lt;&gt;""),1)</f>
        <v>1</v>
      </c>
      <c r="I98" s="16" cm="1">
        <f t="array" aca="1" ref="I9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EXAMES]]="",$AP98&gt;$AN$1),2,
AND(Tabela1[[#This Row],[STATUS PROCESSO MOBILIZAÇÃO]]="Em andamento",Tabela1[[#This Row],[DATA REAL - EXAMES]]="",$AP98&lt;=$AN$1),3,
AND(Tabela1[[#This Row],[STATUS PROCESSO MOBILIZAÇÃO]]="Em andamento",Tabela1[[#This Row],[DATA REAL - EXAMES]]&lt;&gt;""),1)</f>
        <v>1</v>
      </c>
      <c r="J98" s="16" cm="1">
        <f t="array" aca="1" ref="J9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ASO]]="",$AS98&gt;$AQ$1),2,
AND(Tabela1[[#This Row],[STATUS PROCESSO MOBILIZAÇÃO]]="Em andamento",Tabela1[[#This Row],[DATA REAL - ASO]]="",$AS98&lt;=$AQ$1),3,
AND(Tabela1[[#This Row],[STATUS PROCESSO MOBILIZAÇÃO]]="Em andamento",Tabela1[[#This Row],[DATA REAL - ASO]]&lt;&gt;""),1)</f>
        <v>1</v>
      </c>
      <c r="K98" s="15" cm="1">
        <f t="array" aca="1" ref="K9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TREINAMENTOS]]="",$AV98&gt;$AT$1),2,
AND(Tabela1[[#This Row],[STATUS PROCESSO MOBILIZAÇÃO]]="Em andamento",Tabela1[[#This Row],[DATA REAL - TREINAMENTOS]]="",$AV98&lt;=$AT$1),3,
AND(Tabela1[[#This Row],[STATUS PROCESSO MOBILIZAÇÃO]]="Em andamento",Tabela1[[#This Row],[DATA REAL - TREINAMENTOS]]&lt;&gt;""),1)</f>
        <v>1</v>
      </c>
      <c r="L98" s="15" cm="1">
        <f t="array" aca="1" ref="L9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TREIN.]]="",$AY98&gt;$AW$1),2,
AND(Tabela1[[#This Row],[STATUS PROCESSO MOBILIZAÇÃO]]="Em andamento",Tabela1[[#This Row],[DATA REAL - CONCL. TREIN.]]="",$AY98&lt;=$AW$1),3,
AND(Tabela1[[#This Row],[STATUS PROCESSO MOBILIZAÇÃO]]="Em andamento",Tabela1[[#This Row],[DATA REAL - CONCL. TREIN.]]&lt;&gt;""),1)</f>
        <v>1</v>
      </c>
      <c r="M98" s="15" cm="1">
        <f t="array" aca="1" ref="M9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CONTRATUAL]]="",$BB98&gt;$AZ$1),2,
AND(Tabela1[[#This Row],[STATUS PROCESSO MOBILIZAÇÃO]]="Em andamento",Tabela1[[#This Row],[DATA FIM - ALTER. CONTRATUAL]]="",$BB98&lt;=$AZ$1),3,
AND(Tabela1[[#This Row],[STATUS PROCESSO MOBILIZAÇÃO]]="Em andamento",Tabela1[[#This Row],[DATA FIM - ALTER. CONTRATUAL]]&lt;&gt;""),1)</f>
        <v>1</v>
      </c>
      <c r="N98" s="16" cm="1">
        <f t="array" aca="1" ref="N9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DOSSIÊ]]="",$BE98&gt;$BC$1),2,
AND(Tabela1[[#This Row],[STATUS PROCESSO MOBILIZAÇÃO]]="Em andamento",Tabela1[[#This Row],[DATA REAL - DOSSIÊ]]="",$BE98&lt;=$BC$1),3,
AND(Tabela1[[#This Row],[STATUS PROCESSO MOBILIZAÇÃO]]="Em andamento",Tabela1[[#This Row],[DATA REAL - DOSSIÊ]]&lt;&gt;""),1)</f>
        <v>1</v>
      </c>
      <c r="O98" s="16" cm="1">
        <f t="array" aca="1" ref="O9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POSTAGEM]]="",$BH98&gt;$BF$1),2,
AND(Tabela1[[#This Row],[STATUS PROCESSO MOBILIZAÇÃO]]="Em andamento",Tabela1[[#This Row],[DATA REAL - POSTAGEM]]="",$BH98&lt;=$BF$1),3,
AND(Tabela1[[#This Row],[STATUS PROCESSO MOBILIZAÇÃO]]="Em andamento",Tabela1[[#This Row],[DATA REAL - POSTAGEM]]&lt;&gt;""),1)</f>
        <v>1</v>
      </c>
      <c r="P98" s="16" cm="1">
        <f t="array" aca="1" ref="P9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FINAL]]="",$BK98&gt;$BI$1),2,
AND(Tabela1[[#This Row],[STATUS PROCESSO MOBILIZAÇÃO]]="Em andamento",Tabela1[[#This Row],[DATA REAL - APROV FINAL]]="",$BK98&lt;=$BI$1),3,
AND(Tabela1[[#This Row],[STATUS PROCESSO MOBILIZAÇÃO]]="Em andamento",Tabela1[[#This Row],[DATA REAL - APROV FINAL]]&lt;&gt;""),1)</f>
        <v>1</v>
      </c>
      <c r="Q98" s="15" cm="1">
        <f t="array" aca="1" ref="Q9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CRACHÁ]]="",$BN98&gt;$BL$1),2,
AND(Tabela1[[#This Row],[STATUS PROCESSO MOBILIZAÇÃO]]="Em andamento",Tabela1[[#This Row],[DATA REAL - CRACHÁ]]="",$BN98&lt;=$BL$1),3,
AND(Tabela1[[#This Row],[STATUS PROCESSO MOBILIZAÇÃO]]="Em andamento",Tabela1[[#This Row],[DATA REAL - CRACHÁ]]&lt;&gt;""),1)</f>
        <v>1</v>
      </c>
      <c r="R98" s="21">
        <f>IF(Tabela1[[#This Row],[DATA REAL - FORMS]]&lt;&gt;"",Tabela1[[#This Row],[DATA REAL - FORMS]]+30,Tabela1[[#This Row],[DATA PREV - FORMS]]+35)</f>
        <v>45861</v>
      </c>
      <c r="S9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45854</v>
      </c>
      <c r="T9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U9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98" s="49">
        <f>MAX(Tabela1[[#This Row],[DATA REAL - POSTAGEM]],Tabela1[[#This Row],[DATA REAL - APROV FINAL]],Tabela1[[#This Row],[DATA REAL - CRACHÁ]])-MIN(Tabela1[[#This Row],[DATA REAL - POSTAGEM]],Tabela1[[#This Row],[DATA REAL - APROV FINAL]],Tabela1[[#This Row],[DATA REAL - CRACHÁ]])+1</f>
        <v>16</v>
      </c>
      <c r="W9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98" s="15" t="s">
        <v>84</v>
      </c>
      <c r="Y98" s="16" t="s">
        <v>84</v>
      </c>
      <c r="Z98" s="18"/>
      <c r="AA98" s="18" t="s">
        <v>86</v>
      </c>
      <c r="AB98" s="16" t="s">
        <v>97</v>
      </c>
      <c r="AC98" s="16" t="s">
        <v>415</v>
      </c>
      <c r="AD98" s="16" t="s">
        <v>415</v>
      </c>
      <c r="AE98" s="16" t="s">
        <v>416</v>
      </c>
      <c r="AF98" s="16" t="s">
        <v>417</v>
      </c>
      <c r="AG98" s="16" t="str">
        <f>_xlfn.XLOOKUP(Tabela1[[#This Row],[CÓD. CT]],Controle_Projetos[COD CT],Controle_Projetos[COD PHD],"")</f>
        <v>NEXA-CT03-GERE</v>
      </c>
      <c r="AH98" s="21">
        <v>45813</v>
      </c>
      <c r="AI98" s="75">
        <v>45813</v>
      </c>
      <c r="AJ98" s="16" cm="1">
        <f t="array" aca="1" ref="AJ9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98" s="21">
        <v>45831</v>
      </c>
      <c r="AL98" s="74">
        <v>45831</v>
      </c>
      <c r="AM98" s="16" cm="1">
        <f t="array" aca="1" ref="AM9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8" s="21">
        <f>Tabela1[[#This Row],[DATA PREV - FORMS]]+$AN$1</f>
        <v>45838</v>
      </c>
      <c r="AO98" s="74">
        <v>45833</v>
      </c>
      <c r="AP98" s="16" cm="1">
        <f t="array" aca="1" ref="AP9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98" s="21">
        <f>Tabela1[[#This Row],[DATA PREV - EXAMES]]+$AQ$1</f>
        <v>45840</v>
      </c>
      <c r="AR98" s="74">
        <v>45840</v>
      </c>
      <c r="AS98" s="15" cm="1">
        <f t="array" aca="1" ref="AS9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98" s="21">
        <f>Tabela1[[#This Row],[DATA PREV - FORMS]]+$AT$1</f>
        <v>45832</v>
      </c>
      <c r="AU98" s="74">
        <v>45831</v>
      </c>
      <c r="AV98" s="15" cm="1">
        <f t="array" aca="1" ref="AV9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98" s="21">
        <f>Tabela1[[#This Row],[DATA PREV - TREINAMENTOS]]+$AW$1</f>
        <v>45839</v>
      </c>
      <c r="AX98" s="74">
        <v>45831</v>
      </c>
      <c r="AY98" s="15" cm="1">
        <f t="array" aca="1" ref="AY9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98" s="24"/>
      <c r="BA98" s="74">
        <v>45845</v>
      </c>
      <c r="BB98" s="15" t="str" cm="1">
        <f t="array" aca="1" ref="BB9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98" s="21">
        <f>Tabela1[[#This Row],[DATA PREV - CONCL. TREIN.]]+$BC$1</f>
        <v>45841</v>
      </c>
      <c r="BD98" s="74">
        <v>45839</v>
      </c>
      <c r="BE98" s="15" cm="1">
        <f t="array" aca="1" ref="BE9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98" s="21">
        <f>Tabela1[[#This Row],[DATA PREV - DOSSIÊ]]+$BF$1</f>
        <v>45844</v>
      </c>
      <c r="BG98" s="74">
        <v>45839</v>
      </c>
      <c r="BH98" s="15" cm="1">
        <f t="array" aca="1" ref="BH9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98" s="21">
        <f>Tabela1[[#This Row],[DATA PREV - POSTAGEM]]+$BI$1</f>
        <v>45850</v>
      </c>
      <c r="BJ98" s="74">
        <v>45854</v>
      </c>
      <c r="BK98" s="15" cm="1">
        <f t="array" aca="1" ref="BK9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98" s="21">
        <f>Tabela1[[#This Row],[DATA PREV - APROV FINAL]]+$BL$1</f>
        <v>45851</v>
      </c>
      <c r="BM98" s="74">
        <v>45854</v>
      </c>
      <c r="BN98" s="15" cm="1">
        <f t="array" aca="1" ref="BN9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98" s="80" t="s">
        <v>422</v>
      </c>
    </row>
    <row r="99" spans="2:67" ht="18" hidden="1" customHeight="1" x14ac:dyDescent="0.35">
      <c r="B99" s="14" t="s">
        <v>79</v>
      </c>
      <c r="C99" s="16" t="s">
        <v>136</v>
      </c>
      <c r="D99" s="16" t="s">
        <v>81</v>
      </c>
      <c r="E99" s="16"/>
      <c r="F99" s="16" t="s">
        <v>129</v>
      </c>
      <c r="G99" s="16" cm="1">
        <f t="array" ref="G99">_xlfn.IFS(Tabela1[[#This Row],[STATUS PROCESSO MOBILIZAÇÃO]]="Finalizado",1,Tabela1[[#This Row],[STATUS PROCESSO MOBILIZAÇÃO]]="Cancelado",2,Tabela1[[#This Row],[STATUS PROCESSO MOBILIZAÇÃO]]="Em andamento",3)</f>
        <v>1</v>
      </c>
      <c r="H99" s="16" cm="1">
        <f t="array" aca="1" ref="H9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FORMS]]="",$AM99&gt;$AK$1),2,
AND(Tabela1[[#This Row],[STATUS PROCESSO MOBILIZAÇÃO]]="Em andamento",Tabela1[[#This Row],[DATA REAL - FORMS]]="",$AM99&lt;=$AK$1),3,
AND(Tabela1[[#This Row],[STATUS PROCESSO MOBILIZAÇÃO]]="Em andamento",Tabela1[[#This Row],[DATA REAL - FORMS]]&lt;&gt;""),1)</f>
        <v>1</v>
      </c>
      <c r="I99" s="16" cm="1">
        <f t="array" aca="1" ref="I9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EXAMES]]="",$AP99&gt;$AN$1),2,
AND(Tabela1[[#This Row],[STATUS PROCESSO MOBILIZAÇÃO]]="Em andamento",Tabela1[[#This Row],[DATA REAL - EXAMES]]="",$AP99&lt;=$AN$1),3,
AND(Tabela1[[#This Row],[STATUS PROCESSO MOBILIZAÇÃO]]="Em andamento",Tabela1[[#This Row],[DATA REAL - EXAMES]]&lt;&gt;""),1)</f>
        <v>1</v>
      </c>
      <c r="J99" s="16" cm="1">
        <f t="array" aca="1" ref="J9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ASO]]="",$AS99&gt;$AQ$1),2,
AND(Tabela1[[#This Row],[STATUS PROCESSO MOBILIZAÇÃO]]="Em andamento",Tabela1[[#This Row],[DATA REAL - ASO]]="",$AS99&lt;=$AQ$1),3,
AND(Tabela1[[#This Row],[STATUS PROCESSO MOBILIZAÇÃO]]="Em andamento",Tabela1[[#This Row],[DATA REAL - ASO]]&lt;&gt;""),1)</f>
        <v>1</v>
      </c>
      <c r="K99" s="15" cm="1">
        <f t="array" aca="1" ref="K9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TREINAMENTOS]]="",$AV99&gt;$AT$1),2,
AND(Tabela1[[#This Row],[STATUS PROCESSO MOBILIZAÇÃO]]="Em andamento",Tabela1[[#This Row],[DATA REAL - TREINAMENTOS]]="",$AV99&lt;=$AT$1),3,
AND(Tabela1[[#This Row],[STATUS PROCESSO MOBILIZAÇÃO]]="Em andamento",Tabela1[[#This Row],[DATA REAL - TREINAMENTOS]]&lt;&gt;""),1)</f>
        <v>1</v>
      </c>
      <c r="L99" s="15" cm="1">
        <f t="array" aca="1" ref="L9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TREIN.]]="",$AY99&gt;$AW$1),2,
AND(Tabela1[[#This Row],[STATUS PROCESSO MOBILIZAÇÃO]]="Em andamento",Tabela1[[#This Row],[DATA REAL - CONCL. TREIN.]]="",$AY99&lt;=$AW$1),3,
AND(Tabela1[[#This Row],[STATUS PROCESSO MOBILIZAÇÃO]]="Em andamento",Tabela1[[#This Row],[DATA REAL - CONCL. TREIN.]]&lt;&gt;""),1)</f>
        <v>1</v>
      </c>
      <c r="M99" s="15" cm="1">
        <f t="array" aca="1" ref="M9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CONTRATUAL]]="",$BB99&gt;$AZ$1),2,
AND(Tabela1[[#This Row],[STATUS PROCESSO MOBILIZAÇÃO]]="Em andamento",Tabela1[[#This Row],[DATA FIM - ALTER. CONTRATUAL]]="",$BB99&lt;=$AZ$1),3,
AND(Tabela1[[#This Row],[STATUS PROCESSO MOBILIZAÇÃO]]="Em andamento",Tabela1[[#This Row],[DATA FIM - ALTER. CONTRATUAL]]&lt;&gt;""),1)</f>
        <v>1</v>
      </c>
      <c r="N99" s="16" cm="1">
        <f t="array" aca="1" ref="N9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DOSSIÊ]]="",$BE99&gt;$BC$1),2,
AND(Tabela1[[#This Row],[STATUS PROCESSO MOBILIZAÇÃO]]="Em andamento",Tabela1[[#This Row],[DATA REAL - DOSSIÊ]]="",$BE99&lt;=$BC$1),3,
AND(Tabela1[[#This Row],[STATUS PROCESSO MOBILIZAÇÃO]]="Em andamento",Tabela1[[#This Row],[DATA REAL - DOSSIÊ]]&lt;&gt;""),1)</f>
        <v>1</v>
      </c>
      <c r="O99" s="16" cm="1">
        <f t="array" aca="1" ref="O9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POSTAGEM]]="",$BH99&gt;$BF$1),2,
AND(Tabela1[[#This Row],[STATUS PROCESSO MOBILIZAÇÃO]]="Em andamento",Tabela1[[#This Row],[DATA REAL - POSTAGEM]]="",$BH99&lt;=$BF$1),3,
AND(Tabela1[[#This Row],[STATUS PROCESSO MOBILIZAÇÃO]]="Em andamento",Tabela1[[#This Row],[DATA REAL - POSTAGEM]]&lt;&gt;""),1)</f>
        <v>1</v>
      </c>
      <c r="P99" s="16" cm="1">
        <f t="array" aca="1" ref="P9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FINAL]]="",$BK99&gt;$BI$1),2,
AND(Tabela1[[#This Row],[STATUS PROCESSO MOBILIZAÇÃO]]="Em andamento",Tabela1[[#This Row],[DATA REAL - APROV FINAL]]="",$BK99&lt;=$BI$1),3,
AND(Tabela1[[#This Row],[STATUS PROCESSO MOBILIZAÇÃO]]="Em andamento",Tabela1[[#This Row],[DATA REAL - APROV FINAL]]&lt;&gt;""),1)</f>
        <v>1</v>
      </c>
      <c r="Q99" s="15" cm="1">
        <f t="array" aca="1" ref="Q9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CRACHÁ]]="",$BN99&gt;$BL$1),2,
AND(Tabela1[[#This Row],[STATUS PROCESSO MOBILIZAÇÃO]]="Em andamento",Tabela1[[#This Row],[DATA REAL - CRACHÁ]]="",$BN99&lt;=$BL$1),3,
AND(Tabela1[[#This Row],[STATUS PROCESSO MOBILIZAÇÃO]]="Em andamento",Tabela1[[#This Row],[DATA REAL - CRACHÁ]]&lt;&gt;""),1)</f>
        <v>1</v>
      </c>
      <c r="R99" s="21">
        <f>IF(Tabela1[[#This Row],[DATA REAL - FORMS]]&lt;&gt;"",Tabela1[[#This Row],[DATA REAL - FORMS]]+30,Tabela1[[#This Row],[DATA PREV - FORMS]]+35)</f>
        <v>45865</v>
      </c>
      <c r="S9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45861</v>
      </c>
      <c r="T9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84</v>
      </c>
      <c r="U9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46</v>
      </c>
      <c r="V99" s="49">
        <f>MAX(Tabela1[[#This Row],[DATA REAL - POSTAGEM]],Tabela1[[#This Row],[DATA REAL - APROV FINAL]],Tabela1[[#This Row],[DATA REAL - CRACHÁ]])-MIN(Tabela1[[#This Row],[DATA REAL - POSTAGEM]],Tabela1[[#This Row],[DATA REAL - APROV FINAL]],Tabela1[[#This Row],[DATA REAL - CRACHÁ]])+1</f>
        <v>3</v>
      </c>
      <c r="W9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X99" s="15" t="s">
        <v>355</v>
      </c>
      <c r="Y99" s="16" t="s">
        <v>150</v>
      </c>
      <c r="Z99" s="18" t="s">
        <v>356</v>
      </c>
      <c r="AA99" s="18" t="s">
        <v>152</v>
      </c>
      <c r="AB99" s="16" t="s">
        <v>97</v>
      </c>
      <c r="AC99" s="16" t="s">
        <v>415</v>
      </c>
      <c r="AD99" s="16" t="s">
        <v>415</v>
      </c>
      <c r="AE99" s="16" t="s">
        <v>416</v>
      </c>
      <c r="AF99" s="16" t="s">
        <v>417</v>
      </c>
      <c r="AG99" s="16" t="str">
        <f>_xlfn.XLOOKUP(Tabela1[[#This Row],[CÓD. CT]],Controle_Projetos[COD CT],Controle_Projetos[COD PHD],"")</f>
        <v>NEXA-CT03-GERE</v>
      </c>
      <c r="AH99" s="21">
        <v>45813</v>
      </c>
      <c r="AI99" s="75">
        <v>45813</v>
      </c>
      <c r="AJ99" s="16" cm="1">
        <f t="array" aca="1" ref="AJ9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99" s="21">
        <v>45835</v>
      </c>
      <c r="AL99" s="74">
        <v>45835</v>
      </c>
      <c r="AM99" s="16" cm="1">
        <f t="array" aca="1" ref="AM9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99" s="21">
        <f>Tabela1[[#This Row],[DATA PREV - FORMS]]+$AN$1</f>
        <v>45842</v>
      </c>
      <c r="AO99" s="74">
        <v>45839</v>
      </c>
      <c r="AP99" s="16" cm="1">
        <f t="array" aca="1" ref="AP9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-2</v>
      </c>
      <c r="AQ99" s="21">
        <f>Tabela1[[#This Row],[DATA PREV - EXAMES]]+$AQ$1</f>
        <v>45844</v>
      </c>
      <c r="AR99" s="74">
        <v>45859</v>
      </c>
      <c r="AS99" s="15" cm="1">
        <f t="array" aca="1" ref="AS9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16</v>
      </c>
      <c r="AT99" s="21">
        <f>Tabela1[[#This Row],[DATA PREV - FORMS]]+$AT$1</f>
        <v>45836</v>
      </c>
      <c r="AU99" s="74">
        <v>45838</v>
      </c>
      <c r="AV99" s="15" cm="1">
        <f t="array" aca="1" ref="AV9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99" s="21">
        <f>Tabela1[[#This Row],[DATA PREV - TREINAMENTOS]]+$AW$1</f>
        <v>45843</v>
      </c>
      <c r="AX99" s="74">
        <v>45845</v>
      </c>
      <c r="AY99" s="15" cm="1">
        <f t="array" aca="1" ref="AY9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99" s="24"/>
      <c r="BA99" s="74">
        <v>45777</v>
      </c>
      <c r="BB99" s="15" t="str" cm="1">
        <f t="array" aca="1" ref="BB9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99" s="21">
        <f>Tabela1[[#This Row],[DATA PREV - CONCL. TREIN.]]+$BC$1</f>
        <v>45845</v>
      </c>
      <c r="BD99" s="74">
        <v>45859</v>
      </c>
      <c r="BE99" s="15" cm="1">
        <f t="array" aca="1" ref="BE9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15</v>
      </c>
      <c r="BF99" s="21">
        <f>Tabela1[[#This Row],[DATA PREV - DOSSIÊ]]+$BF$1</f>
        <v>45848</v>
      </c>
      <c r="BG99" s="74">
        <v>45859</v>
      </c>
      <c r="BH99" s="15" cm="1">
        <f t="array" aca="1" ref="BH9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99" s="21">
        <f>Tabela1[[#This Row],[DATA PREV - POSTAGEM]]+$BI$1</f>
        <v>45854</v>
      </c>
      <c r="BJ99" s="74">
        <v>45861</v>
      </c>
      <c r="BK99" s="15" cm="1">
        <f t="array" aca="1" ref="BK9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99" s="21">
        <f>Tabela1[[#This Row],[DATA PREV - APROV FINAL]]+$BL$1</f>
        <v>45855</v>
      </c>
      <c r="BM99" s="74">
        <v>45861</v>
      </c>
      <c r="BN99" s="15" cm="1">
        <f t="array" aca="1" ref="BN9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99" s="80" t="s">
        <v>423</v>
      </c>
    </row>
    <row r="100" spans="2:67" ht="18" hidden="1" customHeight="1" x14ac:dyDescent="0.35">
      <c r="B100" s="14" t="s">
        <v>79</v>
      </c>
      <c r="C100" s="16" t="s">
        <v>381</v>
      </c>
      <c r="D100" s="16" t="s">
        <v>81</v>
      </c>
      <c r="E100" s="16"/>
      <c r="F100" s="16" t="s">
        <v>193</v>
      </c>
      <c r="G100" s="16" cm="1">
        <f t="array" ref="G100">_xlfn.IFS(Tabela1[[#This Row],[STATUS PROCESSO MOBILIZAÇÃO]]="Finalizado",1,Tabela1[[#This Row],[STATUS PROCESSO MOBILIZAÇÃO]]="Cancelado",2,Tabela1[[#This Row],[STATUS PROCESSO MOBILIZAÇÃO]]="Em andamento",3)</f>
        <v>1</v>
      </c>
      <c r="H100" s="16" cm="1">
        <f t="array" aca="1" ref="H10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FORMS]]="",$AM100&gt;$AK$1),2,
AND(Tabela1[[#This Row],[STATUS PROCESSO MOBILIZAÇÃO]]="Em andamento",Tabela1[[#This Row],[DATA REAL - FORMS]]="",$AM100&lt;=$AK$1),3,
AND(Tabela1[[#This Row],[STATUS PROCESSO MOBILIZAÇÃO]]="Em andamento",Tabela1[[#This Row],[DATA REAL - FORMS]]&lt;&gt;""),1)</f>
        <v>1</v>
      </c>
      <c r="I100" s="16" cm="1">
        <f t="array" aca="1" ref="I10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EXAMES]]="",$AP100&gt;$AN$1),2,
AND(Tabela1[[#This Row],[STATUS PROCESSO MOBILIZAÇÃO]]="Em andamento",Tabela1[[#This Row],[DATA REAL - EXAMES]]="",$AP100&lt;=$AN$1),3,
AND(Tabela1[[#This Row],[STATUS PROCESSO MOBILIZAÇÃO]]="Em andamento",Tabela1[[#This Row],[DATA REAL - EXAMES]]&lt;&gt;""),1)</f>
        <v>1</v>
      </c>
      <c r="J100" s="16" cm="1">
        <f t="array" aca="1" ref="J10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ASO]]="",$AS100&gt;$AQ$1),2,
AND(Tabela1[[#This Row],[STATUS PROCESSO MOBILIZAÇÃO]]="Em andamento",Tabela1[[#This Row],[DATA REAL - ASO]]="",$AS100&lt;=$AQ$1),3,
AND(Tabela1[[#This Row],[STATUS PROCESSO MOBILIZAÇÃO]]="Em andamento",Tabela1[[#This Row],[DATA REAL - ASO]]&lt;&gt;""),1)</f>
        <v>1</v>
      </c>
      <c r="K100" s="15" cm="1">
        <f t="array" aca="1" ref="K10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TREINAMENTOS]]="",$AV100&gt;$AT$1),2,
AND(Tabela1[[#This Row],[STATUS PROCESSO MOBILIZAÇÃO]]="Em andamento",Tabela1[[#This Row],[DATA REAL - TREINAMENTOS]]="",$AV100&lt;=$AT$1),3,
AND(Tabela1[[#This Row],[STATUS PROCESSO MOBILIZAÇÃO]]="Em andamento",Tabela1[[#This Row],[DATA REAL - TREINAMENTOS]]&lt;&gt;""),1)</f>
        <v>1</v>
      </c>
      <c r="L100" s="15" cm="1">
        <f t="array" aca="1" ref="L10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TREIN.]]="",$AY100&gt;$AW$1),2,
AND(Tabela1[[#This Row],[STATUS PROCESSO MOBILIZAÇÃO]]="Em andamento",Tabela1[[#This Row],[DATA REAL - CONCL. TREIN.]]="",$AY100&lt;=$AW$1),3,
AND(Tabela1[[#This Row],[STATUS PROCESSO MOBILIZAÇÃO]]="Em andamento",Tabela1[[#This Row],[DATA REAL - CONCL. TREIN.]]&lt;&gt;""),1)</f>
        <v>1</v>
      </c>
      <c r="M100" s="15" cm="1">
        <f t="array" aca="1" ref="M10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CONTRATUAL]]="",$BB100&gt;$AZ$1),2,
AND(Tabela1[[#This Row],[STATUS PROCESSO MOBILIZAÇÃO]]="Em andamento",Tabela1[[#This Row],[DATA FIM - ALTER. CONTRATUAL]]="",$BB100&lt;=$AZ$1),3,
AND(Tabela1[[#This Row],[STATUS PROCESSO MOBILIZAÇÃO]]="Em andamento",Tabela1[[#This Row],[DATA FIM - ALTER. CONTRATUAL]]&lt;&gt;""),1)</f>
        <v>1</v>
      </c>
      <c r="N100" s="16" cm="1">
        <f t="array" aca="1" ref="N10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DOSSIÊ]]="",$BE100&gt;$BC$1),2,
AND(Tabela1[[#This Row],[STATUS PROCESSO MOBILIZAÇÃO]]="Em andamento",Tabela1[[#This Row],[DATA REAL - DOSSIÊ]]="",$BE100&lt;=$BC$1),3,
AND(Tabela1[[#This Row],[STATUS PROCESSO MOBILIZAÇÃO]]="Em andamento",Tabela1[[#This Row],[DATA REAL - DOSSIÊ]]&lt;&gt;""),1)</f>
        <v>1</v>
      </c>
      <c r="O100" s="16" cm="1">
        <f t="array" aca="1" ref="O10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POSTAGEM]]="",$BH100&gt;$BF$1),2,
AND(Tabela1[[#This Row],[STATUS PROCESSO MOBILIZAÇÃO]]="Em andamento",Tabela1[[#This Row],[DATA REAL - POSTAGEM]]="",$BH100&lt;=$BF$1),3,
AND(Tabela1[[#This Row],[STATUS PROCESSO MOBILIZAÇÃO]]="Em andamento",Tabela1[[#This Row],[DATA REAL - POSTAGEM]]&lt;&gt;""),1)</f>
        <v>1</v>
      </c>
      <c r="P100" s="16" cm="1">
        <f t="array" aca="1" ref="P10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FINAL]]="",$BK100&gt;$BI$1),2,
AND(Tabela1[[#This Row],[STATUS PROCESSO MOBILIZAÇÃO]]="Em andamento",Tabela1[[#This Row],[DATA REAL - APROV FINAL]]="",$BK100&lt;=$BI$1),3,
AND(Tabela1[[#This Row],[STATUS PROCESSO MOBILIZAÇÃO]]="Em andamento",Tabela1[[#This Row],[DATA REAL - APROV FINAL]]&lt;&gt;""),1)</f>
        <v>1</v>
      </c>
      <c r="Q100" s="15" cm="1">
        <f t="array" aca="1" ref="Q10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CRACHÁ]]="",$BN100&gt;$BL$1),2,
AND(Tabela1[[#This Row],[STATUS PROCESSO MOBILIZAÇÃO]]="Em andamento",Tabela1[[#This Row],[DATA REAL - CRACHÁ]]="",$BN100&lt;=$BL$1),3,
AND(Tabela1[[#This Row],[STATUS PROCESSO MOBILIZAÇÃO]]="Em andamento",Tabela1[[#This Row],[DATA REAL - CRACHÁ]]&lt;&gt;""),1)</f>
        <v>1</v>
      </c>
      <c r="R100" s="21">
        <f>IF(Tabela1[[#This Row],[DATA REAL - FORMS]]&lt;&gt;"",Tabela1[[#This Row],[DATA REAL - FORMS]]+30,Tabela1[[#This Row],[DATA PREV - FORMS]]+35)</f>
        <v>45868</v>
      </c>
      <c r="S10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45845</v>
      </c>
      <c r="T10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145</v>
      </c>
      <c r="U10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145</v>
      </c>
      <c r="V100" s="49">
        <f>MAX(Tabela1[[#This Row],[DATA REAL - POSTAGEM]],Tabela1[[#This Row],[DATA REAL - APROV FINAL]],Tabela1[[#This Row],[DATA REAL - CRACHÁ]])-MIN(Tabela1[[#This Row],[DATA REAL - POSTAGEM]],Tabela1[[#This Row],[DATA REAL - APROV FINAL]],Tabela1[[#This Row],[DATA REAL - CRACHÁ]])+1</f>
        <v>4</v>
      </c>
      <c r="W10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0" s="15" t="s">
        <v>122</v>
      </c>
      <c r="Y100" s="16" t="s">
        <v>122</v>
      </c>
      <c r="Z100" s="18"/>
      <c r="AA100" s="18"/>
      <c r="AB100" s="16" t="s">
        <v>97</v>
      </c>
      <c r="AC100" s="16" t="s">
        <v>424</v>
      </c>
      <c r="AD100" s="16" t="s">
        <v>424</v>
      </c>
      <c r="AE100" s="16" t="s">
        <v>425</v>
      </c>
      <c r="AF100" s="16" t="s">
        <v>426</v>
      </c>
      <c r="AG100" s="16" t="str">
        <f>_xlfn.XLOOKUP(Tabela1[[#This Row],[CÓD. CT]],Controle_Projetos[COD CT],Controle_Projetos[COD PHD],"")</f>
        <v>EKTO-CT01-EXCE</v>
      </c>
      <c r="AH100" s="21"/>
      <c r="AI100" s="75">
        <v>45700</v>
      </c>
      <c r="AJ100" s="16" t="str" cm="1">
        <f t="array" aca="1" ref="AJ10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0" s="21">
        <v>45838</v>
      </c>
      <c r="AL100" s="74">
        <v>45838</v>
      </c>
      <c r="AM100" s="16" cm="1">
        <f t="array" aca="1" ref="AM10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0" s="21">
        <f>Tabela1[[#This Row],[DATA PREV - FORMS]]+$AN$1</f>
        <v>45845</v>
      </c>
      <c r="AO100" s="74">
        <v>45841</v>
      </c>
      <c r="AP100" s="16" cm="1">
        <f t="array" aca="1" ref="AP10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100" s="21">
        <f>Tabela1[[#This Row],[DATA PREV - EXAMES]]+$AQ$1</f>
        <v>45847</v>
      </c>
      <c r="AR100" s="74">
        <v>45841</v>
      </c>
      <c r="AS100" s="15" cm="1">
        <f t="array" aca="1" ref="AS10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100" s="21">
        <f>Tabela1[[#This Row],[DATA PREV - FORMS]]+$AT$1</f>
        <v>45839</v>
      </c>
      <c r="AU100" s="74">
        <v>45845</v>
      </c>
      <c r="AV100" s="15" cm="1">
        <f t="array" aca="1" ref="AV10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100" s="21">
        <f>Tabela1[[#This Row],[DATA PREV - TREINAMENTOS]]+$AW$1</f>
        <v>45846</v>
      </c>
      <c r="AX100" s="74">
        <v>45842</v>
      </c>
      <c r="AY100" s="15" cm="1">
        <f t="array" aca="1" ref="AY10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00" s="24">
        <v>45811</v>
      </c>
      <c r="BA100" s="74">
        <v>45838</v>
      </c>
      <c r="BB100" s="15" cm="1">
        <f t="array" aca="1" ref="BB10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28</v>
      </c>
      <c r="BC100" s="21">
        <f>Tabela1[[#This Row],[DATA PREV - CONCL. TREIN.]]+$BC$1</f>
        <v>45848</v>
      </c>
      <c r="BD100" s="74">
        <v>45841</v>
      </c>
      <c r="BE100" s="15" cm="1">
        <f t="array" aca="1" ref="BE10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00" s="21">
        <f>Tabela1[[#This Row],[DATA PREV - DOSSIÊ]]+$BF$1</f>
        <v>45851</v>
      </c>
      <c r="BG100" s="74">
        <v>45842</v>
      </c>
      <c r="BH100" s="15" cm="1">
        <f t="array" aca="1" ref="BH10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00" s="21">
        <f>Tabela1[[#This Row],[DATA PREV - POSTAGEM]]+$BI$1</f>
        <v>45857</v>
      </c>
      <c r="BJ100" s="74">
        <v>45845</v>
      </c>
      <c r="BK100" s="15" cm="1">
        <f t="array" aca="1" ref="BK10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100" s="21">
        <f>Tabela1[[#This Row],[DATA PREV - APROV FINAL]]+$BL$1</f>
        <v>45858</v>
      </c>
      <c r="BM100" s="74">
        <v>45845</v>
      </c>
      <c r="BN100" s="15" cm="1">
        <f t="array" aca="1" ref="BN10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100" s="80" t="s">
        <v>427</v>
      </c>
    </row>
    <row r="101" spans="2:67" ht="18" hidden="1" customHeight="1" x14ac:dyDescent="0.35">
      <c r="B101" s="14" t="s">
        <v>79</v>
      </c>
      <c r="C101" s="16" t="s">
        <v>136</v>
      </c>
      <c r="D101" s="16" t="s">
        <v>81</v>
      </c>
      <c r="E101" s="16"/>
      <c r="F101" s="16" t="s">
        <v>428</v>
      </c>
      <c r="G101" s="16" cm="1">
        <f t="array" ref="G101">_xlfn.IFS(Tabela1[[#This Row],[STATUS PROCESSO MOBILIZAÇÃO]]="Finalizado",1,Tabela1[[#This Row],[STATUS PROCESSO MOBILIZAÇÃO]]="Cancelado",2,Tabela1[[#This Row],[STATUS PROCESSO MOBILIZAÇÃO]]="Em andamento",3)</f>
        <v>1</v>
      </c>
      <c r="H101" s="16" cm="1">
        <f t="array" aca="1" ref="H10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FORMS]]="",$AM101&gt;$AK$1),2,
AND(Tabela1[[#This Row],[STATUS PROCESSO MOBILIZAÇÃO]]="Em andamento",Tabela1[[#This Row],[DATA REAL - FORMS]]="",$AM101&lt;=$AK$1),3,
AND(Tabela1[[#This Row],[STATUS PROCESSO MOBILIZAÇÃO]]="Em andamento",Tabela1[[#This Row],[DATA REAL - FORMS]]&lt;&gt;""),1)</f>
        <v>1</v>
      </c>
      <c r="I101" s="16" cm="1">
        <f t="array" aca="1" ref="I10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EXAMES]]="",$AP101&gt;$AN$1),2,
AND(Tabela1[[#This Row],[STATUS PROCESSO MOBILIZAÇÃO]]="Em andamento",Tabela1[[#This Row],[DATA REAL - EXAMES]]="",$AP101&lt;=$AN$1),3,
AND(Tabela1[[#This Row],[STATUS PROCESSO MOBILIZAÇÃO]]="Em andamento",Tabela1[[#This Row],[DATA REAL - EXAMES]]&lt;&gt;""),1)</f>
        <v>1</v>
      </c>
      <c r="J101" s="16" cm="1">
        <f t="array" aca="1" ref="J10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ASO]]="",$AS101&gt;$AQ$1),2,
AND(Tabela1[[#This Row],[STATUS PROCESSO MOBILIZAÇÃO]]="Em andamento",Tabela1[[#This Row],[DATA REAL - ASO]]="",$AS101&lt;=$AQ$1),3,
AND(Tabela1[[#This Row],[STATUS PROCESSO MOBILIZAÇÃO]]="Em andamento",Tabela1[[#This Row],[DATA REAL - ASO]]&lt;&gt;""),1)</f>
        <v>1</v>
      </c>
      <c r="K101" s="15" cm="1">
        <f t="array" aca="1" ref="K10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TREINAMENTOS]]="",$AV101&gt;$AT$1),2,
AND(Tabela1[[#This Row],[STATUS PROCESSO MOBILIZAÇÃO]]="Em andamento",Tabela1[[#This Row],[DATA REAL - TREINAMENTOS]]="",$AV101&lt;=$AT$1),3,
AND(Tabela1[[#This Row],[STATUS PROCESSO MOBILIZAÇÃO]]="Em andamento",Tabela1[[#This Row],[DATA REAL - TREINAMENTOS]]&lt;&gt;""),1)</f>
        <v>1</v>
      </c>
      <c r="L101" s="15" cm="1">
        <f t="array" aca="1" ref="L10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TREIN.]]="",$AY101&gt;$AW$1),2,
AND(Tabela1[[#This Row],[STATUS PROCESSO MOBILIZAÇÃO]]="Em andamento",Tabela1[[#This Row],[DATA REAL - CONCL. TREIN.]]="",$AY101&lt;=$AW$1),3,
AND(Tabela1[[#This Row],[STATUS PROCESSO MOBILIZAÇÃO]]="Em andamento",Tabela1[[#This Row],[DATA REAL - CONCL. TREIN.]]&lt;&gt;""),1)</f>
        <v>1</v>
      </c>
      <c r="M101" s="15" cm="1">
        <f t="array" aca="1" ref="M10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CONTRATUAL]]="",$BB101&gt;$AZ$1),2,
AND(Tabela1[[#This Row],[STATUS PROCESSO MOBILIZAÇÃO]]="Em andamento",Tabela1[[#This Row],[DATA FIM - ALTER. CONTRATUAL]]="",$BB101&lt;=$AZ$1),3,
AND(Tabela1[[#This Row],[STATUS PROCESSO MOBILIZAÇÃO]]="Em andamento",Tabela1[[#This Row],[DATA FIM - ALTER. CONTRATUAL]]&lt;&gt;""),1)</f>
        <v>0</v>
      </c>
      <c r="N101" s="16" cm="1">
        <f t="array" aca="1" ref="N10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DOSSIÊ]]="",$BE101&gt;$BC$1),2,
AND(Tabela1[[#This Row],[STATUS PROCESSO MOBILIZAÇÃO]]="Em andamento",Tabela1[[#This Row],[DATA REAL - DOSSIÊ]]="",$BE101&lt;=$BC$1),3,
AND(Tabela1[[#This Row],[STATUS PROCESSO MOBILIZAÇÃO]]="Em andamento",Tabela1[[#This Row],[DATA REAL - DOSSIÊ]]&lt;&gt;""),1)</f>
        <v>1</v>
      </c>
      <c r="O101" s="16" cm="1">
        <f t="array" aca="1" ref="O10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POSTAGEM]]="",$BH101&gt;$BF$1),2,
AND(Tabela1[[#This Row],[STATUS PROCESSO MOBILIZAÇÃO]]="Em andamento",Tabela1[[#This Row],[DATA REAL - POSTAGEM]]="",$BH101&lt;=$BF$1),3,
AND(Tabela1[[#This Row],[STATUS PROCESSO MOBILIZAÇÃO]]="Em andamento",Tabela1[[#This Row],[DATA REAL - POSTAGEM]]&lt;&gt;""),1)</f>
        <v>1</v>
      </c>
      <c r="P101" s="16" cm="1">
        <f t="array" aca="1" ref="P10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FINAL]]="",$BK101&gt;$BI$1),2,
AND(Tabela1[[#This Row],[STATUS PROCESSO MOBILIZAÇÃO]]="Em andamento",Tabela1[[#This Row],[DATA REAL - APROV FINAL]]="",$BK101&lt;=$BI$1),3,
AND(Tabela1[[#This Row],[STATUS PROCESSO MOBILIZAÇÃO]]="Em andamento",Tabela1[[#This Row],[DATA REAL - APROV FINAL]]&lt;&gt;""),1)</f>
        <v>1</v>
      </c>
      <c r="Q101" s="15" cm="1">
        <f t="array" aca="1" ref="Q10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CRACHÁ]]="",$BN101&gt;$BL$1),2,
AND(Tabela1[[#This Row],[STATUS PROCESSO MOBILIZAÇÃO]]="Em andamento",Tabela1[[#This Row],[DATA REAL - CRACHÁ]]="",$BN101&lt;=$BL$1),3,
AND(Tabela1[[#This Row],[STATUS PROCESSO MOBILIZAÇÃO]]="Em andamento",Tabela1[[#This Row],[DATA REAL - CRACHÁ]]&lt;&gt;""),1)</f>
        <v>1</v>
      </c>
      <c r="R101" s="21">
        <f>IF(Tabela1[[#This Row],[DATA REAL - FORMS]]&lt;&gt;"",Tabela1[[#This Row],[DATA REAL - FORMS]]+30,Tabela1[[#This Row],[DATA PREV - FORMS]]+35)</f>
        <v>45869</v>
      </c>
      <c r="S10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45860</v>
      </c>
      <c r="T10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68</v>
      </c>
      <c r="U10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64</v>
      </c>
      <c r="V101" s="49">
        <f>MAX(Tabela1[[#This Row],[DATA REAL - POSTAGEM]],Tabela1[[#This Row],[DATA REAL - APROV FINAL]],Tabela1[[#This Row],[DATA REAL - CRACHÁ]])-MIN(Tabela1[[#This Row],[DATA REAL - POSTAGEM]],Tabela1[[#This Row],[DATA REAL - APROV FINAL]],Tabela1[[#This Row],[DATA REAL - CRACHÁ]])+1</f>
        <v>5</v>
      </c>
      <c r="W10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1" s="15" t="s">
        <v>355</v>
      </c>
      <c r="Y101" s="16" t="s">
        <v>150</v>
      </c>
      <c r="Z101" s="18" t="s">
        <v>356</v>
      </c>
      <c r="AA101" s="18" t="s">
        <v>152</v>
      </c>
      <c r="AB101" s="16" t="s">
        <v>97</v>
      </c>
      <c r="AC101" s="16" t="s">
        <v>132</v>
      </c>
      <c r="AD101" s="16" t="s">
        <v>132</v>
      </c>
      <c r="AE101" s="16" t="s">
        <v>337</v>
      </c>
      <c r="AF101" s="16" t="s">
        <v>379</v>
      </c>
      <c r="AG101" s="16" t="str">
        <f>_xlfn.XLOOKUP(Tabela1[[#This Row],[CÓD. CT]],Controle_Projetos[COD CT],Controle_Projetos[COD PHD],"")</f>
        <v>GERD-CT14-PIND</v>
      </c>
      <c r="AH101" s="21">
        <v>45834</v>
      </c>
      <c r="AI101" s="75">
        <v>45792</v>
      </c>
      <c r="AJ101" s="16" t="str" cm="1">
        <f t="array" aca="1" ref="AJ10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1" s="21">
        <v>45839</v>
      </c>
      <c r="AL101" s="74">
        <v>45839</v>
      </c>
      <c r="AM101" s="16" cm="1">
        <f t="array" aca="1" ref="AM10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1" s="21">
        <f>Tabela1[[#This Row],[DATA PREV - FORMS]]+$AN$1</f>
        <v>45846</v>
      </c>
      <c r="AO101" s="74">
        <v>45839</v>
      </c>
      <c r="AP101" s="16" cm="1">
        <f t="array" aca="1" ref="AP10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1" s="21">
        <f>Tabela1[[#This Row],[DATA PREV - EXAMES]]+$AQ$1</f>
        <v>45848</v>
      </c>
      <c r="AR101" s="74">
        <v>45845</v>
      </c>
      <c r="AS101" s="15" cm="1">
        <f t="array" aca="1" ref="AS10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01" s="21">
        <f>Tabela1[[#This Row],[DATA PREV - FORMS]]+$AT$1</f>
        <v>45840</v>
      </c>
      <c r="AU101" s="74">
        <v>45845</v>
      </c>
      <c r="AV101" s="15" cm="1">
        <f t="array" aca="1" ref="AV10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6</v>
      </c>
      <c r="AW101" s="21">
        <f>Tabela1[[#This Row],[DATA PREV - TREINAMENTOS]]+$AW$1</f>
        <v>45847</v>
      </c>
      <c r="AX101" s="74">
        <v>45845</v>
      </c>
      <c r="AY101" s="15" cm="1">
        <f t="array" aca="1" ref="AY10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01" s="24"/>
      <c r="BA101" s="74"/>
      <c r="BB101" s="15" t="str" cm="1">
        <f t="array" aca="1" ref="BB10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101" s="21">
        <f>Tabela1[[#This Row],[DATA PREV - CONCL. TREIN.]]+$BC$1</f>
        <v>45849</v>
      </c>
      <c r="BD101" s="74">
        <v>45856</v>
      </c>
      <c r="BE101" s="15" cm="1">
        <f t="array" aca="1" ref="BE10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101" s="21">
        <f>Tabela1[[#This Row],[DATA PREV - DOSSIÊ]]+$BF$1</f>
        <v>45852</v>
      </c>
      <c r="BG101" s="74">
        <v>45856</v>
      </c>
      <c r="BH101" s="15" cm="1">
        <f t="array" aca="1" ref="BH10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01" s="21">
        <f>Tabela1[[#This Row],[DATA PREV - POSTAGEM]]+$BI$1</f>
        <v>45858</v>
      </c>
      <c r="BJ101" s="74">
        <v>45860</v>
      </c>
      <c r="BK101" s="15" cm="1">
        <f t="array" aca="1" ref="BK10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101" s="21">
        <f>Tabela1[[#This Row],[DATA PREV - APROV FINAL]]+$BL$1</f>
        <v>45859</v>
      </c>
      <c r="BM101" s="74">
        <v>45860</v>
      </c>
      <c r="BN101" s="15" cm="1">
        <f t="array" aca="1" ref="BN10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01" s="80" t="s">
        <v>429</v>
      </c>
    </row>
    <row r="102" spans="2:67" ht="18" hidden="1" customHeight="1" x14ac:dyDescent="0.35">
      <c r="B102" s="14" t="s">
        <v>79</v>
      </c>
      <c r="C102" s="16" t="s">
        <v>381</v>
      </c>
      <c r="D102" s="16" t="s">
        <v>81</v>
      </c>
      <c r="E102" s="16"/>
      <c r="F102" s="16" t="s">
        <v>430</v>
      </c>
      <c r="G102" s="16" cm="1">
        <f t="array" ref="G102">_xlfn.IFS(Tabela1[[#This Row],[STATUS PROCESSO MOBILIZAÇÃO]]="Finalizado",1,Tabela1[[#This Row],[STATUS PROCESSO MOBILIZAÇÃO]]="Cancelado",2,Tabela1[[#This Row],[STATUS PROCESSO MOBILIZAÇÃO]]="Em andamento",3)</f>
        <v>1</v>
      </c>
      <c r="H102" s="16" cm="1">
        <f t="array" aca="1" ref="H10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FORMS]]="",$AM102&gt;$AK$1),2,
AND(Tabela1[[#This Row],[STATUS PROCESSO MOBILIZAÇÃO]]="Em andamento",Tabela1[[#This Row],[DATA REAL - FORMS]]="",$AM102&lt;=$AK$1),3,
AND(Tabela1[[#This Row],[STATUS PROCESSO MOBILIZAÇÃO]]="Em andamento",Tabela1[[#This Row],[DATA REAL - FORMS]]&lt;&gt;""),1)</f>
        <v>1</v>
      </c>
      <c r="I102" s="16" cm="1">
        <f t="array" aca="1" ref="I10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EXAMES]]="",$AP102&gt;$AN$1),2,
AND(Tabela1[[#This Row],[STATUS PROCESSO MOBILIZAÇÃO]]="Em andamento",Tabela1[[#This Row],[DATA REAL - EXAMES]]="",$AP102&lt;=$AN$1),3,
AND(Tabela1[[#This Row],[STATUS PROCESSO MOBILIZAÇÃO]]="Em andamento",Tabela1[[#This Row],[DATA REAL - EXAMES]]&lt;&gt;""),1)</f>
        <v>1</v>
      </c>
      <c r="J102" s="16" cm="1">
        <f t="array" aca="1" ref="J10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ASO]]="",$AS102&gt;$AQ$1),2,
AND(Tabela1[[#This Row],[STATUS PROCESSO MOBILIZAÇÃO]]="Em andamento",Tabela1[[#This Row],[DATA REAL - ASO]]="",$AS102&lt;=$AQ$1),3,
AND(Tabela1[[#This Row],[STATUS PROCESSO MOBILIZAÇÃO]]="Em andamento",Tabela1[[#This Row],[DATA REAL - ASO]]&lt;&gt;""),1)</f>
        <v>1</v>
      </c>
      <c r="K102" s="15" cm="1">
        <f t="array" aca="1" ref="K10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TREINAMENTOS]]="",$AV102&gt;$AT$1),2,
AND(Tabela1[[#This Row],[STATUS PROCESSO MOBILIZAÇÃO]]="Em andamento",Tabela1[[#This Row],[DATA REAL - TREINAMENTOS]]="",$AV102&lt;=$AT$1),3,
AND(Tabela1[[#This Row],[STATUS PROCESSO MOBILIZAÇÃO]]="Em andamento",Tabela1[[#This Row],[DATA REAL - TREINAMENTOS]]&lt;&gt;""),1)</f>
        <v>1</v>
      </c>
      <c r="L102" s="15" cm="1">
        <f t="array" aca="1" ref="L10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TREIN.]]="",$AY102&gt;$AW$1),2,
AND(Tabela1[[#This Row],[STATUS PROCESSO MOBILIZAÇÃO]]="Em andamento",Tabela1[[#This Row],[DATA REAL - CONCL. TREIN.]]="",$AY102&lt;=$AW$1),3,
AND(Tabela1[[#This Row],[STATUS PROCESSO MOBILIZAÇÃO]]="Em andamento",Tabela1[[#This Row],[DATA REAL - CONCL. TREIN.]]&lt;&gt;""),1)</f>
        <v>1</v>
      </c>
      <c r="M102" s="15" cm="1">
        <f t="array" aca="1" ref="M10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CONTRATUAL]]="",$BB102&gt;$AZ$1),2,
AND(Tabela1[[#This Row],[STATUS PROCESSO MOBILIZAÇÃO]]="Em andamento",Tabela1[[#This Row],[DATA FIM - ALTER. CONTRATUAL]]="",$BB102&lt;=$AZ$1),3,
AND(Tabela1[[#This Row],[STATUS PROCESSO MOBILIZAÇÃO]]="Em andamento",Tabela1[[#This Row],[DATA FIM - ALTER. CONTRATUAL]]&lt;&gt;""),1)</f>
        <v>0</v>
      </c>
      <c r="N102" s="16" cm="1">
        <f t="array" aca="1" ref="N10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DOSSIÊ]]="",$BE102&gt;$BC$1),2,
AND(Tabela1[[#This Row],[STATUS PROCESSO MOBILIZAÇÃO]]="Em andamento",Tabela1[[#This Row],[DATA REAL - DOSSIÊ]]="",$BE102&lt;=$BC$1),3,
AND(Tabela1[[#This Row],[STATUS PROCESSO MOBILIZAÇÃO]]="Em andamento",Tabela1[[#This Row],[DATA REAL - DOSSIÊ]]&lt;&gt;""),1)</f>
        <v>1</v>
      </c>
      <c r="O102" s="16" cm="1">
        <f t="array" aca="1" ref="O10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POSTAGEM]]="",$BH102&gt;$BF$1),2,
AND(Tabela1[[#This Row],[STATUS PROCESSO MOBILIZAÇÃO]]="Em andamento",Tabela1[[#This Row],[DATA REAL - POSTAGEM]]="",$BH102&lt;=$BF$1),3,
AND(Tabela1[[#This Row],[STATUS PROCESSO MOBILIZAÇÃO]]="Em andamento",Tabela1[[#This Row],[DATA REAL - POSTAGEM]]&lt;&gt;""),1)</f>
        <v>1</v>
      </c>
      <c r="P102" s="16" cm="1">
        <f t="array" aca="1" ref="P10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FINAL]]="",$BK102&gt;$BI$1),2,
AND(Tabela1[[#This Row],[STATUS PROCESSO MOBILIZAÇÃO]]="Em andamento",Tabela1[[#This Row],[DATA REAL - APROV FINAL]]="",$BK102&lt;=$BI$1),3,
AND(Tabela1[[#This Row],[STATUS PROCESSO MOBILIZAÇÃO]]="Em andamento",Tabela1[[#This Row],[DATA REAL - APROV FINAL]]&lt;&gt;""),1)</f>
        <v>1</v>
      </c>
      <c r="Q102" s="15" cm="1">
        <f t="array" aca="1" ref="Q10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CRACHÁ]]="",$BN102&gt;$BL$1),2,
AND(Tabela1[[#This Row],[STATUS PROCESSO MOBILIZAÇÃO]]="Em andamento",Tabela1[[#This Row],[DATA REAL - CRACHÁ]]="",$BN102&lt;=$BL$1),3,
AND(Tabela1[[#This Row],[STATUS PROCESSO MOBILIZAÇÃO]]="Em andamento",Tabela1[[#This Row],[DATA REAL - CRACHÁ]]&lt;&gt;""),1)</f>
        <v>1</v>
      </c>
      <c r="R102" s="21">
        <f>IF(Tabela1[[#This Row],[DATA REAL - FORMS]]&lt;&gt;"",Tabela1[[#This Row],[DATA REAL - FORMS]]+30,Tabela1[[#This Row],[DATA PREV - FORMS]]+35)</f>
        <v>45870</v>
      </c>
      <c r="S10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45848</v>
      </c>
      <c r="T10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10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02" s="49">
        <f>MAX(Tabela1[[#This Row],[DATA REAL - POSTAGEM]],Tabela1[[#This Row],[DATA REAL - APROV FINAL]],Tabela1[[#This Row],[DATA REAL - CRACHÁ]])-MIN(Tabela1[[#This Row],[DATA REAL - POSTAGEM]],Tabela1[[#This Row],[DATA REAL - APROV FINAL]],Tabela1[[#This Row],[DATA REAL - CRACHÁ]])+1</f>
        <v>2</v>
      </c>
      <c r="W10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02" s="15" t="s">
        <v>431</v>
      </c>
      <c r="Y102" s="16" t="s">
        <v>150</v>
      </c>
      <c r="Z102" s="18" t="s">
        <v>432</v>
      </c>
      <c r="AA102" s="18" t="s">
        <v>152</v>
      </c>
      <c r="AB102" s="16" t="s">
        <v>97</v>
      </c>
      <c r="AC102" s="16" t="s">
        <v>266</v>
      </c>
      <c r="AD102" s="16" t="s">
        <v>266</v>
      </c>
      <c r="AE102" s="16" t="s">
        <v>267</v>
      </c>
      <c r="AF102" s="16" t="s">
        <v>433</v>
      </c>
      <c r="AG102" s="16" t="str">
        <f>_xlfn.XLOOKUP(Tabela1[[#This Row],[CÓD. CT]],Controle_Projetos[COD CT],Controle_Projetos[COD PHD],"")</f>
        <v>GOIA-CT02-GERE</v>
      </c>
      <c r="AH102" s="21"/>
      <c r="AI102" s="75">
        <v>45839</v>
      </c>
      <c r="AJ102" s="16" t="str" cm="1">
        <f t="array" aca="1" ref="AJ10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2" s="21">
        <v>45840</v>
      </c>
      <c r="AL102" s="74">
        <v>45840</v>
      </c>
      <c r="AM102" s="16" cm="1">
        <f t="array" aca="1" ref="AM10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2" s="21">
        <f>Tabela1[[#This Row],[DATA PREV - FORMS]]+$AN$1</f>
        <v>45847</v>
      </c>
      <c r="AO102" s="74">
        <v>45839</v>
      </c>
      <c r="AP102" s="16" cm="1">
        <f t="array" aca="1" ref="AP10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102" s="21">
        <f>Tabela1[[#This Row],[DATA PREV - EXAMES]]+$AQ$1</f>
        <v>45849</v>
      </c>
      <c r="AR102" s="74">
        <v>45845</v>
      </c>
      <c r="AS102" s="15" cm="1">
        <f t="array" aca="1" ref="AS10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02" s="21">
        <f>Tabela1[[#This Row],[DATA PREV - FORMS]]+$AT$1</f>
        <v>45841</v>
      </c>
      <c r="AU102" s="74">
        <v>45840</v>
      </c>
      <c r="AV102" s="15" cm="1">
        <f t="array" aca="1" ref="AV10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02" s="21">
        <f>Tabela1[[#This Row],[DATA PREV - TREINAMENTOS]]+$AW$1</f>
        <v>45848</v>
      </c>
      <c r="AX102" s="74">
        <v>45842</v>
      </c>
      <c r="AY102" s="15" cm="1">
        <f t="array" aca="1" ref="AY10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02" s="24">
        <v>45588</v>
      </c>
      <c r="BA102" s="74"/>
      <c r="BB102" s="15" cm="1">
        <f t="array" aca="1" ref="BB10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02" s="21">
        <f>Tabela1[[#This Row],[DATA PREV - CONCL. TREIN.]]+$BC$1</f>
        <v>45850</v>
      </c>
      <c r="BD102" s="74">
        <v>45847</v>
      </c>
      <c r="BE102" s="15" cm="1">
        <f t="array" aca="1" ref="BE10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02" s="21">
        <f>Tabela1[[#This Row],[DATA PREV - DOSSIÊ]]+$BF$1</f>
        <v>45853</v>
      </c>
      <c r="BG102" s="74">
        <v>45847</v>
      </c>
      <c r="BH102" s="15" cm="1">
        <f t="array" aca="1" ref="BH10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02" s="21">
        <f>Tabela1[[#This Row],[DATA PREV - POSTAGEM]]+$BI$1</f>
        <v>45859</v>
      </c>
      <c r="BJ102" s="74">
        <v>45848</v>
      </c>
      <c r="BK102" s="15" cm="1">
        <f t="array" aca="1" ref="BK10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02" s="21">
        <f>Tabela1[[#This Row],[DATA PREV - APROV FINAL]]+$BL$1</f>
        <v>45860</v>
      </c>
      <c r="BM102" s="74">
        <v>45848</v>
      </c>
      <c r="BN102" s="15" cm="1">
        <f t="array" aca="1" ref="BN10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102" s="80" t="s">
        <v>434</v>
      </c>
    </row>
    <row r="103" spans="2:67" ht="18" hidden="1" customHeight="1" x14ac:dyDescent="0.35">
      <c r="B103" s="14" t="s">
        <v>119</v>
      </c>
      <c r="C103" s="16" t="s">
        <v>136</v>
      </c>
      <c r="D103" s="16" t="s">
        <v>119</v>
      </c>
      <c r="E103" s="16"/>
      <c r="F103" s="16" t="s">
        <v>251</v>
      </c>
      <c r="G103" s="16" cm="1">
        <f t="array" ref="G103">_xlfn.IFS(Tabela1[[#This Row],[STATUS PROCESSO MOBILIZAÇÃO]]="Finalizado",1,Tabela1[[#This Row],[STATUS PROCESSO MOBILIZAÇÃO]]="Cancelado",2,Tabela1[[#This Row],[STATUS PROCESSO MOBILIZAÇÃO]]="Em andamento",3)</f>
        <v>2</v>
      </c>
      <c r="H103" s="16" cm="1">
        <f t="array" aca="1" ref="H10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FORMS]]="",$AM103&gt;$AK$1),2,
AND(Tabela1[[#This Row],[STATUS PROCESSO MOBILIZAÇÃO]]="Em andamento",Tabela1[[#This Row],[DATA REAL - FORMS]]="",$AM103&lt;=$AK$1),3,
AND(Tabela1[[#This Row],[STATUS PROCESSO MOBILIZAÇÃO]]="Em andamento",Tabela1[[#This Row],[DATA REAL - FORMS]]&lt;&gt;""),1)</f>
        <v>1</v>
      </c>
      <c r="I103" s="16" cm="1">
        <f t="array" aca="1" ref="I10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EXAMES]]="",$AP103&gt;$AN$1),2,
AND(Tabela1[[#This Row],[STATUS PROCESSO MOBILIZAÇÃO]]="Em andamento",Tabela1[[#This Row],[DATA REAL - EXAMES]]="",$AP103&lt;=$AN$1),3,
AND(Tabela1[[#This Row],[STATUS PROCESSO MOBILIZAÇÃO]]="Em andamento",Tabela1[[#This Row],[DATA REAL - EXAMES]]&lt;&gt;""),1)</f>
        <v>1</v>
      </c>
      <c r="J103" s="16" cm="1">
        <f t="array" aca="1" ref="J10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ASO]]="",$AS103&gt;$AQ$1),2,
AND(Tabela1[[#This Row],[STATUS PROCESSO MOBILIZAÇÃO]]="Em andamento",Tabela1[[#This Row],[DATA REAL - ASO]]="",$AS103&lt;=$AQ$1),3,
AND(Tabela1[[#This Row],[STATUS PROCESSO MOBILIZAÇÃO]]="Em andamento",Tabela1[[#This Row],[DATA REAL - ASO]]&lt;&gt;""),1)</f>
        <v>0</v>
      </c>
      <c r="K103" s="15" cm="1">
        <f t="array" aca="1" ref="K10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TREINAMENTOS]]="",$AV103&gt;$AT$1),2,
AND(Tabela1[[#This Row],[STATUS PROCESSO MOBILIZAÇÃO]]="Em andamento",Tabela1[[#This Row],[DATA REAL - TREINAMENTOS]]="",$AV103&lt;=$AT$1),3,
AND(Tabela1[[#This Row],[STATUS PROCESSO MOBILIZAÇÃO]]="Em andamento",Tabela1[[#This Row],[DATA REAL - TREINAMENTOS]]&lt;&gt;""),1)</f>
        <v>1</v>
      </c>
      <c r="L103" s="15" cm="1">
        <f t="array" aca="1" ref="L10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TREIN.]]="",$AY103&gt;$AW$1),2,
AND(Tabela1[[#This Row],[STATUS PROCESSO MOBILIZAÇÃO]]="Em andamento",Tabela1[[#This Row],[DATA REAL - CONCL. TREIN.]]="",$AY103&lt;=$AW$1),3,
AND(Tabela1[[#This Row],[STATUS PROCESSO MOBILIZAÇÃO]]="Em andamento",Tabela1[[#This Row],[DATA REAL - CONCL. TREIN.]]&lt;&gt;""),1)</f>
        <v>0</v>
      </c>
      <c r="M103" s="15" cm="1">
        <f t="array" aca="1" ref="M10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CONTRATUAL]]="",$BB103&gt;$AZ$1),2,
AND(Tabela1[[#This Row],[STATUS PROCESSO MOBILIZAÇÃO]]="Em andamento",Tabela1[[#This Row],[DATA FIM - ALTER. CONTRATUAL]]="",$BB103&lt;=$AZ$1),3,
AND(Tabela1[[#This Row],[STATUS PROCESSO MOBILIZAÇÃO]]="Em andamento",Tabela1[[#This Row],[DATA FIM - ALTER. CONTRATUAL]]&lt;&gt;""),1)</f>
        <v>1</v>
      </c>
      <c r="N103" s="16" cm="1">
        <f t="array" aca="1" ref="N10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DOSSIÊ]]="",$BE103&gt;$BC$1),2,
AND(Tabela1[[#This Row],[STATUS PROCESSO MOBILIZAÇÃO]]="Em andamento",Tabela1[[#This Row],[DATA REAL - DOSSIÊ]]="",$BE103&lt;=$BC$1),3,
AND(Tabela1[[#This Row],[STATUS PROCESSO MOBILIZAÇÃO]]="Em andamento",Tabela1[[#This Row],[DATA REAL - DOSSIÊ]]&lt;&gt;""),1)</f>
        <v>0</v>
      </c>
      <c r="O103" s="16" cm="1">
        <f t="array" aca="1" ref="O10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POSTAGEM]]="",$BH103&gt;$BF$1),2,
AND(Tabela1[[#This Row],[STATUS PROCESSO MOBILIZAÇÃO]]="Em andamento",Tabela1[[#This Row],[DATA REAL - POSTAGEM]]="",$BH103&lt;=$BF$1),3,
AND(Tabela1[[#This Row],[STATUS PROCESSO MOBILIZAÇÃO]]="Em andamento",Tabela1[[#This Row],[DATA REAL - POSTAGEM]]&lt;&gt;""),1)</f>
        <v>0</v>
      </c>
      <c r="P103" s="16" cm="1">
        <f t="array" aca="1" ref="P10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FINAL]]="",$BK103&gt;$BI$1),2,
AND(Tabela1[[#This Row],[STATUS PROCESSO MOBILIZAÇÃO]]="Em andamento",Tabela1[[#This Row],[DATA REAL - APROV FINAL]]="",$BK103&lt;=$BI$1),3,
AND(Tabela1[[#This Row],[STATUS PROCESSO MOBILIZAÇÃO]]="Em andamento",Tabela1[[#This Row],[DATA REAL - APROV FINAL]]&lt;&gt;""),1)</f>
        <v>0</v>
      </c>
      <c r="Q103" s="15" cm="1">
        <f t="array" aca="1" ref="Q10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CRACHÁ]]="",$BN103&gt;$BL$1),2,
AND(Tabela1[[#This Row],[STATUS PROCESSO MOBILIZAÇÃO]]="Em andamento",Tabela1[[#This Row],[DATA REAL - CRACHÁ]]="",$BN103&lt;=$BL$1),3,
AND(Tabela1[[#This Row],[STATUS PROCESSO MOBILIZAÇÃO]]="Em andamento",Tabela1[[#This Row],[DATA REAL - CRACHÁ]]&lt;&gt;""),1)</f>
        <v>1</v>
      </c>
      <c r="R103" s="21">
        <f>IF(Tabela1[[#This Row],[DATA REAL - FORMS]]&lt;&gt;"",Tabela1[[#This Row],[DATA REAL - FORMS]]+30,Tabela1[[#This Row],[DATA PREV - FORMS]]+35)</f>
        <v>45872</v>
      </c>
      <c r="S10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45870</v>
      </c>
      <c r="T10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v>
      </c>
      <c r="U10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28</v>
      </c>
      <c r="V103" s="49">
        <f>MAX(Tabela1[[#This Row],[DATA REAL - POSTAGEM]],Tabela1[[#This Row],[DATA REAL - APROV FINAL]],Tabela1[[#This Row],[DATA REAL - CRACHÁ]])-MIN(Tabela1[[#This Row],[DATA REAL - POSTAGEM]],Tabela1[[#This Row],[DATA REAL - APROV FINAL]],Tabela1[[#This Row],[DATA REAL - CRACHÁ]])+1</f>
        <v>1</v>
      </c>
      <c r="W10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v>
      </c>
      <c r="X103" s="15" t="s">
        <v>103</v>
      </c>
      <c r="Y103" s="16" t="s">
        <v>84</v>
      </c>
      <c r="Z103" s="18" t="s">
        <v>104</v>
      </c>
      <c r="AA103" s="18" t="s">
        <v>86</v>
      </c>
      <c r="AB103" s="16" t="s">
        <v>97</v>
      </c>
      <c r="AC103" s="16" t="s">
        <v>98</v>
      </c>
      <c r="AD103" s="16" t="s">
        <v>184</v>
      </c>
      <c r="AE103" s="16" t="s">
        <v>185</v>
      </c>
      <c r="AF103" s="16" t="s">
        <v>186</v>
      </c>
      <c r="AG103" s="16" t="str">
        <f>_xlfn.XLOOKUP(Tabela1[[#This Row],[CÓD. CT]],Controle_Projetos[COD CT],Controle_Projetos[COD PHD],"")</f>
        <v>SALU-CT04-DISP</v>
      </c>
      <c r="AH103" s="21"/>
      <c r="AI103" s="75">
        <v>45870</v>
      </c>
      <c r="AJ103" s="16" t="str" cm="1">
        <f t="array" aca="1" ref="AJ10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3" s="21">
        <v>45842</v>
      </c>
      <c r="AL103" s="74">
        <v>45842</v>
      </c>
      <c r="AM103" s="16" cm="1">
        <f t="array" aca="1" ref="AM10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3" s="21">
        <f>Tabela1[[#This Row],[DATA PREV - FORMS]]+$AN$1</f>
        <v>45849</v>
      </c>
      <c r="AO103" s="74">
        <v>45845</v>
      </c>
      <c r="AP103" s="16" cm="1">
        <f t="array" aca="1" ref="AP10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103" s="21">
        <f>Tabela1[[#This Row],[DATA PREV - EXAMES]]+$AQ$1</f>
        <v>45851</v>
      </c>
      <c r="AR103" s="74"/>
      <c r="AS103" s="15" cm="1">
        <f t="array" aca="1" ref="AS10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03" s="21">
        <f>Tabela1[[#This Row],[DATA PREV - FORMS]]+$AT$1</f>
        <v>45843</v>
      </c>
      <c r="AU103" s="74">
        <v>45845</v>
      </c>
      <c r="AV103" s="15" cm="1">
        <f t="array" aca="1" ref="AV10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103" s="21">
        <f>Tabela1[[#This Row],[DATA PREV - TREINAMENTOS]]+$AW$1</f>
        <v>45850</v>
      </c>
      <c r="AX103" s="74"/>
      <c r="AY103" s="15" cm="1">
        <f t="array" aca="1" ref="AY10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03" s="24">
        <v>45854</v>
      </c>
      <c r="BA103" s="74">
        <v>45842</v>
      </c>
      <c r="BB103" s="15" cm="1">
        <f t="array" aca="1" ref="BB10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-11</v>
      </c>
      <c r="BC103" s="21">
        <f>Tabela1[[#This Row],[DATA PREV - CONCL. TREIN.]]+$BC$1</f>
        <v>45852</v>
      </c>
      <c r="BD103" s="74"/>
      <c r="BE103" s="15" cm="1">
        <f t="array" aca="1" ref="BE10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03" s="21">
        <f>Tabela1[[#This Row],[DATA PREV - DOSSIÊ]]+$BF$1</f>
        <v>45855</v>
      </c>
      <c r="BG103" s="74"/>
      <c r="BH103" s="15" cm="1">
        <f t="array" aca="1" ref="BH10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03" s="21">
        <f>Tabela1[[#This Row],[DATA PREV - POSTAGEM]]+$BI$1</f>
        <v>45861</v>
      </c>
      <c r="BJ103" s="74"/>
      <c r="BK103" s="15" cm="1">
        <f t="array" aca="1" ref="BK10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03" s="21">
        <f>Tabela1[[#This Row],[DATA PREV - APROV FINAL]]+$BL$1</f>
        <v>45862</v>
      </c>
      <c r="BM103" s="74">
        <v>45853</v>
      </c>
      <c r="BN103" s="15" cm="1">
        <f t="array" aca="1" ref="BN10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03" s="81" t="s">
        <v>435</v>
      </c>
    </row>
    <row r="104" spans="2:67" ht="18" hidden="1" customHeight="1" x14ac:dyDescent="0.35">
      <c r="B104" s="14" t="s">
        <v>79</v>
      </c>
      <c r="C104" s="16" t="s">
        <v>136</v>
      </c>
      <c r="D104" s="16" t="s">
        <v>81</v>
      </c>
      <c r="E104" s="16"/>
      <c r="F104" s="16" t="s">
        <v>436</v>
      </c>
      <c r="G104" s="16" cm="1">
        <f t="array" ref="G104">_xlfn.IFS(Tabela1[[#This Row],[STATUS PROCESSO MOBILIZAÇÃO]]="Finalizado",1,Tabela1[[#This Row],[STATUS PROCESSO MOBILIZAÇÃO]]="Cancelado",2,Tabela1[[#This Row],[STATUS PROCESSO MOBILIZAÇÃO]]="Em andamento",3)</f>
        <v>1</v>
      </c>
      <c r="H104" s="16" cm="1">
        <f t="array" aca="1" ref="H10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FORMS]]="",$AM104&gt;$AK$1),2,
AND(Tabela1[[#This Row],[STATUS PROCESSO MOBILIZAÇÃO]]="Em andamento",Tabela1[[#This Row],[DATA REAL - FORMS]]="",$AM104&lt;=$AK$1),3,
AND(Tabela1[[#This Row],[STATUS PROCESSO MOBILIZAÇÃO]]="Em andamento",Tabela1[[#This Row],[DATA REAL - FORMS]]&lt;&gt;""),1)</f>
        <v>1</v>
      </c>
      <c r="I104" s="16" cm="1">
        <f t="array" aca="1" ref="I10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EXAMES]]="",$AP104&gt;$AN$1),2,
AND(Tabela1[[#This Row],[STATUS PROCESSO MOBILIZAÇÃO]]="Em andamento",Tabela1[[#This Row],[DATA REAL - EXAMES]]="",$AP104&lt;=$AN$1),3,
AND(Tabela1[[#This Row],[STATUS PROCESSO MOBILIZAÇÃO]]="Em andamento",Tabela1[[#This Row],[DATA REAL - EXAMES]]&lt;&gt;""),1)</f>
        <v>1</v>
      </c>
      <c r="J104" s="16" cm="1">
        <f t="array" aca="1" ref="J10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ASO]]="",$AS104&gt;$AQ$1),2,
AND(Tabela1[[#This Row],[STATUS PROCESSO MOBILIZAÇÃO]]="Em andamento",Tabela1[[#This Row],[DATA REAL - ASO]]="",$AS104&lt;=$AQ$1),3,
AND(Tabela1[[#This Row],[STATUS PROCESSO MOBILIZAÇÃO]]="Em andamento",Tabela1[[#This Row],[DATA REAL - ASO]]&lt;&gt;""),1)</f>
        <v>1</v>
      </c>
      <c r="K104" s="15" cm="1">
        <f t="array" aca="1" ref="K10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TREINAMENTOS]]="",$AV104&gt;$AT$1),2,
AND(Tabela1[[#This Row],[STATUS PROCESSO MOBILIZAÇÃO]]="Em andamento",Tabela1[[#This Row],[DATA REAL - TREINAMENTOS]]="",$AV104&lt;=$AT$1),3,
AND(Tabela1[[#This Row],[STATUS PROCESSO MOBILIZAÇÃO]]="Em andamento",Tabela1[[#This Row],[DATA REAL - TREINAMENTOS]]&lt;&gt;""),1)</f>
        <v>1</v>
      </c>
      <c r="L104" s="15" cm="1">
        <f t="array" aca="1" ref="L10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TREIN.]]="",$AY104&gt;$AW$1),2,
AND(Tabela1[[#This Row],[STATUS PROCESSO MOBILIZAÇÃO]]="Em andamento",Tabela1[[#This Row],[DATA REAL - CONCL. TREIN.]]="",$AY104&lt;=$AW$1),3,
AND(Tabela1[[#This Row],[STATUS PROCESSO MOBILIZAÇÃO]]="Em andamento",Tabela1[[#This Row],[DATA REAL - CONCL. TREIN.]]&lt;&gt;""),1)</f>
        <v>1</v>
      </c>
      <c r="M104" s="15" cm="1">
        <f t="array" aca="1" ref="M10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CONTRATUAL]]="",$BB104&gt;$AZ$1),2,
AND(Tabela1[[#This Row],[STATUS PROCESSO MOBILIZAÇÃO]]="Em andamento",Tabela1[[#This Row],[DATA FIM - ALTER. CONTRATUAL]]="",$BB104&lt;=$AZ$1),3,
AND(Tabela1[[#This Row],[STATUS PROCESSO MOBILIZAÇÃO]]="Em andamento",Tabela1[[#This Row],[DATA FIM - ALTER. CONTRATUAL]]&lt;&gt;""),1)</f>
        <v>1</v>
      </c>
      <c r="N104" s="16" cm="1">
        <f t="array" aca="1" ref="N10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DOSSIÊ]]="",$BE104&gt;$BC$1),2,
AND(Tabela1[[#This Row],[STATUS PROCESSO MOBILIZAÇÃO]]="Em andamento",Tabela1[[#This Row],[DATA REAL - DOSSIÊ]]="",$BE104&lt;=$BC$1),3,
AND(Tabela1[[#This Row],[STATUS PROCESSO MOBILIZAÇÃO]]="Em andamento",Tabela1[[#This Row],[DATA REAL - DOSSIÊ]]&lt;&gt;""),1)</f>
        <v>1</v>
      </c>
      <c r="O104" s="16" cm="1">
        <f t="array" aca="1" ref="O10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POSTAGEM]]="",$BH104&gt;$BF$1),2,
AND(Tabela1[[#This Row],[STATUS PROCESSO MOBILIZAÇÃO]]="Em andamento",Tabela1[[#This Row],[DATA REAL - POSTAGEM]]="",$BH104&lt;=$BF$1),3,
AND(Tabela1[[#This Row],[STATUS PROCESSO MOBILIZAÇÃO]]="Em andamento",Tabela1[[#This Row],[DATA REAL - POSTAGEM]]&lt;&gt;""),1)</f>
        <v>1</v>
      </c>
      <c r="P104" s="16" cm="1">
        <f t="array" aca="1" ref="P10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FINAL]]="",$BK104&gt;$BI$1),2,
AND(Tabela1[[#This Row],[STATUS PROCESSO MOBILIZAÇÃO]]="Em andamento",Tabela1[[#This Row],[DATA REAL - APROV FINAL]]="",$BK104&lt;=$BI$1),3,
AND(Tabela1[[#This Row],[STATUS PROCESSO MOBILIZAÇÃO]]="Em andamento",Tabela1[[#This Row],[DATA REAL - APROV FINAL]]&lt;&gt;""),1)</f>
        <v>1</v>
      </c>
      <c r="Q104" s="15" cm="1">
        <f t="array" aca="1" ref="Q10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CRACHÁ]]="",$BN104&gt;$BL$1),2,
AND(Tabela1[[#This Row],[STATUS PROCESSO MOBILIZAÇÃO]]="Em andamento",Tabela1[[#This Row],[DATA REAL - CRACHÁ]]="",$BN104&lt;=$BL$1),3,
AND(Tabela1[[#This Row],[STATUS PROCESSO MOBILIZAÇÃO]]="Em andamento",Tabela1[[#This Row],[DATA REAL - CRACHÁ]]&lt;&gt;""),1)</f>
        <v>1</v>
      </c>
      <c r="R104" s="21">
        <f>IF(Tabela1[[#This Row],[DATA REAL - FORMS]]&lt;&gt;"",Tabela1[[#This Row],[DATA REAL - FORMS]]+30,Tabela1[[#This Row],[DATA PREV - FORMS]]+35)</f>
        <v>45875</v>
      </c>
      <c r="S10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45867</v>
      </c>
      <c r="T10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U10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30</v>
      </c>
      <c r="V104" s="49">
        <f>MAX(Tabela1[[#This Row],[DATA REAL - POSTAGEM]],Tabela1[[#This Row],[DATA REAL - APROV FINAL]],Tabela1[[#This Row],[DATA REAL - CRACHÁ]])-MIN(Tabela1[[#This Row],[DATA REAL - POSTAGEM]],Tabela1[[#This Row],[DATA REAL - APROV FINAL]],Tabela1[[#This Row],[DATA REAL - CRACHÁ]])+1</f>
        <v>1</v>
      </c>
      <c r="W10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4" s="15" t="s">
        <v>122</v>
      </c>
      <c r="Y104" s="16" t="s">
        <v>122</v>
      </c>
      <c r="Z104" s="18" t="s">
        <v>124</v>
      </c>
      <c r="AA104" s="18" t="s">
        <v>124</v>
      </c>
      <c r="AB104" s="16" t="s">
        <v>97</v>
      </c>
      <c r="AC104" s="16" t="s">
        <v>153</v>
      </c>
      <c r="AD104" s="16" t="s">
        <v>153</v>
      </c>
      <c r="AE104" s="16" t="s">
        <v>437</v>
      </c>
      <c r="AF104" s="16" t="s">
        <v>438</v>
      </c>
      <c r="AG104" s="16" t="str">
        <f>_xlfn.XLOOKUP(Tabela1[[#This Row],[CÓD. CT]],Controle_Projetos[COD CT],Controle_Projetos[COD PHD],"")</f>
        <v>ADMB-CT10-GRMS</v>
      </c>
      <c r="AH104" s="21"/>
      <c r="AI104" s="75">
        <v>45837</v>
      </c>
      <c r="AJ104" s="16" t="str" cm="1">
        <f t="array" aca="1" ref="AJ10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4" s="21">
        <v>45845</v>
      </c>
      <c r="AL104" s="74">
        <v>45845</v>
      </c>
      <c r="AM104" s="16" cm="1">
        <f t="array" aca="1" ref="AM10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4" s="21">
        <f>Tabela1[[#This Row],[DATA PREV - FORMS]]+$AN$1</f>
        <v>45852</v>
      </c>
      <c r="AO104" s="74">
        <v>45845</v>
      </c>
      <c r="AP104" s="16" cm="1">
        <f t="array" aca="1" ref="AP10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4" s="21">
        <f>Tabela1[[#This Row],[DATA PREV - EXAMES]]+$AQ$1</f>
        <v>45854</v>
      </c>
      <c r="AR104" s="74">
        <v>45856</v>
      </c>
      <c r="AS104" s="15" cm="1">
        <f t="array" aca="1" ref="AS10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04" s="21">
        <f>Tabela1[[#This Row],[DATA PREV - FORMS]]+$AT$1</f>
        <v>45846</v>
      </c>
      <c r="AU104" s="74">
        <v>45847</v>
      </c>
      <c r="AV104" s="15" cm="1">
        <f t="array" aca="1" ref="AV10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104" s="21">
        <f>Tabela1[[#This Row],[DATA PREV - TREINAMENTOS]]+$AW$1</f>
        <v>45853</v>
      </c>
      <c r="AX104" s="74">
        <v>45848</v>
      </c>
      <c r="AY104" s="15" cm="1">
        <f t="array" aca="1" ref="AY10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104" s="24">
        <v>45845</v>
      </c>
      <c r="BA104" s="74">
        <v>45867</v>
      </c>
      <c r="BB104" s="15" cm="1">
        <f t="array" aca="1" ref="BB10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23</v>
      </c>
      <c r="BC104" s="21">
        <f>Tabela1[[#This Row],[DATA PREV - CONCL. TREIN.]]+$BC$1</f>
        <v>45855</v>
      </c>
      <c r="BD104" s="74">
        <v>45867</v>
      </c>
      <c r="BE104" s="15" cm="1">
        <f t="array" aca="1" ref="BE10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13</v>
      </c>
      <c r="BF104" s="21">
        <f>Tabela1[[#This Row],[DATA PREV - DOSSIÊ]]+$BF$1</f>
        <v>45858</v>
      </c>
      <c r="BG104" s="74">
        <v>45867</v>
      </c>
      <c r="BH104" s="15" cm="1">
        <f t="array" aca="1" ref="BH10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04" s="21">
        <f>Tabela1[[#This Row],[DATA PREV - POSTAGEM]]+$BI$1</f>
        <v>45864</v>
      </c>
      <c r="BJ104" s="74">
        <v>45867</v>
      </c>
      <c r="BK104" s="15" cm="1">
        <f t="array" aca="1" ref="BK10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04" s="21">
        <f>Tabela1[[#This Row],[DATA PREV - APROV FINAL]]+$BL$1</f>
        <v>45865</v>
      </c>
      <c r="BM104" s="74">
        <v>45867</v>
      </c>
      <c r="BN104" s="15" cm="1">
        <f t="array" aca="1" ref="BN10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04" s="80" t="s">
        <v>439</v>
      </c>
    </row>
    <row r="105" spans="2:67" ht="18" hidden="1" customHeight="1" x14ac:dyDescent="0.35">
      <c r="B105" s="14" t="s">
        <v>119</v>
      </c>
      <c r="C105" s="16" t="s">
        <v>136</v>
      </c>
      <c r="D105" s="16" t="s">
        <v>119</v>
      </c>
      <c r="E105" s="16"/>
      <c r="F105" s="16" t="s">
        <v>251</v>
      </c>
      <c r="G105" s="16" cm="1">
        <f t="array" ref="G105">_xlfn.IFS(Tabela1[[#This Row],[STATUS PROCESSO MOBILIZAÇÃO]]="Finalizado",1,Tabela1[[#This Row],[STATUS PROCESSO MOBILIZAÇÃO]]="Cancelado",2,Tabela1[[#This Row],[STATUS PROCESSO MOBILIZAÇÃO]]="Em andamento",3)</f>
        <v>2</v>
      </c>
      <c r="H105" s="16" cm="1">
        <f t="array" aca="1" ref="H10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FORMS]]="",$AM105&gt;$AK$1),2,
AND(Tabela1[[#This Row],[STATUS PROCESSO MOBILIZAÇÃO]]="Em andamento",Tabela1[[#This Row],[DATA REAL - FORMS]]="",$AM105&lt;=$AK$1),3,
AND(Tabela1[[#This Row],[STATUS PROCESSO MOBILIZAÇÃO]]="Em andamento",Tabela1[[#This Row],[DATA REAL - FORMS]]&lt;&gt;""),1)</f>
        <v>1</v>
      </c>
      <c r="I105" s="16" cm="1">
        <f t="array" aca="1" ref="I10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EXAMES]]="",$AP105&gt;$AN$1),2,
AND(Tabela1[[#This Row],[STATUS PROCESSO MOBILIZAÇÃO]]="Em andamento",Tabela1[[#This Row],[DATA REAL - EXAMES]]="",$AP105&lt;=$AN$1),3,
AND(Tabela1[[#This Row],[STATUS PROCESSO MOBILIZAÇÃO]]="Em andamento",Tabela1[[#This Row],[DATA REAL - EXAMES]]&lt;&gt;""),1)</f>
        <v>0</v>
      </c>
      <c r="J105" s="16" cm="1">
        <f t="array" aca="1" ref="J10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ASO]]="",$AS105&gt;$AQ$1),2,
AND(Tabela1[[#This Row],[STATUS PROCESSO MOBILIZAÇÃO]]="Em andamento",Tabela1[[#This Row],[DATA REAL - ASO]]="",$AS105&lt;=$AQ$1),3,
AND(Tabela1[[#This Row],[STATUS PROCESSO MOBILIZAÇÃO]]="Em andamento",Tabela1[[#This Row],[DATA REAL - ASO]]&lt;&gt;""),1)</f>
        <v>0</v>
      </c>
      <c r="K105" s="15" cm="1">
        <f t="array" aca="1" ref="K10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TREINAMENTOS]]="",$AV105&gt;$AT$1),2,
AND(Tabela1[[#This Row],[STATUS PROCESSO MOBILIZAÇÃO]]="Em andamento",Tabela1[[#This Row],[DATA REAL - TREINAMENTOS]]="",$AV105&lt;=$AT$1),3,
AND(Tabela1[[#This Row],[STATUS PROCESSO MOBILIZAÇÃO]]="Em andamento",Tabela1[[#This Row],[DATA REAL - TREINAMENTOS]]&lt;&gt;""),1)</f>
        <v>0</v>
      </c>
      <c r="L105" s="15" cm="1">
        <f t="array" aca="1" ref="L10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TREIN.]]="",$AY105&gt;$AW$1),2,
AND(Tabela1[[#This Row],[STATUS PROCESSO MOBILIZAÇÃO]]="Em andamento",Tabela1[[#This Row],[DATA REAL - CONCL. TREIN.]]="",$AY105&lt;=$AW$1),3,
AND(Tabela1[[#This Row],[STATUS PROCESSO MOBILIZAÇÃO]]="Em andamento",Tabela1[[#This Row],[DATA REAL - CONCL. TREIN.]]&lt;&gt;""),1)</f>
        <v>0</v>
      </c>
      <c r="M105" s="15" cm="1">
        <f t="array" aca="1" ref="M10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CONTRATUAL]]="",$BB105&gt;$AZ$1),2,
AND(Tabela1[[#This Row],[STATUS PROCESSO MOBILIZAÇÃO]]="Em andamento",Tabela1[[#This Row],[DATA FIM - ALTER. CONTRATUAL]]="",$BB105&lt;=$AZ$1),3,
AND(Tabela1[[#This Row],[STATUS PROCESSO MOBILIZAÇÃO]]="Em andamento",Tabela1[[#This Row],[DATA FIM - ALTER. CONTRATUAL]]&lt;&gt;""),1)</f>
        <v>0</v>
      </c>
      <c r="N105" s="16" cm="1">
        <f t="array" aca="1" ref="N10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DOSSIÊ]]="",$BE105&gt;$BC$1),2,
AND(Tabela1[[#This Row],[STATUS PROCESSO MOBILIZAÇÃO]]="Em andamento",Tabela1[[#This Row],[DATA REAL - DOSSIÊ]]="",$BE105&lt;=$BC$1),3,
AND(Tabela1[[#This Row],[STATUS PROCESSO MOBILIZAÇÃO]]="Em andamento",Tabela1[[#This Row],[DATA REAL - DOSSIÊ]]&lt;&gt;""),1)</f>
        <v>0</v>
      </c>
      <c r="O105" s="16" cm="1">
        <f t="array" aca="1" ref="O10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POSTAGEM]]="",$BH105&gt;$BF$1),2,
AND(Tabela1[[#This Row],[STATUS PROCESSO MOBILIZAÇÃO]]="Em andamento",Tabela1[[#This Row],[DATA REAL - POSTAGEM]]="",$BH105&lt;=$BF$1),3,
AND(Tabela1[[#This Row],[STATUS PROCESSO MOBILIZAÇÃO]]="Em andamento",Tabela1[[#This Row],[DATA REAL - POSTAGEM]]&lt;&gt;""),1)</f>
        <v>0</v>
      </c>
      <c r="P105" s="16" cm="1">
        <f t="array" aca="1" ref="P10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FINAL]]="",$BK105&gt;$BI$1),2,
AND(Tabela1[[#This Row],[STATUS PROCESSO MOBILIZAÇÃO]]="Em andamento",Tabela1[[#This Row],[DATA REAL - APROV FINAL]]="",$BK105&lt;=$BI$1),3,
AND(Tabela1[[#This Row],[STATUS PROCESSO MOBILIZAÇÃO]]="Em andamento",Tabela1[[#This Row],[DATA REAL - APROV FINAL]]&lt;&gt;""),1)</f>
        <v>0</v>
      </c>
      <c r="Q105" s="15" cm="1">
        <f t="array" aca="1" ref="Q10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CRACHÁ]]="",$BN105&gt;$BL$1),2,
AND(Tabela1[[#This Row],[STATUS PROCESSO MOBILIZAÇÃO]]="Em andamento",Tabela1[[#This Row],[DATA REAL - CRACHÁ]]="",$BN105&lt;=$BL$1),3,
AND(Tabela1[[#This Row],[STATUS PROCESSO MOBILIZAÇÃO]]="Em andamento",Tabela1[[#This Row],[DATA REAL - CRACHÁ]]&lt;&gt;""),1)</f>
        <v>1</v>
      </c>
      <c r="R105" s="21">
        <f>IF(Tabela1[[#This Row],[DATA REAL - FORMS]]&lt;&gt;"",Tabela1[[#This Row],[DATA REAL - FORMS]]+30,Tabela1[[#This Row],[DATA PREV - FORMS]]+35)</f>
        <v>45875</v>
      </c>
      <c r="S10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45853</v>
      </c>
      <c r="T10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277</v>
      </c>
      <c r="U10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269</v>
      </c>
      <c r="V105" s="49">
        <f>MAX(Tabela1[[#This Row],[DATA REAL - POSTAGEM]],Tabela1[[#This Row],[DATA REAL - APROV FINAL]],Tabela1[[#This Row],[DATA REAL - CRACHÁ]])-MIN(Tabela1[[#This Row],[DATA REAL - POSTAGEM]],Tabela1[[#This Row],[DATA REAL - APROV FINAL]],Tabela1[[#This Row],[DATA REAL - CRACHÁ]])+1</f>
        <v>1</v>
      </c>
      <c r="W10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5" s="15" t="s">
        <v>83</v>
      </c>
      <c r="Y105" s="16" t="s">
        <v>84</v>
      </c>
      <c r="Z105" s="18" t="s">
        <v>85</v>
      </c>
      <c r="AA105" s="18" t="s">
        <v>86</v>
      </c>
      <c r="AB105" s="16" t="s">
        <v>97</v>
      </c>
      <c r="AC105" s="16" t="s">
        <v>98</v>
      </c>
      <c r="AD105" s="16"/>
      <c r="AE105" s="16" t="s">
        <v>440</v>
      </c>
      <c r="AF105" s="16" t="s">
        <v>112</v>
      </c>
      <c r="AG105" s="16" t="str">
        <f>_xlfn.XLOOKUP(Tabela1[[#This Row],[CÓD. CT]],Controle_Projetos[COD CT],Controle_Projetos[COD PHD],"")</f>
        <v>SALU-CT09-COBR</v>
      </c>
      <c r="AH105" s="21"/>
      <c r="AI105" s="75">
        <v>45576</v>
      </c>
      <c r="AJ105" s="16" t="str" cm="1">
        <f t="array" aca="1" ref="AJ10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5" s="21">
        <v>45845</v>
      </c>
      <c r="AL105" s="74">
        <v>45845</v>
      </c>
      <c r="AM105" s="16" cm="1">
        <f t="array" aca="1" ref="AM10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5" s="21">
        <f>Tabela1[[#This Row],[DATA PREV - FORMS]]+$AN$1</f>
        <v>45852</v>
      </c>
      <c r="AO105" s="74"/>
      <c r="AP105" s="16" cm="1">
        <f t="array" aca="1" ref="AP10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05" s="21">
        <f>Tabela1[[#This Row],[DATA PREV - EXAMES]]+$AQ$1</f>
        <v>45854</v>
      </c>
      <c r="AR105" s="74"/>
      <c r="AS105" s="15" cm="1">
        <f t="array" aca="1" ref="AS10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05" s="21">
        <f>Tabela1[[#This Row],[DATA PREV - FORMS]]+$AT$1</f>
        <v>45846</v>
      </c>
      <c r="AU105" s="74"/>
      <c r="AV105" s="15" cm="1">
        <f t="array" aca="1" ref="AV10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05" s="21">
        <f>Tabela1[[#This Row],[DATA PREV - TREINAMENTOS]]+$AW$1</f>
        <v>45853</v>
      </c>
      <c r="AX105" s="74"/>
      <c r="AY105" s="15" cm="1">
        <f t="array" aca="1" ref="AY10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05" s="24">
        <v>45749</v>
      </c>
      <c r="BA105" s="74"/>
      <c r="BB105" s="15" cm="1">
        <f t="array" aca="1" ref="BB10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05" s="21">
        <f>Tabela1[[#This Row],[DATA PREV - CONCL. TREIN.]]+$BC$1</f>
        <v>45855</v>
      </c>
      <c r="BD105" s="74"/>
      <c r="BE105" s="15" cm="1">
        <f t="array" aca="1" ref="BE10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05" s="21">
        <f>Tabela1[[#This Row],[DATA PREV - DOSSIÊ]]+$BF$1</f>
        <v>45858</v>
      </c>
      <c r="BG105" s="74"/>
      <c r="BH105" s="15" cm="1">
        <f t="array" aca="1" ref="BH10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05" s="21">
        <f>Tabela1[[#This Row],[DATA PREV - POSTAGEM]]+$BI$1</f>
        <v>45864</v>
      </c>
      <c r="BJ105" s="74"/>
      <c r="BK105" s="15" cm="1">
        <f t="array" aca="1" ref="BK10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05" s="21">
        <f>Tabela1[[#This Row],[DATA PREV - APROV FINAL]]+$BL$1</f>
        <v>45865</v>
      </c>
      <c r="BM105" s="74">
        <v>45853</v>
      </c>
      <c r="BN105" s="15" cm="1">
        <f t="array" aca="1" ref="BN10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105" s="80" t="s">
        <v>441</v>
      </c>
    </row>
    <row r="106" spans="2:67" ht="18" hidden="1" customHeight="1" x14ac:dyDescent="0.35">
      <c r="B106" s="14" t="s">
        <v>119</v>
      </c>
      <c r="C106" s="16" t="s">
        <v>136</v>
      </c>
      <c r="D106" s="16" t="s">
        <v>119</v>
      </c>
      <c r="E106" s="16"/>
      <c r="F106" s="16" t="s">
        <v>244</v>
      </c>
      <c r="G106" s="16" cm="1">
        <f t="array" ref="G106">_xlfn.IFS(Tabela1[[#This Row],[STATUS PROCESSO MOBILIZAÇÃO]]="Finalizado",1,Tabela1[[#This Row],[STATUS PROCESSO MOBILIZAÇÃO]]="Cancelado",2,Tabela1[[#This Row],[STATUS PROCESSO MOBILIZAÇÃO]]="Em andamento",3)</f>
        <v>2</v>
      </c>
      <c r="H106" s="16" cm="1">
        <f t="array" aca="1" ref="H10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FORMS]]="",$AM106&gt;$AK$1),2,
AND(Tabela1[[#This Row],[STATUS PROCESSO MOBILIZAÇÃO]]="Em andamento",Tabela1[[#This Row],[DATA REAL - FORMS]]="",$AM106&lt;=$AK$1),3,
AND(Tabela1[[#This Row],[STATUS PROCESSO MOBILIZAÇÃO]]="Em andamento",Tabela1[[#This Row],[DATA REAL - FORMS]]&lt;&gt;""),1)</f>
        <v>1</v>
      </c>
      <c r="I106" s="16" cm="1">
        <f t="array" aca="1" ref="I10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EXAMES]]="",$AP106&gt;$AN$1),2,
AND(Tabela1[[#This Row],[STATUS PROCESSO MOBILIZAÇÃO]]="Em andamento",Tabela1[[#This Row],[DATA REAL - EXAMES]]="",$AP106&lt;=$AN$1),3,
AND(Tabela1[[#This Row],[STATUS PROCESSO MOBILIZAÇÃO]]="Em andamento",Tabela1[[#This Row],[DATA REAL - EXAMES]]&lt;&gt;""),1)</f>
        <v>1</v>
      </c>
      <c r="J106" s="16" cm="1">
        <f t="array" aca="1" ref="J10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ASO]]="",$AS106&gt;$AQ$1),2,
AND(Tabela1[[#This Row],[STATUS PROCESSO MOBILIZAÇÃO]]="Em andamento",Tabela1[[#This Row],[DATA REAL - ASO]]="",$AS106&lt;=$AQ$1),3,
AND(Tabela1[[#This Row],[STATUS PROCESSO MOBILIZAÇÃO]]="Em andamento",Tabela1[[#This Row],[DATA REAL - ASO]]&lt;&gt;""),1)</f>
        <v>1</v>
      </c>
      <c r="K106" s="15" cm="1">
        <f t="array" aca="1" ref="K10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TREINAMENTOS]]="",$AV106&gt;$AT$1),2,
AND(Tabela1[[#This Row],[STATUS PROCESSO MOBILIZAÇÃO]]="Em andamento",Tabela1[[#This Row],[DATA REAL - TREINAMENTOS]]="",$AV106&lt;=$AT$1),3,
AND(Tabela1[[#This Row],[STATUS PROCESSO MOBILIZAÇÃO]]="Em andamento",Tabela1[[#This Row],[DATA REAL - TREINAMENTOS]]&lt;&gt;""),1)</f>
        <v>1</v>
      </c>
      <c r="L106" s="15" cm="1">
        <f t="array" aca="1" ref="L10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TREIN.]]="",$AY106&gt;$AW$1),2,
AND(Tabela1[[#This Row],[STATUS PROCESSO MOBILIZAÇÃO]]="Em andamento",Tabela1[[#This Row],[DATA REAL - CONCL. TREIN.]]="",$AY106&lt;=$AW$1),3,
AND(Tabela1[[#This Row],[STATUS PROCESSO MOBILIZAÇÃO]]="Em andamento",Tabela1[[#This Row],[DATA REAL - CONCL. TREIN.]]&lt;&gt;""),1)</f>
        <v>1</v>
      </c>
      <c r="M106" s="15" cm="1">
        <f t="array" aca="1" ref="M10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CONTRATUAL]]="",$BB106&gt;$AZ$1),2,
AND(Tabela1[[#This Row],[STATUS PROCESSO MOBILIZAÇÃO]]="Em andamento",Tabela1[[#This Row],[DATA FIM - ALTER. CONTRATUAL]]="",$BB106&lt;=$AZ$1),3,
AND(Tabela1[[#This Row],[STATUS PROCESSO MOBILIZAÇÃO]]="Em andamento",Tabela1[[#This Row],[DATA FIM - ALTER. CONTRATUAL]]&lt;&gt;""),1)</f>
        <v>1</v>
      </c>
      <c r="N106" s="16" cm="1">
        <f t="array" aca="1" ref="N10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DOSSIÊ]]="",$BE106&gt;$BC$1),2,
AND(Tabela1[[#This Row],[STATUS PROCESSO MOBILIZAÇÃO]]="Em andamento",Tabela1[[#This Row],[DATA REAL - DOSSIÊ]]="",$BE106&lt;=$BC$1),3,
AND(Tabela1[[#This Row],[STATUS PROCESSO MOBILIZAÇÃO]]="Em andamento",Tabela1[[#This Row],[DATA REAL - DOSSIÊ]]&lt;&gt;""),1)</f>
        <v>1</v>
      </c>
      <c r="O106" s="16" cm="1">
        <f t="array" aca="1" ref="O10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POSTAGEM]]="",$BH106&gt;$BF$1),2,
AND(Tabela1[[#This Row],[STATUS PROCESSO MOBILIZAÇÃO]]="Em andamento",Tabela1[[#This Row],[DATA REAL - POSTAGEM]]="",$BH106&lt;=$BF$1),3,
AND(Tabela1[[#This Row],[STATUS PROCESSO MOBILIZAÇÃO]]="Em andamento",Tabela1[[#This Row],[DATA REAL - POSTAGEM]]&lt;&gt;""),1)</f>
        <v>0</v>
      </c>
      <c r="P106" s="16" cm="1">
        <f t="array" aca="1" ref="P10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FINAL]]="",$BK106&gt;$BI$1),2,
AND(Tabela1[[#This Row],[STATUS PROCESSO MOBILIZAÇÃO]]="Em andamento",Tabela1[[#This Row],[DATA REAL - APROV FINAL]]="",$BK106&lt;=$BI$1),3,
AND(Tabela1[[#This Row],[STATUS PROCESSO MOBILIZAÇÃO]]="Em andamento",Tabela1[[#This Row],[DATA REAL - APROV FINAL]]&lt;&gt;""),1)</f>
        <v>1</v>
      </c>
      <c r="Q106" s="15" cm="1">
        <f t="array" aca="1" ref="Q10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CRACHÁ]]="",$BN106&gt;$BL$1),2,
AND(Tabela1[[#This Row],[STATUS PROCESSO MOBILIZAÇÃO]]="Em andamento",Tabela1[[#This Row],[DATA REAL - CRACHÁ]]="",$BN106&lt;=$BL$1),3,
AND(Tabela1[[#This Row],[STATUS PROCESSO MOBILIZAÇÃO]]="Em andamento",Tabela1[[#This Row],[DATA REAL - CRACHÁ]]&lt;&gt;""),1)</f>
        <v>1</v>
      </c>
      <c r="R106" s="21">
        <f>IF(Tabela1[[#This Row],[DATA REAL - FORMS]]&lt;&gt;"",Tabela1[[#This Row],[DATA REAL - FORMS]]+30,Tabela1[[#This Row],[DATA PREV - FORMS]]+35)</f>
        <v>45884</v>
      </c>
      <c r="S10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45863</v>
      </c>
      <c r="T10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287</v>
      </c>
      <c r="U10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284</v>
      </c>
      <c r="V106" s="49">
        <f>MAX(Tabela1[[#This Row],[DATA REAL - POSTAGEM]],Tabela1[[#This Row],[DATA REAL - APROV FINAL]],Tabela1[[#This Row],[DATA REAL - CRACHÁ]])-MIN(Tabela1[[#This Row],[DATA REAL - POSTAGEM]],Tabela1[[#This Row],[DATA REAL - APROV FINAL]],Tabela1[[#This Row],[DATA REAL - CRACHÁ]])+1</f>
        <v>1</v>
      </c>
      <c r="W10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6" s="15" t="s">
        <v>83</v>
      </c>
      <c r="Y106" s="16" t="s">
        <v>84</v>
      </c>
      <c r="Z106" s="18" t="s">
        <v>85</v>
      </c>
      <c r="AA106" s="18" t="s">
        <v>86</v>
      </c>
      <c r="AB106" s="16" t="s">
        <v>97</v>
      </c>
      <c r="AC106" s="16" t="s">
        <v>98</v>
      </c>
      <c r="AD106" s="16"/>
      <c r="AE106" s="16" t="s">
        <v>440</v>
      </c>
      <c r="AF106" s="16" t="s">
        <v>112</v>
      </c>
      <c r="AG106" s="16" t="str">
        <f>_xlfn.XLOOKUP(Tabela1[[#This Row],[CÓD. CT]],Controle_Projetos[COD CT],Controle_Projetos[COD PHD],"")</f>
        <v>SALU-CT09-COBR</v>
      </c>
      <c r="AH106" s="21"/>
      <c r="AI106" s="75">
        <v>45576</v>
      </c>
      <c r="AJ106" s="16" t="str" cm="1">
        <f t="array" aca="1" ref="AJ10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6" s="21">
        <v>45854</v>
      </c>
      <c r="AL106" s="74">
        <v>45854</v>
      </c>
      <c r="AM106" s="16" cm="1">
        <f t="array" aca="1" ref="AM10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6" s="21">
        <f>Tabela1[[#This Row],[DATA PREV - FORMS]]+$AN$1</f>
        <v>45861</v>
      </c>
      <c r="AO106" s="74">
        <v>45854</v>
      </c>
      <c r="AP106" s="16" cm="1">
        <f t="array" aca="1" ref="AP10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6" s="21">
        <f>Tabela1[[#This Row],[DATA PREV - EXAMES]]+$AQ$1</f>
        <v>45863</v>
      </c>
      <c r="AR106" s="74">
        <v>45855</v>
      </c>
      <c r="AS106" s="15" cm="1">
        <f t="array" aca="1" ref="AS10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06" s="21">
        <f>Tabela1[[#This Row],[DATA PREV - FORMS]]+$AT$1</f>
        <v>45855</v>
      </c>
      <c r="AU106" s="74">
        <v>45854</v>
      </c>
      <c r="AV106" s="15" cm="1">
        <f t="array" aca="1" ref="AV10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06" s="21">
        <f>Tabela1[[#This Row],[DATA PREV - TREINAMENTOS]]+$AW$1</f>
        <v>45862</v>
      </c>
      <c r="AX106" s="74">
        <v>45860</v>
      </c>
      <c r="AY106" s="15" cm="1">
        <f t="array" aca="1" ref="AY10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06" s="24">
        <v>45671</v>
      </c>
      <c r="BA106" s="74">
        <v>45854</v>
      </c>
      <c r="BB106" s="15" cm="1">
        <f t="array" aca="1" ref="BB10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184</v>
      </c>
      <c r="BC106" s="21">
        <f>Tabela1[[#This Row],[DATA PREV - CONCL. TREIN.]]+$BC$1</f>
        <v>45864</v>
      </c>
      <c r="BD106" s="74">
        <v>45860</v>
      </c>
      <c r="BE106" s="15" cm="1">
        <f t="array" aca="1" ref="BE10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06" s="21">
        <f>Tabela1[[#This Row],[DATA PREV - DOSSIÊ]]+$BF$1</f>
        <v>45867</v>
      </c>
      <c r="BG106" s="74"/>
      <c r="BH106" s="15" cm="1">
        <f t="array" aca="1" ref="BH10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06" s="21">
        <f>Tabela1[[#This Row],[DATA PREV - POSTAGEM]]+$BI$1</f>
        <v>45873</v>
      </c>
      <c r="BJ106" s="74">
        <v>45863</v>
      </c>
      <c r="BK106" s="15" cm="1">
        <f t="array" aca="1" ref="BK10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106" s="21">
        <f>Tabela1[[#This Row],[DATA PREV - APROV FINAL]]+$BL$1</f>
        <v>45874</v>
      </c>
      <c r="BM106" s="74">
        <v>45863</v>
      </c>
      <c r="BN106" s="15" cm="1">
        <f t="array" aca="1" ref="BN10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106" s="80" t="s">
        <v>442</v>
      </c>
    </row>
    <row r="107" spans="2:67" ht="18" hidden="1" customHeight="1" x14ac:dyDescent="0.35">
      <c r="B107" s="14" t="s">
        <v>79</v>
      </c>
      <c r="C107" s="16" t="s">
        <v>136</v>
      </c>
      <c r="D107" s="16" t="s">
        <v>108</v>
      </c>
      <c r="E107" s="16"/>
      <c r="F107" s="16" t="s">
        <v>443</v>
      </c>
      <c r="G107" s="16" cm="1">
        <f t="array" ref="G107">_xlfn.IFS(Tabela1[[#This Row],[STATUS PROCESSO MOBILIZAÇÃO]]="Finalizado",1,Tabela1[[#This Row],[STATUS PROCESSO MOBILIZAÇÃO]]="Cancelado",2,Tabela1[[#This Row],[STATUS PROCESSO MOBILIZAÇÃO]]="Em andamento",3)</f>
        <v>1</v>
      </c>
      <c r="H107" s="16" cm="1">
        <f t="array" aca="1" ref="H10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FORMS]]="",$AM107&gt;$AK$1),2,
AND(Tabela1[[#This Row],[STATUS PROCESSO MOBILIZAÇÃO]]="Em andamento",Tabela1[[#This Row],[DATA REAL - FORMS]]="",$AM107&lt;=$AK$1),3,
AND(Tabela1[[#This Row],[STATUS PROCESSO MOBILIZAÇÃO]]="Em andamento",Tabela1[[#This Row],[DATA REAL - FORMS]]&lt;&gt;""),1)</f>
        <v>1</v>
      </c>
      <c r="I107" s="16" cm="1">
        <f t="array" aca="1" ref="I10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EXAMES]]="",$AP107&gt;$AN$1),2,
AND(Tabela1[[#This Row],[STATUS PROCESSO MOBILIZAÇÃO]]="Em andamento",Tabela1[[#This Row],[DATA REAL - EXAMES]]="",$AP107&lt;=$AN$1),3,
AND(Tabela1[[#This Row],[STATUS PROCESSO MOBILIZAÇÃO]]="Em andamento",Tabela1[[#This Row],[DATA REAL - EXAMES]]&lt;&gt;""),1)</f>
        <v>1</v>
      </c>
      <c r="J107" s="16" cm="1">
        <f t="array" aca="1" ref="J10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ASO]]="",$AS107&gt;$AQ$1),2,
AND(Tabela1[[#This Row],[STATUS PROCESSO MOBILIZAÇÃO]]="Em andamento",Tabela1[[#This Row],[DATA REAL - ASO]]="",$AS107&lt;=$AQ$1),3,
AND(Tabela1[[#This Row],[STATUS PROCESSO MOBILIZAÇÃO]]="Em andamento",Tabela1[[#This Row],[DATA REAL - ASO]]&lt;&gt;""),1)</f>
        <v>1</v>
      </c>
      <c r="K107" s="15" cm="1">
        <f t="array" aca="1" ref="K10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TREINAMENTOS]]="",$AV107&gt;$AT$1),2,
AND(Tabela1[[#This Row],[STATUS PROCESSO MOBILIZAÇÃO]]="Em andamento",Tabela1[[#This Row],[DATA REAL - TREINAMENTOS]]="",$AV107&lt;=$AT$1),3,
AND(Tabela1[[#This Row],[STATUS PROCESSO MOBILIZAÇÃO]]="Em andamento",Tabela1[[#This Row],[DATA REAL - TREINAMENTOS]]&lt;&gt;""),1)</f>
        <v>1</v>
      </c>
      <c r="L107" s="15" cm="1">
        <f t="array" aca="1" ref="L10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TREIN.]]="",$AY107&gt;$AW$1),2,
AND(Tabela1[[#This Row],[STATUS PROCESSO MOBILIZAÇÃO]]="Em andamento",Tabela1[[#This Row],[DATA REAL - CONCL. TREIN.]]="",$AY107&lt;=$AW$1),3,
AND(Tabela1[[#This Row],[STATUS PROCESSO MOBILIZAÇÃO]]="Em andamento",Tabela1[[#This Row],[DATA REAL - CONCL. TREIN.]]&lt;&gt;""),1)</f>
        <v>1</v>
      </c>
      <c r="M107" s="15" cm="1">
        <f t="array" aca="1" ref="M10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CONTRATUAL]]="",$BB107&gt;$AZ$1),2,
AND(Tabela1[[#This Row],[STATUS PROCESSO MOBILIZAÇÃO]]="Em andamento",Tabela1[[#This Row],[DATA FIM - ALTER. CONTRATUAL]]="",$BB107&lt;=$AZ$1),3,
AND(Tabela1[[#This Row],[STATUS PROCESSO MOBILIZAÇÃO]]="Em andamento",Tabela1[[#This Row],[DATA FIM - ALTER. CONTRATUAL]]&lt;&gt;""),1)</f>
        <v>1</v>
      </c>
      <c r="N107" s="16" cm="1">
        <f t="array" aca="1" ref="N10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DOSSIÊ]]="",$BE107&gt;$BC$1),2,
AND(Tabela1[[#This Row],[STATUS PROCESSO MOBILIZAÇÃO]]="Em andamento",Tabela1[[#This Row],[DATA REAL - DOSSIÊ]]="",$BE107&lt;=$BC$1),3,
AND(Tabela1[[#This Row],[STATUS PROCESSO MOBILIZAÇÃO]]="Em andamento",Tabela1[[#This Row],[DATA REAL - DOSSIÊ]]&lt;&gt;""),1)</f>
        <v>1</v>
      </c>
      <c r="O107" s="16" cm="1">
        <f t="array" aca="1" ref="O10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POSTAGEM]]="",$BH107&gt;$BF$1),2,
AND(Tabela1[[#This Row],[STATUS PROCESSO MOBILIZAÇÃO]]="Em andamento",Tabela1[[#This Row],[DATA REAL - POSTAGEM]]="",$BH107&lt;=$BF$1),3,
AND(Tabela1[[#This Row],[STATUS PROCESSO MOBILIZAÇÃO]]="Em andamento",Tabela1[[#This Row],[DATA REAL - POSTAGEM]]&lt;&gt;""),1)</f>
        <v>1</v>
      </c>
      <c r="P107" s="16" cm="1">
        <f t="array" aca="1" ref="P10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FINAL]]="",$BK107&gt;$BI$1),2,
AND(Tabela1[[#This Row],[STATUS PROCESSO MOBILIZAÇÃO]]="Em andamento",Tabela1[[#This Row],[DATA REAL - APROV FINAL]]="",$BK107&lt;=$BI$1),3,
AND(Tabela1[[#This Row],[STATUS PROCESSO MOBILIZAÇÃO]]="Em andamento",Tabela1[[#This Row],[DATA REAL - APROV FINAL]]&lt;&gt;""),1)</f>
        <v>1</v>
      </c>
      <c r="Q107" s="15" cm="1">
        <f t="array" aca="1" ref="Q10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CRACHÁ]]="",$BN107&gt;$BL$1),2,
AND(Tabela1[[#This Row],[STATUS PROCESSO MOBILIZAÇÃO]]="Em andamento",Tabela1[[#This Row],[DATA REAL - CRACHÁ]]="",$BN107&lt;=$BL$1),3,
AND(Tabela1[[#This Row],[STATUS PROCESSO MOBILIZAÇÃO]]="Em andamento",Tabela1[[#This Row],[DATA REAL - CRACHÁ]]&lt;&gt;""),1)</f>
        <v>1</v>
      </c>
      <c r="R107" s="21">
        <f>IF(Tabela1[[#This Row],[DATA REAL - FORMS]]&lt;&gt;"",Tabela1[[#This Row],[DATA REAL - FORMS]]+30,Tabela1[[#This Row],[DATA PREV - FORMS]]+35)</f>
        <v>45889</v>
      </c>
      <c r="S10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45875</v>
      </c>
      <c r="T10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118</v>
      </c>
      <c r="U10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116</v>
      </c>
      <c r="V107" s="49">
        <f>MAX(Tabela1[[#This Row],[DATA REAL - POSTAGEM]],Tabela1[[#This Row],[DATA REAL - APROV FINAL]],Tabela1[[#This Row],[DATA REAL - CRACHÁ]])-MIN(Tabela1[[#This Row],[DATA REAL - POSTAGEM]],Tabela1[[#This Row],[DATA REAL - APROV FINAL]],Tabela1[[#This Row],[DATA REAL - CRACHÁ]])+1</f>
        <v>3</v>
      </c>
      <c r="W10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7" s="15" t="s">
        <v>172</v>
      </c>
      <c r="Y107" s="16" t="s">
        <v>150</v>
      </c>
      <c r="Z107" s="18" t="s">
        <v>173</v>
      </c>
      <c r="AA107" s="18" t="s">
        <v>152</v>
      </c>
      <c r="AB107" s="16" t="s">
        <v>97</v>
      </c>
      <c r="AC107" s="16" t="s">
        <v>357</v>
      </c>
      <c r="AD107" s="16" t="s">
        <v>357</v>
      </c>
      <c r="AE107" s="16" t="s">
        <v>358</v>
      </c>
      <c r="AF107" s="16" t="s">
        <v>359</v>
      </c>
      <c r="AG107" s="16" t="str">
        <f>_xlfn.XLOOKUP(Tabela1[[#This Row],[CÓD. CT]],Controle_Projetos[COD CT],Controle_Projetos[COD PHD],"")</f>
        <v>BEMI-CT02-GERE</v>
      </c>
      <c r="AH107" s="21"/>
      <c r="AI107" s="75">
        <v>45757</v>
      </c>
      <c r="AJ107" s="16" t="str" cm="1">
        <f t="array" aca="1" ref="AJ10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7" s="21">
        <v>45859</v>
      </c>
      <c r="AL107" s="74">
        <v>45859</v>
      </c>
      <c r="AM107" s="16" cm="1">
        <f t="array" aca="1" ref="AM10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7" s="21">
        <f>Tabela1[[#This Row],[DATA PREV - FORMS]]+$AN$1</f>
        <v>45866</v>
      </c>
      <c r="AO107" s="74">
        <v>45859</v>
      </c>
      <c r="AP107" s="16" cm="1">
        <f t="array" aca="1" ref="AP10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7" s="21">
        <f>Tabela1[[#This Row],[DATA PREV - EXAMES]]+$AQ$1</f>
        <v>45868</v>
      </c>
      <c r="AR107" s="74">
        <v>45861</v>
      </c>
      <c r="AS107" s="15" cm="1">
        <f t="array" aca="1" ref="AS10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07" s="21">
        <f>Tabela1[[#This Row],[DATA PREV - FORMS]]+$AT$1</f>
        <v>45860</v>
      </c>
      <c r="AU107" s="74">
        <v>45859</v>
      </c>
      <c r="AV107" s="15" cm="1">
        <f t="array" aca="1" ref="AV10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07" s="21">
        <f>Tabela1[[#This Row],[DATA PREV - TREINAMENTOS]]+$AW$1</f>
        <v>45867</v>
      </c>
      <c r="AX107" s="74">
        <v>45871</v>
      </c>
      <c r="AY107" s="15" cm="1">
        <f t="array" aca="1" ref="AY10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07" s="24">
        <v>45782</v>
      </c>
      <c r="BA107" s="74">
        <v>45859</v>
      </c>
      <c r="BB107" s="15" cm="1">
        <f t="array" aca="1" ref="BB10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78</v>
      </c>
      <c r="BC107" s="21">
        <f>Tabela1[[#This Row],[DATA PREV - CONCL. TREIN.]]+$BC$1</f>
        <v>45869</v>
      </c>
      <c r="BD107" s="74">
        <v>45873</v>
      </c>
      <c r="BE107" s="15" cm="1">
        <f t="array" aca="1" ref="BE10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07" s="21">
        <f>Tabela1[[#This Row],[DATA PREV - DOSSIÊ]]+$BF$1</f>
        <v>45872</v>
      </c>
      <c r="BG107" s="74">
        <v>45873</v>
      </c>
      <c r="BH107" s="15" cm="1">
        <f t="array" aca="1" ref="BH10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107" s="21">
        <f>Tabela1[[#This Row],[DATA PREV - POSTAGEM]]+$BI$1</f>
        <v>45878</v>
      </c>
      <c r="BJ107" s="74">
        <v>45875</v>
      </c>
      <c r="BK107" s="15" cm="1">
        <f t="array" aca="1" ref="BK10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07" s="21">
        <f>Tabela1[[#This Row],[DATA PREV - APROV FINAL]]+$BL$1</f>
        <v>45879</v>
      </c>
      <c r="BM107" s="74">
        <v>45875</v>
      </c>
      <c r="BN107" s="15" cm="1">
        <f t="array" aca="1" ref="BN10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07" s="80" t="s">
        <v>444</v>
      </c>
    </row>
    <row r="108" spans="2:67" ht="18" hidden="1" customHeight="1" x14ac:dyDescent="0.35">
      <c r="B108" s="14" t="s">
        <v>79</v>
      </c>
      <c r="C108" s="16" t="s">
        <v>136</v>
      </c>
      <c r="D108" s="16" t="s">
        <v>81</v>
      </c>
      <c r="E108" s="16"/>
      <c r="F108" s="16" t="s">
        <v>445</v>
      </c>
      <c r="G108" s="16" cm="1">
        <f t="array" ref="G108">_xlfn.IFS(Tabela1[[#This Row],[STATUS PROCESSO MOBILIZAÇÃO]]="Finalizado",1,Tabela1[[#This Row],[STATUS PROCESSO MOBILIZAÇÃO]]="Cancelado",2,Tabela1[[#This Row],[STATUS PROCESSO MOBILIZAÇÃO]]="Em andamento",3)</f>
        <v>1</v>
      </c>
      <c r="H108" s="16" cm="1">
        <f t="array" aca="1" ref="H10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FORMS]]="",$AM108&gt;$AK$1),2,
AND(Tabela1[[#This Row],[STATUS PROCESSO MOBILIZAÇÃO]]="Em andamento",Tabela1[[#This Row],[DATA REAL - FORMS]]="",$AM108&lt;=$AK$1),3,
AND(Tabela1[[#This Row],[STATUS PROCESSO MOBILIZAÇÃO]]="Em andamento",Tabela1[[#This Row],[DATA REAL - FORMS]]&lt;&gt;""),1)</f>
        <v>1</v>
      </c>
      <c r="I108" s="16" cm="1">
        <f t="array" aca="1" ref="I10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EXAMES]]="",$AP108&gt;$AN$1),2,
AND(Tabela1[[#This Row],[STATUS PROCESSO MOBILIZAÇÃO]]="Em andamento",Tabela1[[#This Row],[DATA REAL - EXAMES]]="",$AP108&lt;=$AN$1),3,
AND(Tabela1[[#This Row],[STATUS PROCESSO MOBILIZAÇÃO]]="Em andamento",Tabela1[[#This Row],[DATA REAL - EXAMES]]&lt;&gt;""),1)</f>
        <v>1</v>
      </c>
      <c r="J108" s="16" cm="1">
        <f t="array" aca="1" ref="J10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ASO]]="",$AS108&gt;$AQ$1),2,
AND(Tabela1[[#This Row],[STATUS PROCESSO MOBILIZAÇÃO]]="Em andamento",Tabela1[[#This Row],[DATA REAL - ASO]]="",$AS108&lt;=$AQ$1),3,
AND(Tabela1[[#This Row],[STATUS PROCESSO MOBILIZAÇÃO]]="Em andamento",Tabela1[[#This Row],[DATA REAL - ASO]]&lt;&gt;""),1)</f>
        <v>1</v>
      </c>
      <c r="K108" s="15" cm="1">
        <f t="array" aca="1" ref="K10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TREINAMENTOS]]="",$AV108&gt;$AT$1),2,
AND(Tabela1[[#This Row],[STATUS PROCESSO MOBILIZAÇÃO]]="Em andamento",Tabela1[[#This Row],[DATA REAL - TREINAMENTOS]]="",$AV108&lt;=$AT$1),3,
AND(Tabela1[[#This Row],[STATUS PROCESSO MOBILIZAÇÃO]]="Em andamento",Tabela1[[#This Row],[DATA REAL - TREINAMENTOS]]&lt;&gt;""),1)</f>
        <v>1</v>
      </c>
      <c r="L108" s="15" cm="1">
        <f t="array" aca="1" ref="L10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TREIN.]]="",$AY108&gt;$AW$1),2,
AND(Tabela1[[#This Row],[STATUS PROCESSO MOBILIZAÇÃO]]="Em andamento",Tabela1[[#This Row],[DATA REAL - CONCL. TREIN.]]="",$AY108&lt;=$AW$1),3,
AND(Tabela1[[#This Row],[STATUS PROCESSO MOBILIZAÇÃO]]="Em andamento",Tabela1[[#This Row],[DATA REAL - CONCL. TREIN.]]&lt;&gt;""),1)</f>
        <v>1</v>
      </c>
      <c r="M108" s="15" cm="1">
        <f t="array" aca="1" ref="M10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CONTRATUAL]]="",$BB108&gt;$AZ$1),2,
AND(Tabela1[[#This Row],[STATUS PROCESSO MOBILIZAÇÃO]]="Em andamento",Tabela1[[#This Row],[DATA FIM - ALTER. CONTRATUAL]]="",$BB108&lt;=$AZ$1),3,
AND(Tabela1[[#This Row],[STATUS PROCESSO MOBILIZAÇÃO]]="Em andamento",Tabela1[[#This Row],[DATA FIM - ALTER. CONTRATUAL]]&lt;&gt;""),1)</f>
        <v>1</v>
      </c>
      <c r="N108" s="16" cm="1">
        <f t="array" aca="1" ref="N10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DOSSIÊ]]="",$BE108&gt;$BC$1),2,
AND(Tabela1[[#This Row],[STATUS PROCESSO MOBILIZAÇÃO]]="Em andamento",Tabela1[[#This Row],[DATA REAL - DOSSIÊ]]="",$BE108&lt;=$BC$1),3,
AND(Tabela1[[#This Row],[STATUS PROCESSO MOBILIZAÇÃO]]="Em andamento",Tabela1[[#This Row],[DATA REAL - DOSSIÊ]]&lt;&gt;""),1)</f>
        <v>1</v>
      </c>
      <c r="O108" s="16" cm="1">
        <f t="array" aca="1" ref="O10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POSTAGEM]]="",$BH108&gt;$BF$1),2,
AND(Tabela1[[#This Row],[STATUS PROCESSO MOBILIZAÇÃO]]="Em andamento",Tabela1[[#This Row],[DATA REAL - POSTAGEM]]="",$BH108&lt;=$BF$1),3,
AND(Tabela1[[#This Row],[STATUS PROCESSO MOBILIZAÇÃO]]="Em andamento",Tabela1[[#This Row],[DATA REAL - POSTAGEM]]&lt;&gt;""),1)</f>
        <v>1</v>
      </c>
      <c r="P108" s="16" cm="1">
        <f t="array" aca="1" ref="P10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FINAL]]="",$BK108&gt;$BI$1),2,
AND(Tabela1[[#This Row],[STATUS PROCESSO MOBILIZAÇÃO]]="Em andamento",Tabela1[[#This Row],[DATA REAL - APROV FINAL]]="",$BK108&lt;=$BI$1),3,
AND(Tabela1[[#This Row],[STATUS PROCESSO MOBILIZAÇÃO]]="Em andamento",Tabela1[[#This Row],[DATA REAL - APROV FINAL]]&lt;&gt;""),1)</f>
        <v>1</v>
      </c>
      <c r="Q108" s="15" cm="1">
        <f t="array" aca="1" ref="Q10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CRACHÁ]]="",$BN108&gt;$BL$1),2,
AND(Tabela1[[#This Row],[STATUS PROCESSO MOBILIZAÇÃO]]="Em andamento",Tabela1[[#This Row],[DATA REAL - CRACHÁ]]="",$BN108&lt;=$BL$1),3,
AND(Tabela1[[#This Row],[STATUS PROCESSO MOBILIZAÇÃO]]="Em andamento",Tabela1[[#This Row],[DATA REAL - CRACHÁ]]&lt;&gt;""),1)</f>
        <v>1</v>
      </c>
      <c r="R108" s="21">
        <f>IF(Tabela1[[#This Row],[DATA REAL - FORMS]]&lt;&gt;"",Tabela1[[#This Row],[DATA REAL - FORMS]]+30,Tabela1[[#This Row],[DATA PREV - FORMS]]+35)</f>
        <v>45891</v>
      </c>
      <c r="S10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45895</v>
      </c>
      <c r="T10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42</v>
      </c>
      <c r="U10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108" s="49">
        <f>MAX(Tabela1[[#This Row],[DATA REAL - POSTAGEM]],Tabela1[[#This Row],[DATA REAL - APROV FINAL]],Tabela1[[#This Row],[DATA REAL - CRACHÁ]])-MIN(Tabela1[[#This Row],[DATA REAL - POSTAGEM]],Tabela1[[#This Row],[DATA REAL - APROV FINAL]],Tabela1[[#This Row],[DATA REAL - CRACHÁ]])+1</f>
        <v>8</v>
      </c>
      <c r="W10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08" s="15"/>
      <c r="Y108" s="16" t="s">
        <v>122</v>
      </c>
      <c r="Z108" s="18"/>
      <c r="AA108" s="18" t="s">
        <v>124</v>
      </c>
      <c r="AB108" s="16" t="s">
        <v>97</v>
      </c>
      <c r="AC108" s="16" t="s">
        <v>446</v>
      </c>
      <c r="AD108" s="16" t="s">
        <v>447</v>
      </c>
      <c r="AE108" s="16" t="s">
        <v>448</v>
      </c>
      <c r="AF108" s="16" t="s">
        <v>449</v>
      </c>
      <c r="AG108" s="16" t="str">
        <f>_xlfn.XLOOKUP(Tabela1[[#This Row],[CÓD. CT]],Controle_Projetos[COD CT],Controle_Projetos[COD PHD],"")</f>
        <v>CONO-CT02-EXCE</v>
      </c>
      <c r="AH108" s="21">
        <v>45852</v>
      </c>
      <c r="AI108" s="75">
        <v>45853</v>
      </c>
      <c r="AJ108" s="16" cm="1">
        <f t="array" aca="1" ref="AJ10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2</v>
      </c>
      <c r="AK108" s="21">
        <v>45861</v>
      </c>
      <c r="AL108" s="74">
        <v>45861</v>
      </c>
      <c r="AM108" s="16" cm="1">
        <f t="array" aca="1" ref="AM10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08" s="21">
        <f>Tabela1[[#This Row],[DATA PREV - FORMS]]+$AN$1</f>
        <v>45868</v>
      </c>
      <c r="AO108" s="74">
        <v>45861</v>
      </c>
      <c r="AP108" s="16" cm="1">
        <f t="array" aca="1" ref="AP10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8" s="21">
        <f>Tabela1[[#This Row],[DATA PREV - EXAMES]]+$AQ$1</f>
        <v>45870</v>
      </c>
      <c r="AR108" s="74">
        <v>45873</v>
      </c>
      <c r="AS108" s="15" cm="1">
        <f t="array" aca="1" ref="AS10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08" s="21">
        <f>Tabela1[[#This Row],[DATA PREV - FORMS]]+$AT$1</f>
        <v>45862</v>
      </c>
      <c r="AU108" s="74">
        <v>45861</v>
      </c>
      <c r="AV108" s="15" cm="1">
        <f t="array" aca="1" ref="AV10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08" s="21">
        <f>Tabela1[[#This Row],[DATA PREV - TREINAMENTOS]]+$AW$1</f>
        <v>45869</v>
      </c>
      <c r="AX108" s="74">
        <v>45861</v>
      </c>
      <c r="AY108" s="15" cm="1">
        <f t="array" aca="1" ref="AY10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08" s="24">
        <v>45637</v>
      </c>
      <c r="BA108" s="74">
        <v>45861</v>
      </c>
      <c r="BB108" s="15" cm="1">
        <f t="array" aca="1" ref="BB10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225</v>
      </c>
      <c r="BC108" s="21">
        <f>Tabela1[[#This Row],[DATA PREV - CONCL. TREIN.]]+$BC$1</f>
        <v>45871</v>
      </c>
      <c r="BD108" s="74">
        <v>45880</v>
      </c>
      <c r="BE108" s="15" cm="1">
        <f t="array" aca="1" ref="BE10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10</v>
      </c>
      <c r="BF108" s="21">
        <f>Tabela1[[#This Row],[DATA PREV - DOSSIÊ]]+$BF$1</f>
        <v>45874</v>
      </c>
      <c r="BG108" s="74">
        <v>45888</v>
      </c>
      <c r="BH108" s="15" cm="1">
        <f t="array" aca="1" ref="BH10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15</v>
      </c>
      <c r="BI108" s="21">
        <f>Tabela1[[#This Row],[DATA PREV - POSTAGEM]]+$BI$1</f>
        <v>45880</v>
      </c>
      <c r="BJ108" s="74">
        <v>45895</v>
      </c>
      <c r="BK108" s="15" cm="1">
        <f t="array" aca="1" ref="BK10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108" s="21">
        <f>Tabela1[[#This Row],[DATA PREV - APROV FINAL]]+$BL$1</f>
        <v>45881</v>
      </c>
      <c r="BM108" s="74">
        <v>45895</v>
      </c>
      <c r="BN108" s="15" cm="1">
        <f t="array" aca="1" ref="BN10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15</v>
      </c>
      <c r="BO108" s="81" t="s">
        <v>450</v>
      </c>
    </row>
    <row r="109" spans="2:67" ht="18" hidden="1" customHeight="1" x14ac:dyDescent="0.35">
      <c r="B109" s="14" t="s">
        <v>79</v>
      </c>
      <c r="C109" s="16" t="s">
        <v>136</v>
      </c>
      <c r="D109" s="16" t="s">
        <v>81</v>
      </c>
      <c r="E109" s="16"/>
      <c r="F109" s="16" t="s">
        <v>451</v>
      </c>
      <c r="G109" s="16" cm="1">
        <f t="array" ref="G109">_xlfn.IFS(Tabela1[[#This Row],[STATUS PROCESSO MOBILIZAÇÃO]]="Finalizado",1,Tabela1[[#This Row],[STATUS PROCESSO MOBILIZAÇÃO]]="Cancelado",2,Tabela1[[#This Row],[STATUS PROCESSO MOBILIZAÇÃO]]="Em andamento",3)</f>
        <v>1</v>
      </c>
      <c r="H109" s="16" cm="1">
        <f t="array" aca="1" ref="H10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FORMS]]="",$AM109&gt;$AK$1),2,
AND(Tabela1[[#This Row],[STATUS PROCESSO MOBILIZAÇÃO]]="Em andamento",Tabela1[[#This Row],[DATA REAL - FORMS]]="",$AM109&lt;=$AK$1),3,
AND(Tabela1[[#This Row],[STATUS PROCESSO MOBILIZAÇÃO]]="Em andamento",Tabela1[[#This Row],[DATA REAL - FORMS]]&lt;&gt;""),1)</f>
        <v>1</v>
      </c>
      <c r="I109" s="16" cm="1">
        <f t="array" aca="1" ref="I10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EXAMES]]="",$AP109&gt;$AN$1),2,
AND(Tabela1[[#This Row],[STATUS PROCESSO MOBILIZAÇÃO]]="Em andamento",Tabela1[[#This Row],[DATA REAL - EXAMES]]="",$AP109&lt;=$AN$1),3,
AND(Tabela1[[#This Row],[STATUS PROCESSO MOBILIZAÇÃO]]="Em andamento",Tabela1[[#This Row],[DATA REAL - EXAMES]]&lt;&gt;""),1)</f>
        <v>1</v>
      </c>
      <c r="J109" s="16" cm="1">
        <f t="array" aca="1" ref="J10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ASO]]="",$AS109&gt;$AQ$1),2,
AND(Tabela1[[#This Row],[STATUS PROCESSO MOBILIZAÇÃO]]="Em andamento",Tabela1[[#This Row],[DATA REAL - ASO]]="",$AS109&lt;=$AQ$1),3,
AND(Tabela1[[#This Row],[STATUS PROCESSO MOBILIZAÇÃO]]="Em andamento",Tabela1[[#This Row],[DATA REAL - ASO]]&lt;&gt;""),1)</f>
        <v>1</v>
      </c>
      <c r="K109" s="15" cm="1">
        <f t="array" aca="1" ref="K10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TREINAMENTOS]]="",$AV109&gt;$AT$1),2,
AND(Tabela1[[#This Row],[STATUS PROCESSO MOBILIZAÇÃO]]="Em andamento",Tabela1[[#This Row],[DATA REAL - TREINAMENTOS]]="",$AV109&lt;=$AT$1),3,
AND(Tabela1[[#This Row],[STATUS PROCESSO MOBILIZAÇÃO]]="Em andamento",Tabela1[[#This Row],[DATA REAL - TREINAMENTOS]]&lt;&gt;""),1)</f>
        <v>1</v>
      </c>
      <c r="L109" s="15" cm="1">
        <f t="array" aca="1" ref="L10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TREIN.]]="",$AY109&gt;$AW$1),2,
AND(Tabela1[[#This Row],[STATUS PROCESSO MOBILIZAÇÃO]]="Em andamento",Tabela1[[#This Row],[DATA REAL - CONCL. TREIN.]]="",$AY109&lt;=$AW$1),3,
AND(Tabela1[[#This Row],[STATUS PROCESSO MOBILIZAÇÃO]]="Em andamento",Tabela1[[#This Row],[DATA REAL - CONCL. TREIN.]]&lt;&gt;""),1)</f>
        <v>1</v>
      </c>
      <c r="M109" s="15" cm="1">
        <f t="array" aca="1" ref="M10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CONTRATUAL]]="",$BB109&gt;$AZ$1),2,
AND(Tabela1[[#This Row],[STATUS PROCESSO MOBILIZAÇÃO]]="Em andamento",Tabela1[[#This Row],[DATA FIM - ALTER. CONTRATUAL]]="",$BB109&lt;=$AZ$1),3,
AND(Tabela1[[#This Row],[STATUS PROCESSO MOBILIZAÇÃO]]="Em andamento",Tabela1[[#This Row],[DATA FIM - ALTER. CONTRATUAL]]&lt;&gt;""),1)</f>
        <v>1</v>
      </c>
      <c r="N109" s="16" cm="1">
        <f t="array" aca="1" ref="N10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DOSSIÊ]]="",$BE109&gt;$BC$1),2,
AND(Tabela1[[#This Row],[STATUS PROCESSO MOBILIZAÇÃO]]="Em andamento",Tabela1[[#This Row],[DATA REAL - DOSSIÊ]]="",$BE109&lt;=$BC$1),3,
AND(Tabela1[[#This Row],[STATUS PROCESSO MOBILIZAÇÃO]]="Em andamento",Tabela1[[#This Row],[DATA REAL - DOSSIÊ]]&lt;&gt;""),1)</f>
        <v>1</v>
      </c>
      <c r="O109" s="16" cm="1">
        <f t="array" aca="1" ref="O10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POSTAGEM]]="",$BH109&gt;$BF$1),2,
AND(Tabela1[[#This Row],[STATUS PROCESSO MOBILIZAÇÃO]]="Em andamento",Tabela1[[#This Row],[DATA REAL - POSTAGEM]]="",$BH109&lt;=$BF$1),3,
AND(Tabela1[[#This Row],[STATUS PROCESSO MOBILIZAÇÃO]]="Em andamento",Tabela1[[#This Row],[DATA REAL - POSTAGEM]]&lt;&gt;""),1)</f>
        <v>1</v>
      </c>
      <c r="P109" s="16" cm="1">
        <f t="array" aca="1" ref="P10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FINAL]]="",$BK109&gt;$BI$1),2,
AND(Tabela1[[#This Row],[STATUS PROCESSO MOBILIZAÇÃO]]="Em andamento",Tabela1[[#This Row],[DATA REAL - APROV FINAL]]="",$BK109&lt;=$BI$1),3,
AND(Tabela1[[#This Row],[STATUS PROCESSO MOBILIZAÇÃO]]="Em andamento",Tabela1[[#This Row],[DATA REAL - APROV FINAL]]&lt;&gt;""),1)</f>
        <v>1</v>
      </c>
      <c r="Q109" s="15" cm="1">
        <f t="array" aca="1" ref="Q10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CRACHÁ]]="",$BN109&gt;$BL$1),2,
AND(Tabela1[[#This Row],[STATUS PROCESSO MOBILIZAÇÃO]]="Em andamento",Tabela1[[#This Row],[DATA REAL - CRACHÁ]]="",$BN109&lt;=$BL$1),3,
AND(Tabela1[[#This Row],[STATUS PROCESSO MOBILIZAÇÃO]]="Em andamento",Tabela1[[#This Row],[DATA REAL - CRACHÁ]]&lt;&gt;""),1)</f>
        <v>1</v>
      </c>
      <c r="R109" s="21">
        <f>IF(Tabela1[[#This Row],[DATA REAL - FORMS]]&lt;&gt;"",Tabela1[[#This Row],[DATA REAL - FORMS]]+30,Tabela1[[#This Row],[DATA PREV - FORMS]]+35)</f>
        <v>45893</v>
      </c>
      <c r="S10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45883</v>
      </c>
      <c r="T10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10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09" s="49">
        <f>MAX(Tabela1[[#This Row],[DATA REAL - POSTAGEM]],Tabela1[[#This Row],[DATA REAL - APROV FINAL]],Tabela1[[#This Row],[DATA REAL - CRACHÁ]])-MIN(Tabela1[[#This Row],[DATA REAL - POSTAGEM]],Tabela1[[#This Row],[DATA REAL - APROV FINAL]],Tabela1[[#This Row],[DATA REAL - CRACHÁ]])+1</f>
        <v>2</v>
      </c>
      <c r="W10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X109" s="15" t="s">
        <v>103</v>
      </c>
      <c r="Y109" s="16" t="s">
        <v>84</v>
      </c>
      <c r="Z109" s="18" t="s">
        <v>104</v>
      </c>
      <c r="AA109" s="18" t="s">
        <v>86</v>
      </c>
      <c r="AB109" s="16" t="s">
        <v>97</v>
      </c>
      <c r="AC109" s="16" t="s">
        <v>452</v>
      </c>
      <c r="AD109" s="16" t="s">
        <v>89</v>
      </c>
      <c r="AE109" s="16" t="s">
        <v>160</v>
      </c>
      <c r="AF109" s="16" t="s">
        <v>453</v>
      </c>
      <c r="AG109" s="16" t="str">
        <f>_xlfn.XLOOKUP(Tabela1[[#This Row],[CÓD. CT]],Controle_Projetos[COD CT],Controle_Projetos[COD PHD],"")</f>
        <v>ENGF-CT03-PLAN</v>
      </c>
      <c r="AH109" s="21"/>
      <c r="AI109" s="75">
        <v>45868</v>
      </c>
      <c r="AJ109" s="16" t="str" cm="1">
        <f t="array" aca="1" ref="AJ10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09" s="21">
        <v>45861</v>
      </c>
      <c r="AL109" s="74">
        <v>45863</v>
      </c>
      <c r="AM109" s="16" cm="1">
        <f t="array" aca="1" ref="AM10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09" s="21">
        <f>Tabela1[[#This Row],[DATA PREV - FORMS]]+$AN$1</f>
        <v>45868</v>
      </c>
      <c r="AO109" s="74">
        <v>45861</v>
      </c>
      <c r="AP109" s="16" cm="1">
        <f t="array" aca="1" ref="AP10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09" s="21">
        <f>Tabela1[[#This Row],[DATA PREV - EXAMES]]+$AQ$1</f>
        <v>45870</v>
      </c>
      <c r="AR109" s="74">
        <v>45868</v>
      </c>
      <c r="AS109" s="15" cm="1">
        <f t="array" aca="1" ref="AS10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09" s="21">
        <f>Tabela1[[#This Row],[DATA PREV - FORMS]]+$AT$1</f>
        <v>45862</v>
      </c>
      <c r="AU109" s="74">
        <v>45861</v>
      </c>
      <c r="AV109" s="15" cm="1">
        <f t="array" aca="1" ref="AV10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09" s="21">
        <f>Tabela1[[#This Row],[DATA PREV - TREINAMENTOS]]+$AW$1</f>
        <v>45869</v>
      </c>
      <c r="AX109" s="74">
        <v>45862</v>
      </c>
      <c r="AY109" s="15" cm="1">
        <f t="array" aca="1" ref="AY10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09" s="24">
        <v>45776</v>
      </c>
      <c r="BA109" s="74">
        <v>45861</v>
      </c>
      <c r="BB109" s="15" cm="1">
        <f t="array" aca="1" ref="BB10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86</v>
      </c>
      <c r="BC109" s="21">
        <f>Tabela1[[#This Row],[DATA PREV - CONCL. TREIN.]]+$BC$1</f>
        <v>45871</v>
      </c>
      <c r="BD109" s="74">
        <v>45873</v>
      </c>
      <c r="BE109" s="15" cm="1">
        <f t="array" aca="1" ref="BE10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09" s="21">
        <f>Tabela1[[#This Row],[DATA PREV - DOSSIÊ]]+$BF$1</f>
        <v>45874</v>
      </c>
      <c r="BG109" s="74">
        <v>45882</v>
      </c>
      <c r="BH109" s="15" cm="1">
        <f t="array" aca="1" ref="BH10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109" s="21">
        <f>Tabela1[[#This Row],[DATA PREV - POSTAGEM]]+$BI$1</f>
        <v>45880</v>
      </c>
      <c r="BJ109" s="74">
        <v>45883</v>
      </c>
      <c r="BK109" s="15" cm="1">
        <f t="array" aca="1" ref="BK10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09" s="21">
        <f>Tabela1[[#This Row],[DATA PREV - APROV FINAL]]+$BL$1</f>
        <v>45881</v>
      </c>
      <c r="BM109" s="74">
        <v>45883</v>
      </c>
      <c r="BN109" s="15" cm="1">
        <f t="array" aca="1" ref="BN10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09" s="80" t="s">
        <v>454</v>
      </c>
    </row>
    <row r="110" spans="2:67" ht="18" hidden="1" customHeight="1" x14ac:dyDescent="0.35">
      <c r="B110" s="14" t="s">
        <v>79</v>
      </c>
      <c r="C110" s="16" t="s">
        <v>136</v>
      </c>
      <c r="D110" s="16" t="s">
        <v>81</v>
      </c>
      <c r="E110" s="16"/>
      <c r="F110" s="16" t="s">
        <v>369</v>
      </c>
      <c r="G110" s="16" cm="1">
        <f t="array" ref="G110">_xlfn.IFS(Tabela1[[#This Row],[STATUS PROCESSO MOBILIZAÇÃO]]="Finalizado",1,Tabela1[[#This Row],[STATUS PROCESSO MOBILIZAÇÃO]]="Cancelado",2,Tabela1[[#This Row],[STATUS PROCESSO MOBILIZAÇÃO]]="Em andamento",3)</f>
        <v>1</v>
      </c>
      <c r="H110" s="16" cm="1">
        <f t="array" aca="1" ref="H11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FORMS]]="",$AM110&gt;$AK$1),2,
AND(Tabela1[[#This Row],[STATUS PROCESSO MOBILIZAÇÃO]]="Em andamento",Tabela1[[#This Row],[DATA REAL - FORMS]]="",$AM110&lt;=$AK$1),3,
AND(Tabela1[[#This Row],[STATUS PROCESSO MOBILIZAÇÃO]]="Em andamento",Tabela1[[#This Row],[DATA REAL - FORMS]]&lt;&gt;""),1)</f>
        <v>1</v>
      </c>
      <c r="I110" s="16" cm="1">
        <f t="array" aca="1" ref="I11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EXAMES]]="",$AP110&gt;$AN$1),2,
AND(Tabela1[[#This Row],[STATUS PROCESSO MOBILIZAÇÃO]]="Em andamento",Tabela1[[#This Row],[DATA REAL - EXAMES]]="",$AP110&lt;=$AN$1),3,
AND(Tabela1[[#This Row],[STATUS PROCESSO MOBILIZAÇÃO]]="Em andamento",Tabela1[[#This Row],[DATA REAL - EXAMES]]&lt;&gt;""),1)</f>
        <v>1</v>
      </c>
      <c r="J110" s="16" cm="1">
        <f t="array" aca="1" ref="J11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ASO]]="",$AS110&gt;$AQ$1),2,
AND(Tabela1[[#This Row],[STATUS PROCESSO MOBILIZAÇÃO]]="Em andamento",Tabela1[[#This Row],[DATA REAL - ASO]]="",$AS110&lt;=$AQ$1),3,
AND(Tabela1[[#This Row],[STATUS PROCESSO MOBILIZAÇÃO]]="Em andamento",Tabela1[[#This Row],[DATA REAL - ASO]]&lt;&gt;""),1)</f>
        <v>1</v>
      </c>
      <c r="K110" s="15" cm="1">
        <f t="array" aca="1" ref="K11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TREINAMENTOS]]="",$AV110&gt;$AT$1),2,
AND(Tabela1[[#This Row],[STATUS PROCESSO MOBILIZAÇÃO]]="Em andamento",Tabela1[[#This Row],[DATA REAL - TREINAMENTOS]]="",$AV110&lt;=$AT$1),3,
AND(Tabela1[[#This Row],[STATUS PROCESSO MOBILIZAÇÃO]]="Em andamento",Tabela1[[#This Row],[DATA REAL - TREINAMENTOS]]&lt;&gt;""),1)</f>
        <v>1</v>
      </c>
      <c r="L110" s="15" cm="1">
        <f t="array" aca="1" ref="L11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TREIN.]]="",$AY110&gt;$AW$1),2,
AND(Tabela1[[#This Row],[STATUS PROCESSO MOBILIZAÇÃO]]="Em andamento",Tabela1[[#This Row],[DATA REAL - CONCL. TREIN.]]="",$AY110&lt;=$AW$1),3,
AND(Tabela1[[#This Row],[STATUS PROCESSO MOBILIZAÇÃO]]="Em andamento",Tabela1[[#This Row],[DATA REAL - CONCL. TREIN.]]&lt;&gt;""),1)</f>
        <v>1</v>
      </c>
      <c r="M110" s="15" cm="1">
        <f t="array" aca="1" ref="M11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CONTRATUAL]]="",$BB110&gt;$AZ$1),2,
AND(Tabela1[[#This Row],[STATUS PROCESSO MOBILIZAÇÃO]]="Em andamento",Tabela1[[#This Row],[DATA FIM - ALTER. CONTRATUAL]]="",$BB110&lt;=$AZ$1),3,
AND(Tabela1[[#This Row],[STATUS PROCESSO MOBILIZAÇÃO]]="Em andamento",Tabela1[[#This Row],[DATA FIM - ALTER. CONTRATUAL]]&lt;&gt;""),1)</f>
        <v>1</v>
      </c>
      <c r="N110" s="16" cm="1">
        <f t="array" aca="1" ref="N11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DOSSIÊ]]="",$BE110&gt;$BC$1),2,
AND(Tabela1[[#This Row],[STATUS PROCESSO MOBILIZAÇÃO]]="Em andamento",Tabela1[[#This Row],[DATA REAL - DOSSIÊ]]="",$BE110&lt;=$BC$1),3,
AND(Tabela1[[#This Row],[STATUS PROCESSO MOBILIZAÇÃO]]="Em andamento",Tabela1[[#This Row],[DATA REAL - DOSSIÊ]]&lt;&gt;""),1)</f>
        <v>1</v>
      </c>
      <c r="O110" s="16" cm="1">
        <f t="array" aca="1" ref="O11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POSTAGEM]]="",$BH110&gt;$BF$1),2,
AND(Tabela1[[#This Row],[STATUS PROCESSO MOBILIZAÇÃO]]="Em andamento",Tabela1[[#This Row],[DATA REAL - POSTAGEM]]="",$BH110&lt;=$BF$1),3,
AND(Tabela1[[#This Row],[STATUS PROCESSO MOBILIZAÇÃO]]="Em andamento",Tabela1[[#This Row],[DATA REAL - POSTAGEM]]&lt;&gt;""),1)</f>
        <v>1</v>
      </c>
      <c r="P110" s="16" cm="1">
        <f t="array" aca="1" ref="P11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FINAL]]="",$BK110&gt;$BI$1),2,
AND(Tabela1[[#This Row],[STATUS PROCESSO MOBILIZAÇÃO]]="Em andamento",Tabela1[[#This Row],[DATA REAL - APROV FINAL]]="",$BK110&lt;=$BI$1),3,
AND(Tabela1[[#This Row],[STATUS PROCESSO MOBILIZAÇÃO]]="Em andamento",Tabela1[[#This Row],[DATA REAL - APROV FINAL]]&lt;&gt;""),1)</f>
        <v>1</v>
      </c>
      <c r="Q110" s="15" cm="1">
        <f t="array" aca="1" ref="Q11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CRACHÁ]]="",$BN110&gt;$BL$1),2,
AND(Tabela1[[#This Row],[STATUS PROCESSO MOBILIZAÇÃO]]="Em andamento",Tabela1[[#This Row],[DATA REAL - CRACHÁ]]="",$BN110&lt;=$BL$1),3,
AND(Tabela1[[#This Row],[STATUS PROCESSO MOBILIZAÇÃO]]="Em andamento",Tabela1[[#This Row],[DATA REAL - CRACHÁ]]&lt;&gt;""),1)</f>
        <v>1</v>
      </c>
      <c r="R110" s="21">
        <f>IF(Tabela1[[#This Row],[DATA REAL - FORMS]]&lt;&gt;"",Tabela1[[#This Row],[DATA REAL - FORMS]]+30,Tabela1[[#This Row],[DATA PREV - FORMS]]+35)</f>
        <v>45896</v>
      </c>
      <c r="S11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45880</v>
      </c>
      <c r="T11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v>
      </c>
      <c r="U11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110" s="49">
        <f>MAX(Tabela1[[#This Row],[DATA REAL - POSTAGEM]],Tabela1[[#This Row],[DATA REAL - APROV FINAL]],Tabela1[[#This Row],[DATA REAL - CRACHÁ]])-MIN(Tabela1[[#This Row],[DATA REAL - POSTAGEM]],Tabela1[[#This Row],[DATA REAL - APROV FINAL]],Tabela1[[#This Row],[DATA REAL - CRACHÁ]])+1</f>
        <v>11</v>
      </c>
      <c r="W11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0" s="15"/>
      <c r="Y110" s="16" t="s">
        <v>150</v>
      </c>
      <c r="Z110" s="18"/>
      <c r="AA110" s="18" t="s">
        <v>152</v>
      </c>
      <c r="AB110" s="16" t="s">
        <v>97</v>
      </c>
      <c r="AC110" s="16" t="s">
        <v>455</v>
      </c>
      <c r="AD110" s="16" t="s">
        <v>455</v>
      </c>
      <c r="AE110" s="16" t="s">
        <v>456</v>
      </c>
      <c r="AF110" s="16" t="s">
        <v>457</v>
      </c>
      <c r="AG110" s="16" t="str">
        <f>_xlfn.XLOOKUP(Tabela1[[#This Row],[CÓD. CT]],Controle_Projetos[COD CT],Controle_Projetos[COD PHD],"")</f>
        <v>AURA-CT01-GERE</v>
      </c>
      <c r="AH110" s="21">
        <v>45854</v>
      </c>
      <c r="AI110" s="75">
        <v>45853</v>
      </c>
      <c r="AJ110" s="16" cm="1">
        <f t="array" aca="1" ref="AJ11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110" s="21">
        <v>45866</v>
      </c>
      <c r="AL110" s="74">
        <v>45866</v>
      </c>
      <c r="AM110" s="16" cm="1">
        <f t="array" aca="1" ref="AM11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0" s="21">
        <f>Tabela1[[#This Row],[DATA PREV - FORMS]]+$AN$1</f>
        <v>45873</v>
      </c>
      <c r="AO110" s="74">
        <v>45866</v>
      </c>
      <c r="AP110" s="16" cm="1">
        <f t="array" aca="1" ref="AP11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0" s="21">
        <f>Tabela1[[#This Row],[DATA PREV - EXAMES]]+$AQ$1</f>
        <v>45875</v>
      </c>
      <c r="AR110" s="74">
        <v>45866</v>
      </c>
      <c r="AS110" s="15" cm="1">
        <f t="array" aca="1" ref="AS11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10" s="21">
        <f>Tabela1[[#This Row],[DATA PREV - FORMS]]+$AT$1</f>
        <v>45867</v>
      </c>
      <c r="AU110" s="74">
        <v>45866</v>
      </c>
      <c r="AV110" s="15" cm="1">
        <f t="array" aca="1" ref="AV11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0" s="21">
        <f>Tabela1[[#This Row],[DATA PREV - TREINAMENTOS]]+$AW$1</f>
        <v>45874</v>
      </c>
      <c r="AX110" s="74">
        <v>45867</v>
      </c>
      <c r="AY110" s="15" cm="1">
        <f t="array" aca="1" ref="AY11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10" s="24"/>
      <c r="BA110" s="74">
        <v>45866</v>
      </c>
      <c r="BB110" s="15" t="str" cm="1">
        <f t="array" aca="1" ref="BB11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110" s="21">
        <f>Tabela1[[#This Row],[DATA PREV - CONCL. TREIN.]]+$BC$1</f>
        <v>45876</v>
      </c>
      <c r="BD110" s="74">
        <v>45870</v>
      </c>
      <c r="BE110" s="15" cm="1">
        <f t="array" aca="1" ref="BE11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10" s="21">
        <f>Tabela1[[#This Row],[DATA PREV - DOSSIÊ]]+$BF$1</f>
        <v>45879</v>
      </c>
      <c r="BG110" s="74">
        <v>45870</v>
      </c>
      <c r="BH110" s="15" cm="1">
        <f t="array" aca="1" ref="BH11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10" s="21">
        <f>Tabela1[[#This Row],[DATA PREV - POSTAGEM]]+$BI$1</f>
        <v>45885</v>
      </c>
      <c r="BJ110" s="74">
        <v>45880</v>
      </c>
      <c r="BK110" s="15" cm="1">
        <f t="array" aca="1" ref="BK11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10" s="21">
        <f>Tabela1[[#This Row],[DATA PREV - APROV FINAL]]+$BL$1</f>
        <v>45886</v>
      </c>
      <c r="BM110" s="74">
        <v>45880</v>
      </c>
      <c r="BN110" s="15" cm="1">
        <f t="array" aca="1" ref="BN11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10" s="80" t="s">
        <v>458</v>
      </c>
    </row>
    <row r="111" spans="2:67" ht="18" hidden="1" customHeight="1" x14ac:dyDescent="0.35">
      <c r="B111" s="14" t="s">
        <v>79</v>
      </c>
      <c r="C111" s="16" t="s">
        <v>136</v>
      </c>
      <c r="D111" s="16" t="s">
        <v>81</v>
      </c>
      <c r="E111" s="16"/>
      <c r="F111" s="16" t="s">
        <v>459</v>
      </c>
      <c r="G111" s="16" cm="1">
        <f t="array" ref="G111">_xlfn.IFS(Tabela1[[#This Row],[STATUS PROCESSO MOBILIZAÇÃO]]="Finalizado",1,Tabela1[[#This Row],[STATUS PROCESSO MOBILIZAÇÃO]]="Cancelado",2,Tabela1[[#This Row],[STATUS PROCESSO MOBILIZAÇÃO]]="Em andamento",3)</f>
        <v>1</v>
      </c>
      <c r="H111" s="16" cm="1">
        <f t="array" aca="1" ref="H11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FORMS]]="",$AM111&gt;$AK$1),2,
AND(Tabela1[[#This Row],[STATUS PROCESSO MOBILIZAÇÃO]]="Em andamento",Tabela1[[#This Row],[DATA REAL - FORMS]]="",$AM111&lt;=$AK$1),3,
AND(Tabela1[[#This Row],[STATUS PROCESSO MOBILIZAÇÃO]]="Em andamento",Tabela1[[#This Row],[DATA REAL - FORMS]]&lt;&gt;""),1)</f>
        <v>1</v>
      </c>
      <c r="I111" s="16" cm="1">
        <f t="array" aca="1" ref="I11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EXAMES]]="",$AP111&gt;$AN$1),2,
AND(Tabela1[[#This Row],[STATUS PROCESSO MOBILIZAÇÃO]]="Em andamento",Tabela1[[#This Row],[DATA REAL - EXAMES]]="",$AP111&lt;=$AN$1),3,
AND(Tabela1[[#This Row],[STATUS PROCESSO MOBILIZAÇÃO]]="Em andamento",Tabela1[[#This Row],[DATA REAL - EXAMES]]&lt;&gt;""),1)</f>
        <v>1</v>
      </c>
      <c r="J111" s="16" cm="1">
        <f t="array" aca="1" ref="J11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ASO]]="",$AS111&gt;$AQ$1),2,
AND(Tabela1[[#This Row],[STATUS PROCESSO MOBILIZAÇÃO]]="Em andamento",Tabela1[[#This Row],[DATA REAL - ASO]]="",$AS111&lt;=$AQ$1),3,
AND(Tabela1[[#This Row],[STATUS PROCESSO MOBILIZAÇÃO]]="Em andamento",Tabela1[[#This Row],[DATA REAL - ASO]]&lt;&gt;""),1)</f>
        <v>1</v>
      </c>
      <c r="K111" s="15" cm="1">
        <f t="array" aca="1" ref="K11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TREINAMENTOS]]="",$AV111&gt;$AT$1),2,
AND(Tabela1[[#This Row],[STATUS PROCESSO MOBILIZAÇÃO]]="Em andamento",Tabela1[[#This Row],[DATA REAL - TREINAMENTOS]]="",$AV111&lt;=$AT$1),3,
AND(Tabela1[[#This Row],[STATUS PROCESSO MOBILIZAÇÃO]]="Em andamento",Tabela1[[#This Row],[DATA REAL - TREINAMENTOS]]&lt;&gt;""),1)</f>
        <v>1</v>
      </c>
      <c r="L111" s="15" cm="1">
        <f t="array" aca="1" ref="L11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TREIN.]]="",$AY111&gt;$AW$1),2,
AND(Tabela1[[#This Row],[STATUS PROCESSO MOBILIZAÇÃO]]="Em andamento",Tabela1[[#This Row],[DATA REAL - CONCL. TREIN.]]="",$AY111&lt;=$AW$1),3,
AND(Tabela1[[#This Row],[STATUS PROCESSO MOBILIZAÇÃO]]="Em andamento",Tabela1[[#This Row],[DATA REAL - CONCL. TREIN.]]&lt;&gt;""),1)</f>
        <v>1</v>
      </c>
      <c r="M111" s="15" cm="1">
        <f t="array" aca="1" ref="M11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CONTRATUAL]]="",$BB111&gt;$AZ$1),2,
AND(Tabela1[[#This Row],[STATUS PROCESSO MOBILIZAÇÃO]]="Em andamento",Tabela1[[#This Row],[DATA FIM - ALTER. CONTRATUAL]]="",$BB111&lt;=$AZ$1),3,
AND(Tabela1[[#This Row],[STATUS PROCESSO MOBILIZAÇÃO]]="Em andamento",Tabela1[[#This Row],[DATA FIM - ALTER. CONTRATUAL]]&lt;&gt;""),1)</f>
        <v>1</v>
      </c>
      <c r="N111" s="16" cm="1">
        <f t="array" aca="1" ref="N11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DOSSIÊ]]="",$BE111&gt;$BC$1),2,
AND(Tabela1[[#This Row],[STATUS PROCESSO MOBILIZAÇÃO]]="Em andamento",Tabela1[[#This Row],[DATA REAL - DOSSIÊ]]="",$BE111&lt;=$BC$1),3,
AND(Tabela1[[#This Row],[STATUS PROCESSO MOBILIZAÇÃO]]="Em andamento",Tabela1[[#This Row],[DATA REAL - DOSSIÊ]]&lt;&gt;""),1)</f>
        <v>1</v>
      </c>
      <c r="O111" s="16" cm="1">
        <f t="array" aca="1" ref="O11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POSTAGEM]]="",$BH111&gt;$BF$1),2,
AND(Tabela1[[#This Row],[STATUS PROCESSO MOBILIZAÇÃO]]="Em andamento",Tabela1[[#This Row],[DATA REAL - POSTAGEM]]="",$BH111&lt;=$BF$1),3,
AND(Tabela1[[#This Row],[STATUS PROCESSO MOBILIZAÇÃO]]="Em andamento",Tabela1[[#This Row],[DATA REAL - POSTAGEM]]&lt;&gt;""),1)</f>
        <v>1</v>
      </c>
      <c r="P111" s="16" cm="1">
        <f t="array" aca="1" ref="P11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FINAL]]="",$BK111&gt;$BI$1),2,
AND(Tabela1[[#This Row],[STATUS PROCESSO MOBILIZAÇÃO]]="Em andamento",Tabela1[[#This Row],[DATA REAL - APROV FINAL]]="",$BK111&lt;=$BI$1),3,
AND(Tabela1[[#This Row],[STATUS PROCESSO MOBILIZAÇÃO]]="Em andamento",Tabela1[[#This Row],[DATA REAL - APROV FINAL]]&lt;&gt;""),1)</f>
        <v>1</v>
      </c>
      <c r="Q111" s="15" cm="1">
        <f t="array" aca="1" ref="Q11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CRACHÁ]]="",$BN111&gt;$BL$1),2,
AND(Tabela1[[#This Row],[STATUS PROCESSO MOBILIZAÇÃO]]="Em andamento",Tabela1[[#This Row],[DATA REAL - CRACHÁ]]="",$BN111&lt;=$BL$1),3,
AND(Tabela1[[#This Row],[STATUS PROCESSO MOBILIZAÇÃO]]="Em andamento",Tabela1[[#This Row],[DATA REAL - CRACHÁ]]&lt;&gt;""),1)</f>
        <v>1</v>
      </c>
      <c r="R111" s="21">
        <f>IF(Tabela1[[#This Row],[DATA REAL - FORMS]]&lt;&gt;"",Tabela1[[#This Row],[DATA REAL - FORMS]]+30,Tabela1[[#This Row],[DATA PREV - FORMS]]+35)</f>
        <v>45896</v>
      </c>
      <c r="S11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45883</v>
      </c>
      <c r="T11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U11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111" s="49">
        <f>MAX(Tabela1[[#This Row],[DATA REAL - POSTAGEM]],Tabela1[[#This Row],[DATA REAL - APROV FINAL]],Tabela1[[#This Row],[DATA REAL - CRACHÁ]])-MIN(Tabela1[[#This Row],[DATA REAL - POSTAGEM]],Tabela1[[#This Row],[DATA REAL - APROV FINAL]],Tabela1[[#This Row],[DATA REAL - CRACHÁ]])+1</f>
        <v>14</v>
      </c>
      <c r="W11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1" s="15"/>
      <c r="Y111" s="16" t="s">
        <v>150</v>
      </c>
      <c r="Z111" s="18"/>
      <c r="AA111" s="18" t="s">
        <v>152</v>
      </c>
      <c r="AB111" s="16" t="s">
        <v>97</v>
      </c>
      <c r="AC111" s="16" t="s">
        <v>455</v>
      </c>
      <c r="AD111" s="16" t="s">
        <v>455</v>
      </c>
      <c r="AE111" s="16" t="s">
        <v>456</v>
      </c>
      <c r="AF111" s="16" t="s">
        <v>457</v>
      </c>
      <c r="AG111" s="16" t="str">
        <f>_xlfn.XLOOKUP(Tabela1[[#This Row],[CÓD. CT]],Controle_Projetos[COD CT],Controle_Projetos[COD PHD],"")</f>
        <v>AURA-CT01-GERE</v>
      </c>
      <c r="AH111" s="21">
        <v>45854</v>
      </c>
      <c r="AI111" s="75">
        <v>45853</v>
      </c>
      <c r="AJ111" s="16" cm="1">
        <f t="array" aca="1" ref="AJ11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0</v>
      </c>
      <c r="AK111" s="21">
        <v>45866</v>
      </c>
      <c r="AL111" s="74">
        <v>45866</v>
      </c>
      <c r="AM111" s="16" cm="1">
        <f t="array" aca="1" ref="AM11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1" s="21">
        <f>Tabela1[[#This Row],[DATA PREV - FORMS]]+$AN$1</f>
        <v>45873</v>
      </c>
      <c r="AO111" s="74">
        <v>45866</v>
      </c>
      <c r="AP111" s="16" cm="1">
        <f t="array" aca="1" ref="AP11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1" s="21">
        <f>Tabela1[[#This Row],[DATA PREV - EXAMES]]+$AQ$1</f>
        <v>45875</v>
      </c>
      <c r="AR111" s="74">
        <v>45870</v>
      </c>
      <c r="AS111" s="15" cm="1">
        <f t="array" aca="1" ref="AS11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11" s="21">
        <f>Tabela1[[#This Row],[DATA PREV - FORMS]]+$AT$1</f>
        <v>45867</v>
      </c>
      <c r="AU111" s="74">
        <v>45866</v>
      </c>
      <c r="AV111" s="15" cm="1">
        <f t="array" aca="1" ref="AV11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1" s="21">
        <f>Tabela1[[#This Row],[DATA PREV - TREINAMENTOS]]+$AW$1</f>
        <v>45874</v>
      </c>
      <c r="AX111" s="74">
        <v>45866</v>
      </c>
      <c r="AY111" s="15" cm="1">
        <f t="array" aca="1" ref="AY11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11" s="24">
        <v>45866</v>
      </c>
      <c r="BA111" s="74">
        <v>45866</v>
      </c>
      <c r="BB111" s="15" cm="1">
        <f t="array" aca="1" ref="BB11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11" s="21">
        <f>Tabela1[[#This Row],[DATA PREV - CONCL. TREIN.]]+$BC$1</f>
        <v>45876</v>
      </c>
      <c r="BD111" s="74">
        <v>45870</v>
      </c>
      <c r="BE111" s="15" cm="1">
        <f t="array" aca="1" ref="BE11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11" s="21">
        <f>Tabela1[[#This Row],[DATA PREV - DOSSIÊ]]+$BF$1</f>
        <v>45879</v>
      </c>
      <c r="BG111" s="74">
        <v>45870</v>
      </c>
      <c r="BH111" s="15" cm="1">
        <f t="array" aca="1" ref="BH11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11" s="21">
        <f>Tabela1[[#This Row],[DATA PREV - POSTAGEM]]+$BI$1</f>
        <v>45885</v>
      </c>
      <c r="BJ111" s="74">
        <v>45883</v>
      </c>
      <c r="BK111" s="15" cm="1">
        <f t="array" aca="1" ref="BK11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11" s="21">
        <f>Tabela1[[#This Row],[DATA PREV - APROV FINAL]]+$BL$1</f>
        <v>45886</v>
      </c>
      <c r="BM111" s="74">
        <v>45883</v>
      </c>
      <c r="BN111" s="15" cm="1">
        <f t="array" aca="1" ref="BN11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11" s="80" t="s">
        <v>460</v>
      </c>
    </row>
    <row r="112" spans="2:67" ht="18" hidden="1" customHeight="1" x14ac:dyDescent="0.35">
      <c r="B112" s="14" t="s">
        <v>79</v>
      </c>
      <c r="C112" s="16" t="s">
        <v>136</v>
      </c>
      <c r="D112" s="16" t="s">
        <v>81</v>
      </c>
      <c r="E112" s="16"/>
      <c r="F112" s="16" t="s">
        <v>137</v>
      </c>
      <c r="G112" s="16" cm="1">
        <f t="array" ref="G112">_xlfn.IFS(Tabela1[[#This Row],[STATUS PROCESSO MOBILIZAÇÃO]]="Finalizado",1,Tabela1[[#This Row],[STATUS PROCESSO MOBILIZAÇÃO]]="Cancelado",2,Tabela1[[#This Row],[STATUS PROCESSO MOBILIZAÇÃO]]="Em andamento",3)</f>
        <v>1</v>
      </c>
      <c r="H112" s="16" cm="1">
        <f t="array" aca="1" ref="H11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FORMS]]="",$AM112&gt;$AK$1),2,
AND(Tabela1[[#This Row],[STATUS PROCESSO MOBILIZAÇÃO]]="Em andamento",Tabela1[[#This Row],[DATA REAL - FORMS]]="",$AM112&lt;=$AK$1),3,
AND(Tabela1[[#This Row],[STATUS PROCESSO MOBILIZAÇÃO]]="Em andamento",Tabela1[[#This Row],[DATA REAL - FORMS]]&lt;&gt;""),1)</f>
        <v>1</v>
      </c>
      <c r="I112" s="16" cm="1">
        <f t="array" aca="1" ref="I11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EXAMES]]="",$AP112&gt;$AN$1),2,
AND(Tabela1[[#This Row],[STATUS PROCESSO MOBILIZAÇÃO]]="Em andamento",Tabela1[[#This Row],[DATA REAL - EXAMES]]="",$AP112&lt;=$AN$1),3,
AND(Tabela1[[#This Row],[STATUS PROCESSO MOBILIZAÇÃO]]="Em andamento",Tabela1[[#This Row],[DATA REAL - EXAMES]]&lt;&gt;""),1)</f>
        <v>1</v>
      </c>
      <c r="J112" s="16" cm="1">
        <f t="array" aca="1" ref="J11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ASO]]="",$AS112&gt;$AQ$1),2,
AND(Tabela1[[#This Row],[STATUS PROCESSO MOBILIZAÇÃO]]="Em andamento",Tabela1[[#This Row],[DATA REAL - ASO]]="",$AS112&lt;=$AQ$1),3,
AND(Tabela1[[#This Row],[STATUS PROCESSO MOBILIZAÇÃO]]="Em andamento",Tabela1[[#This Row],[DATA REAL - ASO]]&lt;&gt;""),1)</f>
        <v>1</v>
      </c>
      <c r="K112" s="15" cm="1">
        <f t="array" aca="1" ref="K11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TREINAMENTOS]]="",$AV112&gt;$AT$1),2,
AND(Tabela1[[#This Row],[STATUS PROCESSO MOBILIZAÇÃO]]="Em andamento",Tabela1[[#This Row],[DATA REAL - TREINAMENTOS]]="",$AV112&lt;=$AT$1),3,
AND(Tabela1[[#This Row],[STATUS PROCESSO MOBILIZAÇÃO]]="Em andamento",Tabela1[[#This Row],[DATA REAL - TREINAMENTOS]]&lt;&gt;""),1)</f>
        <v>1</v>
      </c>
      <c r="L112" s="15" cm="1">
        <f t="array" aca="1" ref="L11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TREIN.]]="",$AY112&gt;$AW$1),2,
AND(Tabela1[[#This Row],[STATUS PROCESSO MOBILIZAÇÃO]]="Em andamento",Tabela1[[#This Row],[DATA REAL - CONCL. TREIN.]]="",$AY112&lt;=$AW$1),3,
AND(Tabela1[[#This Row],[STATUS PROCESSO MOBILIZAÇÃO]]="Em andamento",Tabela1[[#This Row],[DATA REAL - CONCL. TREIN.]]&lt;&gt;""),1)</f>
        <v>1</v>
      </c>
      <c r="M112" s="15" cm="1">
        <f t="array" aca="1" ref="M11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CONTRATUAL]]="",$BB112&gt;$AZ$1),2,
AND(Tabela1[[#This Row],[STATUS PROCESSO MOBILIZAÇÃO]]="Em andamento",Tabela1[[#This Row],[DATA FIM - ALTER. CONTRATUAL]]="",$BB112&lt;=$AZ$1),3,
AND(Tabela1[[#This Row],[STATUS PROCESSO MOBILIZAÇÃO]]="Em andamento",Tabela1[[#This Row],[DATA FIM - ALTER. CONTRATUAL]]&lt;&gt;""),1)</f>
        <v>1</v>
      </c>
      <c r="N112" s="16" cm="1">
        <f t="array" aca="1" ref="N11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DOSSIÊ]]="",$BE112&gt;$BC$1),2,
AND(Tabela1[[#This Row],[STATUS PROCESSO MOBILIZAÇÃO]]="Em andamento",Tabela1[[#This Row],[DATA REAL - DOSSIÊ]]="",$BE112&lt;=$BC$1),3,
AND(Tabela1[[#This Row],[STATUS PROCESSO MOBILIZAÇÃO]]="Em andamento",Tabela1[[#This Row],[DATA REAL - DOSSIÊ]]&lt;&gt;""),1)</f>
        <v>1</v>
      </c>
      <c r="O112" s="16" cm="1">
        <f t="array" aca="1" ref="O11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POSTAGEM]]="",$BH112&gt;$BF$1),2,
AND(Tabela1[[#This Row],[STATUS PROCESSO MOBILIZAÇÃO]]="Em andamento",Tabela1[[#This Row],[DATA REAL - POSTAGEM]]="",$BH112&lt;=$BF$1),3,
AND(Tabela1[[#This Row],[STATUS PROCESSO MOBILIZAÇÃO]]="Em andamento",Tabela1[[#This Row],[DATA REAL - POSTAGEM]]&lt;&gt;""),1)</f>
        <v>1</v>
      </c>
      <c r="P112" s="16" cm="1">
        <f t="array" aca="1" ref="P11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FINAL]]="",$BK112&gt;$BI$1),2,
AND(Tabela1[[#This Row],[STATUS PROCESSO MOBILIZAÇÃO]]="Em andamento",Tabela1[[#This Row],[DATA REAL - APROV FINAL]]="",$BK112&lt;=$BI$1),3,
AND(Tabela1[[#This Row],[STATUS PROCESSO MOBILIZAÇÃO]]="Em andamento",Tabela1[[#This Row],[DATA REAL - APROV FINAL]]&lt;&gt;""),1)</f>
        <v>1</v>
      </c>
      <c r="Q112" s="15" cm="1">
        <f t="array" aca="1" ref="Q11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CRACHÁ]]="",$BN112&gt;$BL$1),2,
AND(Tabela1[[#This Row],[STATUS PROCESSO MOBILIZAÇÃO]]="Em andamento",Tabela1[[#This Row],[DATA REAL - CRACHÁ]]="",$BN112&lt;=$BL$1),3,
AND(Tabela1[[#This Row],[STATUS PROCESSO MOBILIZAÇÃO]]="Em andamento",Tabela1[[#This Row],[DATA REAL - CRACHÁ]]&lt;&gt;""),1)</f>
        <v>1</v>
      </c>
      <c r="R112" s="21">
        <f>IF(Tabela1[[#This Row],[DATA REAL - FORMS]]&lt;&gt;"",Tabela1[[#This Row],[DATA REAL - FORMS]]+30,Tabela1[[#This Row],[DATA PREV - FORMS]]+35)</f>
        <v>45904</v>
      </c>
      <c r="S11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45887</v>
      </c>
      <c r="T11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19</v>
      </c>
      <c r="U11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112" s="49">
        <f>MAX(Tabela1[[#This Row],[DATA REAL - POSTAGEM]],Tabela1[[#This Row],[DATA REAL - APROV FINAL]],Tabela1[[#This Row],[DATA REAL - CRACHÁ]])-MIN(Tabela1[[#This Row],[DATA REAL - POSTAGEM]],Tabela1[[#This Row],[DATA REAL - APROV FINAL]],Tabela1[[#This Row],[DATA REAL - CRACHÁ]])+1</f>
        <v>5</v>
      </c>
      <c r="W11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2" s="15" t="s">
        <v>103</v>
      </c>
      <c r="Y112" s="16" t="s">
        <v>84</v>
      </c>
      <c r="Z112" s="18" t="s">
        <v>104</v>
      </c>
      <c r="AA112" s="18" t="s">
        <v>86</v>
      </c>
      <c r="AB112" s="16" t="s">
        <v>97</v>
      </c>
      <c r="AC112" s="16" t="s">
        <v>452</v>
      </c>
      <c r="AD112" s="16" t="s">
        <v>89</v>
      </c>
      <c r="AE112" s="16" t="s">
        <v>160</v>
      </c>
      <c r="AF112" s="16" t="s">
        <v>453</v>
      </c>
      <c r="AG112" s="16" t="str">
        <f>_xlfn.XLOOKUP(Tabela1[[#This Row],[CÓD. CT]],Controle_Projetos[COD CT],Controle_Projetos[COD PHD],"")</f>
        <v>ENGF-CT03-PLAN</v>
      </c>
      <c r="AH112" s="21"/>
      <c r="AI112" s="75">
        <v>45868</v>
      </c>
      <c r="AJ112" s="16" t="str" cm="1">
        <f t="array" aca="1" ref="AJ11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2" s="21">
        <v>45874</v>
      </c>
      <c r="AL112" s="74">
        <v>45874</v>
      </c>
      <c r="AM112" s="16" cm="1">
        <f t="array" aca="1" ref="AM11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2" s="21">
        <f>Tabela1[[#This Row],[DATA PREV - FORMS]]+$AN$1</f>
        <v>45881</v>
      </c>
      <c r="AO112" s="74">
        <v>45874</v>
      </c>
      <c r="AP112" s="16" cm="1">
        <f t="array" aca="1" ref="AP11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2" s="21">
        <f>Tabela1[[#This Row],[DATA PREV - EXAMES]]+$AQ$1</f>
        <v>45883</v>
      </c>
      <c r="AR112" s="74">
        <v>45882</v>
      </c>
      <c r="AS112" s="15" cm="1">
        <f t="array" aca="1" ref="AS11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12" s="21">
        <f>Tabela1[[#This Row],[DATA PREV - FORMS]]+$AT$1</f>
        <v>45875</v>
      </c>
      <c r="AU112" s="74">
        <v>45874</v>
      </c>
      <c r="AV112" s="15" cm="1">
        <f t="array" aca="1" ref="AV11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2" s="21">
        <f>Tabela1[[#This Row],[DATA PREV - TREINAMENTOS]]+$AW$1</f>
        <v>45882</v>
      </c>
      <c r="AX112" s="74">
        <v>45874</v>
      </c>
      <c r="AY112" s="15" cm="1">
        <f t="array" aca="1" ref="AY11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12" s="24">
        <v>45861</v>
      </c>
      <c r="BA112" s="74">
        <v>45874</v>
      </c>
      <c r="BB112" s="15" cm="1">
        <f t="array" aca="1" ref="BB11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v>
      </c>
      <c r="BC112" s="21">
        <f>Tabela1[[#This Row],[DATA PREV - CONCL. TREIN.]]+$BC$1</f>
        <v>45884</v>
      </c>
      <c r="BD112" s="74">
        <v>45882</v>
      </c>
      <c r="BE112" s="15" cm="1">
        <f t="array" aca="1" ref="BE11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12" s="21">
        <f>Tabela1[[#This Row],[DATA PREV - DOSSIÊ]]+$BF$1</f>
        <v>45887</v>
      </c>
      <c r="BG112" s="74">
        <v>45883</v>
      </c>
      <c r="BH112" s="15" cm="1">
        <f t="array" aca="1" ref="BH11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12" s="21">
        <f>Tabela1[[#This Row],[DATA PREV - POSTAGEM]]+$BI$1</f>
        <v>45893</v>
      </c>
      <c r="BJ112" s="74">
        <v>45887</v>
      </c>
      <c r="BK112" s="15" cm="1">
        <f t="array" aca="1" ref="BK11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112" s="21">
        <f>Tabela1[[#This Row],[DATA PREV - APROV FINAL]]+$BL$1</f>
        <v>45894</v>
      </c>
      <c r="BM112" s="74">
        <v>45887</v>
      </c>
      <c r="BN112" s="15" cm="1">
        <f t="array" aca="1" ref="BN11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12" s="80" t="s">
        <v>461</v>
      </c>
    </row>
    <row r="113" spans="2:67" ht="18" hidden="1" customHeight="1" x14ac:dyDescent="0.35">
      <c r="B113" s="14" t="s">
        <v>79</v>
      </c>
      <c r="C113" s="16" t="s">
        <v>136</v>
      </c>
      <c r="D113" s="16" t="s">
        <v>81</v>
      </c>
      <c r="E113" s="16"/>
      <c r="F113" s="16" t="s">
        <v>462</v>
      </c>
      <c r="G113" s="16" cm="1">
        <f t="array" ref="G113">_xlfn.IFS(Tabela1[[#This Row],[STATUS PROCESSO MOBILIZAÇÃO]]="Finalizado",1,Tabela1[[#This Row],[STATUS PROCESSO MOBILIZAÇÃO]]="Cancelado",2,Tabela1[[#This Row],[STATUS PROCESSO MOBILIZAÇÃO]]="Em andamento",3)</f>
        <v>1</v>
      </c>
      <c r="H113" s="16" cm="1">
        <f t="array" aca="1" ref="H11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FORMS]]="",$AM113&gt;$AK$1),2,
AND(Tabela1[[#This Row],[STATUS PROCESSO MOBILIZAÇÃO]]="Em andamento",Tabela1[[#This Row],[DATA REAL - FORMS]]="",$AM113&lt;=$AK$1),3,
AND(Tabela1[[#This Row],[STATUS PROCESSO MOBILIZAÇÃO]]="Em andamento",Tabela1[[#This Row],[DATA REAL - FORMS]]&lt;&gt;""),1)</f>
        <v>1</v>
      </c>
      <c r="I113" s="16" cm="1">
        <f t="array" aca="1" ref="I11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EXAMES]]="",$AP113&gt;$AN$1),2,
AND(Tabela1[[#This Row],[STATUS PROCESSO MOBILIZAÇÃO]]="Em andamento",Tabela1[[#This Row],[DATA REAL - EXAMES]]="",$AP113&lt;=$AN$1),3,
AND(Tabela1[[#This Row],[STATUS PROCESSO MOBILIZAÇÃO]]="Em andamento",Tabela1[[#This Row],[DATA REAL - EXAMES]]&lt;&gt;""),1)</f>
        <v>1</v>
      </c>
      <c r="J113" s="16" cm="1">
        <f t="array" aca="1" ref="J11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ASO]]="",$AS113&gt;$AQ$1),2,
AND(Tabela1[[#This Row],[STATUS PROCESSO MOBILIZAÇÃO]]="Em andamento",Tabela1[[#This Row],[DATA REAL - ASO]]="",$AS113&lt;=$AQ$1),3,
AND(Tabela1[[#This Row],[STATUS PROCESSO MOBILIZAÇÃO]]="Em andamento",Tabela1[[#This Row],[DATA REAL - ASO]]&lt;&gt;""),1)</f>
        <v>1</v>
      </c>
      <c r="K113" s="15" cm="1">
        <f t="array" aca="1" ref="K11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TREINAMENTOS]]="",$AV113&gt;$AT$1),2,
AND(Tabela1[[#This Row],[STATUS PROCESSO MOBILIZAÇÃO]]="Em andamento",Tabela1[[#This Row],[DATA REAL - TREINAMENTOS]]="",$AV113&lt;=$AT$1),3,
AND(Tabela1[[#This Row],[STATUS PROCESSO MOBILIZAÇÃO]]="Em andamento",Tabela1[[#This Row],[DATA REAL - TREINAMENTOS]]&lt;&gt;""),1)</f>
        <v>1</v>
      </c>
      <c r="L113" s="15" cm="1">
        <f t="array" aca="1" ref="L11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TREIN.]]="",$AY113&gt;$AW$1),2,
AND(Tabela1[[#This Row],[STATUS PROCESSO MOBILIZAÇÃO]]="Em andamento",Tabela1[[#This Row],[DATA REAL - CONCL. TREIN.]]="",$AY113&lt;=$AW$1),3,
AND(Tabela1[[#This Row],[STATUS PROCESSO MOBILIZAÇÃO]]="Em andamento",Tabela1[[#This Row],[DATA REAL - CONCL. TREIN.]]&lt;&gt;""),1)</f>
        <v>1</v>
      </c>
      <c r="M113" s="15" cm="1">
        <f t="array" aca="1" ref="M11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CONTRATUAL]]="",$BB113&gt;$AZ$1),2,
AND(Tabela1[[#This Row],[STATUS PROCESSO MOBILIZAÇÃO]]="Em andamento",Tabela1[[#This Row],[DATA FIM - ALTER. CONTRATUAL]]="",$BB113&lt;=$AZ$1),3,
AND(Tabela1[[#This Row],[STATUS PROCESSO MOBILIZAÇÃO]]="Em andamento",Tabela1[[#This Row],[DATA FIM - ALTER. CONTRATUAL]]&lt;&gt;""),1)</f>
        <v>1</v>
      </c>
      <c r="N113" s="16" cm="1">
        <f t="array" aca="1" ref="N11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DOSSIÊ]]="",$BE113&gt;$BC$1),2,
AND(Tabela1[[#This Row],[STATUS PROCESSO MOBILIZAÇÃO]]="Em andamento",Tabela1[[#This Row],[DATA REAL - DOSSIÊ]]="",$BE113&lt;=$BC$1),3,
AND(Tabela1[[#This Row],[STATUS PROCESSO MOBILIZAÇÃO]]="Em andamento",Tabela1[[#This Row],[DATA REAL - DOSSIÊ]]&lt;&gt;""),1)</f>
        <v>1</v>
      </c>
      <c r="O113" s="16" cm="1">
        <f t="array" aca="1" ref="O11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POSTAGEM]]="",$BH113&gt;$BF$1),2,
AND(Tabela1[[#This Row],[STATUS PROCESSO MOBILIZAÇÃO]]="Em andamento",Tabela1[[#This Row],[DATA REAL - POSTAGEM]]="",$BH113&lt;=$BF$1),3,
AND(Tabela1[[#This Row],[STATUS PROCESSO MOBILIZAÇÃO]]="Em andamento",Tabela1[[#This Row],[DATA REAL - POSTAGEM]]&lt;&gt;""),1)</f>
        <v>1</v>
      </c>
      <c r="P113" s="16" cm="1">
        <f t="array" aca="1" ref="P11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FINAL]]="",$BK113&gt;$BI$1),2,
AND(Tabela1[[#This Row],[STATUS PROCESSO MOBILIZAÇÃO]]="Em andamento",Tabela1[[#This Row],[DATA REAL - APROV FINAL]]="",$BK113&lt;=$BI$1),3,
AND(Tabela1[[#This Row],[STATUS PROCESSO MOBILIZAÇÃO]]="Em andamento",Tabela1[[#This Row],[DATA REAL - APROV FINAL]]&lt;&gt;""),1)</f>
        <v>1</v>
      </c>
      <c r="Q113" s="15" cm="1">
        <f t="array" aca="1" ref="Q11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CRACHÁ]]="",$BN113&gt;$BL$1),2,
AND(Tabela1[[#This Row],[STATUS PROCESSO MOBILIZAÇÃO]]="Em andamento",Tabela1[[#This Row],[DATA REAL - CRACHÁ]]="",$BN113&lt;=$BL$1),3,
AND(Tabela1[[#This Row],[STATUS PROCESSO MOBILIZAÇÃO]]="Em andamento",Tabela1[[#This Row],[DATA REAL - CRACHÁ]]&lt;&gt;""),1)</f>
        <v>1</v>
      </c>
      <c r="R113" s="21">
        <f>IF(Tabela1[[#This Row],[DATA REAL - FORMS]]&lt;&gt;"",Tabela1[[#This Row],[DATA REAL - FORMS]]+30,Tabela1[[#This Row],[DATA PREV - FORMS]]+35)</f>
        <v>45904</v>
      </c>
      <c r="S11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45908</v>
      </c>
      <c r="T11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40</v>
      </c>
      <c r="U11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36</v>
      </c>
      <c r="V113" s="49">
        <f>MAX(Tabela1[[#This Row],[DATA REAL - POSTAGEM]],Tabela1[[#This Row],[DATA REAL - APROV FINAL]],Tabela1[[#This Row],[DATA REAL - CRACHÁ]])-MIN(Tabela1[[#This Row],[DATA REAL - POSTAGEM]],Tabela1[[#This Row],[DATA REAL - APROV FINAL]],Tabela1[[#This Row],[DATA REAL - CRACHÁ]])+1</f>
        <v>5</v>
      </c>
      <c r="W11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3" s="15" t="s">
        <v>103</v>
      </c>
      <c r="Y113" s="16" t="s">
        <v>84</v>
      </c>
      <c r="Z113" s="18" t="s">
        <v>104</v>
      </c>
      <c r="AA113" s="18" t="s">
        <v>86</v>
      </c>
      <c r="AB113" s="16" t="s">
        <v>97</v>
      </c>
      <c r="AC113" s="16" t="s">
        <v>452</v>
      </c>
      <c r="AD113" s="16" t="s">
        <v>89</v>
      </c>
      <c r="AE113" s="16" t="s">
        <v>160</v>
      </c>
      <c r="AF113" s="16" t="s">
        <v>453</v>
      </c>
      <c r="AG113" s="16" t="str">
        <f>_xlfn.XLOOKUP(Tabela1[[#This Row],[CÓD. CT]],Controle_Projetos[COD CT],Controle_Projetos[COD PHD],"")</f>
        <v>ENGF-CT03-PLAN</v>
      </c>
      <c r="AH113" s="21"/>
      <c r="AI113" s="75">
        <v>45868</v>
      </c>
      <c r="AJ113" s="16" t="str" cm="1">
        <f t="array" aca="1" ref="AJ11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3" s="21">
        <v>45874</v>
      </c>
      <c r="AL113" s="74">
        <v>45874</v>
      </c>
      <c r="AM113" s="16" cm="1">
        <f t="array" aca="1" ref="AM11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3" s="21">
        <f>Tabela1[[#This Row],[DATA PREV - FORMS]]+$AN$1</f>
        <v>45881</v>
      </c>
      <c r="AO113" s="74">
        <v>45874</v>
      </c>
      <c r="AP113" s="16" cm="1">
        <f t="array" aca="1" ref="AP11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3" s="21">
        <f>Tabela1[[#This Row],[DATA PREV - EXAMES]]+$AQ$1</f>
        <v>45883</v>
      </c>
      <c r="AR113" s="74">
        <v>45875</v>
      </c>
      <c r="AS113" s="15" cm="1">
        <f t="array" aca="1" ref="AS11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13" s="21">
        <f>Tabela1[[#This Row],[DATA PREV - FORMS]]+$AT$1</f>
        <v>45875</v>
      </c>
      <c r="AU113" s="74">
        <v>45874</v>
      </c>
      <c r="AV113" s="15" cm="1">
        <f t="array" aca="1" ref="AV11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3" s="21">
        <f>Tabela1[[#This Row],[DATA PREV - TREINAMENTOS]]+$AW$1</f>
        <v>45882</v>
      </c>
      <c r="AX113" s="74">
        <v>45875</v>
      </c>
      <c r="AY113" s="15" cm="1">
        <f t="array" aca="1" ref="AY11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13" s="24">
        <v>45882</v>
      </c>
      <c r="BA113" s="74">
        <v>45904</v>
      </c>
      <c r="BB113" s="15" cm="1">
        <f t="array" aca="1" ref="BB11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23</v>
      </c>
      <c r="BC113" s="21">
        <f>Tabela1[[#This Row],[DATA PREV - CONCL. TREIN.]]+$BC$1</f>
        <v>45884</v>
      </c>
      <c r="BD113" s="74">
        <v>45904</v>
      </c>
      <c r="BE113" s="15" cm="1">
        <f t="array" aca="1" ref="BE11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21</v>
      </c>
      <c r="BF113" s="21">
        <f>Tabela1[[#This Row],[DATA PREV - DOSSIÊ]]+$BF$1</f>
        <v>45887</v>
      </c>
      <c r="BG113" s="74">
        <v>45904</v>
      </c>
      <c r="BH113" s="15" cm="1">
        <f t="array" aca="1" ref="BH11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18</v>
      </c>
      <c r="BI113" s="21">
        <f>Tabela1[[#This Row],[DATA PREV - POSTAGEM]]+$BI$1</f>
        <v>45893</v>
      </c>
      <c r="BJ113" s="74">
        <v>45908</v>
      </c>
      <c r="BK113" s="15" cm="1">
        <f t="array" aca="1" ref="BK11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113" s="21">
        <f>Tabela1[[#This Row],[DATA PREV - APROV FINAL]]+$BL$1</f>
        <v>45894</v>
      </c>
      <c r="BM113" s="74">
        <v>45908</v>
      </c>
      <c r="BN113" s="15" cm="1">
        <f t="array" aca="1" ref="BN11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15</v>
      </c>
      <c r="BO113" s="80" t="s">
        <v>463</v>
      </c>
    </row>
    <row r="114" spans="2:67" ht="18" hidden="1" customHeight="1" x14ac:dyDescent="0.35">
      <c r="B114" s="14" t="s">
        <v>79</v>
      </c>
      <c r="C114" s="16" t="s">
        <v>136</v>
      </c>
      <c r="D114" s="16" t="s">
        <v>81</v>
      </c>
      <c r="E114" s="16"/>
      <c r="F114" s="16" t="s">
        <v>342</v>
      </c>
      <c r="G114" s="16" cm="1">
        <f t="array" ref="G114">_xlfn.IFS(Tabela1[[#This Row],[STATUS PROCESSO MOBILIZAÇÃO]]="Finalizado",1,Tabela1[[#This Row],[STATUS PROCESSO MOBILIZAÇÃO]]="Cancelado",2,Tabela1[[#This Row],[STATUS PROCESSO MOBILIZAÇÃO]]="Em andamento",3)</f>
        <v>1</v>
      </c>
      <c r="H114" s="16" cm="1">
        <f t="array" aca="1" ref="H11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FORMS]]="",$AM114&gt;$AK$1),2,
AND(Tabela1[[#This Row],[STATUS PROCESSO MOBILIZAÇÃO]]="Em andamento",Tabela1[[#This Row],[DATA REAL - FORMS]]="",$AM114&lt;=$AK$1),3,
AND(Tabela1[[#This Row],[STATUS PROCESSO MOBILIZAÇÃO]]="Em andamento",Tabela1[[#This Row],[DATA REAL - FORMS]]&lt;&gt;""),1)</f>
        <v>1</v>
      </c>
      <c r="I114" s="16" cm="1">
        <f t="array" aca="1" ref="I11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EXAMES]]="",$AP114&gt;$AN$1),2,
AND(Tabela1[[#This Row],[STATUS PROCESSO MOBILIZAÇÃO]]="Em andamento",Tabela1[[#This Row],[DATA REAL - EXAMES]]="",$AP114&lt;=$AN$1),3,
AND(Tabela1[[#This Row],[STATUS PROCESSO MOBILIZAÇÃO]]="Em andamento",Tabela1[[#This Row],[DATA REAL - EXAMES]]&lt;&gt;""),1)</f>
        <v>1</v>
      </c>
      <c r="J114" s="16" cm="1">
        <f t="array" aca="1" ref="J11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ASO]]="",$AS114&gt;$AQ$1),2,
AND(Tabela1[[#This Row],[STATUS PROCESSO MOBILIZAÇÃO]]="Em andamento",Tabela1[[#This Row],[DATA REAL - ASO]]="",$AS114&lt;=$AQ$1),3,
AND(Tabela1[[#This Row],[STATUS PROCESSO MOBILIZAÇÃO]]="Em andamento",Tabela1[[#This Row],[DATA REAL - ASO]]&lt;&gt;""),1)</f>
        <v>1</v>
      </c>
      <c r="K114" s="15" cm="1">
        <f t="array" aca="1" ref="K11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TREINAMENTOS]]="",$AV114&gt;$AT$1),2,
AND(Tabela1[[#This Row],[STATUS PROCESSO MOBILIZAÇÃO]]="Em andamento",Tabela1[[#This Row],[DATA REAL - TREINAMENTOS]]="",$AV114&lt;=$AT$1),3,
AND(Tabela1[[#This Row],[STATUS PROCESSO MOBILIZAÇÃO]]="Em andamento",Tabela1[[#This Row],[DATA REAL - TREINAMENTOS]]&lt;&gt;""),1)</f>
        <v>1</v>
      </c>
      <c r="L114" s="15" cm="1">
        <f t="array" aca="1" ref="L11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TREIN.]]="",$AY114&gt;$AW$1),2,
AND(Tabela1[[#This Row],[STATUS PROCESSO MOBILIZAÇÃO]]="Em andamento",Tabela1[[#This Row],[DATA REAL - CONCL. TREIN.]]="",$AY114&lt;=$AW$1),3,
AND(Tabela1[[#This Row],[STATUS PROCESSO MOBILIZAÇÃO]]="Em andamento",Tabela1[[#This Row],[DATA REAL - CONCL. TREIN.]]&lt;&gt;""),1)</f>
        <v>1</v>
      </c>
      <c r="M114" s="15" cm="1">
        <f t="array" aca="1" ref="M11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CONTRATUAL]]="",$BB114&gt;$AZ$1),2,
AND(Tabela1[[#This Row],[STATUS PROCESSO MOBILIZAÇÃO]]="Em andamento",Tabela1[[#This Row],[DATA FIM - ALTER. CONTRATUAL]]="",$BB114&lt;=$AZ$1),3,
AND(Tabela1[[#This Row],[STATUS PROCESSO MOBILIZAÇÃO]]="Em andamento",Tabela1[[#This Row],[DATA FIM - ALTER. CONTRATUAL]]&lt;&gt;""),1)</f>
        <v>1</v>
      </c>
      <c r="N114" s="16" cm="1">
        <f t="array" aca="1" ref="N11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DOSSIÊ]]="",$BE114&gt;$BC$1),2,
AND(Tabela1[[#This Row],[STATUS PROCESSO MOBILIZAÇÃO]]="Em andamento",Tabela1[[#This Row],[DATA REAL - DOSSIÊ]]="",$BE114&lt;=$BC$1),3,
AND(Tabela1[[#This Row],[STATUS PROCESSO MOBILIZAÇÃO]]="Em andamento",Tabela1[[#This Row],[DATA REAL - DOSSIÊ]]&lt;&gt;""),1)</f>
        <v>1</v>
      </c>
      <c r="O114" s="16" cm="1">
        <f t="array" aca="1" ref="O11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POSTAGEM]]="",$BH114&gt;$BF$1),2,
AND(Tabela1[[#This Row],[STATUS PROCESSO MOBILIZAÇÃO]]="Em andamento",Tabela1[[#This Row],[DATA REAL - POSTAGEM]]="",$BH114&lt;=$BF$1),3,
AND(Tabela1[[#This Row],[STATUS PROCESSO MOBILIZAÇÃO]]="Em andamento",Tabela1[[#This Row],[DATA REAL - POSTAGEM]]&lt;&gt;""),1)</f>
        <v>1</v>
      </c>
      <c r="P114" s="16" cm="1">
        <f t="array" aca="1" ref="P11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FINAL]]="",$BK114&gt;$BI$1),2,
AND(Tabela1[[#This Row],[STATUS PROCESSO MOBILIZAÇÃO]]="Em andamento",Tabela1[[#This Row],[DATA REAL - APROV FINAL]]="",$BK114&lt;=$BI$1),3,
AND(Tabela1[[#This Row],[STATUS PROCESSO MOBILIZAÇÃO]]="Em andamento",Tabela1[[#This Row],[DATA REAL - APROV FINAL]]&lt;&gt;""),1)</f>
        <v>1</v>
      </c>
      <c r="Q114" s="15" cm="1">
        <f t="array" aca="1" ref="Q11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CRACHÁ]]="",$BN114&gt;$BL$1),2,
AND(Tabela1[[#This Row],[STATUS PROCESSO MOBILIZAÇÃO]]="Em andamento",Tabela1[[#This Row],[DATA REAL - CRACHÁ]]="",$BN114&lt;=$BL$1),3,
AND(Tabela1[[#This Row],[STATUS PROCESSO MOBILIZAÇÃO]]="Em andamento",Tabela1[[#This Row],[DATA REAL - CRACHÁ]]&lt;&gt;""),1)</f>
        <v>1</v>
      </c>
      <c r="R114" s="21">
        <f>IF(Tabela1[[#This Row],[DATA REAL - FORMS]]&lt;&gt;"",Tabela1[[#This Row],[DATA REAL - FORMS]]+30,Tabela1[[#This Row],[DATA PREV - FORMS]]+35)</f>
        <v>45904</v>
      </c>
      <c r="S11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45891</v>
      </c>
      <c r="T11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1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14" s="49">
        <f>MAX(Tabela1[[#This Row],[DATA REAL - POSTAGEM]],Tabela1[[#This Row],[DATA REAL - APROV FINAL]],Tabela1[[#This Row],[DATA REAL - CRACHÁ]])-MIN(Tabela1[[#This Row],[DATA REAL - POSTAGEM]],Tabela1[[#This Row],[DATA REAL - APROV FINAL]],Tabela1[[#This Row],[DATA REAL - CRACHÁ]])+1</f>
        <v>10</v>
      </c>
      <c r="W11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400</v>
      </c>
      <c r="X114" s="15"/>
      <c r="Y114" s="16" t="s">
        <v>130</v>
      </c>
      <c r="Z114" s="18" t="s">
        <v>131</v>
      </c>
      <c r="AA114" s="18" t="s">
        <v>131</v>
      </c>
      <c r="AB114" s="16" t="s">
        <v>97</v>
      </c>
      <c r="AC114" s="16" t="s">
        <v>89</v>
      </c>
      <c r="AD114" s="16" t="s">
        <v>89</v>
      </c>
      <c r="AE114" s="16" t="s">
        <v>405</v>
      </c>
      <c r="AF114" s="16" t="s">
        <v>406</v>
      </c>
      <c r="AG114" s="16" t="str">
        <f>_xlfn.XLOOKUP(Tabela1[[#This Row],[CÓD. CT]],Controle_Projetos[COD CT],Controle_Projetos[COD PHD],"")</f>
        <v>VALE-CT01-OC01</v>
      </c>
      <c r="AH114" s="21"/>
      <c r="AI114" s="75"/>
      <c r="AJ114" s="16" t="str" cm="1">
        <f t="array" aca="1" ref="AJ11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4" s="21">
        <v>45874</v>
      </c>
      <c r="AL114" s="74">
        <v>45874</v>
      </c>
      <c r="AM114" s="16" cm="1">
        <f t="array" aca="1" ref="AM11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4" s="21">
        <f>Tabela1[[#This Row],[DATA PREV - FORMS]]+$AN$1</f>
        <v>45881</v>
      </c>
      <c r="AO114" s="74">
        <v>45874</v>
      </c>
      <c r="AP114" s="16" cm="1">
        <f t="array" aca="1" ref="AP11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4" s="21">
        <f>Tabela1[[#This Row],[DATA PREV - EXAMES]]+$AQ$1</f>
        <v>45883</v>
      </c>
      <c r="AR114" s="74">
        <v>45875</v>
      </c>
      <c r="AS114" s="15" cm="1">
        <f t="array" aca="1" ref="AS11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14" s="21">
        <f>Tabela1[[#This Row],[DATA PREV - FORMS]]+$AT$1</f>
        <v>45875</v>
      </c>
      <c r="AU114" s="74">
        <v>45875</v>
      </c>
      <c r="AV114" s="15" cm="1">
        <f t="array" aca="1" ref="AV11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14" s="21">
        <f>Tabela1[[#This Row],[DATA PREV - TREINAMENTOS]]+$AW$1</f>
        <v>45882</v>
      </c>
      <c r="AX114" s="74">
        <v>45880</v>
      </c>
      <c r="AY114" s="15" cm="1">
        <f t="array" aca="1" ref="AY11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14" s="24"/>
      <c r="BA114" s="74">
        <v>45874</v>
      </c>
      <c r="BB114" s="15" t="str" cm="1">
        <f t="array" aca="1" ref="BB11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114" s="21">
        <f>Tabela1[[#This Row],[DATA PREV - CONCL. TREIN.]]+$BC$1</f>
        <v>45884</v>
      </c>
      <c r="BD114" s="74">
        <v>45882</v>
      </c>
      <c r="BE114" s="15" cm="1">
        <f t="array" aca="1" ref="BE11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14" s="21">
        <f>Tabela1[[#This Row],[DATA PREV - DOSSIÊ]]+$BF$1</f>
        <v>45887</v>
      </c>
      <c r="BG114" s="74">
        <v>45882</v>
      </c>
      <c r="BH114" s="15" cm="1">
        <f t="array" aca="1" ref="BH11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114" s="21">
        <f>Tabela1[[#This Row],[DATA PREV - POSTAGEM]]+$BI$1</f>
        <v>45893</v>
      </c>
      <c r="BJ114" s="74">
        <v>45891</v>
      </c>
      <c r="BK114" s="15" cm="1">
        <f t="array" aca="1" ref="BK11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14" s="21">
        <f>Tabela1[[#This Row],[DATA PREV - APROV FINAL]]+$BL$1</f>
        <v>45894</v>
      </c>
      <c r="BM114" s="74">
        <v>45891</v>
      </c>
      <c r="BN114" s="15" cm="1">
        <f t="array" aca="1" ref="BN11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14" s="80" t="s">
        <v>464</v>
      </c>
    </row>
    <row r="115" spans="2:67" ht="18" hidden="1" customHeight="1" x14ac:dyDescent="0.35">
      <c r="B115" s="14" t="s">
        <v>79</v>
      </c>
      <c r="C115" s="16" t="s">
        <v>136</v>
      </c>
      <c r="D115" s="16" t="s">
        <v>81</v>
      </c>
      <c r="E115" s="16"/>
      <c r="F115" s="16" t="s">
        <v>465</v>
      </c>
      <c r="G115" s="16" cm="1">
        <f t="array" ref="G115">_xlfn.IFS(Tabela1[[#This Row],[STATUS PROCESSO MOBILIZAÇÃO]]="Finalizado",1,Tabela1[[#This Row],[STATUS PROCESSO MOBILIZAÇÃO]]="Cancelado",2,Tabela1[[#This Row],[STATUS PROCESSO MOBILIZAÇÃO]]="Em andamento",3)</f>
        <v>1</v>
      </c>
      <c r="H115" s="16" cm="1">
        <f t="array" aca="1" ref="H11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FORMS]]="",$AM115&gt;$AK$1),2,
AND(Tabela1[[#This Row],[STATUS PROCESSO MOBILIZAÇÃO]]="Em andamento",Tabela1[[#This Row],[DATA REAL - FORMS]]="",$AM115&lt;=$AK$1),3,
AND(Tabela1[[#This Row],[STATUS PROCESSO MOBILIZAÇÃO]]="Em andamento",Tabela1[[#This Row],[DATA REAL - FORMS]]&lt;&gt;""),1)</f>
        <v>1</v>
      </c>
      <c r="I115" s="16" cm="1">
        <f t="array" aca="1" ref="I11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EXAMES]]="",$AP115&gt;$AN$1),2,
AND(Tabela1[[#This Row],[STATUS PROCESSO MOBILIZAÇÃO]]="Em andamento",Tabela1[[#This Row],[DATA REAL - EXAMES]]="",$AP115&lt;=$AN$1),3,
AND(Tabela1[[#This Row],[STATUS PROCESSO MOBILIZAÇÃO]]="Em andamento",Tabela1[[#This Row],[DATA REAL - EXAMES]]&lt;&gt;""),1)</f>
        <v>1</v>
      </c>
      <c r="J115" s="16" cm="1">
        <f t="array" aca="1" ref="J11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ASO]]="",$AS115&gt;$AQ$1),2,
AND(Tabela1[[#This Row],[STATUS PROCESSO MOBILIZAÇÃO]]="Em andamento",Tabela1[[#This Row],[DATA REAL - ASO]]="",$AS115&lt;=$AQ$1),3,
AND(Tabela1[[#This Row],[STATUS PROCESSO MOBILIZAÇÃO]]="Em andamento",Tabela1[[#This Row],[DATA REAL - ASO]]&lt;&gt;""),1)</f>
        <v>1</v>
      </c>
      <c r="K115" s="15" cm="1">
        <f t="array" aca="1" ref="K11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TREINAMENTOS]]="",$AV115&gt;$AT$1),2,
AND(Tabela1[[#This Row],[STATUS PROCESSO MOBILIZAÇÃO]]="Em andamento",Tabela1[[#This Row],[DATA REAL - TREINAMENTOS]]="",$AV115&lt;=$AT$1),3,
AND(Tabela1[[#This Row],[STATUS PROCESSO MOBILIZAÇÃO]]="Em andamento",Tabela1[[#This Row],[DATA REAL - TREINAMENTOS]]&lt;&gt;""),1)</f>
        <v>1</v>
      </c>
      <c r="L115" s="15" cm="1">
        <f t="array" aca="1" ref="L11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TREIN.]]="",$AY115&gt;$AW$1),2,
AND(Tabela1[[#This Row],[STATUS PROCESSO MOBILIZAÇÃO]]="Em andamento",Tabela1[[#This Row],[DATA REAL - CONCL. TREIN.]]="",$AY115&lt;=$AW$1),3,
AND(Tabela1[[#This Row],[STATUS PROCESSO MOBILIZAÇÃO]]="Em andamento",Tabela1[[#This Row],[DATA REAL - CONCL. TREIN.]]&lt;&gt;""),1)</f>
        <v>1</v>
      </c>
      <c r="M115" s="15" cm="1">
        <f t="array" aca="1" ref="M11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CONTRATUAL]]="",$BB115&gt;$AZ$1),2,
AND(Tabela1[[#This Row],[STATUS PROCESSO MOBILIZAÇÃO]]="Em andamento",Tabela1[[#This Row],[DATA FIM - ALTER. CONTRATUAL]]="",$BB115&lt;=$AZ$1),3,
AND(Tabela1[[#This Row],[STATUS PROCESSO MOBILIZAÇÃO]]="Em andamento",Tabela1[[#This Row],[DATA FIM - ALTER. CONTRATUAL]]&lt;&gt;""),1)</f>
        <v>1</v>
      </c>
      <c r="N115" s="16" cm="1">
        <f t="array" aca="1" ref="N11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DOSSIÊ]]="",$BE115&gt;$BC$1),2,
AND(Tabela1[[#This Row],[STATUS PROCESSO MOBILIZAÇÃO]]="Em andamento",Tabela1[[#This Row],[DATA REAL - DOSSIÊ]]="",$BE115&lt;=$BC$1),3,
AND(Tabela1[[#This Row],[STATUS PROCESSO MOBILIZAÇÃO]]="Em andamento",Tabela1[[#This Row],[DATA REAL - DOSSIÊ]]&lt;&gt;""),1)</f>
        <v>1</v>
      </c>
      <c r="O115" s="16" cm="1">
        <f t="array" aca="1" ref="O11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POSTAGEM]]="",$BH115&gt;$BF$1),2,
AND(Tabela1[[#This Row],[STATUS PROCESSO MOBILIZAÇÃO]]="Em andamento",Tabela1[[#This Row],[DATA REAL - POSTAGEM]]="",$BH115&lt;=$BF$1),3,
AND(Tabela1[[#This Row],[STATUS PROCESSO MOBILIZAÇÃO]]="Em andamento",Tabela1[[#This Row],[DATA REAL - POSTAGEM]]&lt;&gt;""),1)</f>
        <v>1</v>
      </c>
      <c r="P115" s="16" cm="1">
        <f t="array" aca="1" ref="P11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FINAL]]="",$BK115&gt;$BI$1),2,
AND(Tabela1[[#This Row],[STATUS PROCESSO MOBILIZAÇÃO]]="Em andamento",Tabela1[[#This Row],[DATA REAL - APROV FINAL]]="",$BK115&lt;=$BI$1),3,
AND(Tabela1[[#This Row],[STATUS PROCESSO MOBILIZAÇÃO]]="Em andamento",Tabela1[[#This Row],[DATA REAL - APROV FINAL]]&lt;&gt;""),1)</f>
        <v>1</v>
      </c>
      <c r="Q115" s="15" cm="1">
        <f t="array" aca="1" ref="Q11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CRACHÁ]]="",$BN115&gt;$BL$1),2,
AND(Tabela1[[#This Row],[STATUS PROCESSO MOBILIZAÇÃO]]="Em andamento",Tabela1[[#This Row],[DATA REAL - CRACHÁ]]="",$BN115&lt;=$BL$1),3,
AND(Tabela1[[#This Row],[STATUS PROCESSO MOBILIZAÇÃO]]="Em andamento",Tabela1[[#This Row],[DATA REAL - CRACHÁ]]&lt;&gt;""),1)</f>
        <v>1</v>
      </c>
      <c r="R115" s="21">
        <f>IF(Tabela1[[#This Row],[DATA REAL - FORMS]]&lt;&gt;"",Tabela1[[#This Row],[DATA REAL - FORMS]]+30,Tabela1[[#This Row],[DATA PREV - FORMS]]+35)</f>
        <v>45910</v>
      </c>
      <c r="S11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45908</v>
      </c>
      <c r="T11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40</v>
      </c>
      <c r="U11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36</v>
      </c>
      <c r="V115" s="49">
        <f>MAX(Tabela1[[#This Row],[DATA REAL - POSTAGEM]],Tabela1[[#This Row],[DATA REAL - APROV FINAL]],Tabela1[[#This Row],[DATA REAL - CRACHÁ]])-MIN(Tabela1[[#This Row],[DATA REAL - POSTAGEM]],Tabela1[[#This Row],[DATA REAL - APROV FINAL]],Tabela1[[#This Row],[DATA REAL - CRACHÁ]])+1</f>
        <v>5</v>
      </c>
      <c r="W11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5" s="15" t="s">
        <v>103</v>
      </c>
      <c r="Y115" s="16" t="s">
        <v>84</v>
      </c>
      <c r="Z115" s="18" t="s">
        <v>104</v>
      </c>
      <c r="AA115" s="18" t="s">
        <v>86</v>
      </c>
      <c r="AB115" s="16" t="s">
        <v>97</v>
      </c>
      <c r="AC115" s="16" t="s">
        <v>452</v>
      </c>
      <c r="AD115" s="16" t="s">
        <v>89</v>
      </c>
      <c r="AE115" s="16" t="s">
        <v>160</v>
      </c>
      <c r="AF115" s="16" t="s">
        <v>453</v>
      </c>
      <c r="AG115" s="16" t="str">
        <f>_xlfn.XLOOKUP(Tabela1[[#This Row],[CÓD. CT]],Controle_Projetos[COD CT],Controle_Projetos[COD PHD],"")</f>
        <v>ENGF-CT03-PLAN</v>
      </c>
      <c r="AH115" s="21"/>
      <c r="AI115" s="75">
        <v>45868</v>
      </c>
      <c r="AJ115" s="16" t="str" cm="1">
        <f t="array" aca="1" ref="AJ11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5" s="21">
        <v>45880</v>
      </c>
      <c r="AL115" s="74">
        <v>45880</v>
      </c>
      <c r="AM115" s="16" cm="1">
        <f t="array" aca="1" ref="AM11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5" s="21">
        <f>Tabela1[[#This Row],[DATA PREV - FORMS]]+$AN$1</f>
        <v>45887</v>
      </c>
      <c r="AO115" s="74">
        <v>45880</v>
      </c>
      <c r="AP115" s="16" cm="1">
        <f t="array" aca="1" ref="AP11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5" s="21">
        <f>Tabela1[[#This Row],[DATA PREV - EXAMES]]+$AQ$1</f>
        <v>45889</v>
      </c>
      <c r="AR115" s="74">
        <v>45882</v>
      </c>
      <c r="AS115" s="15" cm="1">
        <f t="array" aca="1" ref="AS11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15" s="21">
        <f>Tabela1[[#This Row],[DATA PREV - FORMS]]+$AT$1</f>
        <v>45881</v>
      </c>
      <c r="AU115" s="74">
        <v>45880</v>
      </c>
      <c r="AV115" s="15" cm="1">
        <f t="array" aca="1" ref="AV11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5" s="21">
        <f>Tabela1[[#This Row],[DATA PREV - TREINAMENTOS]]+$AW$1</f>
        <v>45888</v>
      </c>
      <c r="AX115" s="74">
        <v>45882</v>
      </c>
      <c r="AY115" s="15" cm="1">
        <f t="array" aca="1" ref="AY11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15" s="24">
        <v>45882</v>
      </c>
      <c r="BA115" s="74">
        <v>45904</v>
      </c>
      <c r="BB115" s="15" cm="1">
        <f t="array" aca="1" ref="BB11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23</v>
      </c>
      <c r="BC115" s="21">
        <f>Tabela1[[#This Row],[DATA PREV - CONCL. TREIN.]]+$BC$1</f>
        <v>45890</v>
      </c>
      <c r="BD115" s="74">
        <v>45904</v>
      </c>
      <c r="BE115" s="15" cm="1">
        <f t="array" aca="1" ref="BE11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15</v>
      </c>
      <c r="BF115" s="21">
        <f>Tabela1[[#This Row],[DATA PREV - DOSSIÊ]]+$BF$1</f>
        <v>45893</v>
      </c>
      <c r="BG115" s="74">
        <v>45904</v>
      </c>
      <c r="BH115" s="15" cm="1">
        <f t="array" aca="1" ref="BH11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115" s="21">
        <f>Tabela1[[#This Row],[DATA PREV - POSTAGEM]]+$BI$1</f>
        <v>45899</v>
      </c>
      <c r="BJ115" s="74">
        <v>45908</v>
      </c>
      <c r="BK115" s="15" cm="1">
        <f t="array" aca="1" ref="BK11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15" s="21">
        <f>Tabela1[[#This Row],[DATA PREV - APROV FINAL]]+$BL$1</f>
        <v>45900</v>
      </c>
      <c r="BM115" s="74">
        <v>45908</v>
      </c>
      <c r="BN115" s="15" cm="1">
        <f t="array" aca="1" ref="BN11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115" s="80" t="s">
        <v>466</v>
      </c>
    </row>
    <row r="116" spans="2:67" ht="18" hidden="1" customHeight="1" x14ac:dyDescent="0.35">
      <c r="B116" s="14" t="s">
        <v>119</v>
      </c>
      <c r="C116" s="16" t="s">
        <v>136</v>
      </c>
      <c r="D116" s="16" t="s">
        <v>81</v>
      </c>
      <c r="E116" s="16"/>
      <c r="F116" s="16" t="s">
        <v>467</v>
      </c>
      <c r="G116" s="16" cm="1">
        <f t="array" ref="G116">_xlfn.IFS(Tabela1[[#This Row],[STATUS PROCESSO MOBILIZAÇÃO]]="Finalizado",1,Tabela1[[#This Row],[STATUS PROCESSO MOBILIZAÇÃO]]="Cancelado",2,Tabela1[[#This Row],[STATUS PROCESSO MOBILIZAÇÃO]]="Em andamento",3)</f>
        <v>2</v>
      </c>
      <c r="H116" s="16" cm="1">
        <f t="array" aca="1" ref="H11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FORMS]]="",$AM116&gt;$AK$1),2,
AND(Tabela1[[#This Row],[STATUS PROCESSO MOBILIZAÇÃO]]="Em andamento",Tabela1[[#This Row],[DATA REAL - FORMS]]="",$AM116&lt;=$AK$1),3,
AND(Tabela1[[#This Row],[STATUS PROCESSO MOBILIZAÇÃO]]="Em andamento",Tabela1[[#This Row],[DATA REAL - FORMS]]&lt;&gt;""),1)</f>
        <v>0</v>
      </c>
      <c r="I116" s="16" cm="1">
        <f t="array" aca="1" ref="I11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EXAMES]]="",$AP116&gt;$AN$1),2,
AND(Tabela1[[#This Row],[STATUS PROCESSO MOBILIZAÇÃO]]="Em andamento",Tabela1[[#This Row],[DATA REAL - EXAMES]]="",$AP116&lt;=$AN$1),3,
AND(Tabela1[[#This Row],[STATUS PROCESSO MOBILIZAÇÃO]]="Em andamento",Tabela1[[#This Row],[DATA REAL - EXAMES]]&lt;&gt;""),1)</f>
        <v>1</v>
      </c>
      <c r="J116" s="16" cm="1">
        <f t="array" aca="1" ref="J11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ASO]]="",$AS116&gt;$AQ$1),2,
AND(Tabela1[[#This Row],[STATUS PROCESSO MOBILIZAÇÃO]]="Em andamento",Tabela1[[#This Row],[DATA REAL - ASO]]="",$AS116&lt;=$AQ$1),3,
AND(Tabela1[[#This Row],[STATUS PROCESSO MOBILIZAÇÃO]]="Em andamento",Tabela1[[#This Row],[DATA REAL - ASO]]&lt;&gt;""),1)</f>
        <v>1</v>
      </c>
      <c r="K116" s="15" cm="1">
        <f t="array" aca="1" ref="K11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TREINAMENTOS]]="",$AV116&gt;$AT$1),2,
AND(Tabela1[[#This Row],[STATUS PROCESSO MOBILIZAÇÃO]]="Em andamento",Tabela1[[#This Row],[DATA REAL - TREINAMENTOS]]="",$AV116&lt;=$AT$1),3,
AND(Tabela1[[#This Row],[STATUS PROCESSO MOBILIZAÇÃO]]="Em andamento",Tabela1[[#This Row],[DATA REAL - TREINAMENTOS]]&lt;&gt;""),1)</f>
        <v>1</v>
      </c>
      <c r="L116" s="15" cm="1">
        <f t="array" aca="1" ref="L11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TREIN.]]="",$AY116&gt;$AW$1),2,
AND(Tabela1[[#This Row],[STATUS PROCESSO MOBILIZAÇÃO]]="Em andamento",Tabela1[[#This Row],[DATA REAL - CONCL. TREIN.]]="",$AY116&lt;=$AW$1),3,
AND(Tabela1[[#This Row],[STATUS PROCESSO MOBILIZAÇÃO]]="Em andamento",Tabela1[[#This Row],[DATA REAL - CONCL. TREIN.]]&lt;&gt;""),1)</f>
        <v>1</v>
      </c>
      <c r="M116" s="15" cm="1">
        <f t="array" aca="1" ref="M11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CONTRATUAL]]="",$BB116&gt;$AZ$1),2,
AND(Tabela1[[#This Row],[STATUS PROCESSO MOBILIZAÇÃO]]="Em andamento",Tabela1[[#This Row],[DATA FIM - ALTER. CONTRATUAL]]="",$BB116&lt;=$AZ$1),3,
AND(Tabela1[[#This Row],[STATUS PROCESSO MOBILIZAÇÃO]]="Em andamento",Tabela1[[#This Row],[DATA FIM - ALTER. CONTRATUAL]]&lt;&gt;""),1)</f>
        <v>1</v>
      </c>
      <c r="N116" s="16" cm="1">
        <f t="array" aca="1" ref="N11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DOSSIÊ]]="",$BE116&gt;$BC$1),2,
AND(Tabela1[[#This Row],[STATUS PROCESSO MOBILIZAÇÃO]]="Em andamento",Tabela1[[#This Row],[DATA REAL - DOSSIÊ]]="",$BE116&lt;=$BC$1),3,
AND(Tabela1[[#This Row],[STATUS PROCESSO MOBILIZAÇÃO]]="Em andamento",Tabela1[[#This Row],[DATA REAL - DOSSIÊ]]&lt;&gt;""),1)</f>
        <v>0</v>
      </c>
      <c r="O116" s="16" cm="1">
        <f t="array" aca="1" ref="O11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POSTAGEM]]="",$BH116&gt;$BF$1),2,
AND(Tabela1[[#This Row],[STATUS PROCESSO MOBILIZAÇÃO]]="Em andamento",Tabela1[[#This Row],[DATA REAL - POSTAGEM]]="",$BH116&lt;=$BF$1),3,
AND(Tabela1[[#This Row],[STATUS PROCESSO MOBILIZAÇÃO]]="Em andamento",Tabela1[[#This Row],[DATA REAL - POSTAGEM]]&lt;&gt;""),1)</f>
        <v>0</v>
      </c>
      <c r="P116" s="16" cm="1">
        <f t="array" aca="1" ref="P11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FINAL]]="",$BK116&gt;$BI$1),2,
AND(Tabela1[[#This Row],[STATUS PROCESSO MOBILIZAÇÃO]]="Em andamento",Tabela1[[#This Row],[DATA REAL - APROV FINAL]]="",$BK116&lt;=$BI$1),3,
AND(Tabela1[[#This Row],[STATUS PROCESSO MOBILIZAÇÃO]]="Em andamento",Tabela1[[#This Row],[DATA REAL - APROV FINAL]]&lt;&gt;""),1)</f>
        <v>0</v>
      </c>
      <c r="Q116" s="15" cm="1">
        <f t="array" aca="1" ref="Q11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CRACHÁ]]="",$BN116&gt;$BL$1),2,
AND(Tabela1[[#This Row],[STATUS PROCESSO MOBILIZAÇÃO]]="Em andamento",Tabela1[[#This Row],[DATA REAL - CRACHÁ]]="",$BN116&lt;=$BL$1),3,
AND(Tabela1[[#This Row],[STATUS PROCESSO MOBILIZAÇÃO]]="Em andamento",Tabela1[[#This Row],[DATA REAL - CRACHÁ]]&lt;&gt;""),1)</f>
        <v>1</v>
      </c>
      <c r="R116" s="21">
        <f>IF(Tabela1[[#This Row],[DATA REAL - FORMS]]&lt;&gt;"",Tabela1[[#This Row],[DATA REAL - FORMS]]+30,Tabela1[[#This Row],[DATA PREV - FORMS]]+35)</f>
        <v>45917</v>
      </c>
      <c r="S11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45905</v>
      </c>
      <c r="T11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U11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v>
      </c>
      <c r="V116" s="49">
        <f>MAX(Tabela1[[#This Row],[DATA REAL - POSTAGEM]],Tabela1[[#This Row],[DATA REAL - APROV FINAL]],Tabela1[[#This Row],[DATA REAL - CRACHÁ]])-MIN(Tabela1[[#This Row],[DATA REAL - POSTAGEM]],Tabela1[[#This Row],[DATA REAL - APROV FINAL]],Tabela1[[#This Row],[DATA REAL - CRACHÁ]])+1</f>
        <v>1</v>
      </c>
      <c r="W11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6" s="15" t="s">
        <v>211</v>
      </c>
      <c r="Y116" s="16" t="s">
        <v>84</v>
      </c>
      <c r="Z116" s="18" t="s">
        <v>204</v>
      </c>
      <c r="AA116" s="18" t="s">
        <v>86</v>
      </c>
      <c r="AB116" s="16" t="s">
        <v>97</v>
      </c>
      <c r="AC116" s="16" t="s">
        <v>235</v>
      </c>
      <c r="AD116" s="16" t="s">
        <v>468</v>
      </c>
      <c r="AE116" s="16" t="s">
        <v>469</v>
      </c>
      <c r="AF116" s="16" t="s">
        <v>470</v>
      </c>
      <c r="AG116" s="16" t="str">
        <f>_xlfn.XLOOKUP(Tabela1[[#This Row],[CÓD. CT]],Controle_Projetos[COD CT],Controle_Projetos[COD PHD],"")</f>
        <v>CCAP-CT16-PLAN</v>
      </c>
      <c r="AH116" s="21"/>
      <c r="AI116" s="75">
        <v>45875</v>
      </c>
      <c r="AJ116" s="16" t="str" cm="1">
        <f t="array" aca="1" ref="AJ11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6" s="21">
        <v>45882</v>
      </c>
      <c r="AL116" s="74"/>
      <c r="AM116" s="16" cm="1">
        <f t="array" aca="1" ref="AM11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6" s="21">
        <f>Tabela1[[#This Row],[DATA PREV - FORMS]]+$AN$1</f>
        <v>45889</v>
      </c>
      <c r="AO116" s="74">
        <v>45882</v>
      </c>
      <c r="AP116" s="16" cm="1">
        <f t="array" aca="1" ref="AP11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6" s="21">
        <f>Tabela1[[#This Row],[DATA PREV - EXAMES]]+$AQ$1</f>
        <v>45891</v>
      </c>
      <c r="AR116" s="74">
        <v>45888</v>
      </c>
      <c r="AS116" s="15" cm="1">
        <f t="array" aca="1" ref="AS11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16" s="21">
        <f>Tabela1[[#This Row],[DATA PREV - FORMS]]+$AT$1</f>
        <v>45883</v>
      </c>
      <c r="AU116" s="74">
        <v>45883</v>
      </c>
      <c r="AV116" s="15" cm="1">
        <f t="array" aca="1" ref="AV11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16" s="21">
        <f>Tabela1[[#This Row],[DATA PREV - TREINAMENTOS]]+$AW$1</f>
        <v>45890</v>
      </c>
      <c r="AX116" s="74">
        <v>45887</v>
      </c>
      <c r="AY116" s="15" cm="1">
        <f t="array" aca="1" ref="AY11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16" s="24">
        <v>45889</v>
      </c>
      <c r="BA116" s="74">
        <v>45882</v>
      </c>
      <c r="BB116" s="15" cm="1">
        <f t="array" aca="1" ref="BB11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v>
      </c>
      <c r="BC116" s="21">
        <f>Tabela1[[#This Row],[DATA PREV - CONCL. TREIN.]]+$BC$1</f>
        <v>45892</v>
      </c>
      <c r="BD116" s="74"/>
      <c r="BE116" s="15" cm="1">
        <f t="array" aca="1" ref="BE11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16" s="21">
        <f>Tabela1[[#This Row],[DATA PREV - DOSSIÊ]]+$BF$1</f>
        <v>45895</v>
      </c>
      <c r="BG116" s="74"/>
      <c r="BH116" s="15" cm="1">
        <f t="array" aca="1" ref="BH11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16" s="21">
        <f>Tabela1[[#This Row],[DATA PREV - POSTAGEM]]+$BI$1</f>
        <v>45901</v>
      </c>
      <c r="BJ116" s="74"/>
      <c r="BK116" s="15" cm="1">
        <f t="array" aca="1" ref="BK11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16" s="21">
        <f>Tabela1[[#This Row],[DATA PREV - APROV FINAL]]+$BL$1</f>
        <v>45902</v>
      </c>
      <c r="BM116" s="74">
        <v>45905</v>
      </c>
      <c r="BN116" s="15" cm="1">
        <f t="array" aca="1" ref="BN11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116" s="80" t="s">
        <v>471</v>
      </c>
    </row>
    <row r="117" spans="2:67" ht="18" hidden="1" customHeight="1" x14ac:dyDescent="0.35">
      <c r="B117" s="14" t="s">
        <v>79</v>
      </c>
      <c r="C117" s="16" t="s">
        <v>136</v>
      </c>
      <c r="D117" s="16" t="s">
        <v>81</v>
      </c>
      <c r="E117" s="16"/>
      <c r="F117" s="16" t="s">
        <v>472</v>
      </c>
      <c r="G117" s="16" cm="1">
        <f t="array" ref="G117">_xlfn.IFS(Tabela1[[#This Row],[STATUS PROCESSO MOBILIZAÇÃO]]="Finalizado",1,Tabela1[[#This Row],[STATUS PROCESSO MOBILIZAÇÃO]]="Cancelado",2,Tabela1[[#This Row],[STATUS PROCESSO MOBILIZAÇÃO]]="Em andamento",3)</f>
        <v>1</v>
      </c>
      <c r="H117" s="16" cm="1">
        <f t="array" aca="1" ref="H11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FORMS]]="",$AM117&gt;$AK$1),2,
AND(Tabela1[[#This Row],[STATUS PROCESSO MOBILIZAÇÃO]]="Em andamento",Tabela1[[#This Row],[DATA REAL - FORMS]]="",$AM117&lt;=$AK$1),3,
AND(Tabela1[[#This Row],[STATUS PROCESSO MOBILIZAÇÃO]]="Em andamento",Tabela1[[#This Row],[DATA REAL - FORMS]]&lt;&gt;""),1)</f>
        <v>1</v>
      </c>
      <c r="I117" s="16" cm="1">
        <f t="array" aca="1" ref="I11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EXAMES]]="",$AP117&gt;$AN$1),2,
AND(Tabela1[[#This Row],[STATUS PROCESSO MOBILIZAÇÃO]]="Em andamento",Tabela1[[#This Row],[DATA REAL - EXAMES]]="",$AP117&lt;=$AN$1),3,
AND(Tabela1[[#This Row],[STATUS PROCESSO MOBILIZAÇÃO]]="Em andamento",Tabela1[[#This Row],[DATA REAL - EXAMES]]&lt;&gt;""),1)</f>
        <v>1</v>
      </c>
      <c r="J117" s="16" cm="1">
        <f t="array" aca="1" ref="J11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ASO]]="",$AS117&gt;$AQ$1),2,
AND(Tabela1[[#This Row],[STATUS PROCESSO MOBILIZAÇÃO]]="Em andamento",Tabela1[[#This Row],[DATA REAL - ASO]]="",$AS117&lt;=$AQ$1),3,
AND(Tabela1[[#This Row],[STATUS PROCESSO MOBILIZAÇÃO]]="Em andamento",Tabela1[[#This Row],[DATA REAL - ASO]]&lt;&gt;""),1)</f>
        <v>1</v>
      </c>
      <c r="K117" s="15" cm="1">
        <f t="array" aca="1" ref="K11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TREINAMENTOS]]="",$AV117&gt;$AT$1),2,
AND(Tabela1[[#This Row],[STATUS PROCESSO MOBILIZAÇÃO]]="Em andamento",Tabela1[[#This Row],[DATA REAL - TREINAMENTOS]]="",$AV117&lt;=$AT$1),3,
AND(Tabela1[[#This Row],[STATUS PROCESSO MOBILIZAÇÃO]]="Em andamento",Tabela1[[#This Row],[DATA REAL - TREINAMENTOS]]&lt;&gt;""),1)</f>
        <v>1</v>
      </c>
      <c r="L117" s="15" cm="1">
        <f t="array" aca="1" ref="L11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TREIN.]]="",$AY117&gt;$AW$1),2,
AND(Tabela1[[#This Row],[STATUS PROCESSO MOBILIZAÇÃO]]="Em andamento",Tabela1[[#This Row],[DATA REAL - CONCL. TREIN.]]="",$AY117&lt;=$AW$1),3,
AND(Tabela1[[#This Row],[STATUS PROCESSO MOBILIZAÇÃO]]="Em andamento",Tabela1[[#This Row],[DATA REAL - CONCL. TREIN.]]&lt;&gt;""),1)</f>
        <v>1</v>
      </c>
      <c r="M117" s="15" cm="1">
        <f t="array" aca="1" ref="M11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CONTRATUAL]]="",$BB117&gt;$AZ$1),2,
AND(Tabela1[[#This Row],[STATUS PROCESSO MOBILIZAÇÃO]]="Em andamento",Tabela1[[#This Row],[DATA FIM - ALTER. CONTRATUAL]]="",$BB117&lt;=$AZ$1),3,
AND(Tabela1[[#This Row],[STATUS PROCESSO MOBILIZAÇÃO]]="Em andamento",Tabela1[[#This Row],[DATA FIM - ALTER. CONTRATUAL]]&lt;&gt;""),1)</f>
        <v>1</v>
      </c>
      <c r="N117" s="16" cm="1">
        <f t="array" aca="1" ref="N11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DOSSIÊ]]="",$BE117&gt;$BC$1),2,
AND(Tabela1[[#This Row],[STATUS PROCESSO MOBILIZAÇÃO]]="Em andamento",Tabela1[[#This Row],[DATA REAL - DOSSIÊ]]="",$BE117&lt;=$BC$1),3,
AND(Tabela1[[#This Row],[STATUS PROCESSO MOBILIZAÇÃO]]="Em andamento",Tabela1[[#This Row],[DATA REAL - DOSSIÊ]]&lt;&gt;""),1)</f>
        <v>1</v>
      </c>
      <c r="O117" s="16" cm="1">
        <f t="array" aca="1" ref="O11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POSTAGEM]]="",$BH117&gt;$BF$1),2,
AND(Tabela1[[#This Row],[STATUS PROCESSO MOBILIZAÇÃO]]="Em andamento",Tabela1[[#This Row],[DATA REAL - POSTAGEM]]="",$BH117&lt;=$BF$1),3,
AND(Tabela1[[#This Row],[STATUS PROCESSO MOBILIZAÇÃO]]="Em andamento",Tabela1[[#This Row],[DATA REAL - POSTAGEM]]&lt;&gt;""),1)</f>
        <v>1</v>
      </c>
      <c r="P117" s="16" cm="1">
        <f t="array" aca="1" ref="P11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FINAL]]="",$BK117&gt;$BI$1),2,
AND(Tabela1[[#This Row],[STATUS PROCESSO MOBILIZAÇÃO]]="Em andamento",Tabela1[[#This Row],[DATA REAL - APROV FINAL]]="",$BK117&lt;=$BI$1),3,
AND(Tabela1[[#This Row],[STATUS PROCESSO MOBILIZAÇÃO]]="Em andamento",Tabela1[[#This Row],[DATA REAL - APROV FINAL]]&lt;&gt;""),1)</f>
        <v>1</v>
      </c>
      <c r="Q117" s="15" cm="1">
        <f t="array" aca="1" ref="Q11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CRACHÁ]]="",$BN117&gt;$BL$1),2,
AND(Tabela1[[#This Row],[STATUS PROCESSO MOBILIZAÇÃO]]="Em andamento",Tabela1[[#This Row],[DATA REAL - CRACHÁ]]="",$BN117&lt;=$BL$1),3,
AND(Tabela1[[#This Row],[STATUS PROCESSO MOBILIZAÇÃO]]="Em andamento",Tabela1[[#This Row],[DATA REAL - CRACHÁ]]&lt;&gt;""),1)</f>
        <v>1</v>
      </c>
      <c r="R117" s="21">
        <f>IF(Tabela1[[#This Row],[DATA REAL - FORMS]]&lt;&gt;"",Tabela1[[#This Row],[DATA REAL - FORMS]]+30,Tabela1[[#This Row],[DATA PREV - FORMS]]+35)</f>
        <v>45926</v>
      </c>
      <c r="S11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45919</v>
      </c>
      <c r="T11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44</v>
      </c>
      <c r="U11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30</v>
      </c>
      <c r="V117" s="49">
        <f>MAX(Tabela1[[#This Row],[DATA REAL - POSTAGEM]],Tabela1[[#This Row],[DATA REAL - APROV FINAL]],Tabela1[[#This Row],[DATA REAL - CRACHÁ]])-MIN(Tabela1[[#This Row],[DATA REAL - POSTAGEM]],Tabela1[[#This Row],[DATA REAL - APROV FINAL]],Tabela1[[#This Row],[DATA REAL - CRACHÁ]])+1</f>
        <v>15</v>
      </c>
      <c r="W11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7" s="15" t="s">
        <v>211</v>
      </c>
      <c r="Y117" s="16" t="s">
        <v>84</v>
      </c>
      <c r="Z117" s="18" t="s">
        <v>204</v>
      </c>
      <c r="AA117" s="18" t="s">
        <v>86</v>
      </c>
      <c r="AB117" s="16" t="s">
        <v>97</v>
      </c>
      <c r="AC117" s="16" t="s">
        <v>235</v>
      </c>
      <c r="AD117" s="16" t="s">
        <v>468</v>
      </c>
      <c r="AE117" s="16" t="s">
        <v>469</v>
      </c>
      <c r="AF117" s="16" t="s">
        <v>470</v>
      </c>
      <c r="AG117" s="16" t="str">
        <f>_xlfn.XLOOKUP(Tabela1[[#This Row],[CÓD. CT]],Controle_Projetos[COD CT],Controle_Projetos[COD PHD],"")</f>
        <v>CCAP-CT16-PLAN</v>
      </c>
      <c r="AH117" s="21"/>
      <c r="AI117" s="75">
        <v>45875</v>
      </c>
      <c r="AJ117" s="16" t="str" cm="1">
        <f t="array" aca="1" ref="AJ11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7" s="21">
        <v>45882</v>
      </c>
      <c r="AL117" s="74">
        <v>45896</v>
      </c>
      <c r="AM117" s="16" cm="1">
        <f t="array" aca="1" ref="AM11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15</v>
      </c>
      <c r="AN117" s="21">
        <f>Tabela1[[#This Row],[DATA PREV - FORMS]]+$AN$1</f>
        <v>45889</v>
      </c>
      <c r="AO117" s="74">
        <v>45883</v>
      </c>
      <c r="AP117" s="16" cm="1">
        <f t="array" aca="1" ref="AP11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17" s="21">
        <f>Tabela1[[#This Row],[DATA PREV - EXAMES]]+$AQ$1</f>
        <v>45891</v>
      </c>
      <c r="AR117" s="74">
        <v>45888</v>
      </c>
      <c r="AS117" s="15" cm="1">
        <f t="array" aca="1" ref="AS11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17" s="21">
        <f>Tabela1[[#This Row],[DATA PREV - FORMS]]+$AT$1</f>
        <v>45883</v>
      </c>
      <c r="AU117" s="74">
        <v>45887</v>
      </c>
      <c r="AV117" s="15" cm="1">
        <f t="array" aca="1" ref="AV11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5</v>
      </c>
      <c r="AW117" s="21">
        <f>Tabela1[[#This Row],[DATA PREV - TREINAMENTOS]]+$AW$1</f>
        <v>45890</v>
      </c>
      <c r="AX117" s="74">
        <v>45887</v>
      </c>
      <c r="AY117" s="15" cm="1">
        <f t="array" aca="1" ref="AY11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17" s="24">
        <v>45888</v>
      </c>
      <c r="BA117" s="74">
        <v>45904</v>
      </c>
      <c r="BB117" s="15" cm="1">
        <f t="array" aca="1" ref="BB11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17</v>
      </c>
      <c r="BC117" s="21">
        <f>Tabela1[[#This Row],[DATA PREV - CONCL. TREIN.]]+$BC$1</f>
        <v>45892</v>
      </c>
      <c r="BD117" s="74">
        <v>45905</v>
      </c>
      <c r="BE117" s="15" cm="1">
        <f t="array" aca="1" ref="BE11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117" s="21">
        <f>Tabela1[[#This Row],[DATA PREV - DOSSIÊ]]+$BF$1</f>
        <v>45895</v>
      </c>
      <c r="BG117" s="74">
        <v>45905</v>
      </c>
      <c r="BH117" s="15" cm="1">
        <f t="array" aca="1" ref="BH11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117" s="21">
        <f>Tabela1[[#This Row],[DATA PREV - POSTAGEM]]+$BI$1</f>
        <v>45901</v>
      </c>
      <c r="BJ117" s="74">
        <v>45918</v>
      </c>
      <c r="BK117" s="15" cm="1">
        <f t="array" aca="1" ref="BK11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18</v>
      </c>
      <c r="BL117" s="21">
        <f>Tabela1[[#This Row],[DATA PREV - APROV FINAL]]+$BL$1</f>
        <v>45902</v>
      </c>
      <c r="BM117" s="74">
        <v>45919</v>
      </c>
      <c r="BN117" s="15" cm="1">
        <f t="array" aca="1" ref="BN11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18</v>
      </c>
      <c r="BO117" s="80" t="s">
        <v>473</v>
      </c>
    </row>
    <row r="118" spans="2:67" ht="18" hidden="1" customHeight="1" x14ac:dyDescent="0.35">
      <c r="B118" s="14" t="s">
        <v>79</v>
      </c>
      <c r="C118" s="16" t="s">
        <v>136</v>
      </c>
      <c r="D118" s="16" t="s">
        <v>81</v>
      </c>
      <c r="E118" s="16"/>
      <c r="F118" s="16" t="s">
        <v>251</v>
      </c>
      <c r="G118" s="16" cm="1">
        <f t="array" ref="G118">_xlfn.IFS(Tabela1[[#This Row],[STATUS PROCESSO MOBILIZAÇÃO]]="Finalizado",1,Tabela1[[#This Row],[STATUS PROCESSO MOBILIZAÇÃO]]="Cancelado",2,Tabela1[[#This Row],[STATUS PROCESSO MOBILIZAÇÃO]]="Em andamento",3)</f>
        <v>1</v>
      </c>
      <c r="H118" s="16" cm="1">
        <f t="array" aca="1" ref="H11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FORMS]]="",$AM118&gt;$AK$1),2,
AND(Tabela1[[#This Row],[STATUS PROCESSO MOBILIZAÇÃO]]="Em andamento",Tabela1[[#This Row],[DATA REAL - FORMS]]="",$AM118&lt;=$AK$1),3,
AND(Tabela1[[#This Row],[STATUS PROCESSO MOBILIZAÇÃO]]="Em andamento",Tabela1[[#This Row],[DATA REAL - FORMS]]&lt;&gt;""),1)</f>
        <v>1</v>
      </c>
      <c r="I118" s="16" cm="1">
        <f t="array" aca="1" ref="I11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EXAMES]]="",$AP118&gt;$AN$1),2,
AND(Tabela1[[#This Row],[STATUS PROCESSO MOBILIZAÇÃO]]="Em andamento",Tabela1[[#This Row],[DATA REAL - EXAMES]]="",$AP118&lt;=$AN$1),3,
AND(Tabela1[[#This Row],[STATUS PROCESSO MOBILIZAÇÃO]]="Em andamento",Tabela1[[#This Row],[DATA REAL - EXAMES]]&lt;&gt;""),1)</f>
        <v>1</v>
      </c>
      <c r="J118" s="16" cm="1">
        <f t="array" aca="1" ref="J11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ASO]]="",$AS118&gt;$AQ$1),2,
AND(Tabela1[[#This Row],[STATUS PROCESSO MOBILIZAÇÃO]]="Em andamento",Tabela1[[#This Row],[DATA REAL - ASO]]="",$AS118&lt;=$AQ$1),3,
AND(Tabela1[[#This Row],[STATUS PROCESSO MOBILIZAÇÃO]]="Em andamento",Tabela1[[#This Row],[DATA REAL - ASO]]&lt;&gt;""),1)</f>
        <v>1</v>
      </c>
      <c r="K118" s="15" cm="1">
        <f t="array" aca="1" ref="K11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TREINAMENTOS]]="",$AV118&gt;$AT$1),2,
AND(Tabela1[[#This Row],[STATUS PROCESSO MOBILIZAÇÃO]]="Em andamento",Tabela1[[#This Row],[DATA REAL - TREINAMENTOS]]="",$AV118&lt;=$AT$1),3,
AND(Tabela1[[#This Row],[STATUS PROCESSO MOBILIZAÇÃO]]="Em andamento",Tabela1[[#This Row],[DATA REAL - TREINAMENTOS]]&lt;&gt;""),1)</f>
        <v>1</v>
      </c>
      <c r="L118" s="15" cm="1">
        <f t="array" aca="1" ref="L11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TREIN.]]="",$AY118&gt;$AW$1),2,
AND(Tabela1[[#This Row],[STATUS PROCESSO MOBILIZAÇÃO]]="Em andamento",Tabela1[[#This Row],[DATA REAL - CONCL. TREIN.]]="",$AY118&lt;=$AW$1),3,
AND(Tabela1[[#This Row],[STATUS PROCESSO MOBILIZAÇÃO]]="Em andamento",Tabela1[[#This Row],[DATA REAL - CONCL. TREIN.]]&lt;&gt;""),1)</f>
        <v>1</v>
      </c>
      <c r="M118" s="15" cm="1">
        <f t="array" aca="1" ref="M11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CONTRATUAL]]="",$BB118&gt;$AZ$1),2,
AND(Tabela1[[#This Row],[STATUS PROCESSO MOBILIZAÇÃO]]="Em andamento",Tabela1[[#This Row],[DATA FIM - ALTER. CONTRATUAL]]="",$BB118&lt;=$AZ$1),3,
AND(Tabela1[[#This Row],[STATUS PROCESSO MOBILIZAÇÃO]]="Em andamento",Tabela1[[#This Row],[DATA FIM - ALTER. CONTRATUAL]]&lt;&gt;""),1)</f>
        <v>1</v>
      </c>
      <c r="N118" s="16" cm="1">
        <f t="array" aca="1" ref="N11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DOSSIÊ]]="",$BE118&gt;$BC$1),2,
AND(Tabela1[[#This Row],[STATUS PROCESSO MOBILIZAÇÃO]]="Em andamento",Tabela1[[#This Row],[DATA REAL - DOSSIÊ]]="",$BE118&lt;=$BC$1),3,
AND(Tabela1[[#This Row],[STATUS PROCESSO MOBILIZAÇÃO]]="Em andamento",Tabela1[[#This Row],[DATA REAL - DOSSIÊ]]&lt;&gt;""),1)</f>
        <v>1</v>
      </c>
      <c r="O118" s="16" cm="1">
        <f t="array" aca="1" ref="O11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POSTAGEM]]="",$BH118&gt;$BF$1),2,
AND(Tabela1[[#This Row],[STATUS PROCESSO MOBILIZAÇÃO]]="Em andamento",Tabela1[[#This Row],[DATA REAL - POSTAGEM]]="",$BH118&lt;=$BF$1),3,
AND(Tabela1[[#This Row],[STATUS PROCESSO MOBILIZAÇÃO]]="Em andamento",Tabela1[[#This Row],[DATA REAL - POSTAGEM]]&lt;&gt;""),1)</f>
        <v>1</v>
      </c>
      <c r="P118" s="16" cm="1">
        <f t="array" aca="1" ref="P11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FINAL]]="",$BK118&gt;$BI$1),2,
AND(Tabela1[[#This Row],[STATUS PROCESSO MOBILIZAÇÃO]]="Em andamento",Tabela1[[#This Row],[DATA REAL - APROV FINAL]]="",$BK118&lt;=$BI$1),3,
AND(Tabela1[[#This Row],[STATUS PROCESSO MOBILIZAÇÃO]]="Em andamento",Tabela1[[#This Row],[DATA REAL - APROV FINAL]]&lt;&gt;""),1)</f>
        <v>1</v>
      </c>
      <c r="Q118" s="15" cm="1">
        <f t="array" aca="1" ref="Q11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CRACHÁ]]="",$BN118&gt;$BL$1),2,
AND(Tabela1[[#This Row],[STATUS PROCESSO MOBILIZAÇÃO]]="Em andamento",Tabela1[[#This Row],[DATA REAL - CRACHÁ]]="",$BN118&lt;=$BL$1),3,
AND(Tabela1[[#This Row],[STATUS PROCESSO MOBILIZAÇÃO]]="Em andamento",Tabela1[[#This Row],[DATA REAL - CRACHÁ]]&lt;&gt;""),1)</f>
        <v>1</v>
      </c>
      <c r="R118" s="21">
        <f>IF(Tabela1[[#This Row],[DATA REAL - FORMS]]&lt;&gt;"",Tabela1[[#This Row],[DATA REAL - FORMS]]+30,Tabela1[[#This Row],[DATA PREV - FORMS]]+35)</f>
        <v>45918</v>
      </c>
      <c r="S11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45902</v>
      </c>
      <c r="T11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215</v>
      </c>
      <c r="U11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207</v>
      </c>
      <c r="V118" s="49">
        <f>MAX(Tabela1[[#This Row],[DATA REAL - POSTAGEM]],Tabela1[[#This Row],[DATA REAL - APROV FINAL]],Tabela1[[#This Row],[DATA REAL - CRACHÁ]])-MIN(Tabela1[[#This Row],[DATA REAL - POSTAGEM]],Tabela1[[#This Row],[DATA REAL - APROV FINAL]],Tabela1[[#This Row],[DATA REAL - CRACHÁ]])+1</f>
        <v>8</v>
      </c>
      <c r="W11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8" s="15" t="s">
        <v>121</v>
      </c>
      <c r="Y118" s="16" t="s">
        <v>122</v>
      </c>
      <c r="Z118" s="18" t="s">
        <v>123</v>
      </c>
      <c r="AA118" s="18" t="s">
        <v>124</v>
      </c>
      <c r="AB118" s="16" t="s">
        <v>97</v>
      </c>
      <c r="AC118" s="16" t="s">
        <v>474</v>
      </c>
      <c r="AD118" s="16" t="s">
        <v>227</v>
      </c>
      <c r="AE118" s="16" t="s">
        <v>475</v>
      </c>
      <c r="AF118" s="16" t="s">
        <v>229</v>
      </c>
      <c r="AG118" s="16" t="str">
        <f>_xlfn.XLOOKUP(Tabela1[[#This Row],[CÓD. CT]],Controle_Projetos[COD CT],Controle_Projetos[COD PHD],"")</f>
        <v>ARCL-CT02-LPSA</v>
      </c>
      <c r="AH118" s="21"/>
      <c r="AI118" s="75">
        <v>45687</v>
      </c>
      <c r="AJ118" s="16" t="str" cm="1">
        <f t="array" aca="1" ref="AJ11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8" s="21">
        <v>45888</v>
      </c>
      <c r="AL118" s="74">
        <v>45888</v>
      </c>
      <c r="AM118" s="16" cm="1">
        <f t="array" aca="1" ref="AM11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18" s="21">
        <f>Tabela1[[#This Row],[DATA PREV - FORMS]]+$AN$1</f>
        <v>45895</v>
      </c>
      <c r="AO118" s="74">
        <v>45888</v>
      </c>
      <c r="AP118" s="16" cm="1">
        <f t="array" aca="1" ref="AP11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8" s="21">
        <f>Tabela1[[#This Row],[DATA PREV - EXAMES]]+$AQ$1</f>
        <v>45897</v>
      </c>
      <c r="AR118" s="74">
        <v>45894</v>
      </c>
      <c r="AS118" s="15" cm="1">
        <f t="array" aca="1" ref="AS11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18" s="21">
        <f>Tabela1[[#This Row],[DATA PREV - FORMS]]+$AT$1</f>
        <v>45889</v>
      </c>
      <c r="AU118" s="74">
        <v>45888</v>
      </c>
      <c r="AV118" s="15" cm="1">
        <f t="array" aca="1" ref="AV11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18" s="21">
        <f>Tabela1[[#This Row],[DATA PREV - TREINAMENTOS]]+$AW$1</f>
        <v>45896</v>
      </c>
      <c r="AX118" s="74">
        <v>45888</v>
      </c>
      <c r="AY118" s="15" cm="1">
        <f t="array" aca="1" ref="AY11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18" s="24">
        <v>45895</v>
      </c>
      <c r="BA118" s="74">
        <v>45888</v>
      </c>
      <c r="BB118" s="15" cm="1">
        <f t="array" aca="1" ref="BB11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v>
      </c>
      <c r="BC118" s="21">
        <f>Tabela1[[#This Row],[DATA PREV - CONCL. TREIN.]]+$BC$1</f>
        <v>45898</v>
      </c>
      <c r="BD118" s="74">
        <v>45894</v>
      </c>
      <c r="BE118" s="15" cm="1">
        <f t="array" aca="1" ref="BE11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18" s="21">
        <f>Tabela1[[#This Row],[DATA PREV - DOSSIÊ]]+$BF$1</f>
        <v>45901</v>
      </c>
      <c r="BG118" s="74">
        <v>45895</v>
      </c>
      <c r="BH118" s="15" cm="1">
        <f t="array" aca="1" ref="BH11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18" s="21">
        <f>Tabela1[[#This Row],[DATA PREV - POSTAGEM]]+$BI$1</f>
        <v>45907</v>
      </c>
      <c r="BJ118" s="74">
        <v>45902</v>
      </c>
      <c r="BK118" s="15" cm="1">
        <f t="array" aca="1" ref="BK11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18" s="21">
        <f>Tabela1[[#This Row],[DATA PREV - APROV FINAL]]+$BL$1</f>
        <v>45908</v>
      </c>
      <c r="BM118" s="74">
        <v>45902</v>
      </c>
      <c r="BN118" s="15" cm="1">
        <f t="array" aca="1" ref="BN11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18" s="80" t="s">
        <v>476</v>
      </c>
    </row>
    <row r="119" spans="2:67" ht="18" hidden="1" customHeight="1" x14ac:dyDescent="0.35">
      <c r="B119" s="14" t="s">
        <v>79</v>
      </c>
      <c r="C119" s="16" t="s">
        <v>136</v>
      </c>
      <c r="D119" s="16" t="s">
        <v>81</v>
      </c>
      <c r="E119" s="16"/>
      <c r="F119" s="16" t="s">
        <v>477</v>
      </c>
      <c r="G119" s="16" cm="1">
        <f t="array" ref="G119">_xlfn.IFS(Tabela1[[#This Row],[STATUS PROCESSO MOBILIZAÇÃO]]="Finalizado",1,Tabela1[[#This Row],[STATUS PROCESSO MOBILIZAÇÃO]]="Cancelado",2,Tabela1[[#This Row],[STATUS PROCESSO MOBILIZAÇÃO]]="Em andamento",3)</f>
        <v>1</v>
      </c>
      <c r="H119" s="16" cm="1">
        <f t="array" aca="1" ref="H11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FORMS]]="",$AM119&gt;$AK$1),2,
AND(Tabela1[[#This Row],[STATUS PROCESSO MOBILIZAÇÃO]]="Em andamento",Tabela1[[#This Row],[DATA REAL - FORMS]]="",$AM119&lt;=$AK$1),3,
AND(Tabela1[[#This Row],[STATUS PROCESSO MOBILIZAÇÃO]]="Em andamento",Tabela1[[#This Row],[DATA REAL - FORMS]]&lt;&gt;""),1)</f>
        <v>1</v>
      </c>
      <c r="I119" s="16" cm="1">
        <f t="array" aca="1" ref="I11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EXAMES]]="",$AP119&gt;$AN$1),2,
AND(Tabela1[[#This Row],[STATUS PROCESSO MOBILIZAÇÃO]]="Em andamento",Tabela1[[#This Row],[DATA REAL - EXAMES]]="",$AP119&lt;=$AN$1),3,
AND(Tabela1[[#This Row],[STATUS PROCESSO MOBILIZAÇÃO]]="Em andamento",Tabela1[[#This Row],[DATA REAL - EXAMES]]&lt;&gt;""),1)</f>
        <v>1</v>
      </c>
      <c r="J119" s="16" cm="1">
        <f t="array" aca="1" ref="J11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ASO]]="",$AS119&gt;$AQ$1),2,
AND(Tabela1[[#This Row],[STATUS PROCESSO MOBILIZAÇÃO]]="Em andamento",Tabela1[[#This Row],[DATA REAL - ASO]]="",$AS119&lt;=$AQ$1),3,
AND(Tabela1[[#This Row],[STATUS PROCESSO MOBILIZAÇÃO]]="Em andamento",Tabela1[[#This Row],[DATA REAL - ASO]]&lt;&gt;""),1)</f>
        <v>1</v>
      </c>
      <c r="K119" s="15" cm="1">
        <f t="array" aca="1" ref="K11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TREINAMENTOS]]="",$AV119&gt;$AT$1),2,
AND(Tabela1[[#This Row],[STATUS PROCESSO MOBILIZAÇÃO]]="Em andamento",Tabela1[[#This Row],[DATA REAL - TREINAMENTOS]]="",$AV119&lt;=$AT$1),3,
AND(Tabela1[[#This Row],[STATUS PROCESSO MOBILIZAÇÃO]]="Em andamento",Tabela1[[#This Row],[DATA REAL - TREINAMENTOS]]&lt;&gt;""),1)</f>
        <v>1</v>
      </c>
      <c r="L119" s="15" cm="1">
        <f t="array" aca="1" ref="L11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TREIN.]]="",$AY119&gt;$AW$1),2,
AND(Tabela1[[#This Row],[STATUS PROCESSO MOBILIZAÇÃO]]="Em andamento",Tabela1[[#This Row],[DATA REAL - CONCL. TREIN.]]="",$AY119&lt;=$AW$1),3,
AND(Tabela1[[#This Row],[STATUS PROCESSO MOBILIZAÇÃO]]="Em andamento",Tabela1[[#This Row],[DATA REAL - CONCL. TREIN.]]&lt;&gt;""),1)</f>
        <v>1</v>
      </c>
      <c r="M119" s="15" cm="1">
        <f t="array" aca="1" ref="M11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CONTRATUAL]]="",$BB119&gt;$AZ$1),2,
AND(Tabela1[[#This Row],[STATUS PROCESSO MOBILIZAÇÃO]]="Em andamento",Tabela1[[#This Row],[DATA FIM - ALTER. CONTRATUAL]]="",$BB119&lt;=$AZ$1),3,
AND(Tabela1[[#This Row],[STATUS PROCESSO MOBILIZAÇÃO]]="Em andamento",Tabela1[[#This Row],[DATA FIM - ALTER. CONTRATUAL]]&lt;&gt;""),1)</f>
        <v>1</v>
      </c>
      <c r="N119" s="16" cm="1">
        <f t="array" aca="1" ref="N11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DOSSIÊ]]="",$BE119&gt;$BC$1),2,
AND(Tabela1[[#This Row],[STATUS PROCESSO MOBILIZAÇÃO]]="Em andamento",Tabela1[[#This Row],[DATA REAL - DOSSIÊ]]="",$BE119&lt;=$BC$1),3,
AND(Tabela1[[#This Row],[STATUS PROCESSO MOBILIZAÇÃO]]="Em andamento",Tabela1[[#This Row],[DATA REAL - DOSSIÊ]]&lt;&gt;""),1)</f>
        <v>1</v>
      </c>
      <c r="O119" s="16" cm="1">
        <f t="array" aca="1" ref="O11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POSTAGEM]]="",$BH119&gt;$BF$1),2,
AND(Tabela1[[#This Row],[STATUS PROCESSO MOBILIZAÇÃO]]="Em andamento",Tabela1[[#This Row],[DATA REAL - POSTAGEM]]="",$BH119&lt;=$BF$1),3,
AND(Tabela1[[#This Row],[STATUS PROCESSO MOBILIZAÇÃO]]="Em andamento",Tabela1[[#This Row],[DATA REAL - POSTAGEM]]&lt;&gt;""),1)</f>
        <v>1</v>
      </c>
      <c r="P119" s="16" cm="1">
        <f t="array" aca="1" ref="P11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FINAL]]="",$BK119&gt;$BI$1),2,
AND(Tabela1[[#This Row],[STATUS PROCESSO MOBILIZAÇÃO]]="Em andamento",Tabela1[[#This Row],[DATA REAL - APROV FINAL]]="",$BK119&lt;=$BI$1),3,
AND(Tabela1[[#This Row],[STATUS PROCESSO MOBILIZAÇÃO]]="Em andamento",Tabela1[[#This Row],[DATA REAL - APROV FINAL]]&lt;&gt;""),1)</f>
        <v>1</v>
      </c>
      <c r="Q119" s="15" cm="1">
        <f t="array" aca="1" ref="Q11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CRACHÁ]]="",$BN119&gt;$BL$1),2,
AND(Tabela1[[#This Row],[STATUS PROCESSO MOBILIZAÇÃO]]="Em andamento",Tabela1[[#This Row],[DATA REAL - CRACHÁ]]="",$BN119&lt;=$BL$1),3,
AND(Tabela1[[#This Row],[STATUS PROCESSO MOBILIZAÇÃO]]="Em andamento",Tabela1[[#This Row],[DATA REAL - CRACHÁ]]&lt;&gt;""),1)</f>
        <v>1</v>
      </c>
      <c r="R119" s="21">
        <f>IF(Tabela1[[#This Row],[DATA REAL - FORMS]]&lt;&gt;"",Tabela1[[#This Row],[DATA REAL - FORMS]]+30,Tabela1[[#This Row],[DATA PREV - FORMS]]+35)</f>
        <v>45924</v>
      </c>
      <c r="S11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45904</v>
      </c>
      <c r="T11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51</v>
      </c>
      <c r="U11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44</v>
      </c>
      <c r="V119" s="49">
        <f>MAX(Tabela1[[#This Row],[DATA REAL - POSTAGEM]],Tabela1[[#This Row],[DATA REAL - APROV FINAL]],Tabela1[[#This Row],[DATA REAL - CRACHÁ]])-MIN(Tabela1[[#This Row],[DATA REAL - POSTAGEM]],Tabela1[[#This Row],[DATA REAL - APROV FINAL]],Tabela1[[#This Row],[DATA REAL - CRACHÁ]])+1</f>
        <v>8</v>
      </c>
      <c r="W11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19" s="15" t="s">
        <v>478</v>
      </c>
      <c r="Y119" s="16" t="s">
        <v>150</v>
      </c>
      <c r="Z119" s="18" t="s">
        <v>479</v>
      </c>
      <c r="AA119" s="18" t="s">
        <v>152</v>
      </c>
      <c r="AB119" s="16" t="s">
        <v>97</v>
      </c>
      <c r="AC119" s="16" t="s">
        <v>455</v>
      </c>
      <c r="AD119" s="16" t="s">
        <v>455</v>
      </c>
      <c r="AE119" s="16" t="s">
        <v>456</v>
      </c>
      <c r="AF119" s="16" t="s">
        <v>457</v>
      </c>
      <c r="AG119" s="16" t="str">
        <f>_xlfn.XLOOKUP(Tabela1[[#This Row],[CÓD. CT]],Controle_Projetos[COD CT],Controle_Projetos[COD PHD],"")</f>
        <v>AURA-CT01-GERE</v>
      </c>
      <c r="AH119" s="21"/>
      <c r="AI119" s="75">
        <v>45853</v>
      </c>
      <c r="AJ119" s="16" t="str" cm="1">
        <f t="array" aca="1" ref="AJ11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19" s="21">
        <v>45889</v>
      </c>
      <c r="AL119" s="74">
        <v>45894</v>
      </c>
      <c r="AM119" s="16" cm="1">
        <f t="array" aca="1" ref="AM11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6</v>
      </c>
      <c r="AN119" s="21">
        <f>Tabela1[[#This Row],[DATA PREV - FORMS]]+$AN$1</f>
        <v>45896</v>
      </c>
      <c r="AO119" s="74">
        <v>45889</v>
      </c>
      <c r="AP119" s="16" cm="1">
        <f t="array" aca="1" ref="AP11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19" s="21">
        <f>Tabela1[[#This Row],[DATA PREV - EXAMES]]+$AQ$1</f>
        <v>45898</v>
      </c>
      <c r="AR119" s="74">
        <v>45891</v>
      </c>
      <c r="AS119" s="15" cm="1">
        <f t="array" aca="1" ref="AS11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19" s="21">
        <f>Tabela1[[#This Row],[DATA PREV - FORMS]]+$AT$1</f>
        <v>45890</v>
      </c>
      <c r="AU119" s="74">
        <v>45890</v>
      </c>
      <c r="AV119" s="15" cm="1">
        <f t="array" aca="1" ref="AV11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19" s="21">
        <f>Tabela1[[#This Row],[DATA PREV - TREINAMENTOS]]+$AW$1</f>
        <v>45897</v>
      </c>
      <c r="AX119" s="74">
        <v>45894</v>
      </c>
      <c r="AY119" s="15" cm="1">
        <f t="array" aca="1" ref="AY11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19" s="24">
        <v>45891</v>
      </c>
      <c r="BA119" s="74">
        <v>45904</v>
      </c>
      <c r="BB119" s="15" cm="1">
        <f t="array" aca="1" ref="BB11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v>
      </c>
      <c r="BC119" s="21">
        <f>Tabela1[[#This Row],[DATA PREV - CONCL. TREIN.]]+$BC$1</f>
        <v>45899</v>
      </c>
      <c r="BD119" s="74">
        <v>45897</v>
      </c>
      <c r="BE119" s="15" cm="1">
        <f t="array" aca="1" ref="BE11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19" s="21">
        <f>Tabela1[[#This Row],[DATA PREV - DOSSIÊ]]+$BF$1</f>
        <v>45902</v>
      </c>
      <c r="BG119" s="74">
        <v>45897</v>
      </c>
      <c r="BH119" s="15" cm="1">
        <f t="array" aca="1" ref="BH11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119" s="21">
        <f>Tabela1[[#This Row],[DATA PREV - POSTAGEM]]+$BI$1</f>
        <v>45908</v>
      </c>
      <c r="BJ119" s="74">
        <v>45903</v>
      </c>
      <c r="BK119" s="15" cm="1">
        <f t="array" aca="1" ref="BK11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19" s="21">
        <f>Tabela1[[#This Row],[DATA PREV - APROV FINAL]]+$BL$1</f>
        <v>45909</v>
      </c>
      <c r="BM119" s="74">
        <v>45904</v>
      </c>
      <c r="BN119" s="15" cm="1">
        <f t="array" aca="1" ref="BN11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119" s="80" t="s">
        <v>480</v>
      </c>
    </row>
    <row r="120" spans="2:67" ht="18" hidden="1" customHeight="1" x14ac:dyDescent="0.35">
      <c r="B120" s="14" t="s">
        <v>119</v>
      </c>
      <c r="C120" s="16" t="s">
        <v>136</v>
      </c>
      <c r="D120" s="16" t="s">
        <v>81</v>
      </c>
      <c r="E120" s="16"/>
      <c r="F120" s="16" t="s">
        <v>481</v>
      </c>
      <c r="G120" s="16" cm="1">
        <f t="array" ref="G120">_xlfn.IFS(Tabela1[[#This Row],[STATUS PROCESSO MOBILIZAÇÃO]]="Finalizado",1,Tabela1[[#This Row],[STATUS PROCESSO MOBILIZAÇÃO]]="Cancelado",2,Tabela1[[#This Row],[STATUS PROCESSO MOBILIZAÇÃO]]="Em andamento",3)</f>
        <v>2</v>
      </c>
      <c r="H120" s="16" cm="1">
        <f t="array" aca="1" ref="H12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FORMS]]="",$AM120&gt;$AK$1),2,
AND(Tabela1[[#This Row],[STATUS PROCESSO MOBILIZAÇÃO]]="Em andamento",Tabela1[[#This Row],[DATA REAL - FORMS]]="",$AM120&lt;=$AK$1),3,
AND(Tabela1[[#This Row],[STATUS PROCESSO MOBILIZAÇÃO]]="Em andamento",Tabela1[[#This Row],[DATA REAL - FORMS]]&lt;&gt;""),1)</f>
        <v>0</v>
      </c>
      <c r="I120" s="16" cm="1">
        <f t="array" aca="1" ref="I12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EXAMES]]="",$AP120&gt;$AN$1),2,
AND(Tabela1[[#This Row],[STATUS PROCESSO MOBILIZAÇÃO]]="Em andamento",Tabela1[[#This Row],[DATA REAL - EXAMES]]="",$AP120&lt;=$AN$1),3,
AND(Tabela1[[#This Row],[STATUS PROCESSO MOBILIZAÇÃO]]="Em andamento",Tabela1[[#This Row],[DATA REAL - EXAMES]]&lt;&gt;""),1)</f>
        <v>1</v>
      </c>
      <c r="J120" s="16" cm="1">
        <f t="array" aca="1" ref="J12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ASO]]="",$AS120&gt;$AQ$1),2,
AND(Tabela1[[#This Row],[STATUS PROCESSO MOBILIZAÇÃO]]="Em andamento",Tabela1[[#This Row],[DATA REAL - ASO]]="",$AS120&lt;=$AQ$1),3,
AND(Tabela1[[#This Row],[STATUS PROCESSO MOBILIZAÇÃO]]="Em andamento",Tabela1[[#This Row],[DATA REAL - ASO]]&lt;&gt;""),1)</f>
        <v>1</v>
      </c>
      <c r="K120" s="15" cm="1">
        <f t="array" aca="1" ref="K12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TREINAMENTOS]]="",$AV120&gt;$AT$1),2,
AND(Tabela1[[#This Row],[STATUS PROCESSO MOBILIZAÇÃO]]="Em andamento",Tabela1[[#This Row],[DATA REAL - TREINAMENTOS]]="",$AV120&lt;=$AT$1),3,
AND(Tabela1[[#This Row],[STATUS PROCESSO MOBILIZAÇÃO]]="Em andamento",Tabela1[[#This Row],[DATA REAL - TREINAMENTOS]]&lt;&gt;""),1)</f>
        <v>1</v>
      </c>
      <c r="L120" s="15" cm="1">
        <f t="array" aca="1" ref="L12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TREIN.]]="",$AY120&gt;$AW$1),2,
AND(Tabela1[[#This Row],[STATUS PROCESSO MOBILIZAÇÃO]]="Em andamento",Tabela1[[#This Row],[DATA REAL - CONCL. TREIN.]]="",$AY120&lt;=$AW$1),3,
AND(Tabela1[[#This Row],[STATUS PROCESSO MOBILIZAÇÃO]]="Em andamento",Tabela1[[#This Row],[DATA REAL - CONCL. TREIN.]]&lt;&gt;""),1)</f>
        <v>1</v>
      </c>
      <c r="M120" s="15" cm="1">
        <f t="array" aca="1" ref="M12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CONTRATUAL]]="",$BB120&gt;$AZ$1),2,
AND(Tabela1[[#This Row],[STATUS PROCESSO MOBILIZAÇÃO]]="Em andamento",Tabela1[[#This Row],[DATA FIM - ALTER. CONTRATUAL]]="",$BB120&lt;=$AZ$1),3,
AND(Tabela1[[#This Row],[STATUS PROCESSO MOBILIZAÇÃO]]="Em andamento",Tabela1[[#This Row],[DATA FIM - ALTER. CONTRATUAL]]&lt;&gt;""),1)</f>
        <v>0</v>
      </c>
      <c r="N120" s="16" cm="1">
        <f t="array" aca="1" ref="N12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DOSSIÊ]]="",$BE120&gt;$BC$1),2,
AND(Tabela1[[#This Row],[STATUS PROCESSO MOBILIZAÇÃO]]="Em andamento",Tabela1[[#This Row],[DATA REAL - DOSSIÊ]]="",$BE120&lt;=$BC$1),3,
AND(Tabela1[[#This Row],[STATUS PROCESSO MOBILIZAÇÃO]]="Em andamento",Tabela1[[#This Row],[DATA REAL - DOSSIÊ]]&lt;&gt;""),1)</f>
        <v>0</v>
      </c>
      <c r="O120" s="16" cm="1">
        <f t="array" aca="1" ref="O12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POSTAGEM]]="",$BH120&gt;$BF$1),2,
AND(Tabela1[[#This Row],[STATUS PROCESSO MOBILIZAÇÃO]]="Em andamento",Tabela1[[#This Row],[DATA REAL - POSTAGEM]]="",$BH120&lt;=$BF$1),3,
AND(Tabela1[[#This Row],[STATUS PROCESSO MOBILIZAÇÃO]]="Em andamento",Tabela1[[#This Row],[DATA REAL - POSTAGEM]]&lt;&gt;""),1)</f>
        <v>0</v>
      </c>
      <c r="P120" s="16" cm="1">
        <f t="array" aca="1" ref="P12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FINAL]]="",$BK120&gt;$BI$1),2,
AND(Tabela1[[#This Row],[STATUS PROCESSO MOBILIZAÇÃO]]="Em andamento",Tabela1[[#This Row],[DATA REAL - APROV FINAL]]="",$BK120&lt;=$BI$1),3,
AND(Tabela1[[#This Row],[STATUS PROCESSO MOBILIZAÇÃO]]="Em andamento",Tabela1[[#This Row],[DATA REAL - APROV FINAL]]&lt;&gt;""),1)</f>
        <v>0</v>
      </c>
      <c r="Q120" s="15" cm="1">
        <f t="array" aca="1" ref="Q12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CRACHÁ]]="",$BN120&gt;$BL$1),2,
AND(Tabela1[[#This Row],[STATUS PROCESSO MOBILIZAÇÃO]]="Em andamento",Tabela1[[#This Row],[DATA REAL - CRACHÁ]]="",$BN120&lt;=$BL$1),3,
AND(Tabela1[[#This Row],[STATUS PROCESSO MOBILIZAÇÃO]]="Em andamento",Tabela1[[#This Row],[DATA REAL - CRACHÁ]]&lt;&gt;""),1)</f>
        <v>1</v>
      </c>
      <c r="R120" s="21">
        <f>IF(Tabela1[[#This Row],[DATA REAL - FORMS]]&lt;&gt;"",Tabela1[[#This Row],[DATA REAL - FORMS]]+30,Tabela1[[#This Row],[DATA PREV - FORMS]]+35)</f>
        <v>45926</v>
      </c>
      <c r="S12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45902</v>
      </c>
      <c r="T12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v>
      </c>
      <c r="U12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120" s="49">
        <f>MAX(Tabela1[[#This Row],[DATA REAL - POSTAGEM]],Tabela1[[#This Row],[DATA REAL - APROV FINAL]],Tabela1[[#This Row],[DATA REAL - CRACHÁ]])-MIN(Tabela1[[#This Row],[DATA REAL - POSTAGEM]],Tabela1[[#This Row],[DATA REAL - APROV FINAL]],Tabela1[[#This Row],[DATA REAL - CRACHÁ]])+1</f>
        <v>1</v>
      </c>
      <c r="W12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0" s="15" t="s">
        <v>211</v>
      </c>
      <c r="Y120" s="16" t="s">
        <v>84</v>
      </c>
      <c r="Z120" s="18" t="s">
        <v>204</v>
      </c>
      <c r="AA120" s="18" t="s">
        <v>86</v>
      </c>
      <c r="AB120" s="16" t="s">
        <v>97</v>
      </c>
      <c r="AC120" s="16" t="s">
        <v>235</v>
      </c>
      <c r="AD120" s="16" t="s">
        <v>468</v>
      </c>
      <c r="AE120" s="16" t="s">
        <v>469</v>
      </c>
      <c r="AF120" s="16" t="s">
        <v>470</v>
      </c>
      <c r="AG120" s="16" t="str">
        <f>_xlfn.XLOOKUP(Tabela1[[#This Row],[CÓD. CT]],Controle_Projetos[COD CT],Controle_Projetos[COD PHD],"")</f>
        <v>CCAP-CT16-PLAN</v>
      </c>
      <c r="AH120" s="21"/>
      <c r="AI120" s="75">
        <v>45875</v>
      </c>
      <c r="AJ120" s="16" t="str" cm="1">
        <f t="array" aca="1" ref="AJ12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0" s="21">
        <v>45891</v>
      </c>
      <c r="AL120" s="74"/>
      <c r="AM120" s="16" cm="1">
        <f t="array" aca="1" ref="AM12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20" s="21">
        <f>Tabela1[[#This Row],[DATA PREV - FORMS]]+$AN$1</f>
        <v>45898</v>
      </c>
      <c r="AO120" s="74">
        <v>45891</v>
      </c>
      <c r="AP120" s="16" cm="1">
        <f t="array" aca="1" ref="AP12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20" s="21">
        <f>Tabela1[[#This Row],[DATA PREV - EXAMES]]+$AQ$1</f>
        <v>45900</v>
      </c>
      <c r="AR120" s="74">
        <v>45894</v>
      </c>
      <c r="AS120" s="15" cm="1">
        <f t="array" aca="1" ref="AS12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120" s="21">
        <f>Tabela1[[#This Row],[DATA PREV - FORMS]]+$AT$1</f>
        <v>45892</v>
      </c>
      <c r="AU120" s="74">
        <v>45894</v>
      </c>
      <c r="AV120" s="15" cm="1">
        <f t="array" aca="1" ref="AV12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120" s="21">
        <f>Tabela1[[#This Row],[DATA PREV - TREINAMENTOS]]+$AW$1</f>
        <v>45899</v>
      </c>
      <c r="AX120" s="74">
        <v>45902</v>
      </c>
      <c r="AY120" s="15" cm="1">
        <f t="array" aca="1" ref="AY12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120" s="24">
        <v>45895</v>
      </c>
      <c r="BA120" s="74"/>
      <c r="BB120" s="15" cm="1">
        <f t="array" aca="1" ref="BB12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0" s="21">
        <f>Tabela1[[#This Row],[DATA PREV - CONCL. TREIN.]]+$BC$1</f>
        <v>45901</v>
      </c>
      <c r="BD120" s="74"/>
      <c r="BE120" s="15" cm="1">
        <f t="array" aca="1" ref="BE12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20" s="21">
        <f>Tabela1[[#This Row],[DATA PREV - DOSSIÊ]]+$BF$1</f>
        <v>45904</v>
      </c>
      <c r="BG120" s="74"/>
      <c r="BH120" s="15" cm="1">
        <f t="array" aca="1" ref="BH12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20" s="21">
        <f>Tabela1[[#This Row],[DATA PREV - POSTAGEM]]+$BI$1</f>
        <v>45910</v>
      </c>
      <c r="BJ120" s="74"/>
      <c r="BK120" s="15" cm="1">
        <f t="array" aca="1" ref="BK12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20" s="21">
        <f>Tabela1[[#This Row],[DATA PREV - APROV FINAL]]+$BL$1</f>
        <v>45911</v>
      </c>
      <c r="BM120" s="74">
        <v>45902</v>
      </c>
      <c r="BN120" s="15" cm="1">
        <f t="array" aca="1" ref="BN12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20" s="80" t="s">
        <v>482</v>
      </c>
    </row>
    <row r="121" spans="2:67" ht="18" hidden="1" customHeight="1" x14ac:dyDescent="0.35">
      <c r="B121" s="14" t="s">
        <v>79</v>
      </c>
      <c r="C121" s="16" t="s">
        <v>136</v>
      </c>
      <c r="D121" s="16" t="s">
        <v>81</v>
      </c>
      <c r="E121" s="16"/>
      <c r="F121" s="16" t="s">
        <v>143</v>
      </c>
      <c r="G121" s="16" cm="1">
        <f t="array" ref="G121">_xlfn.IFS(Tabela1[[#This Row],[STATUS PROCESSO MOBILIZAÇÃO]]="Finalizado",1,Tabela1[[#This Row],[STATUS PROCESSO MOBILIZAÇÃO]]="Cancelado",2,Tabela1[[#This Row],[STATUS PROCESSO MOBILIZAÇÃO]]="Em andamento",3)</f>
        <v>1</v>
      </c>
      <c r="H121" s="16" cm="1">
        <f t="array" aca="1" ref="H12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FORMS]]="",$AM121&gt;$AK$1),2,
AND(Tabela1[[#This Row],[STATUS PROCESSO MOBILIZAÇÃO]]="Em andamento",Tabela1[[#This Row],[DATA REAL - FORMS]]="",$AM121&lt;=$AK$1),3,
AND(Tabela1[[#This Row],[STATUS PROCESSO MOBILIZAÇÃO]]="Em andamento",Tabela1[[#This Row],[DATA REAL - FORMS]]&lt;&gt;""),1)</f>
        <v>1</v>
      </c>
      <c r="I121" s="16" cm="1">
        <f t="array" aca="1" ref="I12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EXAMES]]="",$AP121&gt;$AN$1),2,
AND(Tabela1[[#This Row],[STATUS PROCESSO MOBILIZAÇÃO]]="Em andamento",Tabela1[[#This Row],[DATA REAL - EXAMES]]="",$AP121&lt;=$AN$1),3,
AND(Tabela1[[#This Row],[STATUS PROCESSO MOBILIZAÇÃO]]="Em andamento",Tabela1[[#This Row],[DATA REAL - EXAMES]]&lt;&gt;""),1)</f>
        <v>1</v>
      </c>
      <c r="J121" s="16" cm="1">
        <f t="array" aca="1" ref="J12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ASO]]="",$AS121&gt;$AQ$1),2,
AND(Tabela1[[#This Row],[STATUS PROCESSO MOBILIZAÇÃO]]="Em andamento",Tabela1[[#This Row],[DATA REAL - ASO]]="",$AS121&lt;=$AQ$1),3,
AND(Tabela1[[#This Row],[STATUS PROCESSO MOBILIZAÇÃO]]="Em andamento",Tabela1[[#This Row],[DATA REAL - ASO]]&lt;&gt;""),1)</f>
        <v>1</v>
      </c>
      <c r="K121" s="15" cm="1">
        <f t="array" aca="1" ref="K12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TREINAMENTOS]]="",$AV121&gt;$AT$1),2,
AND(Tabela1[[#This Row],[STATUS PROCESSO MOBILIZAÇÃO]]="Em andamento",Tabela1[[#This Row],[DATA REAL - TREINAMENTOS]]="",$AV121&lt;=$AT$1),3,
AND(Tabela1[[#This Row],[STATUS PROCESSO MOBILIZAÇÃO]]="Em andamento",Tabela1[[#This Row],[DATA REAL - TREINAMENTOS]]&lt;&gt;""),1)</f>
        <v>1</v>
      </c>
      <c r="L121" s="15" cm="1">
        <f t="array" aca="1" ref="L12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TREIN.]]="",$AY121&gt;$AW$1),2,
AND(Tabela1[[#This Row],[STATUS PROCESSO MOBILIZAÇÃO]]="Em andamento",Tabela1[[#This Row],[DATA REAL - CONCL. TREIN.]]="",$AY121&lt;=$AW$1),3,
AND(Tabela1[[#This Row],[STATUS PROCESSO MOBILIZAÇÃO]]="Em andamento",Tabela1[[#This Row],[DATA REAL - CONCL. TREIN.]]&lt;&gt;""),1)</f>
        <v>1</v>
      </c>
      <c r="M121" s="15" cm="1">
        <f t="array" aca="1" ref="M12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CONTRATUAL]]="",$BB121&gt;$AZ$1),2,
AND(Tabela1[[#This Row],[STATUS PROCESSO MOBILIZAÇÃO]]="Em andamento",Tabela1[[#This Row],[DATA FIM - ALTER. CONTRATUAL]]="",$BB121&lt;=$AZ$1),3,
AND(Tabela1[[#This Row],[STATUS PROCESSO MOBILIZAÇÃO]]="Em andamento",Tabela1[[#This Row],[DATA FIM - ALTER. CONTRATUAL]]&lt;&gt;""),1)</f>
        <v>1</v>
      </c>
      <c r="N121" s="16" cm="1">
        <f t="array" aca="1" ref="N12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DOSSIÊ]]="",$BE121&gt;$BC$1),2,
AND(Tabela1[[#This Row],[STATUS PROCESSO MOBILIZAÇÃO]]="Em andamento",Tabela1[[#This Row],[DATA REAL - DOSSIÊ]]="",$BE121&lt;=$BC$1),3,
AND(Tabela1[[#This Row],[STATUS PROCESSO MOBILIZAÇÃO]]="Em andamento",Tabela1[[#This Row],[DATA REAL - DOSSIÊ]]&lt;&gt;""),1)</f>
        <v>1</v>
      </c>
      <c r="O121" s="16" cm="1">
        <f t="array" aca="1" ref="O12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POSTAGEM]]="",$BH121&gt;$BF$1),2,
AND(Tabela1[[#This Row],[STATUS PROCESSO MOBILIZAÇÃO]]="Em andamento",Tabela1[[#This Row],[DATA REAL - POSTAGEM]]="",$BH121&lt;=$BF$1),3,
AND(Tabela1[[#This Row],[STATUS PROCESSO MOBILIZAÇÃO]]="Em andamento",Tabela1[[#This Row],[DATA REAL - POSTAGEM]]&lt;&gt;""),1)</f>
        <v>1</v>
      </c>
      <c r="P121" s="16" cm="1">
        <f t="array" aca="1" ref="P12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FINAL]]="",$BK121&gt;$BI$1),2,
AND(Tabela1[[#This Row],[STATUS PROCESSO MOBILIZAÇÃO]]="Em andamento",Tabela1[[#This Row],[DATA REAL - APROV FINAL]]="",$BK121&lt;=$BI$1),3,
AND(Tabela1[[#This Row],[STATUS PROCESSO MOBILIZAÇÃO]]="Em andamento",Tabela1[[#This Row],[DATA REAL - APROV FINAL]]&lt;&gt;""),1)</f>
        <v>1</v>
      </c>
      <c r="Q121" s="15" cm="1">
        <f t="array" aca="1" ref="Q12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CRACHÁ]]="",$BN121&gt;$BL$1),2,
AND(Tabela1[[#This Row],[STATUS PROCESSO MOBILIZAÇÃO]]="Em andamento",Tabela1[[#This Row],[DATA REAL - CRACHÁ]]="",$BN121&lt;=$BL$1),3,
AND(Tabela1[[#This Row],[STATUS PROCESSO MOBILIZAÇÃO]]="Em andamento",Tabela1[[#This Row],[DATA REAL - CRACHÁ]]&lt;&gt;""),1)</f>
        <v>1</v>
      </c>
      <c r="R121" s="21">
        <f>IF(Tabela1[[#This Row],[DATA REAL - FORMS]]&lt;&gt;"",Tabela1[[#This Row],[DATA REAL - FORMS]]+30,Tabela1[[#This Row],[DATA PREV - FORMS]]+35)</f>
        <v>45928</v>
      </c>
      <c r="S12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45908</v>
      </c>
      <c r="T12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2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121" s="49">
        <f>MAX(Tabela1[[#This Row],[DATA REAL - POSTAGEM]],Tabela1[[#This Row],[DATA REAL - APROV FINAL]],Tabela1[[#This Row],[DATA REAL - CRACHÁ]])-MIN(Tabela1[[#This Row],[DATA REAL - POSTAGEM]],Tabela1[[#This Row],[DATA REAL - APROV FINAL]],Tabela1[[#This Row],[DATA REAL - CRACHÁ]])+1</f>
        <v>8</v>
      </c>
      <c r="W12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1" s="15"/>
      <c r="Y121" s="16" t="s">
        <v>130</v>
      </c>
      <c r="Z121" s="18" t="s">
        <v>131</v>
      </c>
      <c r="AA121" s="18" t="s">
        <v>131</v>
      </c>
      <c r="AB121" s="16" t="s">
        <v>97</v>
      </c>
      <c r="AC121" s="16" t="s">
        <v>132</v>
      </c>
      <c r="AD121" s="16" t="s">
        <v>132</v>
      </c>
      <c r="AE121" s="16" t="s">
        <v>483</v>
      </c>
      <c r="AF121" s="16" t="s">
        <v>484</v>
      </c>
      <c r="AG121" s="16" t="str">
        <f>_xlfn.XLOOKUP(Tabela1[[#This Row],[CÓD. CT]],Controle_Projetos[COD CT],Controle_Projetos[COD PHD],"")</f>
        <v>GERD-CT19-PROD</v>
      </c>
      <c r="AH121" s="21"/>
      <c r="AI121" s="75">
        <v>45891</v>
      </c>
      <c r="AJ121" s="16" t="str" cm="1">
        <f t="array" aca="1" ref="AJ12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1" s="21">
        <v>45895</v>
      </c>
      <c r="AL121" s="74">
        <v>45898</v>
      </c>
      <c r="AM121" s="16" cm="1">
        <f t="array" aca="1" ref="AM12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1" s="21">
        <f>Tabela1[[#This Row],[DATA PREV - FORMS]]+$AN$1</f>
        <v>45902</v>
      </c>
      <c r="AO121" s="74">
        <v>45896</v>
      </c>
      <c r="AP121" s="16" cm="1">
        <f t="array" aca="1" ref="AP12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1" s="21">
        <f>Tabela1[[#This Row],[DATA PREV - EXAMES]]+$AQ$1</f>
        <v>45904</v>
      </c>
      <c r="AR121" s="74">
        <v>45901</v>
      </c>
      <c r="AS121" s="15" cm="1">
        <f t="array" aca="1" ref="AS12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1" s="21">
        <f>Tabela1[[#This Row],[DATA PREV - FORMS]]+$AT$1</f>
        <v>45896</v>
      </c>
      <c r="AU121" s="74">
        <v>45895</v>
      </c>
      <c r="AV121" s="15" cm="1">
        <f t="array" aca="1" ref="AV12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1" s="21">
        <f>Tabela1[[#This Row],[DATA PREV - TREINAMENTOS]]+$AW$1</f>
        <v>45903</v>
      </c>
      <c r="AX121" s="74">
        <v>45895</v>
      </c>
      <c r="AY121" s="15" cm="1">
        <f t="array" aca="1" ref="AY12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21" s="24">
        <v>45895</v>
      </c>
      <c r="BA121" s="74">
        <v>45895</v>
      </c>
      <c r="BB121" s="15" cm="1">
        <f t="array" aca="1" ref="BB12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1" s="21">
        <f>Tabela1[[#This Row],[DATA PREV - CONCL. TREIN.]]+$BC$1</f>
        <v>45905</v>
      </c>
      <c r="BD121" s="74">
        <v>45901</v>
      </c>
      <c r="BE121" s="15" cm="1">
        <f t="array" aca="1" ref="BE12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21" s="21">
        <f>Tabela1[[#This Row],[DATA PREV - DOSSIÊ]]+$BF$1</f>
        <v>45908</v>
      </c>
      <c r="BG121" s="74">
        <v>45901</v>
      </c>
      <c r="BH121" s="15" cm="1">
        <f t="array" aca="1" ref="BH12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121" s="21">
        <f>Tabela1[[#This Row],[DATA PREV - POSTAGEM]]+$BI$1</f>
        <v>45914</v>
      </c>
      <c r="BJ121" s="74">
        <v>45908</v>
      </c>
      <c r="BK121" s="15" cm="1">
        <f t="array" aca="1" ref="BK12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121" s="21">
        <f>Tabela1[[#This Row],[DATA PREV - APROV FINAL]]+$BL$1</f>
        <v>45915</v>
      </c>
      <c r="BM121" s="74">
        <v>45908</v>
      </c>
      <c r="BN121" s="15" cm="1">
        <f t="array" aca="1" ref="BN12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21" s="80" t="s">
        <v>485</v>
      </c>
    </row>
    <row r="122" spans="2:67" ht="18" hidden="1" customHeight="1" x14ac:dyDescent="0.35">
      <c r="B122" s="14" t="s">
        <v>119</v>
      </c>
      <c r="C122" s="16" t="s">
        <v>136</v>
      </c>
      <c r="D122" s="16" t="s">
        <v>119</v>
      </c>
      <c r="E122" s="16"/>
      <c r="F122" s="16" t="s">
        <v>137</v>
      </c>
      <c r="G122" s="16" cm="1">
        <f t="array" ref="G122">_xlfn.IFS(Tabela1[[#This Row],[STATUS PROCESSO MOBILIZAÇÃO]]="Finalizado",1,Tabela1[[#This Row],[STATUS PROCESSO MOBILIZAÇÃO]]="Cancelado",2,Tabela1[[#This Row],[STATUS PROCESSO MOBILIZAÇÃO]]="Em andamento",3)</f>
        <v>2</v>
      </c>
      <c r="H122" s="16" cm="1">
        <f t="array" aca="1" ref="H12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FORMS]]="",$AM122&gt;$AK$1),2,
AND(Tabela1[[#This Row],[STATUS PROCESSO MOBILIZAÇÃO]]="Em andamento",Tabela1[[#This Row],[DATA REAL - FORMS]]="",$AM122&lt;=$AK$1),3,
AND(Tabela1[[#This Row],[STATUS PROCESSO MOBILIZAÇÃO]]="Em andamento",Tabela1[[#This Row],[DATA REAL - FORMS]]&lt;&gt;""),1)</f>
        <v>1</v>
      </c>
      <c r="I122" s="16" cm="1">
        <f t="array" aca="1" ref="I12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EXAMES]]="",$AP122&gt;$AN$1),2,
AND(Tabela1[[#This Row],[STATUS PROCESSO MOBILIZAÇÃO]]="Em andamento",Tabela1[[#This Row],[DATA REAL - EXAMES]]="",$AP122&lt;=$AN$1),3,
AND(Tabela1[[#This Row],[STATUS PROCESSO MOBILIZAÇÃO]]="Em andamento",Tabela1[[#This Row],[DATA REAL - EXAMES]]&lt;&gt;""),1)</f>
        <v>1</v>
      </c>
      <c r="J122" s="16" cm="1">
        <f t="array" aca="1" ref="J12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ASO]]="",$AS122&gt;$AQ$1),2,
AND(Tabela1[[#This Row],[STATUS PROCESSO MOBILIZAÇÃO]]="Em andamento",Tabela1[[#This Row],[DATA REAL - ASO]]="",$AS122&lt;=$AQ$1),3,
AND(Tabela1[[#This Row],[STATUS PROCESSO MOBILIZAÇÃO]]="Em andamento",Tabela1[[#This Row],[DATA REAL - ASO]]&lt;&gt;""),1)</f>
        <v>1</v>
      </c>
      <c r="K122" s="15" cm="1">
        <f t="array" aca="1" ref="K12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TREINAMENTOS]]="",$AV122&gt;$AT$1),2,
AND(Tabela1[[#This Row],[STATUS PROCESSO MOBILIZAÇÃO]]="Em andamento",Tabela1[[#This Row],[DATA REAL - TREINAMENTOS]]="",$AV122&lt;=$AT$1),3,
AND(Tabela1[[#This Row],[STATUS PROCESSO MOBILIZAÇÃO]]="Em andamento",Tabela1[[#This Row],[DATA REAL - TREINAMENTOS]]&lt;&gt;""),1)</f>
        <v>1</v>
      </c>
      <c r="L122" s="15" cm="1">
        <f t="array" aca="1" ref="L12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TREIN.]]="",$AY122&gt;$AW$1),2,
AND(Tabela1[[#This Row],[STATUS PROCESSO MOBILIZAÇÃO]]="Em andamento",Tabela1[[#This Row],[DATA REAL - CONCL. TREIN.]]="",$AY122&lt;=$AW$1),3,
AND(Tabela1[[#This Row],[STATUS PROCESSO MOBILIZAÇÃO]]="Em andamento",Tabela1[[#This Row],[DATA REAL - CONCL. TREIN.]]&lt;&gt;""),1)</f>
        <v>1</v>
      </c>
      <c r="M122" s="15" cm="1">
        <f t="array" aca="1" ref="M12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CONTRATUAL]]="",$BB122&gt;$AZ$1),2,
AND(Tabela1[[#This Row],[STATUS PROCESSO MOBILIZAÇÃO]]="Em andamento",Tabela1[[#This Row],[DATA FIM - ALTER. CONTRATUAL]]="",$BB122&lt;=$AZ$1),3,
AND(Tabela1[[#This Row],[STATUS PROCESSO MOBILIZAÇÃO]]="Em andamento",Tabela1[[#This Row],[DATA FIM - ALTER. CONTRATUAL]]&lt;&gt;""),1)</f>
        <v>1</v>
      </c>
      <c r="N122" s="16" cm="1">
        <f t="array" aca="1" ref="N12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DOSSIÊ]]="",$BE122&gt;$BC$1),2,
AND(Tabela1[[#This Row],[STATUS PROCESSO MOBILIZAÇÃO]]="Em andamento",Tabela1[[#This Row],[DATA REAL - DOSSIÊ]]="",$BE122&lt;=$BC$1),3,
AND(Tabela1[[#This Row],[STATUS PROCESSO MOBILIZAÇÃO]]="Em andamento",Tabela1[[#This Row],[DATA REAL - DOSSIÊ]]&lt;&gt;""),1)</f>
        <v>1</v>
      </c>
      <c r="O122" s="16" cm="1">
        <f t="array" aca="1" ref="O12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POSTAGEM]]="",$BH122&gt;$BF$1),2,
AND(Tabela1[[#This Row],[STATUS PROCESSO MOBILIZAÇÃO]]="Em andamento",Tabela1[[#This Row],[DATA REAL - POSTAGEM]]="",$BH122&lt;=$BF$1),3,
AND(Tabela1[[#This Row],[STATUS PROCESSO MOBILIZAÇÃO]]="Em andamento",Tabela1[[#This Row],[DATA REAL - POSTAGEM]]&lt;&gt;""),1)</f>
        <v>1</v>
      </c>
      <c r="P122" s="16" cm="1">
        <f t="array" aca="1" ref="P12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FINAL]]="",$BK122&gt;$BI$1),2,
AND(Tabela1[[#This Row],[STATUS PROCESSO MOBILIZAÇÃO]]="Em andamento",Tabela1[[#This Row],[DATA REAL - APROV FINAL]]="",$BK122&lt;=$BI$1),3,
AND(Tabela1[[#This Row],[STATUS PROCESSO MOBILIZAÇÃO]]="Em andamento",Tabela1[[#This Row],[DATA REAL - APROV FINAL]]&lt;&gt;""),1)</f>
        <v>1</v>
      </c>
      <c r="Q122" s="15" cm="1">
        <f t="array" aca="1" ref="Q12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CRACHÁ]]="",$BN122&gt;$BL$1),2,
AND(Tabela1[[#This Row],[STATUS PROCESSO MOBILIZAÇÃO]]="Em andamento",Tabela1[[#This Row],[DATA REAL - CRACHÁ]]="",$BN122&lt;=$BL$1),3,
AND(Tabela1[[#This Row],[STATUS PROCESSO MOBILIZAÇÃO]]="Em andamento",Tabela1[[#This Row],[DATA REAL - CRACHÁ]]&lt;&gt;""),1)</f>
        <v>1</v>
      </c>
      <c r="R122" s="21">
        <f>IF(Tabela1[[#This Row],[DATA REAL - FORMS]]&lt;&gt;"",Tabela1[[#This Row],[DATA REAL - FORMS]]+30,Tabela1[[#This Row],[DATA PREV - FORMS]]+35)</f>
        <v>45928</v>
      </c>
      <c r="S12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45936</v>
      </c>
      <c r="T12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v>
      </c>
      <c r="U12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38</v>
      </c>
      <c r="V122" s="49">
        <f>MAX(Tabela1[[#This Row],[DATA REAL - POSTAGEM]],Tabela1[[#This Row],[DATA REAL - APROV FINAL]],Tabela1[[#This Row],[DATA REAL - CRACHÁ]])-MIN(Tabela1[[#This Row],[DATA REAL - POSTAGEM]],Tabela1[[#This Row],[DATA REAL - APROV FINAL]],Tabela1[[#This Row],[DATA REAL - CRACHÁ]])+1</f>
        <v>6</v>
      </c>
      <c r="W12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2" s="15"/>
      <c r="Y122" s="16" t="s">
        <v>130</v>
      </c>
      <c r="Z122" s="18" t="s">
        <v>131</v>
      </c>
      <c r="AA122" s="18" t="s">
        <v>131</v>
      </c>
      <c r="AB122" s="16" t="s">
        <v>97</v>
      </c>
      <c r="AC122" s="16" t="s">
        <v>132</v>
      </c>
      <c r="AD122" s="16" t="s">
        <v>132</v>
      </c>
      <c r="AE122" s="16" t="s">
        <v>483</v>
      </c>
      <c r="AF122" s="16" t="s">
        <v>484</v>
      </c>
      <c r="AG122" s="16" t="str">
        <f>_xlfn.XLOOKUP(Tabela1[[#This Row],[CÓD. CT]],Controle_Projetos[COD CT],Controle_Projetos[COD PHD],"")</f>
        <v>GERD-CT19-PROD</v>
      </c>
      <c r="AH122" s="21"/>
      <c r="AI122" s="75">
        <v>45891</v>
      </c>
      <c r="AJ122" s="16" t="str" cm="1">
        <f t="array" aca="1" ref="AJ12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2" s="21">
        <v>45895</v>
      </c>
      <c r="AL122" s="74">
        <v>45898</v>
      </c>
      <c r="AM122" s="16" cm="1">
        <f t="array" aca="1" ref="AM12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2" s="21">
        <f>Tabela1[[#This Row],[DATA PREV - FORMS]]+$AN$1</f>
        <v>45902</v>
      </c>
      <c r="AO122" s="74">
        <v>45896</v>
      </c>
      <c r="AP122" s="16" cm="1">
        <f t="array" aca="1" ref="AP12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2" s="21">
        <f>Tabela1[[#This Row],[DATA PREV - EXAMES]]+$AQ$1</f>
        <v>45904</v>
      </c>
      <c r="AR122" s="74">
        <v>45901</v>
      </c>
      <c r="AS122" s="15" cm="1">
        <f t="array" aca="1" ref="AS12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2" s="21">
        <f>Tabela1[[#This Row],[DATA PREV - FORMS]]+$AT$1</f>
        <v>45896</v>
      </c>
      <c r="AU122" s="74">
        <v>45895</v>
      </c>
      <c r="AV122" s="15" cm="1">
        <f t="array" aca="1" ref="AV12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2" s="21">
        <f>Tabela1[[#This Row],[DATA PREV - TREINAMENTOS]]+$AW$1</f>
        <v>45903</v>
      </c>
      <c r="AX122" s="74">
        <v>45895</v>
      </c>
      <c r="AY122" s="15" cm="1">
        <f t="array" aca="1" ref="AY12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22" s="24">
        <v>45895</v>
      </c>
      <c r="BA122" s="74">
        <v>45895</v>
      </c>
      <c r="BB122" s="15" cm="1">
        <f t="array" aca="1" ref="BB12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2" s="21">
        <f>Tabela1[[#This Row],[DATA PREV - CONCL. TREIN.]]+$BC$1</f>
        <v>45905</v>
      </c>
      <c r="BD122" s="74">
        <v>45929</v>
      </c>
      <c r="BE122" s="15" cm="1">
        <f t="array" aca="1" ref="BE12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25</v>
      </c>
      <c r="BF122" s="21">
        <f>Tabela1[[#This Row],[DATA PREV - DOSSIÊ]]+$BF$1</f>
        <v>45908</v>
      </c>
      <c r="BG122" s="74">
        <v>45931</v>
      </c>
      <c r="BH122" s="15" cm="1">
        <f t="array" aca="1" ref="BH12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122" s="21">
        <f>Tabela1[[#This Row],[DATA PREV - POSTAGEM]]+$BI$1</f>
        <v>45914</v>
      </c>
      <c r="BJ122" s="74">
        <v>45936</v>
      </c>
      <c r="BK122" s="15" cm="1">
        <f t="array" aca="1" ref="BK12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23</v>
      </c>
      <c r="BL122" s="21">
        <f>Tabela1[[#This Row],[DATA PREV - APROV FINAL]]+$BL$1</f>
        <v>45915</v>
      </c>
      <c r="BM122" s="74">
        <v>45936</v>
      </c>
      <c r="BN122" s="15" cm="1">
        <f t="array" aca="1" ref="BN12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22</v>
      </c>
      <c r="BO122" s="80" t="s">
        <v>486</v>
      </c>
    </row>
    <row r="123" spans="2:67" ht="18" hidden="1" customHeight="1" x14ac:dyDescent="0.35">
      <c r="B123" s="14" t="s">
        <v>79</v>
      </c>
      <c r="C123" s="16" t="s">
        <v>136</v>
      </c>
      <c r="D123" s="16" t="s">
        <v>81</v>
      </c>
      <c r="E123" s="16"/>
      <c r="F123" s="16" t="s">
        <v>272</v>
      </c>
      <c r="G123" s="16" cm="1">
        <f t="array" ref="G123">_xlfn.IFS(Tabela1[[#This Row],[STATUS PROCESSO MOBILIZAÇÃO]]="Finalizado",1,Tabela1[[#This Row],[STATUS PROCESSO MOBILIZAÇÃO]]="Cancelado",2,Tabela1[[#This Row],[STATUS PROCESSO MOBILIZAÇÃO]]="Em andamento",3)</f>
        <v>1</v>
      </c>
      <c r="H123" s="16" cm="1">
        <f t="array" aca="1" ref="H12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FORMS]]="",$AM123&gt;$AK$1),2,
AND(Tabela1[[#This Row],[STATUS PROCESSO MOBILIZAÇÃO]]="Em andamento",Tabela1[[#This Row],[DATA REAL - FORMS]]="",$AM123&lt;=$AK$1),3,
AND(Tabela1[[#This Row],[STATUS PROCESSO MOBILIZAÇÃO]]="Em andamento",Tabela1[[#This Row],[DATA REAL - FORMS]]&lt;&gt;""),1)</f>
        <v>1</v>
      </c>
      <c r="I123" s="16" cm="1">
        <f t="array" aca="1" ref="I12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EXAMES]]="",$AP123&gt;$AN$1),2,
AND(Tabela1[[#This Row],[STATUS PROCESSO MOBILIZAÇÃO]]="Em andamento",Tabela1[[#This Row],[DATA REAL - EXAMES]]="",$AP123&lt;=$AN$1),3,
AND(Tabela1[[#This Row],[STATUS PROCESSO MOBILIZAÇÃO]]="Em andamento",Tabela1[[#This Row],[DATA REAL - EXAMES]]&lt;&gt;""),1)</f>
        <v>1</v>
      </c>
      <c r="J123" s="16" cm="1">
        <f t="array" aca="1" ref="J12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ASO]]="",$AS123&gt;$AQ$1),2,
AND(Tabela1[[#This Row],[STATUS PROCESSO MOBILIZAÇÃO]]="Em andamento",Tabela1[[#This Row],[DATA REAL - ASO]]="",$AS123&lt;=$AQ$1),3,
AND(Tabela1[[#This Row],[STATUS PROCESSO MOBILIZAÇÃO]]="Em andamento",Tabela1[[#This Row],[DATA REAL - ASO]]&lt;&gt;""),1)</f>
        <v>1</v>
      </c>
      <c r="K123" s="15" cm="1">
        <f t="array" aca="1" ref="K12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TREINAMENTOS]]="",$AV123&gt;$AT$1),2,
AND(Tabela1[[#This Row],[STATUS PROCESSO MOBILIZAÇÃO]]="Em andamento",Tabela1[[#This Row],[DATA REAL - TREINAMENTOS]]="",$AV123&lt;=$AT$1),3,
AND(Tabela1[[#This Row],[STATUS PROCESSO MOBILIZAÇÃO]]="Em andamento",Tabela1[[#This Row],[DATA REAL - TREINAMENTOS]]&lt;&gt;""),1)</f>
        <v>1</v>
      </c>
      <c r="L123" s="15" cm="1">
        <f t="array" aca="1" ref="L12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TREIN.]]="",$AY123&gt;$AW$1),2,
AND(Tabela1[[#This Row],[STATUS PROCESSO MOBILIZAÇÃO]]="Em andamento",Tabela1[[#This Row],[DATA REAL - CONCL. TREIN.]]="",$AY123&lt;=$AW$1),3,
AND(Tabela1[[#This Row],[STATUS PROCESSO MOBILIZAÇÃO]]="Em andamento",Tabela1[[#This Row],[DATA REAL - CONCL. TREIN.]]&lt;&gt;""),1)</f>
        <v>1</v>
      </c>
      <c r="M123" s="15" cm="1">
        <f t="array" aca="1" ref="M12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CONTRATUAL]]="",$BB123&gt;$AZ$1),2,
AND(Tabela1[[#This Row],[STATUS PROCESSO MOBILIZAÇÃO]]="Em andamento",Tabela1[[#This Row],[DATA FIM - ALTER. CONTRATUAL]]="",$BB123&lt;=$AZ$1),3,
AND(Tabela1[[#This Row],[STATUS PROCESSO MOBILIZAÇÃO]]="Em andamento",Tabela1[[#This Row],[DATA FIM - ALTER. CONTRATUAL]]&lt;&gt;""),1)</f>
        <v>1</v>
      </c>
      <c r="N123" s="16" cm="1">
        <f t="array" aca="1" ref="N12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DOSSIÊ]]="",$BE123&gt;$BC$1),2,
AND(Tabela1[[#This Row],[STATUS PROCESSO MOBILIZAÇÃO]]="Em andamento",Tabela1[[#This Row],[DATA REAL - DOSSIÊ]]="",$BE123&lt;=$BC$1),3,
AND(Tabela1[[#This Row],[STATUS PROCESSO MOBILIZAÇÃO]]="Em andamento",Tabela1[[#This Row],[DATA REAL - DOSSIÊ]]&lt;&gt;""),1)</f>
        <v>1</v>
      </c>
      <c r="O123" s="16" cm="1">
        <f t="array" aca="1" ref="O12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POSTAGEM]]="",$BH123&gt;$BF$1),2,
AND(Tabela1[[#This Row],[STATUS PROCESSO MOBILIZAÇÃO]]="Em andamento",Tabela1[[#This Row],[DATA REAL - POSTAGEM]]="",$BH123&lt;=$BF$1),3,
AND(Tabela1[[#This Row],[STATUS PROCESSO MOBILIZAÇÃO]]="Em andamento",Tabela1[[#This Row],[DATA REAL - POSTAGEM]]&lt;&gt;""),1)</f>
        <v>1</v>
      </c>
      <c r="P123" s="16" cm="1">
        <f t="array" aca="1" ref="P12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FINAL]]="",$BK123&gt;$BI$1),2,
AND(Tabela1[[#This Row],[STATUS PROCESSO MOBILIZAÇÃO]]="Em andamento",Tabela1[[#This Row],[DATA REAL - APROV FINAL]]="",$BK123&lt;=$BI$1),3,
AND(Tabela1[[#This Row],[STATUS PROCESSO MOBILIZAÇÃO]]="Em andamento",Tabela1[[#This Row],[DATA REAL - APROV FINAL]]&lt;&gt;""),1)</f>
        <v>1</v>
      </c>
      <c r="Q123" s="15" cm="1">
        <f t="array" aca="1" ref="Q12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CRACHÁ]]="",$BN123&gt;$BL$1),2,
AND(Tabela1[[#This Row],[STATUS PROCESSO MOBILIZAÇÃO]]="Em andamento",Tabela1[[#This Row],[DATA REAL - CRACHÁ]]="",$BN123&lt;=$BL$1),3,
AND(Tabela1[[#This Row],[STATUS PROCESSO MOBILIZAÇÃO]]="Em andamento",Tabela1[[#This Row],[DATA REAL - CRACHÁ]]&lt;&gt;""),1)</f>
        <v>1</v>
      </c>
      <c r="R123" s="21">
        <f>IF(Tabela1[[#This Row],[DATA REAL - FORMS]]&lt;&gt;"",Tabela1[[#This Row],[DATA REAL - FORMS]]+30,Tabela1[[#This Row],[DATA PREV - FORMS]]+35)</f>
        <v>45928</v>
      </c>
      <c r="S12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45916</v>
      </c>
      <c r="T12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12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24</v>
      </c>
      <c r="V123" s="49">
        <f>MAX(Tabela1[[#This Row],[DATA REAL - POSTAGEM]],Tabela1[[#This Row],[DATA REAL - APROV FINAL]],Tabela1[[#This Row],[DATA REAL - CRACHÁ]])-MIN(Tabela1[[#This Row],[DATA REAL - POSTAGEM]],Tabela1[[#This Row],[DATA REAL - APROV FINAL]],Tabela1[[#This Row],[DATA REAL - CRACHÁ]])+1</f>
        <v>2</v>
      </c>
      <c r="W12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3" s="15"/>
      <c r="Y123" s="16" t="s">
        <v>130</v>
      </c>
      <c r="Z123" s="18" t="s">
        <v>131</v>
      </c>
      <c r="AA123" s="18" t="s">
        <v>131</v>
      </c>
      <c r="AB123" s="16" t="s">
        <v>97</v>
      </c>
      <c r="AC123" s="16" t="s">
        <v>132</v>
      </c>
      <c r="AD123" s="16" t="s">
        <v>132</v>
      </c>
      <c r="AE123" s="16" t="s">
        <v>487</v>
      </c>
      <c r="AF123" s="16" t="s">
        <v>484</v>
      </c>
      <c r="AG123" s="16" t="str">
        <f>_xlfn.XLOOKUP(Tabela1[[#This Row],[CÓD. CT]],Controle_Projetos[COD CT],Controle_Projetos[COD PHD],"")</f>
        <v>GERD-CT19-PROD</v>
      </c>
      <c r="AH123" s="21"/>
      <c r="AI123" s="75">
        <v>45891</v>
      </c>
      <c r="AJ123" s="16" t="str" cm="1">
        <f t="array" aca="1" ref="AJ12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3" s="21">
        <v>45895</v>
      </c>
      <c r="AL123" s="74">
        <v>45898</v>
      </c>
      <c r="AM123" s="16" cm="1">
        <f t="array" aca="1" ref="AM12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3" s="21">
        <f>Tabela1[[#This Row],[DATA PREV - FORMS]]+$AN$1</f>
        <v>45902</v>
      </c>
      <c r="AO123" s="74">
        <v>45896</v>
      </c>
      <c r="AP123" s="16" cm="1">
        <f t="array" aca="1" ref="AP12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3" s="21">
        <f>Tabela1[[#This Row],[DATA PREV - EXAMES]]+$AQ$1</f>
        <v>45904</v>
      </c>
      <c r="AR123" s="74">
        <v>45901</v>
      </c>
      <c r="AS123" s="15" cm="1">
        <f t="array" aca="1" ref="AS12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3" s="21">
        <f>Tabela1[[#This Row],[DATA PREV - FORMS]]+$AT$1</f>
        <v>45896</v>
      </c>
      <c r="AU123" s="74">
        <v>45895</v>
      </c>
      <c r="AV123" s="15" cm="1">
        <f t="array" aca="1" ref="AV12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3" s="21">
        <f>Tabela1[[#This Row],[DATA PREV - TREINAMENTOS]]+$AW$1</f>
        <v>45903</v>
      </c>
      <c r="AX123" s="74">
        <v>45895</v>
      </c>
      <c r="AY123" s="15" cm="1">
        <f t="array" aca="1" ref="AY12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23" s="24">
        <v>45895</v>
      </c>
      <c r="BA123" s="74">
        <v>45895</v>
      </c>
      <c r="BB123" s="15" cm="1">
        <f t="array" aca="1" ref="BB12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3" s="21">
        <f>Tabela1[[#This Row],[DATA PREV - CONCL. TREIN.]]+$BC$1</f>
        <v>45905</v>
      </c>
      <c r="BD123" s="74">
        <v>45915</v>
      </c>
      <c r="BE123" s="15" cm="1">
        <f t="array" aca="1" ref="BE12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123" s="21">
        <f>Tabela1[[#This Row],[DATA PREV - DOSSIÊ]]+$BF$1</f>
        <v>45908</v>
      </c>
      <c r="BG123" s="74">
        <v>45915</v>
      </c>
      <c r="BH123" s="15" cm="1">
        <f t="array" aca="1" ref="BH12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23" s="21">
        <f>Tabela1[[#This Row],[DATA PREV - POSTAGEM]]+$BI$1</f>
        <v>45914</v>
      </c>
      <c r="BJ123" s="74">
        <v>45916</v>
      </c>
      <c r="BK123" s="15" cm="1">
        <f t="array" aca="1" ref="BK12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123" s="21">
        <f>Tabela1[[#This Row],[DATA PREV - APROV FINAL]]+$BL$1</f>
        <v>45915</v>
      </c>
      <c r="BM123" s="74">
        <v>45916</v>
      </c>
      <c r="BN123" s="15" cm="1">
        <f t="array" aca="1" ref="BN12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23" s="80" t="s">
        <v>488</v>
      </c>
    </row>
    <row r="124" spans="2:67" ht="18" hidden="1" customHeight="1" x14ac:dyDescent="0.35">
      <c r="B124" s="14" t="s">
        <v>79</v>
      </c>
      <c r="C124" s="16" t="s">
        <v>136</v>
      </c>
      <c r="D124" s="16" t="s">
        <v>81</v>
      </c>
      <c r="E124" s="16"/>
      <c r="F124" s="16" t="s">
        <v>489</v>
      </c>
      <c r="G124" s="16" cm="1">
        <f t="array" ref="G124">_xlfn.IFS(Tabela1[[#This Row],[STATUS PROCESSO MOBILIZAÇÃO]]="Finalizado",1,Tabela1[[#This Row],[STATUS PROCESSO MOBILIZAÇÃO]]="Cancelado",2,Tabela1[[#This Row],[STATUS PROCESSO MOBILIZAÇÃO]]="Em andamento",3)</f>
        <v>1</v>
      </c>
      <c r="H124" s="16" cm="1">
        <f t="array" aca="1" ref="H12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FORMS]]="",$AM124&gt;$AK$1),2,
AND(Tabela1[[#This Row],[STATUS PROCESSO MOBILIZAÇÃO]]="Em andamento",Tabela1[[#This Row],[DATA REAL - FORMS]]="",$AM124&lt;=$AK$1),3,
AND(Tabela1[[#This Row],[STATUS PROCESSO MOBILIZAÇÃO]]="Em andamento",Tabela1[[#This Row],[DATA REAL - FORMS]]&lt;&gt;""),1)</f>
        <v>1</v>
      </c>
      <c r="I124" s="16" cm="1">
        <f t="array" aca="1" ref="I12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EXAMES]]="",$AP124&gt;$AN$1),2,
AND(Tabela1[[#This Row],[STATUS PROCESSO MOBILIZAÇÃO]]="Em andamento",Tabela1[[#This Row],[DATA REAL - EXAMES]]="",$AP124&lt;=$AN$1),3,
AND(Tabela1[[#This Row],[STATUS PROCESSO MOBILIZAÇÃO]]="Em andamento",Tabela1[[#This Row],[DATA REAL - EXAMES]]&lt;&gt;""),1)</f>
        <v>1</v>
      </c>
      <c r="J124" s="16" cm="1">
        <f t="array" aca="1" ref="J12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ASO]]="",$AS124&gt;$AQ$1),2,
AND(Tabela1[[#This Row],[STATUS PROCESSO MOBILIZAÇÃO]]="Em andamento",Tabela1[[#This Row],[DATA REAL - ASO]]="",$AS124&lt;=$AQ$1),3,
AND(Tabela1[[#This Row],[STATUS PROCESSO MOBILIZAÇÃO]]="Em andamento",Tabela1[[#This Row],[DATA REAL - ASO]]&lt;&gt;""),1)</f>
        <v>1</v>
      </c>
      <c r="K124" s="15" cm="1">
        <f t="array" aca="1" ref="K12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TREINAMENTOS]]="",$AV124&gt;$AT$1),2,
AND(Tabela1[[#This Row],[STATUS PROCESSO MOBILIZAÇÃO]]="Em andamento",Tabela1[[#This Row],[DATA REAL - TREINAMENTOS]]="",$AV124&lt;=$AT$1),3,
AND(Tabela1[[#This Row],[STATUS PROCESSO MOBILIZAÇÃO]]="Em andamento",Tabela1[[#This Row],[DATA REAL - TREINAMENTOS]]&lt;&gt;""),1)</f>
        <v>1</v>
      </c>
      <c r="L124" s="15" cm="1">
        <f t="array" aca="1" ref="L12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TREIN.]]="",$AY124&gt;$AW$1),2,
AND(Tabela1[[#This Row],[STATUS PROCESSO MOBILIZAÇÃO]]="Em andamento",Tabela1[[#This Row],[DATA REAL - CONCL. TREIN.]]="",$AY124&lt;=$AW$1),3,
AND(Tabela1[[#This Row],[STATUS PROCESSO MOBILIZAÇÃO]]="Em andamento",Tabela1[[#This Row],[DATA REAL - CONCL. TREIN.]]&lt;&gt;""),1)</f>
        <v>1</v>
      </c>
      <c r="M124" s="15" cm="1">
        <f t="array" aca="1" ref="M12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CONTRATUAL]]="",$BB124&gt;$AZ$1),2,
AND(Tabela1[[#This Row],[STATUS PROCESSO MOBILIZAÇÃO]]="Em andamento",Tabela1[[#This Row],[DATA FIM - ALTER. CONTRATUAL]]="",$BB124&lt;=$AZ$1),3,
AND(Tabela1[[#This Row],[STATUS PROCESSO MOBILIZAÇÃO]]="Em andamento",Tabela1[[#This Row],[DATA FIM - ALTER. CONTRATUAL]]&lt;&gt;""),1)</f>
        <v>1</v>
      </c>
      <c r="N124" s="16" cm="1">
        <f t="array" aca="1" ref="N12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DOSSIÊ]]="",$BE124&gt;$BC$1),2,
AND(Tabela1[[#This Row],[STATUS PROCESSO MOBILIZAÇÃO]]="Em andamento",Tabela1[[#This Row],[DATA REAL - DOSSIÊ]]="",$BE124&lt;=$BC$1),3,
AND(Tabela1[[#This Row],[STATUS PROCESSO MOBILIZAÇÃO]]="Em andamento",Tabela1[[#This Row],[DATA REAL - DOSSIÊ]]&lt;&gt;""),1)</f>
        <v>1</v>
      </c>
      <c r="O124" s="16" cm="1">
        <f t="array" aca="1" ref="O12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POSTAGEM]]="",$BH124&gt;$BF$1),2,
AND(Tabela1[[#This Row],[STATUS PROCESSO MOBILIZAÇÃO]]="Em andamento",Tabela1[[#This Row],[DATA REAL - POSTAGEM]]="",$BH124&lt;=$BF$1),3,
AND(Tabela1[[#This Row],[STATUS PROCESSO MOBILIZAÇÃO]]="Em andamento",Tabela1[[#This Row],[DATA REAL - POSTAGEM]]&lt;&gt;""),1)</f>
        <v>1</v>
      </c>
      <c r="P124" s="16" cm="1">
        <f t="array" aca="1" ref="P12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FINAL]]="",$BK124&gt;$BI$1),2,
AND(Tabela1[[#This Row],[STATUS PROCESSO MOBILIZAÇÃO]]="Em andamento",Tabela1[[#This Row],[DATA REAL - APROV FINAL]]="",$BK124&lt;=$BI$1),3,
AND(Tabela1[[#This Row],[STATUS PROCESSO MOBILIZAÇÃO]]="Em andamento",Tabela1[[#This Row],[DATA REAL - APROV FINAL]]&lt;&gt;""),1)</f>
        <v>1</v>
      </c>
      <c r="Q124" s="15" cm="1">
        <f t="array" aca="1" ref="Q12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CRACHÁ]]="",$BN124&gt;$BL$1),2,
AND(Tabela1[[#This Row],[STATUS PROCESSO MOBILIZAÇÃO]]="Em andamento",Tabela1[[#This Row],[DATA REAL - CRACHÁ]]="",$BN124&lt;=$BL$1),3,
AND(Tabela1[[#This Row],[STATUS PROCESSO MOBILIZAÇÃO]]="Em andamento",Tabela1[[#This Row],[DATA REAL - CRACHÁ]]&lt;&gt;""),1)</f>
        <v>1</v>
      </c>
      <c r="R124" s="21">
        <f>IF(Tabela1[[#This Row],[DATA REAL - FORMS]]&lt;&gt;"",Tabela1[[#This Row],[DATA REAL - FORMS]]+30,Tabela1[[#This Row],[DATA PREV - FORMS]]+35)</f>
        <v>45928</v>
      </c>
      <c r="S12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45916</v>
      </c>
      <c r="T12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12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24</v>
      </c>
      <c r="V124" s="49">
        <f>MAX(Tabela1[[#This Row],[DATA REAL - POSTAGEM]],Tabela1[[#This Row],[DATA REAL - APROV FINAL]],Tabela1[[#This Row],[DATA REAL - CRACHÁ]])-MIN(Tabela1[[#This Row],[DATA REAL - POSTAGEM]],Tabela1[[#This Row],[DATA REAL - APROV FINAL]],Tabela1[[#This Row],[DATA REAL - CRACHÁ]])+1</f>
        <v>2</v>
      </c>
      <c r="W12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4" s="15"/>
      <c r="Y124" s="16" t="s">
        <v>130</v>
      </c>
      <c r="Z124" s="18" t="s">
        <v>131</v>
      </c>
      <c r="AA124" s="18" t="s">
        <v>131</v>
      </c>
      <c r="AB124" s="16" t="s">
        <v>87</v>
      </c>
      <c r="AC124" s="16" t="s">
        <v>132</v>
      </c>
      <c r="AD124" s="16" t="s">
        <v>132</v>
      </c>
      <c r="AE124" s="16" t="s">
        <v>487</v>
      </c>
      <c r="AF124" s="16" t="s">
        <v>484</v>
      </c>
      <c r="AG124" s="16" t="str">
        <f>_xlfn.XLOOKUP(Tabela1[[#This Row],[CÓD. CT]],Controle_Projetos[COD CT],Controle_Projetos[COD PHD],"")</f>
        <v>GERD-CT19-PROD</v>
      </c>
      <c r="AH124" s="21"/>
      <c r="AI124" s="75">
        <v>45891</v>
      </c>
      <c r="AJ124" s="16" t="str" cm="1">
        <f t="array" aca="1" ref="AJ12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4" s="21">
        <v>45895</v>
      </c>
      <c r="AL124" s="74">
        <v>45898</v>
      </c>
      <c r="AM124" s="16" cm="1">
        <f t="array" aca="1" ref="AM12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4" s="21">
        <f>Tabela1[[#This Row],[DATA PREV - FORMS]]+$AN$1</f>
        <v>45902</v>
      </c>
      <c r="AO124" s="74">
        <v>45896</v>
      </c>
      <c r="AP124" s="16" cm="1">
        <f t="array" aca="1" ref="AP12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4" s="21">
        <f>Tabela1[[#This Row],[DATA PREV - EXAMES]]+$AQ$1</f>
        <v>45904</v>
      </c>
      <c r="AR124" s="74">
        <v>45901</v>
      </c>
      <c r="AS124" s="15" cm="1">
        <f t="array" aca="1" ref="AS12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4" s="21">
        <f>Tabela1[[#This Row],[DATA PREV - FORMS]]+$AT$1</f>
        <v>45896</v>
      </c>
      <c r="AU124" s="74">
        <v>45895</v>
      </c>
      <c r="AV124" s="15" cm="1">
        <f t="array" aca="1" ref="AV12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4" s="21">
        <f>Tabela1[[#This Row],[DATA PREV - TREINAMENTOS]]+$AW$1</f>
        <v>45903</v>
      </c>
      <c r="AX124" s="74">
        <v>45896</v>
      </c>
      <c r="AY124" s="15" cm="1">
        <f t="array" aca="1" ref="AY12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24" s="24">
        <v>45895</v>
      </c>
      <c r="BA124" s="74">
        <v>45895</v>
      </c>
      <c r="BB124" s="15" cm="1">
        <f t="array" aca="1" ref="BB12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4" s="21">
        <f>Tabela1[[#This Row],[DATA PREV - CONCL. TREIN.]]+$BC$1</f>
        <v>45905</v>
      </c>
      <c r="BD124" s="74">
        <v>45915</v>
      </c>
      <c r="BE124" s="15" cm="1">
        <f t="array" aca="1" ref="BE12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124" s="21">
        <f>Tabela1[[#This Row],[DATA PREV - DOSSIÊ]]+$BF$1</f>
        <v>45908</v>
      </c>
      <c r="BG124" s="74">
        <v>45915</v>
      </c>
      <c r="BH124" s="15" cm="1">
        <f t="array" aca="1" ref="BH12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124" s="21">
        <f>Tabela1[[#This Row],[DATA PREV - POSTAGEM]]+$BI$1</f>
        <v>45914</v>
      </c>
      <c r="BJ124" s="74">
        <v>45916</v>
      </c>
      <c r="BK124" s="15" cm="1">
        <f t="array" aca="1" ref="BK12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124" s="21">
        <f>Tabela1[[#This Row],[DATA PREV - APROV FINAL]]+$BL$1</f>
        <v>45915</v>
      </c>
      <c r="BM124" s="74">
        <v>45916</v>
      </c>
      <c r="BN124" s="15" cm="1">
        <f t="array" aca="1" ref="BN12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24" s="80" t="s">
        <v>490</v>
      </c>
    </row>
    <row r="125" spans="2:67" ht="18" hidden="1" customHeight="1" x14ac:dyDescent="0.35">
      <c r="B125" s="14" t="s">
        <v>79</v>
      </c>
      <c r="C125" s="16" t="s">
        <v>136</v>
      </c>
      <c r="D125" s="16" t="s">
        <v>81</v>
      </c>
      <c r="E125" s="16"/>
      <c r="F125" s="16" t="s">
        <v>491</v>
      </c>
      <c r="G125" s="16" cm="1">
        <f t="array" ref="G125">_xlfn.IFS(Tabela1[[#This Row],[STATUS PROCESSO MOBILIZAÇÃO]]="Finalizado",1,Tabela1[[#This Row],[STATUS PROCESSO MOBILIZAÇÃO]]="Cancelado",2,Tabela1[[#This Row],[STATUS PROCESSO MOBILIZAÇÃO]]="Em andamento",3)</f>
        <v>1</v>
      </c>
      <c r="H125" s="16" cm="1">
        <f t="array" aca="1" ref="H12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FORMS]]="",$AM125&gt;$AK$1),2,
AND(Tabela1[[#This Row],[STATUS PROCESSO MOBILIZAÇÃO]]="Em andamento",Tabela1[[#This Row],[DATA REAL - FORMS]]="",$AM125&lt;=$AK$1),3,
AND(Tabela1[[#This Row],[STATUS PROCESSO MOBILIZAÇÃO]]="Em andamento",Tabela1[[#This Row],[DATA REAL - FORMS]]&lt;&gt;""),1)</f>
        <v>1</v>
      </c>
      <c r="I125" s="16" cm="1">
        <f t="array" aca="1" ref="I12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EXAMES]]="",$AP125&gt;$AN$1),2,
AND(Tabela1[[#This Row],[STATUS PROCESSO MOBILIZAÇÃO]]="Em andamento",Tabela1[[#This Row],[DATA REAL - EXAMES]]="",$AP125&lt;=$AN$1),3,
AND(Tabela1[[#This Row],[STATUS PROCESSO MOBILIZAÇÃO]]="Em andamento",Tabela1[[#This Row],[DATA REAL - EXAMES]]&lt;&gt;""),1)</f>
        <v>1</v>
      </c>
      <c r="J125" s="16" cm="1">
        <f t="array" aca="1" ref="J12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ASO]]="",$AS125&gt;$AQ$1),2,
AND(Tabela1[[#This Row],[STATUS PROCESSO MOBILIZAÇÃO]]="Em andamento",Tabela1[[#This Row],[DATA REAL - ASO]]="",$AS125&lt;=$AQ$1),3,
AND(Tabela1[[#This Row],[STATUS PROCESSO MOBILIZAÇÃO]]="Em andamento",Tabela1[[#This Row],[DATA REAL - ASO]]&lt;&gt;""),1)</f>
        <v>0</v>
      </c>
      <c r="K125" s="15" cm="1">
        <f t="array" aca="1" ref="K12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TREINAMENTOS]]="",$AV125&gt;$AT$1),2,
AND(Tabela1[[#This Row],[STATUS PROCESSO MOBILIZAÇÃO]]="Em andamento",Tabela1[[#This Row],[DATA REAL - TREINAMENTOS]]="",$AV125&lt;=$AT$1),3,
AND(Tabela1[[#This Row],[STATUS PROCESSO MOBILIZAÇÃO]]="Em andamento",Tabela1[[#This Row],[DATA REAL - TREINAMENTOS]]&lt;&gt;""),1)</f>
        <v>1</v>
      </c>
      <c r="L125" s="15" cm="1">
        <f t="array" aca="1" ref="L12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TREIN.]]="",$AY125&gt;$AW$1),2,
AND(Tabela1[[#This Row],[STATUS PROCESSO MOBILIZAÇÃO]]="Em andamento",Tabela1[[#This Row],[DATA REAL - CONCL. TREIN.]]="",$AY125&lt;=$AW$1),3,
AND(Tabela1[[#This Row],[STATUS PROCESSO MOBILIZAÇÃO]]="Em andamento",Tabela1[[#This Row],[DATA REAL - CONCL. TREIN.]]&lt;&gt;""),1)</f>
        <v>1</v>
      </c>
      <c r="M125" s="15" cm="1">
        <f t="array" aca="1" ref="M12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CONTRATUAL]]="",$BB125&gt;$AZ$1),2,
AND(Tabela1[[#This Row],[STATUS PROCESSO MOBILIZAÇÃO]]="Em andamento",Tabela1[[#This Row],[DATA FIM - ALTER. CONTRATUAL]]="",$BB125&lt;=$AZ$1),3,
AND(Tabela1[[#This Row],[STATUS PROCESSO MOBILIZAÇÃO]]="Em andamento",Tabela1[[#This Row],[DATA FIM - ALTER. CONTRATUAL]]&lt;&gt;""),1)</f>
        <v>1</v>
      </c>
      <c r="N125" s="16" cm="1">
        <f t="array" aca="1" ref="N12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DOSSIÊ]]="",$BE125&gt;$BC$1),2,
AND(Tabela1[[#This Row],[STATUS PROCESSO MOBILIZAÇÃO]]="Em andamento",Tabela1[[#This Row],[DATA REAL - DOSSIÊ]]="",$BE125&lt;=$BC$1),3,
AND(Tabela1[[#This Row],[STATUS PROCESSO MOBILIZAÇÃO]]="Em andamento",Tabela1[[#This Row],[DATA REAL - DOSSIÊ]]&lt;&gt;""),1)</f>
        <v>1</v>
      </c>
      <c r="O125" s="16" cm="1">
        <f t="array" aca="1" ref="O12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POSTAGEM]]="",$BH125&gt;$BF$1),2,
AND(Tabela1[[#This Row],[STATUS PROCESSO MOBILIZAÇÃO]]="Em andamento",Tabela1[[#This Row],[DATA REAL - POSTAGEM]]="",$BH125&lt;=$BF$1),3,
AND(Tabela1[[#This Row],[STATUS PROCESSO MOBILIZAÇÃO]]="Em andamento",Tabela1[[#This Row],[DATA REAL - POSTAGEM]]&lt;&gt;""),1)</f>
        <v>1</v>
      </c>
      <c r="P125" s="16" cm="1">
        <f t="array" aca="1" ref="P12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FINAL]]="",$BK125&gt;$BI$1),2,
AND(Tabela1[[#This Row],[STATUS PROCESSO MOBILIZAÇÃO]]="Em andamento",Tabela1[[#This Row],[DATA REAL - APROV FINAL]]="",$BK125&lt;=$BI$1),3,
AND(Tabela1[[#This Row],[STATUS PROCESSO MOBILIZAÇÃO]]="Em andamento",Tabela1[[#This Row],[DATA REAL - APROV FINAL]]&lt;&gt;""),1)</f>
        <v>1</v>
      </c>
      <c r="Q125" s="15" cm="1">
        <f t="array" aca="1" ref="Q12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CRACHÁ]]="",$BN125&gt;$BL$1),2,
AND(Tabela1[[#This Row],[STATUS PROCESSO MOBILIZAÇÃO]]="Em andamento",Tabela1[[#This Row],[DATA REAL - CRACHÁ]]="",$BN125&lt;=$BL$1),3,
AND(Tabela1[[#This Row],[STATUS PROCESSO MOBILIZAÇÃO]]="Em andamento",Tabela1[[#This Row],[DATA REAL - CRACHÁ]]&lt;&gt;""),1)</f>
        <v>1</v>
      </c>
      <c r="R125" s="21">
        <f>IF(Tabela1[[#This Row],[DATA REAL - FORMS]]&lt;&gt;"",Tabela1[[#This Row],[DATA REAL - FORMS]]+30,Tabela1[[#This Row],[DATA PREV - FORMS]]+35)</f>
        <v>45928</v>
      </c>
      <c r="S12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45908</v>
      </c>
      <c r="T12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2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125" s="49">
        <f>MAX(Tabela1[[#This Row],[DATA REAL - POSTAGEM]],Tabela1[[#This Row],[DATA REAL - APROV FINAL]],Tabela1[[#This Row],[DATA REAL - CRACHÁ]])-MIN(Tabela1[[#This Row],[DATA REAL - POSTAGEM]],Tabela1[[#This Row],[DATA REAL - APROV FINAL]],Tabela1[[#This Row],[DATA REAL - CRACHÁ]])+1</f>
        <v>4</v>
      </c>
      <c r="W12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5" s="15"/>
      <c r="Y125" s="16" t="s">
        <v>130</v>
      </c>
      <c r="Z125" s="18" t="s">
        <v>131</v>
      </c>
      <c r="AA125" s="18" t="s">
        <v>131</v>
      </c>
      <c r="AB125" s="16" t="s">
        <v>97</v>
      </c>
      <c r="AC125" s="16" t="s">
        <v>132</v>
      </c>
      <c r="AD125" s="16" t="s">
        <v>132</v>
      </c>
      <c r="AE125" s="16" t="s">
        <v>483</v>
      </c>
      <c r="AF125" s="16" t="s">
        <v>484</v>
      </c>
      <c r="AG125" s="16" t="str">
        <f>_xlfn.XLOOKUP(Tabela1[[#This Row],[CÓD. CT]],Controle_Projetos[COD CT],Controle_Projetos[COD PHD],"")</f>
        <v>GERD-CT19-PROD</v>
      </c>
      <c r="AH125" s="21"/>
      <c r="AI125" s="75">
        <v>45891</v>
      </c>
      <c r="AJ125" s="16" t="str" cm="1">
        <f t="array" aca="1" ref="AJ12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5" s="21">
        <v>45895</v>
      </c>
      <c r="AL125" s="74">
        <v>45898</v>
      </c>
      <c r="AM125" s="16" cm="1">
        <f t="array" aca="1" ref="AM12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5" s="21">
        <f>Tabela1[[#This Row],[DATA PREV - FORMS]]+$AN$1</f>
        <v>45902</v>
      </c>
      <c r="AO125" s="74">
        <v>45896</v>
      </c>
      <c r="AP125" s="16" cm="1">
        <f t="array" aca="1" ref="AP12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5" s="21">
        <f>Tabela1[[#This Row],[DATA PREV - EXAMES]]+$AQ$1</f>
        <v>45904</v>
      </c>
      <c r="AR125" s="74"/>
      <c r="AS125" s="15" cm="1">
        <f t="array" aca="1" ref="AS12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25" s="21">
        <f>Tabela1[[#This Row],[DATA PREV - FORMS]]+$AT$1</f>
        <v>45896</v>
      </c>
      <c r="AU125" s="74">
        <v>45895</v>
      </c>
      <c r="AV125" s="15" cm="1">
        <f t="array" aca="1" ref="AV12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5" s="21">
        <f>Tabela1[[#This Row],[DATA PREV - TREINAMENTOS]]+$AW$1</f>
        <v>45903</v>
      </c>
      <c r="AX125" s="74">
        <v>45897</v>
      </c>
      <c r="AY125" s="15" cm="1">
        <f t="array" aca="1" ref="AY12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25" s="24">
        <v>45895</v>
      </c>
      <c r="BA125" s="74">
        <v>45895</v>
      </c>
      <c r="BB125" s="15" cm="1">
        <f t="array" aca="1" ref="BB12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5" s="21">
        <f>Tabela1[[#This Row],[DATA PREV - CONCL. TREIN.]]+$BC$1</f>
        <v>45905</v>
      </c>
      <c r="BD125" s="74">
        <v>45902</v>
      </c>
      <c r="BE125" s="15" cm="1">
        <f t="array" aca="1" ref="BE12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25" s="21">
        <f>Tabela1[[#This Row],[DATA PREV - DOSSIÊ]]+$BF$1</f>
        <v>45908</v>
      </c>
      <c r="BG125" s="74">
        <v>45905</v>
      </c>
      <c r="BH125" s="15" cm="1">
        <f t="array" aca="1" ref="BH12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125" s="21">
        <f>Tabela1[[#This Row],[DATA PREV - POSTAGEM]]+$BI$1</f>
        <v>45914</v>
      </c>
      <c r="BJ125" s="74">
        <v>45908</v>
      </c>
      <c r="BK125" s="15" cm="1">
        <f t="array" aca="1" ref="BK12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125" s="21">
        <f>Tabela1[[#This Row],[DATA PREV - APROV FINAL]]+$BL$1</f>
        <v>45915</v>
      </c>
      <c r="BM125" s="74">
        <v>45908</v>
      </c>
      <c r="BN125" s="15" cm="1">
        <f t="array" aca="1" ref="BN12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25" s="80" t="s">
        <v>492</v>
      </c>
    </row>
    <row r="126" spans="2:67" ht="18" hidden="1" customHeight="1" x14ac:dyDescent="0.35">
      <c r="B126" s="14" t="s">
        <v>119</v>
      </c>
      <c r="C126" s="16" t="s">
        <v>136</v>
      </c>
      <c r="D126" s="16" t="s">
        <v>119</v>
      </c>
      <c r="E126" s="16"/>
      <c r="F126" s="16" t="s">
        <v>340</v>
      </c>
      <c r="G126" s="16" cm="1">
        <f t="array" ref="G126">_xlfn.IFS(Tabela1[[#This Row],[STATUS PROCESSO MOBILIZAÇÃO]]="Finalizado",1,Tabela1[[#This Row],[STATUS PROCESSO MOBILIZAÇÃO]]="Cancelado",2,Tabela1[[#This Row],[STATUS PROCESSO MOBILIZAÇÃO]]="Em andamento",3)</f>
        <v>2</v>
      </c>
      <c r="H126" s="16" cm="1">
        <f t="array" aca="1" ref="H12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FORMS]]="",$AM126&gt;$AK$1),2,
AND(Tabela1[[#This Row],[STATUS PROCESSO MOBILIZAÇÃO]]="Em andamento",Tabela1[[#This Row],[DATA REAL - FORMS]]="",$AM126&lt;=$AK$1),3,
AND(Tabela1[[#This Row],[STATUS PROCESSO MOBILIZAÇÃO]]="Em andamento",Tabela1[[#This Row],[DATA REAL - FORMS]]&lt;&gt;""),1)</f>
        <v>1</v>
      </c>
      <c r="I126" s="16" cm="1">
        <f t="array" aca="1" ref="I12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EXAMES]]="",$AP126&gt;$AN$1),2,
AND(Tabela1[[#This Row],[STATUS PROCESSO MOBILIZAÇÃO]]="Em andamento",Tabela1[[#This Row],[DATA REAL - EXAMES]]="",$AP126&lt;=$AN$1),3,
AND(Tabela1[[#This Row],[STATUS PROCESSO MOBILIZAÇÃO]]="Em andamento",Tabela1[[#This Row],[DATA REAL - EXAMES]]&lt;&gt;""),1)</f>
        <v>1</v>
      </c>
      <c r="J126" s="16" cm="1">
        <f t="array" aca="1" ref="J12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ASO]]="",$AS126&gt;$AQ$1),2,
AND(Tabela1[[#This Row],[STATUS PROCESSO MOBILIZAÇÃO]]="Em andamento",Tabela1[[#This Row],[DATA REAL - ASO]]="",$AS126&lt;=$AQ$1),3,
AND(Tabela1[[#This Row],[STATUS PROCESSO MOBILIZAÇÃO]]="Em andamento",Tabela1[[#This Row],[DATA REAL - ASO]]&lt;&gt;""),1)</f>
        <v>1</v>
      </c>
      <c r="K126" s="15" cm="1">
        <f t="array" aca="1" ref="K12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TREINAMENTOS]]="",$AV126&gt;$AT$1),2,
AND(Tabela1[[#This Row],[STATUS PROCESSO MOBILIZAÇÃO]]="Em andamento",Tabela1[[#This Row],[DATA REAL - TREINAMENTOS]]="",$AV126&lt;=$AT$1),3,
AND(Tabela1[[#This Row],[STATUS PROCESSO MOBILIZAÇÃO]]="Em andamento",Tabela1[[#This Row],[DATA REAL - TREINAMENTOS]]&lt;&gt;""),1)</f>
        <v>1</v>
      </c>
      <c r="L126" s="15" cm="1">
        <f t="array" aca="1" ref="L12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TREIN.]]="",$AY126&gt;$AW$1),2,
AND(Tabela1[[#This Row],[STATUS PROCESSO MOBILIZAÇÃO]]="Em andamento",Tabela1[[#This Row],[DATA REAL - CONCL. TREIN.]]="",$AY126&lt;=$AW$1),3,
AND(Tabela1[[#This Row],[STATUS PROCESSO MOBILIZAÇÃO]]="Em andamento",Tabela1[[#This Row],[DATA REAL - CONCL. TREIN.]]&lt;&gt;""),1)</f>
        <v>1</v>
      </c>
      <c r="M126" s="15" cm="1">
        <f t="array" aca="1" ref="M12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CONTRATUAL]]="",$BB126&gt;$AZ$1),2,
AND(Tabela1[[#This Row],[STATUS PROCESSO MOBILIZAÇÃO]]="Em andamento",Tabela1[[#This Row],[DATA FIM - ALTER. CONTRATUAL]]="",$BB126&lt;=$AZ$1),3,
AND(Tabela1[[#This Row],[STATUS PROCESSO MOBILIZAÇÃO]]="Em andamento",Tabela1[[#This Row],[DATA FIM - ALTER. CONTRATUAL]]&lt;&gt;""),1)</f>
        <v>1</v>
      </c>
      <c r="N126" s="16" cm="1">
        <f t="array" aca="1" ref="N12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DOSSIÊ]]="",$BE126&gt;$BC$1),2,
AND(Tabela1[[#This Row],[STATUS PROCESSO MOBILIZAÇÃO]]="Em andamento",Tabela1[[#This Row],[DATA REAL - DOSSIÊ]]="",$BE126&lt;=$BC$1),3,
AND(Tabela1[[#This Row],[STATUS PROCESSO MOBILIZAÇÃO]]="Em andamento",Tabela1[[#This Row],[DATA REAL - DOSSIÊ]]&lt;&gt;""),1)</f>
        <v>1</v>
      </c>
      <c r="O126" s="16" cm="1">
        <f t="array" aca="1" ref="O12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POSTAGEM]]="",$BH126&gt;$BF$1),2,
AND(Tabela1[[#This Row],[STATUS PROCESSO MOBILIZAÇÃO]]="Em andamento",Tabela1[[#This Row],[DATA REAL - POSTAGEM]]="",$BH126&lt;=$BF$1),3,
AND(Tabela1[[#This Row],[STATUS PROCESSO MOBILIZAÇÃO]]="Em andamento",Tabela1[[#This Row],[DATA REAL - POSTAGEM]]&lt;&gt;""),1)</f>
        <v>0</v>
      </c>
      <c r="P126" s="16" cm="1">
        <f t="array" aca="1" ref="P12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FINAL]]="",$BK126&gt;$BI$1),2,
AND(Tabela1[[#This Row],[STATUS PROCESSO MOBILIZAÇÃO]]="Em andamento",Tabela1[[#This Row],[DATA REAL - APROV FINAL]]="",$BK126&lt;=$BI$1),3,
AND(Tabela1[[#This Row],[STATUS PROCESSO MOBILIZAÇÃO]]="Em andamento",Tabela1[[#This Row],[DATA REAL - APROV FINAL]]&lt;&gt;""),1)</f>
        <v>0</v>
      </c>
      <c r="Q126" s="15" cm="1">
        <f t="array" aca="1" ref="Q12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CRACHÁ]]="",$BN126&gt;$BL$1),2,
AND(Tabela1[[#This Row],[STATUS PROCESSO MOBILIZAÇÃO]]="Em andamento",Tabela1[[#This Row],[DATA REAL - CRACHÁ]]="",$BN126&lt;=$BL$1),3,
AND(Tabela1[[#This Row],[STATUS PROCESSO MOBILIZAÇÃO]]="Em andamento",Tabela1[[#This Row],[DATA REAL - CRACHÁ]]&lt;&gt;""),1)</f>
        <v>1</v>
      </c>
      <c r="R126" s="21">
        <f>IF(Tabela1[[#This Row],[DATA REAL - FORMS]]&lt;&gt;"",Tabela1[[#This Row],[DATA REAL - FORMS]]+30,Tabela1[[#This Row],[DATA PREV - FORMS]]+35)</f>
        <v>45928</v>
      </c>
      <c r="S12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45936</v>
      </c>
      <c r="T12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v>
      </c>
      <c r="U12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126" s="49">
        <f>MAX(Tabela1[[#This Row],[DATA REAL - POSTAGEM]],Tabela1[[#This Row],[DATA REAL - APROV FINAL]],Tabela1[[#This Row],[DATA REAL - CRACHÁ]])-MIN(Tabela1[[#This Row],[DATA REAL - POSTAGEM]],Tabela1[[#This Row],[DATA REAL - APROV FINAL]],Tabela1[[#This Row],[DATA REAL - CRACHÁ]])+1</f>
        <v>1</v>
      </c>
      <c r="W12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6" s="15"/>
      <c r="Y126" s="16" t="s">
        <v>130</v>
      </c>
      <c r="Z126" s="18" t="s">
        <v>131</v>
      </c>
      <c r="AA126" s="18" t="s">
        <v>131</v>
      </c>
      <c r="AB126" s="16" t="s">
        <v>97</v>
      </c>
      <c r="AC126" s="16" t="s">
        <v>132</v>
      </c>
      <c r="AD126" s="16" t="s">
        <v>132</v>
      </c>
      <c r="AE126" s="16" t="s">
        <v>483</v>
      </c>
      <c r="AF126" s="16" t="s">
        <v>484</v>
      </c>
      <c r="AG126" s="16" t="str">
        <f>_xlfn.XLOOKUP(Tabela1[[#This Row],[CÓD. CT]],Controle_Projetos[COD CT],Controle_Projetos[COD PHD],"")</f>
        <v>GERD-CT19-PROD</v>
      </c>
      <c r="AH126" s="21"/>
      <c r="AI126" s="75">
        <v>45891</v>
      </c>
      <c r="AJ126" s="16" t="str" cm="1">
        <f t="array" aca="1" ref="AJ12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6" s="21">
        <v>45895</v>
      </c>
      <c r="AL126" s="74">
        <v>45898</v>
      </c>
      <c r="AM126" s="16" cm="1">
        <f t="array" aca="1" ref="AM12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6" s="21">
        <f>Tabela1[[#This Row],[DATA PREV - FORMS]]+$AN$1</f>
        <v>45902</v>
      </c>
      <c r="AO126" s="74">
        <v>45896</v>
      </c>
      <c r="AP126" s="16" cm="1">
        <f t="array" aca="1" ref="AP12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6" s="21">
        <f>Tabela1[[#This Row],[DATA PREV - EXAMES]]+$AQ$1</f>
        <v>45904</v>
      </c>
      <c r="AR126" s="74">
        <v>45901</v>
      </c>
      <c r="AS126" s="15" cm="1">
        <f t="array" aca="1" ref="AS12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6" s="21">
        <f>Tabela1[[#This Row],[DATA PREV - FORMS]]+$AT$1</f>
        <v>45896</v>
      </c>
      <c r="AU126" s="74">
        <v>45895</v>
      </c>
      <c r="AV126" s="15" cm="1">
        <f t="array" aca="1" ref="AV12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6" s="21">
        <f>Tabela1[[#This Row],[DATA PREV - TREINAMENTOS]]+$AW$1</f>
        <v>45903</v>
      </c>
      <c r="AX126" s="74">
        <v>45895</v>
      </c>
      <c r="AY126" s="15" cm="1">
        <f t="array" aca="1" ref="AY12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26" s="24">
        <v>45895</v>
      </c>
      <c r="BA126" s="74">
        <v>45895</v>
      </c>
      <c r="BB126" s="15" cm="1">
        <f t="array" aca="1" ref="BB12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6" s="21">
        <f>Tabela1[[#This Row],[DATA PREV - CONCL. TREIN.]]+$BC$1</f>
        <v>45905</v>
      </c>
      <c r="BD126" s="74">
        <v>45901</v>
      </c>
      <c r="BE126" s="15" cm="1">
        <f t="array" aca="1" ref="BE12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26" s="21">
        <f>Tabela1[[#This Row],[DATA PREV - DOSSIÊ]]+$BF$1</f>
        <v>45908</v>
      </c>
      <c r="BG126" s="74"/>
      <c r="BH126" s="15" cm="1">
        <f t="array" aca="1" ref="BH12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26" s="21">
        <f>Tabela1[[#This Row],[DATA PREV - POSTAGEM]]+$BI$1</f>
        <v>45914</v>
      </c>
      <c r="BJ126" s="74"/>
      <c r="BK126" s="15" cm="1">
        <f t="array" aca="1" ref="BK12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26" s="21">
        <f>Tabela1[[#This Row],[DATA PREV - APROV FINAL]]+$BL$1</f>
        <v>45915</v>
      </c>
      <c r="BM126" s="74">
        <v>45936</v>
      </c>
      <c r="BN126" s="15" cm="1">
        <f t="array" aca="1" ref="BN12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22</v>
      </c>
      <c r="BO126" s="80" t="s">
        <v>493</v>
      </c>
    </row>
    <row r="127" spans="2:67" ht="18" hidden="1" customHeight="1" x14ac:dyDescent="0.35">
      <c r="B127" s="14" t="s">
        <v>119</v>
      </c>
      <c r="C127" s="16" t="s">
        <v>136</v>
      </c>
      <c r="D127" s="16" t="s">
        <v>119</v>
      </c>
      <c r="E127" s="16"/>
      <c r="F127" s="16" t="s">
        <v>404</v>
      </c>
      <c r="G127" s="16" cm="1">
        <f t="array" ref="G127">_xlfn.IFS(Tabela1[[#This Row],[STATUS PROCESSO MOBILIZAÇÃO]]="Finalizado",1,Tabela1[[#This Row],[STATUS PROCESSO MOBILIZAÇÃO]]="Cancelado",2,Tabela1[[#This Row],[STATUS PROCESSO MOBILIZAÇÃO]]="Em andamento",3)</f>
        <v>2</v>
      </c>
      <c r="H127" s="16" cm="1">
        <f t="array" aca="1" ref="H12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FORMS]]="",$AM127&gt;$AK$1),2,
AND(Tabela1[[#This Row],[STATUS PROCESSO MOBILIZAÇÃO]]="Em andamento",Tabela1[[#This Row],[DATA REAL - FORMS]]="",$AM127&lt;=$AK$1),3,
AND(Tabela1[[#This Row],[STATUS PROCESSO MOBILIZAÇÃO]]="Em andamento",Tabela1[[#This Row],[DATA REAL - FORMS]]&lt;&gt;""),1)</f>
        <v>1</v>
      </c>
      <c r="I127" s="16" cm="1">
        <f t="array" aca="1" ref="I12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EXAMES]]="",$AP127&gt;$AN$1),2,
AND(Tabela1[[#This Row],[STATUS PROCESSO MOBILIZAÇÃO]]="Em andamento",Tabela1[[#This Row],[DATA REAL - EXAMES]]="",$AP127&lt;=$AN$1),3,
AND(Tabela1[[#This Row],[STATUS PROCESSO MOBILIZAÇÃO]]="Em andamento",Tabela1[[#This Row],[DATA REAL - EXAMES]]&lt;&gt;""),1)</f>
        <v>1</v>
      </c>
      <c r="J127" s="16" cm="1">
        <f t="array" aca="1" ref="J12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ASO]]="",$AS127&gt;$AQ$1),2,
AND(Tabela1[[#This Row],[STATUS PROCESSO MOBILIZAÇÃO]]="Em andamento",Tabela1[[#This Row],[DATA REAL - ASO]]="",$AS127&lt;=$AQ$1),3,
AND(Tabela1[[#This Row],[STATUS PROCESSO MOBILIZAÇÃO]]="Em andamento",Tabela1[[#This Row],[DATA REAL - ASO]]&lt;&gt;""),1)</f>
        <v>1</v>
      </c>
      <c r="K127" s="15" cm="1">
        <f t="array" aca="1" ref="K12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TREINAMENTOS]]="",$AV127&gt;$AT$1),2,
AND(Tabela1[[#This Row],[STATUS PROCESSO MOBILIZAÇÃO]]="Em andamento",Tabela1[[#This Row],[DATA REAL - TREINAMENTOS]]="",$AV127&lt;=$AT$1),3,
AND(Tabela1[[#This Row],[STATUS PROCESSO MOBILIZAÇÃO]]="Em andamento",Tabela1[[#This Row],[DATA REAL - TREINAMENTOS]]&lt;&gt;""),1)</f>
        <v>1</v>
      </c>
      <c r="L127" s="15" cm="1">
        <f t="array" aca="1" ref="L12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TREIN.]]="",$AY127&gt;$AW$1),2,
AND(Tabela1[[#This Row],[STATUS PROCESSO MOBILIZAÇÃO]]="Em andamento",Tabela1[[#This Row],[DATA REAL - CONCL. TREIN.]]="",$AY127&lt;=$AW$1),3,
AND(Tabela1[[#This Row],[STATUS PROCESSO MOBILIZAÇÃO]]="Em andamento",Tabela1[[#This Row],[DATA REAL - CONCL. TREIN.]]&lt;&gt;""),1)</f>
        <v>1</v>
      </c>
      <c r="M127" s="15" cm="1">
        <f t="array" aca="1" ref="M12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CONTRATUAL]]="",$BB127&gt;$AZ$1),2,
AND(Tabela1[[#This Row],[STATUS PROCESSO MOBILIZAÇÃO]]="Em andamento",Tabela1[[#This Row],[DATA FIM - ALTER. CONTRATUAL]]="",$BB127&lt;=$AZ$1),3,
AND(Tabela1[[#This Row],[STATUS PROCESSO MOBILIZAÇÃO]]="Em andamento",Tabela1[[#This Row],[DATA FIM - ALTER. CONTRATUAL]]&lt;&gt;""),1)</f>
        <v>1</v>
      </c>
      <c r="N127" s="16" cm="1">
        <f t="array" aca="1" ref="N12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DOSSIÊ]]="",$BE127&gt;$BC$1),2,
AND(Tabela1[[#This Row],[STATUS PROCESSO MOBILIZAÇÃO]]="Em andamento",Tabela1[[#This Row],[DATA REAL - DOSSIÊ]]="",$BE127&lt;=$BC$1),3,
AND(Tabela1[[#This Row],[STATUS PROCESSO MOBILIZAÇÃO]]="Em andamento",Tabela1[[#This Row],[DATA REAL - DOSSIÊ]]&lt;&gt;""),1)</f>
        <v>1</v>
      </c>
      <c r="O127" s="16" cm="1">
        <f t="array" aca="1" ref="O12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POSTAGEM]]="",$BH127&gt;$BF$1),2,
AND(Tabela1[[#This Row],[STATUS PROCESSO MOBILIZAÇÃO]]="Em andamento",Tabela1[[#This Row],[DATA REAL - POSTAGEM]]="",$BH127&lt;=$BF$1),3,
AND(Tabela1[[#This Row],[STATUS PROCESSO MOBILIZAÇÃO]]="Em andamento",Tabela1[[#This Row],[DATA REAL - POSTAGEM]]&lt;&gt;""),1)</f>
        <v>0</v>
      </c>
      <c r="P127" s="16" cm="1">
        <f t="array" aca="1" ref="P12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FINAL]]="",$BK127&gt;$BI$1),2,
AND(Tabela1[[#This Row],[STATUS PROCESSO MOBILIZAÇÃO]]="Em andamento",Tabela1[[#This Row],[DATA REAL - APROV FINAL]]="",$BK127&lt;=$BI$1),3,
AND(Tabela1[[#This Row],[STATUS PROCESSO MOBILIZAÇÃO]]="Em andamento",Tabela1[[#This Row],[DATA REAL - APROV FINAL]]&lt;&gt;""),1)</f>
        <v>0</v>
      </c>
      <c r="Q127" s="15" cm="1">
        <f t="array" aca="1" ref="Q12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CRACHÁ]]="",$BN127&gt;$BL$1),2,
AND(Tabela1[[#This Row],[STATUS PROCESSO MOBILIZAÇÃO]]="Em andamento",Tabela1[[#This Row],[DATA REAL - CRACHÁ]]="",$BN127&lt;=$BL$1),3,
AND(Tabela1[[#This Row],[STATUS PROCESSO MOBILIZAÇÃO]]="Em andamento",Tabela1[[#This Row],[DATA REAL - CRACHÁ]]&lt;&gt;""),1)</f>
        <v>1</v>
      </c>
      <c r="R127" s="21">
        <f>IF(Tabela1[[#This Row],[DATA REAL - FORMS]]&lt;&gt;"",Tabela1[[#This Row],[DATA REAL - FORMS]]+30,Tabela1[[#This Row],[DATA PREV - FORMS]]+35)</f>
        <v>45928</v>
      </c>
      <c r="S12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45936</v>
      </c>
      <c r="T12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v>
      </c>
      <c r="U12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127" s="49">
        <f>MAX(Tabela1[[#This Row],[DATA REAL - POSTAGEM]],Tabela1[[#This Row],[DATA REAL - APROV FINAL]],Tabela1[[#This Row],[DATA REAL - CRACHÁ]])-MIN(Tabela1[[#This Row],[DATA REAL - POSTAGEM]],Tabela1[[#This Row],[DATA REAL - APROV FINAL]],Tabela1[[#This Row],[DATA REAL - CRACHÁ]])+1</f>
        <v>1</v>
      </c>
      <c r="W12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7" s="15"/>
      <c r="Y127" s="16" t="s">
        <v>130</v>
      </c>
      <c r="Z127" s="18" t="s">
        <v>131</v>
      </c>
      <c r="AA127" s="18" t="s">
        <v>131</v>
      </c>
      <c r="AB127" s="16" t="s">
        <v>97</v>
      </c>
      <c r="AC127" s="16" t="s">
        <v>132</v>
      </c>
      <c r="AD127" s="16" t="s">
        <v>132</v>
      </c>
      <c r="AE127" s="16" t="s">
        <v>483</v>
      </c>
      <c r="AF127" s="16" t="s">
        <v>484</v>
      </c>
      <c r="AG127" s="16" t="str">
        <f>_xlfn.XLOOKUP(Tabela1[[#This Row],[CÓD. CT]],Controle_Projetos[COD CT],Controle_Projetos[COD PHD],"")</f>
        <v>GERD-CT19-PROD</v>
      </c>
      <c r="AH127" s="21"/>
      <c r="AI127" s="75">
        <v>45891</v>
      </c>
      <c r="AJ127" s="16" t="str" cm="1">
        <f t="array" aca="1" ref="AJ12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7" s="21">
        <v>45895</v>
      </c>
      <c r="AL127" s="74">
        <v>45898</v>
      </c>
      <c r="AM127" s="16" cm="1">
        <f t="array" aca="1" ref="AM12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7" s="21">
        <f>Tabela1[[#This Row],[DATA PREV - FORMS]]+$AN$1</f>
        <v>45902</v>
      </c>
      <c r="AO127" s="74">
        <v>45896</v>
      </c>
      <c r="AP127" s="16" cm="1">
        <f t="array" aca="1" ref="AP12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7" s="21">
        <f>Tabela1[[#This Row],[DATA PREV - EXAMES]]+$AQ$1</f>
        <v>45904</v>
      </c>
      <c r="AR127" s="74">
        <v>45908</v>
      </c>
      <c r="AS127" s="15" cm="1">
        <f t="array" aca="1" ref="AS12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127" s="21">
        <f>Tabela1[[#This Row],[DATA PREV - FORMS]]+$AT$1</f>
        <v>45896</v>
      </c>
      <c r="AU127" s="74">
        <v>45896</v>
      </c>
      <c r="AV127" s="15" cm="1">
        <f t="array" aca="1" ref="AV12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27" s="21">
        <f>Tabela1[[#This Row],[DATA PREV - TREINAMENTOS]]+$AW$1</f>
        <v>45903</v>
      </c>
      <c r="AX127" s="74">
        <v>45897</v>
      </c>
      <c r="AY127" s="15" cm="1">
        <f t="array" aca="1" ref="AY12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27" s="24">
        <v>45895</v>
      </c>
      <c r="BA127" s="74">
        <v>45895</v>
      </c>
      <c r="BB127" s="15" cm="1">
        <f t="array" aca="1" ref="BB12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7" s="21">
        <f>Tabela1[[#This Row],[DATA PREV - CONCL. TREIN.]]+$BC$1</f>
        <v>45905</v>
      </c>
      <c r="BD127" s="74">
        <v>45908</v>
      </c>
      <c r="BE127" s="15" cm="1">
        <f t="array" aca="1" ref="BE12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27" s="21">
        <f>Tabela1[[#This Row],[DATA PREV - DOSSIÊ]]+$BF$1</f>
        <v>45908</v>
      </c>
      <c r="BG127" s="74"/>
      <c r="BH127" s="15" cm="1">
        <f t="array" aca="1" ref="BH12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27" s="21">
        <f>Tabela1[[#This Row],[DATA PREV - POSTAGEM]]+$BI$1</f>
        <v>45914</v>
      </c>
      <c r="BJ127" s="74"/>
      <c r="BK127" s="15" cm="1">
        <f t="array" aca="1" ref="BK12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27" s="21">
        <f>Tabela1[[#This Row],[DATA PREV - APROV FINAL]]+$BL$1</f>
        <v>45915</v>
      </c>
      <c r="BM127" s="74">
        <v>45936</v>
      </c>
      <c r="BN127" s="15" cm="1">
        <f t="array" aca="1" ref="BN12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22</v>
      </c>
      <c r="BO127" s="80" t="s">
        <v>494</v>
      </c>
    </row>
    <row r="128" spans="2:67" ht="18" hidden="1" customHeight="1" x14ac:dyDescent="0.35">
      <c r="B128" s="14" t="s">
        <v>79</v>
      </c>
      <c r="C128" s="16" t="s">
        <v>136</v>
      </c>
      <c r="D128" s="16" t="s">
        <v>81</v>
      </c>
      <c r="E128" s="16"/>
      <c r="F128" s="16" t="s">
        <v>408</v>
      </c>
      <c r="G128" s="16" cm="1">
        <f t="array" ref="G128">_xlfn.IFS(Tabela1[[#This Row],[STATUS PROCESSO MOBILIZAÇÃO]]="Finalizado",1,Tabela1[[#This Row],[STATUS PROCESSO MOBILIZAÇÃO]]="Cancelado",2,Tabela1[[#This Row],[STATUS PROCESSO MOBILIZAÇÃO]]="Em andamento",3)</f>
        <v>1</v>
      </c>
      <c r="H128" s="16" cm="1">
        <f t="array" aca="1" ref="H12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FORMS]]="",$AM128&gt;$AK$1),2,
AND(Tabela1[[#This Row],[STATUS PROCESSO MOBILIZAÇÃO]]="Em andamento",Tabela1[[#This Row],[DATA REAL - FORMS]]="",$AM128&lt;=$AK$1),3,
AND(Tabela1[[#This Row],[STATUS PROCESSO MOBILIZAÇÃO]]="Em andamento",Tabela1[[#This Row],[DATA REAL - FORMS]]&lt;&gt;""),1)</f>
        <v>1</v>
      </c>
      <c r="I128" s="16" cm="1">
        <f t="array" aca="1" ref="I12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EXAMES]]="",$AP128&gt;$AN$1),2,
AND(Tabela1[[#This Row],[STATUS PROCESSO MOBILIZAÇÃO]]="Em andamento",Tabela1[[#This Row],[DATA REAL - EXAMES]]="",$AP128&lt;=$AN$1),3,
AND(Tabela1[[#This Row],[STATUS PROCESSO MOBILIZAÇÃO]]="Em andamento",Tabela1[[#This Row],[DATA REAL - EXAMES]]&lt;&gt;""),1)</f>
        <v>1</v>
      </c>
      <c r="J128" s="16" cm="1">
        <f t="array" aca="1" ref="J12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ASO]]="",$AS128&gt;$AQ$1),2,
AND(Tabela1[[#This Row],[STATUS PROCESSO MOBILIZAÇÃO]]="Em andamento",Tabela1[[#This Row],[DATA REAL - ASO]]="",$AS128&lt;=$AQ$1),3,
AND(Tabela1[[#This Row],[STATUS PROCESSO MOBILIZAÇÃO]]="Em andamento",Tabela1[[#This Row],[DATA REAL - ASO]]&lt;&gt;""),1)</f>
        <v>1</v>
      </c>
      <c r="K128" s="15" cm="1">
        <f t="array" aca="1" ref="K12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TREINAMENTOS]]="",$AV128&gt;$AT$1),2,
AND(Tabela1[[#This Row],[STATUS PROCESSO MOBILIZAÇÃO]]="Em andamento",Tabela1[[#This Row],[DATA REAL - TREINAMENTOS]]="",$AV128&lt;=$AT$1),3,
AND(Tabela1[[#This Row],[STATUS PROCESSO MOBILIZAÇÃO]]="Em andamento",Tabela1[[#This Row],[DATA REAL - TREINAMENTOS]]&lt;&gt;""),1)</f>
        <v>1</v>
      </c>
      <c r="L128" s="15" cm="1">
        <f t="array" aca="1" ref="L12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TREIN.]]="",$AY128&gt;$AW$1),2,
AND(Tabela1[[#This Row],[STATUS PROCESSO MOBILIZAÇÃO]]="Em andamento",Tabela1[[#This Row],[DATA REAL - CONCL. TREIN.]]="",$AY128&lt;=$AW$1),3,
AND(Tabela1[[#This Row],[STATUS PROCESSO MOBILIZAÇÃO]]="Em andamento",Tabela1[[#This Row],[DATA REAL - CONCL. TREIN.]]&lt;&gt;""),1)</f>
        <v>1</v>
      </c>
      <c r="M128" s="15" cm="1">
        <f t="array" aca="1" ref="M12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CONTRATUAL]]="",$BB128&gt;$AZ$1),2,
AND(Tabela1[[#This Row],[STATUS PROCESSO MOBILIZAÇÃO]]="Em andamento",Tabela1[[#This Row],[DATA FIM - ALTER. CONTRATUAL]]="",$BB128&lt;=$AZ$1),3,
AND(Tabela1[[#This Row],[STATUS PROCESSO MOBILIZAÇÃO]]="Em andamento",Tabela1[[#This Row],[DATA FIM - ALTER. CONTRATUAL]]&lt;&gt;""),1)</f>
        <v>1</v>
      </c>
      <c r="N128" s="16" cm="1">
        <f t="array" aca="1" ref="N12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DOSSIÊ]]="",$BE128&gt;$BC$1),2,
AND(Tabela1[[#This Row],[STATUS PROCESSO MOBILIZAÇÃO]]="Em andamento",Tabela1[[#This Row],[DATA REAL - DOSSIÊ]]="",$BE128&lt;=$BC$1),3,
AND(Tabela1[[#This Row],[STATUS PROCESSO MOBILIZAÇÃO]]="Em andamento",Tabela1[[#This Row],[DATA REAL - DOSSIÊ]]&lt;&gt;""),1)</f>
        <v>1</v>
      </c>
      <c r="O128" s="16" cm="1">
        <f t="array" aca="1" ref="O12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POSTAGEM]]="",$BH128&gt;$BF$1),2,
AND(Tabela1[[#This Row],[STATUS PROCESSO MOBILIZAÇÃO]]="Em andamento",Tabela1[[#This Row],[DATA REAL - POSTAGEM]]="",$BH128&lt;=$BF$1),3,
AND(Tabela1[[#This Row],[STATUS PROCESSO MOBILIZAÇÃO]]="Em andamento",Tabela1[[#This Row],[DATA REAL - POSTAGEM]]&lt;&gt;""),1)</f>
        <v>1</v>
      </c>
      <c r="P128" s="16" cm="1">
        <f t="array" aca="1" ref="P12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FINAL]]="",$BK128&gt;$BI$1),2,
AND(Tabela1[[#This Row],[STATUS PROCESSO MOBILIZAÇÃO]]="Em andamento",Tabela1[[#This Row],[DATA REAL - APROV FINAL]]="",$BK128&lt;=$BI$1),3,
AND(Tabela1[[#This Row],[STATUS PROCESSO MOBILIZAÇÃO]]="Em andamento",Tabela1[[#This Row],[DATA REAL - APROV FINAL]]&lt;&gt;""),1)</f>
        <v>1</v>
      </c>
      <c r="Q128" s="15" cm="1">
        <f t="array" aca="1" ref="Q12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CRACHÁ]]="",$BN128&gt;$BL$1),2,
AND(Tabela1[[#This Row],[STATUS PROCESSO MOBILIZAÇÃO]]="Em andamento",Tabela1[[#This Row],[DATA REAL - CRACHÁ]]="",$BN128&lt;=$BL$1),3,
AND(Tabela1[[#This Row],[STATUS PROCESSO MOBILIZAÇÃO]]="Em andamento",Tabela1[[#This Row],[DATA REAL - CRACHÁ]]&lt;&gt;""),1)</f>
        <v>1</v>
      </c>
      <c r="R128" s="21">
        <f>IF(Tabela1[[#This Row],[DATA REAL - FORMS]]&lt;&gt;"",Tabela1[[#This Row],[DATA REAL - FORMS]]+30,Tabela1[[#This Row],[DATA PREV - FORMS]]+35)</f>
        <v>45928</v>
      </c>
      <c r="S12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45917</v>
      </c>
      <c r="T12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26</v>
      </c>
      <c r="U12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28" s="49">
        <f>MAX(Tabela1[[#This Row],[DATA REAL - POSTAGEM]],Tabela1[[#This Row],[DATA REAL - APROV FINAL]],Tabela1[[#This Row],[DATA REAL - CRACHÁ]])-MIN(Tabela1[[#This Row],[DATA REAL - POSTAGEM]],Tabela1[[#This Row],[DATA REAL - APROV FINAL]],Tabela1[[#This Row],[DATA REAL - CRACHÁ]])+1</f>
        <v>15</v>
      </c>
      <c r="W12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8" s="15"/>
      <c r="Y128" s="16" t="s">
        <v>130</v>
      </c>
      <c r="Z128" s="18" t="s">
        <v>131</v>
      </c>
      <c r="AA128" s="18" t="s">
        <v>131</v>
      </c>
      <c r="AB128" s="16" t="s">
        <v>97</v>
      </c>
      <c r="AC128" s="16" t="s">
        <v>132</v>
      </c>
      <c r="AD128" s="16" t="s">
        <v>132</v>
      </c>
      <c r="AE128" s="16" t="s">
        <v>483</v>
      </c>
      <c r="AF128" s="16" t="s">
        <v>484</v>
      </c>
      <c r="AG128" s="16" t="str">
        <f>_xlfn.XLOOKUP(Tabela1[[#This Row],[CÓD. CT]],Controle_Projetos[COD CT],Controle_Projetos[COD PHD],"")</f>
        <v>GERD-CT19-PROD</v>
      </c>
      <c r="AH128" s="21"/>
      <c r="AI128" s="75">
        <v>45891</v>
      </c>
      <c r="AJ128" s="16" t="str" cm="1">
        <f t="array" aca="1" ref="AJ12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8" s="21">
        <v>45895</v>
      </c>
      <c r="AL128" s="74">
        <v>45898</v>
      </c>
      <c r="AM128" s="16" cm="1">
        <f t="array" aca="1" ref="AM12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4</v>
      </c>
      <c r="AN128" s="21">
        <f>Tabela1[[#This Row],[DATA PREV - FORMS]]+$AN$1</f>
        <v>45902</v>
      </c>
      <c r="AO128" s="74">
        <v>45896</v>
      </c>
      <c r="AP128" s="16" cm="1">
        <f t="array" aca="1" ref="AP12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28" s="21">
        <f>Tabela1[[#This Row],[DATA PREV - EXAMES]]+$AQ$1</f>
        <v>45904</v>
      </c>
      <c r="AR128" s="74">
        <v>45901</v>
      </c>
      <c r="AS128" s="15" cm="1">
        <f t="array" aca="1" ref="AS12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28" s="21">
        <f>Tabela1[[#This Row],[DATA PREV - FORMS]]+$AT$1</f>
        <v>45896</v>
      </c>
      <c r="AU128" s="74">
        <v>45896</v>
      </c>
      <c r="AV128" s="15" cm="1">
        <f t="array" aca="1" ref="AV12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28" s="21">
        <f>Tabela1[[#This Row],[DATA PREV - TREINAMENTOS]]+$AW$1</f>
        <v>45903</v>
      </c>
      <c r="AX128" s="74">
        <v>45897</v>
      </c>
      <c r="AY128" s="15" cm="1">
        <f t="array" aca="1" ref="AY12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28" s="24">
        <v>45904</v>
      </c>
      <c r="BA128" s="74">
        <v>45895</v>
      </c>
      <c r="BB128" s="15" cm="1">
        <f t="array" aca="1" ref="BB12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-8</v>
      </c>
      <c r="BC128" s="21">
        <f>Tabela1[[#This Row],[DATA PREV - CONCL. TREIN.]]+$BC$1</f>
        <v>45905</v>
      </c>
      <c r="BD128" s="74">
        <v>45903</v>
      </c>
      <c r="BE128" s="15" cm="1">
        <f t="array" aca="1" ref="BE12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28" s="21">
        <f>Tabela1[[#This Row],[DATA PREV - DOSSIÊ]]+$BF$1</f>
        <v>45908</v>
      </c>
      <c r="BG128" s="74">
        <v>45903</v>
      </c>
      <c r="BH128" s="15" cm="1">
        <f t="array" aca="1" ref="BH12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128" s="21">
        <f>Tabela1[[#This Row],[DATA PREV - POSTAGEM]]+$BI$1</f>
        <v>45914</v>
      </c>
      <c r="BJ128" s="74">
        <v>45917</v>
      </c>
      <c r="BK128" s="15" cm="1">
        <f t="array" aca="1" ref="BK12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28" s="21">
        <f>Tabela1[[#This Row],[DATA PREV - APROV FINAL]]+$BL$1</f>
        <v>45915</v>
      </c>
      <c r="BM128" s="74">
        <v>45917</v>
      </c>
      <c r="BN128" s="15" cm="1">
        <f t="array" aca="1" ref="BN12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28" s="80" t="s">
        <v>495</v>
      </c>
    </row>
    <row r="129" spans="2:67" ht="18" hidden="1" customHeight="1" x14ac:dyDescent="0.35">
      <c r="B129" s="14" t="s">
        <v>79</v>
      </c>
      <c r="C129" s="16" t="s">
        <v>136</v>
      </c>
      <c r="D129" s="16" t="s">
        <v>81</v>
      </c>
      <c r="E129" s="16"/>
      <c r="F129" s="16" t="s">
        <v>496</v>
      </c>
      <c r="G129" s="16" cm="1">
        <f t="array" ref="G129">_xlfn.IFS(Tabela1[[#This Row],[STATUS PROCESSO MOBILIZAÇÃO]]="Finalizado",1,Tabela1[[#This Row],[STATUS PROCESSO MOBILIZAÇÃO]]="Cancelado",2,Tabela1[[#This Row],[STATUS PROCESSO MOBILIZAÇÃO]]="Em andamento",3)</f>
        <v>1</v>
      </c>
      <c r="H129" s="16" cm="1">
        <f t="array" aca="1" ref="H12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FORMS]]="",$AM129&gt;$AK$1),2,
AND(Tabela1[[#This Row],[STATUS PROCESSO MOBILIZAÇÃO]]="Em andamento",Tabela1[[#This Row],[DATA REAL - FORMS]]="",$AM129&lt;=$AK$1),3,
AND(Tabela1[[#This Row],[STATUS PROCESSO MOBILIZAÇÃO]]="Em andamento",Tabela1[[#This Row],[DATA REAL - FORMS]]&lt;&gt;""),1)</f>
        <v>1</v>
      </c>
      <c r="I129" s="16" cm="1">
        <f t="array" aca="1" ref="I12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EXAMES]]="",$AP129&gt;$AN$1),2,
AND(Tabela1[[#This Row],[STATUS PROCESSO MOBILIZAÇÃO]]="Em andamento",Tabela1[[#This Row],[DATA REAL - EXAMES]]="",$AP129&lt;=$AN$1),3,
AND(Tabela1[[#This Row],[STATUS PROCESSO MOBILIZAÇÃO]]="Em andamento",Tabela1[[#This Row],[DATA REAL - EXAMES]]&lt;&gt;""),1)</f>
        <v>1</v>
      </c>
      <c r="J129" s="16" cm="1">
        <f t="array" aca="1" ref="J12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ASO]]="",$AS129&gt;$AQ$1),2,
AND(Tabela1[[#This Row],[STATUS PROCESSO MOBILIZAÇÃO]]="Em andamento",Tabela1[[#This Row],[DATA REAL - ASO]]="",$AS129&lt;=$AQ$1),3,
AND(Tabela1[[#This Row],[STATUS PROCESSO MOBILIZAÇÃO]]="Em andamento",Tabela1[[#This Row],[DATA REAL - ASO]]&lt;&gt;""),1)</f>
        <v>1</v>
      </c>
      <c r="K129" s="15" cm="1">
        <f t="array" aca="1" ref="K12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TREINAMENTOS]]="",$AV129&gt;$AT$1),2,
AND(Tabela1[[#This Row],[STATUS PROCESSO MOBILIZAÇÃO]]="Em andamento",Tabela1[[#This Row],[DATA REAL - TREINAMENTOS]]="",$AV129&lt;=$AT$1),3,
AND(Tabela1[[#This Row],[STATUS PROCESSO MOBILIZAÇÃO]]="Em andamento",Tabela1[[#This Row],[DATA REAL - TREINAMENTOS]]&lt;&gt;""),1)</f>
        <v>1</v>
      </c>
      <c r="L129" s="15" cm="1">
        <f t="array" aca="1" ref="L12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TREIN.]]="",$AY129&gt;$AW$1),2,
AND(Tabela1[[#This Row],[STATUS PROCESSO MOBILIZAÇÃO]]="Em andamento",Tabela1[[#This Row],[DATA REAL - CONCL. TREIN.]]="",$AY129&lt;=$AW$1),3,
AND(Tabela1[[#This Row],[STATUS PROCESSO MOBILIZAÇÃO]]="Em andamento",Tabela1[[#This Row],[DATA REAL - CONCL. TREIN.]]&lt;&gt;""),1)</f>
        <v>1</v>
      </c>
      <c r="M129" s="15" cm="1">
        <f t="array" aca="1" ref="M12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CONTRATUAL]]="",$BB129&gt;$AZ$1),2,
AND(Tabela1[[#This Row],[STATUS PROCESSO MOBILIZAÇÃO]]="Em andamento",Tabela1[[#This Row],[DATA FIM - ALTER. CONTRATUAL]]="",$BB129&lt;=$AZ$1),3,
AND(Tabela1[[#This Row],[STATUS PROCESSO MOBILIZAÇÃO]]="Em andamento",Tabela1[[#This Row],[DATA FIM - ALTER. CONTRATUAL]]&lt;&gt;""),1)</f>
        <v>1</v>
      </c>
      <c r="N129" s="16" cm="1">
        <f t="array" aca="1" ref="N12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DOSSIÊ]]="",$BE129&gt;$BC$1),2,
AND(Tabela1[[#This Row],[STATUS PROCESSO MOBILIZAÇÃO]]="Em andamento",Tabela1[[#This Row],[DATA REAL - DOSSIÊ]]="",$BE129&lt;=$BC$1),3,
AND(Tabela1[[#This Row],[STATUS PROCESSO MOBILIZAÇÃO]]="Em andamento",Tabela1[[#This Row],[DATA REAL - DOSSIÊ]]&lt;&gt;""),1)</f>
        <v>1</v>
      </c>
      <c r="O129" s="16" cm="1">
        <f t="array" aca="1" ref="O12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POSTAGEM]]="",$BH129&gt;$BF$1),2,
AND(Tabela1[[#This Row],[STATUS PROCESSO MOBILIZAÇÃO]]="Em andamento",Tabela1[[#This Row],[DATA REAL - POSTAGEM]]="",$BH129&lt;=$BF$1),3,
AND(Tabela1[[#This Row],[STATUS PROCESSO MOBILIZAÇÃO]]="Em andamento",Tabela1[[#This Row],[DATA REAL - POSTAGEM]]&lt;&gt;""),1)</f>
        <v>1</v>
      </c>
      <c r="P129" s="16" cm="1">
        <f t="array" aca="1" ref="P12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FINAL]]="",$BK129&gt;$BI$1),2,
AND(Tabela1[[#This Row],[STATUS PROCESSO MOBILIZAÇÃO]]="Em andamento",Tabela1[[#This Row],[DATA REAL - APROV FINAL]]="",$BK129&lt;=$BI$1),3,
AND(Tabela1[[#This Row],[STATUS PROCESSO MOBILIZAÇÃO]]="Em andamento",Tabela1[[#This Row],[DATA REAL - APROV FINAL]]&lt;&gt;""),1)</f>
        <v>1</v>
      </c>
      <c r="Q129" s="15" cm="1">
        <f t="array" aca="1" ref="Q12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CRACHÁ]]="",$BN129&gt;$BL$1),2,
AND(Tabela1[[#This Row],[STATUS PROCESSO MOBILIZAÇÃO]]="Em andamento",Tabela1[[#This Row],[DATA REAL - CRACHÁ]]="",$BN129&lt;=$BL$1),3,
AND(Tabela1[[#This Row],[STATUS PROCESSO MOBILIZAÇÃO]]="Em andamento",Tabela1[[#This Row],[DATA REAL - CRACHÁ]]&lt;&gt;""),1)</f>
        <v>1</v>
      </c>
      <c r="R129" s="21">
        <f>IF(Tabela1[[#This Row],[DATA REAL - FORMS]]&lt;&gt;"",Tabela1[[#This Row],[DATA REAL - FORMS]]+30,Tabela1[[#This Row],[DATA PREV - FORMS]]+35)</f>
        <v>45928</v>
      </c>
      <c r="S12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45909</v>
      </c>
      <c r="T12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18</v>
      </c>
      <c r="U12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29" s="49">
        <f>MAX(Tabela1[[#This Row],[DATA REAL - POSTAGEM]],Tabela1[[#This Row],[DATA REAL - APROV FINAL]],Tabela1[[#This Row],[DATA REAL - CRACHÁ]])-MIN(Tabela1[[#This Row],[DATA REAL - POSTAGEM]],Tabela1[[#This Row],[DATA REAL - APROV FINAL]],Tabela1[[#This Row],[DATA REAL - CRACHÁ]])+1</f>
        <v>7</v>
      </c>
      <c r="W12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29" s="15"/>
      <c r="Y129" s="16" t="s">
        <v>130</v>
      </c>
      <c r="Z129" s="18" t="s">
        <v>131</v>
      </c>
      <c r="AA129" s="18" t="s">
        <v>131</v>
      </c>
      <c r="AB129" s="16" t="s">
        <v>97</v>
      </c>
      <c r="AC129" s="16" t="s">
        <v>132</v>
      </c>
      <c r="AD129" s="16" t="s">
        <v>132</v>
      </c>
      <c r="AE129" s="16" t="s">
        <v>483</v>
      </c>
      <c r="AF129" s="16" t="s">
        <v>484</v>
      </c>
      <c r="AG129" s="16" t="str">
        <f>_xlfn.XLOOKUP(Tabela1[[#This Row],[CÓD. CT]],Controle_Projetos[COD CT],Controle_Projetos[COD PHD],"")</f>
        <v>GERD-CT19-PROD</v>
      </c>
      <c r="AH129" s="21"/>
      <c r="AI129" s="75">
        <v>45891</v>
      </c>
      <c r="AJ129" s="16" t="str" cm="1">
        <f t="array" aca="1" ref="AJ12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29" s="21">
        <v>45896</v>
      </c>
      <c r="AL129" s="74">
        <v>45898</v>
      </c>
      <c r="AM129" s="16" cm="1">
        <f t="array" aca="1" ref="AM12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29" s="21">
        <f>Tabela1[[#This Row],[DATA PREV - FORMS]]+$AN$1</f>
        <v>45903</v>
      </c>
      <c r="AO129" s="74">
        <v>45896</v>
      </c>
      <c r="AP129" s="16" cm="1">
        <f t="array" aca="1" ref="AP12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29" s="21">
        <f>Tabela1[[#This Row],[DATA PREV - EXAMES]]+$AQ$1</f>
        <v>45905</v>
      </c>
      <c r="AR129" s="74">
        <v>45901</v>
      </c>
      <c r="AS129" s="15" cm="1">
        <f t="array" aca="1" ref="AS12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29" s="21">
        <f>Tabela1[[#This Row],[DATA PREV - FORMS]]+$AT$1</f>
        <v>45897</v>
      </c>
      <c r="AU129" s="74">
        <v>45896</v>
      </c>
      <c r="AV129" s="15" cm="1">
        <f t="array" aca="1" ref="AV12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29" s="21">
        <f>Tabela1[[#This Row],[DATA PREV - TREINAMENTOS]]+$AW$1</f>
        <v>45904</v>
      </c>
      <c r="AX129" s="74">
        <v>45898</v>
      </c>
      <c r="AY129" s="15" cm="1">
        <f t="array" aca="1" ref="AY12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29" s="24">
        <v>45895</v>
      </c>
      <c r="BA129" s="74">
        <v>45895</v>
      </c>
      <c r="BB129" s="15" cm="1">
        <f t="array" aca="1" ref="BB12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29" s="21">
        <f>Tabela1[[#This Row],[DATA PREV - CONCL. TREIN.]]+$BC$1</f>
        <v>45906</v>
      </c>
      <c r="BD129" s="74">
        <v>45903</v>
      </c>
      <c r="BE129" s="15" cm="1">
        <f t="array" aca="1" ref="BE12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29" s="21">
        <f>Tabela1[[#This Row],[DATA PREV - DOSSIÊ]]+$BF$1</f>
        <v>45909</v>
      </c>
      <c r="BG129" s="74">
        <v>45903</v>
      </c>
      <c r="BH129" s="15" cm="1">
        <f t="array" aca="1" ref="BH12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29" s="21">
        <f>Tabela1[[#This Row],[DATA PREV - POSTAGEM]]+$BI$1</f>
        <v>45915</v>
      </c>
      <c r="BJ129" s="74">
        <v>45909</v>
      </c>
      <c r="BK129" s="15" cm="1">
        <f t="array" aca="1" ref="BK12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129" s="21">
        <f>Tabela1[[#This Row],[DATA PREV - APROV FINAL]]+$BL$1</f>
        <v>45916</v>
      </c>
      <c r="BM129" s="74">
        <v>45909</v>
      </c>
      <c r="BN129" s="15" cm="1">
        <f t="array" aca="1" ref="BN12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29" s="80" t="s">
        <v>497</v>
      </c>
    </row>
    <row r="130" spans="2:67" ht="18" hidden="1" customHeight="1" x14ac:dyDescent="0.35">
      <c r="B130" s="14" t="s">
        <v>79</v>
      </c>
      <c r="C130" s="16" t="s">
        <v>136</v>
      </c>
      <c r="D130" s="16" t="s">
        <v>81</v>
      </c>
      <c r="E130" s="16"/>
      <c r="F130" s="16" t="s">
        <v>178</v>
      </c>
      <c r="G130" s="16" cm="1">
        <f t="array" ref="G130">_xlfn.IFS(Tabela1[[#This Row],[STATUS PROCESSO MOBILIZAÇÃO]]="Finalizado",1,Tabela1[[#This Row],[STATUS PROCESSO MOBILIZAÇÃO]]="Cancelado",2,Tabela1[[#This Row],[STATUS PROCESSO MOBILIZAÇÃO]]="Em andamento",3)</f>
        <v>1</v>
      </c>
      <c r="H130" s="16" cm="1">
        <f t="array" aca="1" ref="H13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FORMS]]="",$AM130&gt;$AK$1),2,
AND(Tabela1[[#This Row],[STATUS PROCESSO MOBILIZAÇÃO]]="Em andamento",Tabela1[[#This Row],[DATA REAL - FORMS]]="",$AM130&lt;=$AK$1),3,
AND(Tabela1[[#This Row],[STATUS PROCESSO MOBILIZAÇÃO]]="Em andamento",Tabela1[[#This Row],[DATA REAL - FORMS]]&lt;&gt;""),1)</f>
        <v>1</v>
      </c>
      <c r="I130" s="16" cm="1">
        <f t="array" aca="1" ref="I13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EXAMES]]="",$AP130&gt;$AN$1),2,
AND(Tabela1[[#This Row],[STATUS PROCESSO MOBILIZAÇÃO]]="Em andamento",Tabela1[[#This Row],[DATA REAL - EXAMES]]="",$AP130&lt;=$AN$1),3,
AND(Tabela1[[#This Row],[STATUS PROCESSO MOBILIZAÇÃO]]="Em andamento",Tabela1[[#This Row],[DATA REAL - EXAMES]]&lt;&gt;""),1)</f>
        <v>1</v>
      </c>
      <c r="J130" s="16" cm="1">
        <f t="array" aca="1" ref="J13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ASO]]="",$AS130&gt;$AQ$1),2,
AND(Tabela1[[#This Row],[STATUS PROCESSO MOBILIZAÇÃO]]="Em andamento",Tabela1[[#This Row],[DATA REAL - ASO]]="",$AS130&lt;=$AQ$1),3,
AND(Tabela1[[#This Row],[STATUS PROCESSO MOBILIZAÇÃO]]="Em andamento",Tabela1[[#This Row],[DATA REAL - ASO]]&lt;&gt;""),1)</f>
        <v>0</v>
      </c>
      <c r="K130" s="15" cm="1">
        <f t="array" aca="1" ref="K13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TREINAMENTOS]]="",$AV130&gt;$AT$1),2,
AND(Tabela1[[#This Row],[STATUS PROCESSO MOBILIZAÇÃO]]="Em andamento",Tabela1[[#This Row],[DATA REAL - TREINAMENTOS]]="",$AV130&lt;=$AT$1),3,
AND(Tabela1[[#This Row],[STATUS PROCESSO MOBILIZAÇÃO]]="Em andamento",Tabela1[[#This Row],[DATA REAL - TREINAMENTOS]]&lt;&gt;""),1)</f>
        <v>1</v>
      </c>
      <c r="L130" s="15" cm="1">
        <f t="array" aca="1" ref="L13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TREIN.]]="",$AY130&gt;$AW$1),2,
AND(Tabela1[[#This Row],[STATUS PROCESSO MOBILIZAÇÃO]]="Em andamento",Tabela1[[#This Row],[DATA REAL - CONCL. TREIN.]]="",$AY130&lt;=$AW$1),3,
AND(Tabela1[[#This Row],[STATUS PROCESSO MOBILIZAÇÃO]]="Em andamento",Tabela1[[#This Row],[DATA REAL - CONCL. TREIN.]]&lt;&gt;""),1)</f>
        <v>1</v>
      </c>
      <c r="M130" s="15" cm="1">
        <f t="array" aca="1" ref="M13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CONTRATUAL]]="",$BB130&gt;$AZ$1),2,
AND(Tabela1[[#This Row],[STATUS PROCESSO MOBILIZAÇÃO]]="Em andamento",Tabela1[[#This Row],[DATA FIM - ALTER. CONTRATUAL]]="",$BB130&lt;=$AZ$1),3,
AND(Tabela1[[#This Row],[STATUS PROCESSO MOBILIZAÇÃO]]="Em andamento",Tabela1[[#This Row],[DATA FIM - ALTER. CONTRATUAL]]&lt;&gt;""),1)</f>
        <v>1</v>
      </c>
      <c r="N130" s="16" cm="1">
        <f t="array" aca="1" ref="N13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DOSSIÊ]]="",$BE130&gt;$BC$1),2,
AND(Tabela1[[#This Row],[STATUS PROCESSO MOBILIZAÇÃO]]="Em andamento",Tabela1[[#This Row],[DATA REAL - DOSSIÊ]]="",$BE130&lt;=$BC$1),3,
AND(Tabela1[[#This Row],[STATUS PROCESSO MOBILIZAÇÃO]]="Em andamento",Tabela1[[#This Row],[DATA REAL - DOSSIÊ]]&lt;&gt;""),1)</f>
        <v>1</v>
      </c>
      <c r="O130" s="16" cm="1">
        <f t="array" aca="1" ref="O13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POSTAGEM]]="",$BH130&gt;$BF$1),2,
AND(Tabela1[[#This Row],[STATUS PROCESSO MOBILIZAÇÃO]]="Em andamento",Tabela1[[#This Row],[DATA REAL - POSTAGEM]]="",$BH130&lt;=$BF$1),3,
AND(Tabela1[[#This Row],[STATUS PROCESSO MOBILIZAÇÃO]]="Em andamento",Tabela1[[#This Row],[DATA REAL - POSTAGEM]]&lt;&gt;""),1)</f>
        <v>1</v>
      </c>
      <c r="P130" s="16" cm="1">
        <f t="array" aca="1" ref="P13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FINAL]]="",$BK130&gt;$BI$1),2,
AND(Tabela1[[#This Row],[STATUS PROCESSO MOBILIZAÇÃO]]="Em andamento",Tabela1[[#This Row],[DATA REAL - APROV FINAL]]="",$BK130&lt;=$BI$1),3,
AND(Tabela1[[#This Row],[STATUS PROCESSO MOBILIZAÇÃO]]="Em andamento",Tabela1[[#This Row],[DATA REAL - APROV FINAL]]&lt;&gt;""),1)</f>
        <v>1</v>
      </c>
      <c r="Q130" s="15" cm="1">
        <f t="array" aca="1" ref="Q13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CRACHÁ]]="",$BN130&gt;$BL$1),2,
AND(Tabela1[[#This Row],[STATUS PROCESSO MOBILIZAÇÃO]]="Em andamento",Tabela1[[#This Row],[DATA REAL - CRACHÁ]]="",$BN130&lt;=$BL$1),3,
AND(Tabela1[[#This Row],[STATUS PROCESSO MOBILIZAÇÃO]]="Em andamento",Tabela1[[#This Row],[DATA REAL - CRACHÁ]]&lt;&gt;""),1)</f>
        <v>1</v>
      </c>
      <c r="R130" s="21">
        <f>IF(Tabela1[[#This Row],[DATA REAL - FORMS]]&lt;&gt;"",Tabela1[[#This Row],[DATA REAL - FORMS]]+30,Tabela1[[#This Row],[DATA PREV - FORMS]]+35)</f>
        <v>45935</v>
      </c>
      <c r="S13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45908</v>
      </c>
      <c r="T13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3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130" s="49">
        <f>MAX(Tabela1[[#This Row],[DATA REAL - POSTAGEM]],Tabela1[[#This Row],[DATA REAL - APROV FINAL]],Tabela1[[#This Row],[DATA REAL - CRACHÁ]])-MIN(Tabela1[[#This Row],[DATA REAL - POSTAGEM]],Tabela1[[#This Row],[DATA REAL - APROV FINAL]],Tabela1[[#This Row],[DATA REAL - CRACHÁ]])+1</f>
        <v>4</v>
      </c>
      <c r="W13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0" s="15"/>
      <c r="Y130" s="16" t="s">
        <v>130</v>
      </c>
      <c r="Z130" s="18" t="s">
        <v>131</v>
      </c>
      <c r="AA130" s="18" t="s">
        <v>131</v>
      </c>
      <c r="AB130" s="16" t="s">
        <v>87</v>
      </c>
      <c r="AC130" s="16" t="s">
        <v>132</v>
      </c>
      <c r="AD130" s="16" t="s">
        <v>132</v>
      </c>
      <c r="AE130" s="16" t="s">
        <v>483</v>
      </c>
      <c r="AF130" s="16" t="s">
        <v>484</v>
      </c>
      <c r="AG130" s="16" t="str">
        <f>_xlfn.XLOOKUP(Tabela1[[#This Row],[CÓD. CT]],Controle_Projetos[COD CT],Controle_Projetos[COD PHD],"")</f>
        <v>GERD-CT19-PROD</v>
      </c>
      <c r="AH130" s="21"/>
      <c r="AI130" s="75">
        <v>45891</v>
      </c>
      <c r="AJ130" s="16" t="str" cm="1">
        <f t="array" aca="1" ref="AJ13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0" s="21">
        <v>45903</v>
      </c>
      <c r="AL130" s="74">
        <v>45905</v>
      </c>
      <c r="AM130" s="16" cm="1">
        <f t="array" aca="1" ref="AM13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30" s="21">
        <f>Tabela1[[#This Row],[DATA PREV - FORMS]]+$AN$1</f>
        <v>45910</v>
      </c>
      <c r="AO130" s="74">
        <v>45903</v>
      </c>
      <c r="AP130" s="16" cm="1">
        <f t="array" aca="1" ref="AP13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0" s="21">
        <f>Tabela1[[#This Row],[DATA PREV - EXAMES]]+$AQ$1</f>
        <v>45912</v>
      </c>
      <c r="AR130" s="74"/>
      <c r="AS130" s="15" cm="1">
        <f t="array" aca="1" ref="AS13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30" s="21">
        <f>Tabela1[[#This Row],[DATA PREV - FORMS]]+$AT$1</f>
        <v>45904</v>
      </c>
      <c r="AU130" s="74">
        <v>45903</v>
      </c>
      <c r="AV130" s="15" cm="1">
        <f t="array" aca="1" ref="AV13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0" s="21">
        <f>Tabela1[[#This Row],[DATA PREV - TREINAMENTOS]]+$AW$1</f>
        <v>45911</v>
      </c>
      <c r="AX130" s="74">
        <v>45903</v>
      </c>
      <c r="AY130" s="15" cm="1">
        <f t="array" aca="1" ref="AY13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0" s="24">
        <v>45904</v>
      </c>
      <c r="BA130" s="74">
        <v>45895</v>
      </c>
      <c r="BB130" s="15" cm="1">
        <f t="array" aca="1" ref="BB13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-8</v>
      </c>
      <c r="BC130" s="21">
        <f>Tabela1[[#This Row],[DATA PREV - CONCL. TREIN.]]+$BC$1</f>
        <v>45913</v>
      </c>
      <c r="BD130" s="74">
        <v>45905</v>
      </c>
      <c r="BE130" s="15" cm="1">
        <f t="array" aca="1" ref="BE13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30" s="21">
        <f>Tabela1[[#This Row],[DATA PREV - DOSSIÊ]]+$BF$1</f>
        <v>45916</v>
      </c>
      <c r="BG130" s="74">
        <v>45905</v>
      </c>
      <c r="BH130" s="15" cm="1">
        <f t="array" aca="1" ref="BH13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30" s="21">
        <f>Tabela1[[#This Row],[DATA PREV - POSTAGEM]]+$BI$1</f>
        <v>45922</v>
      </c>
      <c r="BJ130" s="74">
        <v>45908</v>
      </c>
      <c r="BK130" s="15" cm="1">
        <f t="array" aca="1" ref="BK13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130" s="21">
        <f>Tabela1[[#This Row],[DATA PREV - APROV FINAL]]+$BL$1</f>
        <v>45923</v>
      </c>
      <c r="BM130" s="74">
        <v>45908</v>
      </c>
      <c r="BN130" s="15" cm="1">
        <f t="array" aca="1" ref="BN13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130" s="80" t="s">
        <v>498</v>
      </c>
    </row>
    <row r="131" spans="2:67" ht="18" hidden="1" customHeight="1" x14ac:dyDescent="0.35">
      <c r="B131" s="14" t="s">
        <v>79</v>
      </c>
      <c r="C131" s="16" t="s">
        <v>136</v>
      </c>
      <c r="D131" s="16" t="s">
        <v>81</v>
      </c>
      <c r="E131" s="16"/>
      <c r="F131" s="16" t="s">
        <v>499</v>
      </c>
      <c r="G131" s="16" cm="1">
        <f t="array" ref="G131">_xlfn.IFS(Tabela1[[#This Row],[STATUS PROCESSO MOBILIZAÇÃO]]="Finalizado",1,Tabela1[[#This Row],[STATUS PROCESSO MOBILIZAÇÃO]]="Cancelado",2,Tabela1[[#This Row],[STATUS PROCESSO MOBILIZAÇÃO]]="Em andamento",3)</f>
        <v>1</v>
      </c>
      <c r="H131" s="16" cm="1">
        <f t="array" aca="1" ref="H13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FORMS]]="",$AM131&gt;$AK$1),2,
AND(Tabela1[[#This Row],[STATUS PROCESSO MOBILIZAÇÃO]]="Em andamento",Tabela1[[#This Row],[DATA REAL - FORMS]]="",$AM131&lt;=$AK$1),3,
AND(Tabela1[[#This Row],[STATUS PROCESSO MOBILIZAÇÃO]]="Em andamento",Tabela1[[#This Row],[DATA REAL - FORMS]]&lt;&gt;""),1)</f>
        <v>1</v>
      </c>
      <c r="I131" s="16" cm="1">
        <f t="array" aca="1" ref="I13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EXAMES]]="",$AP131&gt;$AN$1),2,
AND(Tabela1[[#This Row],[STATUS PROCESSO MOBILIZAÇÃO]]="Em andamento",Tabela1[[#This Row],[DATA REAL - EXAMES]]="",$AP131&lt;=$AN$1),3,
AND(Tabela1[[#This Row],[STATUS PROCESSO MOBILIZAÇÃO]]="Em andamento",Tabela1[[#This Row],[DATA REAL - EXAMES]]&lt;&gt;""),1)</f>
        <v>1</v>
      </c>
      <c r="J131" s="16" cm="1">
        <f t="array" aca="1" ref="J13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ASO]]="",$AS131&gt;$AQ$1),2,
AND(Tabela1[[#This Row],[STATUS PROCESSO MOBILIZAÇÃO]]="Em andamento",Tabela1[[#This Row],[DATA REAL - ASO]]="",$AS131&lt;=$AQ$1),3,
AND(Tabela1[[#This Row],[STATUS PROCESSO MOBILIZAÇÃO]]="Em andamento",Tabela1[[#This Row],[DATA REAL - ASO]]&lt;&gt;""),1)</f>
        <v>1</v>
      </c>
      <c r="K131" s="15" cm="1">
        <f t="array" aca="1" ref="K13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TREINAMENTOS]]="",$AV131&gt;$AT$1),2,
AND(Tabela1[[#This Row],[STATUS PROCESSO MOBILIZAÇÃO]]="Em andamento",Tabela1[[#This Row],[DATA REAL - TREINAMENTOS]]="",$AV131&lt;=$AT$1),3,
AND(Tabela1[[#This Row],[STATUS PROCESSO MOBILIZAÇÃO]]="Em andamento",Tabela1[[#This Row],[DATA REAL - TREINAMENTOS]]&lt;&gt;""),1)</f>
        <v>1</v>
      </c>
      <c r="L131" s="15" cm="1">
        <f t="array" aca="1" ref="L13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TREIN.]]="",$AY131&gt;$AW$1),2,
AND(Tabela1[[#This Row],[STATUS PROCESSO MOBILIZAÇÃO]]="Em andamento",Tabela1[[#This Row],[DATA REAL - CONCL. TREIN.]]="",$AY131&lt;=$AW$1),3,
AND(Tabela1[[#This Row],[STATUS PROCESSO MOBILIZAÇÃO]]="Em andamento",Tabela1[[#This Row],[DATA REAL - CONCL. TREIN.]]&lt;&gt;""),1)</f>
        <v>1</v>
      </c>
      <c r="M131" s="15" cm="1">
        <f t="array" aca="1" ref="M13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CONTRATUAL]]="",$BB131&gt;$AZ$1),2,
AND(Tabela1[[#This Row],[STATUS PROCESSO MOBILIZAÇÃO]]="Em andamento",Tabela1[[#This Row],[DATA FIM - ALTER. CONTRATUAL]]="",$BB131&lt;=$AZ$1),3,
AND(Tabela1[[#This Row],[STATUS PROCESSO MOBILIZAÇÃO]]="Em andamento",Tabela1[[#This Row],[DATA FIM - ALTER. CONTRATUAL]]&lt;&gt;""),1)</f>
        <v>1</v>
      </c>
      <c r="N131" s="16" cm="1">
        <f t="array" aca="1" ref="N13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DOSSIÊ]]="",$BE131&gt;$BC$1),2,
AND(Tabela1[[#This Row],[STATUS PROCESSO MOBILIZAÇÃO]]="Em andamento",Tabela1[[#This Row],[DATA REAL - DOSSIÊ]]="",$BE131&lt;=$BC$1),3,
AND(Tabela1[[#This Row],[STATUS PROCESSO MOBILIZAÇÃO]]="Em andamento",Tabela1[[#This Row],[DATA REAL - DOSSIÊ]]&lt;&gt;""),1)</f>
        <v>1</v>
      </c>
      <c r="O131" s="16" cm="1">
        <f t="array" aca="1" ref="O13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POSTAGEM]]="",$BH131&gt;$BF$1),2,
AND(Tabela1[[#This Row],[STATUS PROCESSO MOBILIZAÇÃO]]="Em andamento",Tabela1[[#This Row],[DATA REAL - POSTAGEM]]="",$BH131&lt;=$BF$1),3,
AND(Tabela1[[#This Row],[STATUS PROCESSO MOBILIZAÇÃO]]="Em andamento",Tabela1[[#This Row],[DATA REAL - POSTAGEM]]&lt;&gt;""),1)</f>
        <v>1</v>
      </c>
      <c r="P131" s="16" cm="1">
        <f t="array" aca="1" ref="P13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FINAL]]="",$BK131&gt;$BI$1),2,
AND(Tabela1[[#This Row],[STATUS PROCESSO MOBILIZAÇÃO]]="Em andamento",Tabela1[[#This Row],[DATA REAL - APROV FINAL]]="",$BK131&lt;=$BI$1),3,
AND(Tabela1[[#This Row],[STATUS PROCESSO MOBILIZAÇÃO]]="Em andamento",Tabela1[[#This Row],[DATA REAL - APROV FINAL]]&lt;&gt;""),1)</f>
        <v>1</v>
      </c>
      <c r="Q131" s="15" cm="1">
        <f t="array" aca="1" ref="Q13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CRACHÁ]]="",$BN131&gt;$BL$1),2,
AND(Tabela1[[#This Row],[STATUS PROCESSO MOBILIZAÇÃO]]="Em andamento",Tabela1[[#This Row],[DATA REAL - CRACHÁ]]="",$BN131&lt;=$BL$1),3,
AND(Tabela1[[#This Row],[STATUS PROCESSO MOBILIZAÇÃO]]="Em andamento",Tabela1[[#This Row],[DATA REAL - CRACHÁ]]&lt;&gt;""),1)</f>
        <v>1</v>
      </c>
      <c r="R131" s="21">
        <f>IF(Tabela1[[#This Row],[DATA REAL - FORMS]]&lt;&gt;"",Tabela1[[#This Row],[DATA REAL - FORMS]]+30,Tabela1[[#This Row],[DATA PREV - FORMS]]+35)</f>
        <v>45934</v>
      </c>
      <c r="S13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46038</v>
      </c>
      <c r="T13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134</v>
      </c>
      <c r="U13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18</v>
      </c>
      <c r="V131" s="49">
        <f>MAX(Tabela1[[#This Row],[DATA REAL - POSTAGEM]],Tabela1[[#This Row],[DATA REAL - APROV FINAL]],Tabela1[[#This Row],[DATA REAL - CRACHÁ]])-MIN(Tabela1[[#This Row],[DATA REAL - POSTAGEM]],Tabela1[[#This Row],[DATA REAL - APROV FINAL]],Tabela1[[#This Row],[DATA REAL - CRACHÁ]])+1</f>
        <v>99</v>
      </c>
      <c r="W13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31" s="15" t="s">
        <v>158</v>
      </c>
      <c r="Y131" s="16" t="s">
        <v>355</v>
      </c>
      <c r="Z131" s="18" t="s">
        <v>159</v>
      </c>
      <c r="AA131" s="18"/>
      <c r="AB131" s="16" t="s">
        <v>97</v>
      </c>
      <c r="AC131" s="16" t="s">
        <v>316</v>
      </c>
      <c r="AD131" s="16" t="s">
        <v>89</v>
      </c>
      <c r="AE131" s="16" t="s">
        <v>500</v>
      </c>
      <c r="AF131" s="16" t="s">
        <v>317</v>
      </c>
      <c r="AG131" s="16" t="str">
        <f>_xlfn.XLOOKUP(Tabela1[[#This Row],[CÓD. CT]],Controle_Projetos[COD CT],Controle_Projetos[COD PHD],"")</f>
        <v>ELEV-CT02-PLAN</v>
      </c>
      <c r="AH131" s="21">
        <v>45904</v>
      </c>
      <c r="AI131" s="75">
        <v>45904</v>
      </c>
      <c r="AJ131" s="16" cm="1">
        <f t="array" aca="1" ref="AJ13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31" s="21">
        <v>45904</v>
      </c>
      <c r="AL131" s="74">
        <v>45904</v>
      </c>
      <c r="AM131" s="16" cm="1">
        <f t="array" aca="1" ref="AM13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1" s="21">
        <f>Tabela1[[#This Row],[DATA PREV - FORMS]]+$AN$1</f>
        <v>45911</v>
      </c>
      <c r="AO131" s="74">
        <v>45904</v>
      </c>
      <c r="AP131" s="16" cm="1">
        <f t="array" aca="1" ref="AP13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1" s="21">
        <f>Tabela1[[#This Row],[DATA PREV - EXAMES]]+$AQ$1</f>
        <v>45913</v>
      </c>
      <c r="AR131" s="74">
        <v>45904</v>
      </c>
      <c r="AS131" s="15" cm="1">
        <f t="array" aca="1" ref="AS13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31" s="21">
        <f>Tabela1[[#This Row],[DATA PREV - FORMS]]+$AT$1</f>
        <v>45905</v>
      </c>
      <c r="AU131" s="74">
        <v>45904</v>
      </c>
      <c r="AV131" s="15" cm="1">
        <f t="array" aca="1" ref="AV13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1" s="21">
        <f>Tabela1[[#This Row],[DATA PREV - TREINAMENTOS]]+$AW$1</f>
        <v>45912</v>
      </c>
      <c r="AX131" s="74">
        <v>45915</v>
      </c>
      <c r="AY131" s="15" cm="1">
        <f t="array" aca="1" ref="AY13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131" s="24">
        <v>45910</v>
      </c>
      <c r="BA131" s="74">
        <v>45904</v>
      </c>
      <c r="BB131" s="15" cm="1">
        <f t="array" aca="1" ref="BB13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v>
      </c>
      <c r="BC131" s="21">
        <f>Tabela1[[#This Row],[DATA PREV - CONCL. TREIN.]]+$BC$1</f>
        <v>45914</v>
      </c>
      <c r="BD131" s="74">
        <v>45922</v>
      </c>
      <c r="BE131" s="15" cm="1">
        <f t="array" aca="1" ref="BE13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131" s="21">
        <f>Tabela1[[#This Row],[DATA PREV - DOSSIÊ]]+$BF$1</f>
        <v>45917</v>
      </c>
      <c r="BG131" s="74">
        <v>45940</v>
      </c>
      <c r="BH131" s="15" cm="1">
        <f t="array" aca="1" ref="BH13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131" s="21">
        <f>Tabela1[[#This Row],[DATA PREV - POSTAGEM]]+$BI$1</f>
        <v>45923</v>
      </c>
      <c r="BJ131" s="74">
        <v>46038</v>
      </c>
      <c r="BK131" s="15" cm="1">
        <f t="array" aca="1" ref="BK13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116</v>
      </c>
      <c r="BL131" s="21">
        <f>Tabela1[[#This Row],[DATA PREV - APROV FINAL]]+$BL$1</f>
        <v>45924</v>
      </c>
      <c r="BM131" s="74">
        <v>46038</v>
      </c>
      <c r="BN131" s="15" cm="1">
        <f t="array" aca="1" ref="BN13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115</v>
      </c>
      <c r="BO131" s="81" t="s">
        <v>501</v>
      </c>
    </row>
    <row r="132" spans="2:67" ht="18" hidden="1" customHeight="1" x14ac:dyDescent="0.35">
      <c r="B132" s="14" t="s">
        <v>79</v>
      </c>
      <c r="C132" s="16" t="s">
        <v>136</v>
      </c>
      <c r="D132" s="16" t="s">
        <v>81</v>
      </c>
      <c r="E132" s="16">
        <v>3403</v>
      </c>
      <c r="F132" s="16" t="s">
        <v>502</v>
      </c>
      <c r="G132" s="16" cm="1">
        <f t="array" ref="G132">_xlfn.IFS(Tabela1[[#This Row],[STATUS PROCESSO MOBILIZAÇÃO]]="Finalizado",1,Tabela1[[#This Row],[STATUS PROCESSO MOBILIZAÇÃO]]="Cancelado",2,Tabela1[[#This Row],[STATUS PROCESSO MOBILIZAÇÃO]]="Em andamento",3)</f>
        <v>1</v>
      </c>
      <c r="H132" s="16" cm="1">
        <f t="array" aca="1" ref="H13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FORMS]]="",$AM132&gt;$AK$1),2,
AND(Tabela1[[#This Row],[STATUS PROCESSO MOBILIZAÇÃO]]="Em andamento",Tabela1[[#This Row],[DATA REAL - FORMS]]="",$AM132&lt;=$AK$1),3,
AND(Tabela1[[#This Row],[STATUS PROCESSO MOBILIZAÇÃO]]="Em andamento",Tabela1[[#This Row],[DATA REAL - FORMS]]&lt;&gt;""),1)</f>
        <v>1</v>
      </c>
      <c r="I132" s="16" cm="1">
        <f t="array" aca="1" ref="I13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EXAMES]]="",$AP132&gt;$AN$1),2,
AND(Tabela1[[#This Row],[STATUS PROCESSO MOBILIZAÇÃO]]="Em andamento",Tabela1[[#This Row],[DATA REAL - EXAMES]]="",$AP132&lt;=$AN$1),3,
AND(Tabela1[[#This Row],[STATUS PROCESSO MOBILIZAÇÃO]]="Em andamento",Tabela1[[#This Row],[DATA REAL - EXAMES]]&lt;&gt;""),1)</f>
        <v>1</v>
      </c>
      <c r="J132" s="16" cm="1">
        <f t="array" aca="1" ref="J13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ASO]]="",$AS132&gt;$AQ$1),2,
AND(Tabela1[[#This Row],[STATUS PROCESSO MOBILIZAÇÃO]]="Em andamento",Tabela1[[#This Row],[DATA REAL - ASO]]="",$AS132&lt;=$AQ$1),3,
AND(Tabela1[[#This Row],[STATUS PROCESSO MOBILIZAÇÃO]]="Em andamento",Tabela1[[#This Row],[DATA REAL - ASO]]&lt;&gt;""),1)</f>
        <v>1</v>
      </c>
      <c r="K132" s="15" cm="1">
        <f t="array" aca="1" ref="K13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TREINAMENTOS]]="",$AV132&gt;$AT$1),2,
AND(Tabela1[[#This Row],[STATUS PROCESSO MOBILIZAÇÃO]]="Em andamento",Tabela1[[#This Row],[DATA REAL - TREINAMENTOS]]="",$AV132&lt;=$AT$1),3,
AND(Tabela1[[#This Row],[STATUS PROCESSO MOBILIZAÇÃO]]="Em andamento",Tabela1[[#This Row],[DATA REAL - TREINAMENTOS]]&lt;&gt;""),1)</f>
        <v>1</v>
      </c>
      <c r="L132" s="15" cm="1">
        <f t="array" aca="1" ref="L13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TREIN.]]="",$AY132&gt;$AW$1),2,
AND(Tabela1[[#This Row],[STATUS PROCESSO MOBILIZAÇÃO]]="Em andamento",Tabela1[[#This Row],[DATA REAL - CONCL. TREIN.]]="",$AY132&lt;=$AW$1),3,
AND(Tabela1[[#This Row],[STATUS PROCESSO MOBILIZAÇÃO]]="Em andamento",Tabela1[[#This Row],[DATA REAL - CONCL. TREIN.]]&lt;&gt;""),1)</f>
        <v>1</v>
      </c>
      <c r="M132" s="15" cm="1">
        <f t="array" aca="1" ref="M13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CONTRATUAL]]="",$BB132&gt;$AZ$1),2,
AND(Tabela1[[#This Row],[STATUS PROCESSO MOBILIZAÇÃO]]="Em andamento",Tabela1[[#This Row],[DATA FIM - ALTER. CONTRATUAL]]="",$BB132&lt;=$AZ$1),3,
AND(Tabela1[[#This Row],[STATUS PROCESSO MOBILIZAÇÃO]]="Em andamento",Tabela1[[#This Row],[DATA FIM - ALTER. CONTRATUAL]]&lt;&gt;""),1)</f>
        <v>1</v>
      </c>
      <c r="N132" s="16" cm="1">
        <f t="array" aca="1" ref="N13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DOSSIÊ]]="",$BE132&gt;$BC$1),2,
AND(Tabela1[[#This Row],[STATUS PROCESSO MOBILIZAÇÃO]]="Em andamento",Tabela1[[#This Row],[DATA REAL - DOSSIÊ]]="",$BE132&lt;=$BC$1),3,
AND(Tabela1[[#This Row],[STATUS PROCESSO MOBILIZAÇÃO]]="Em andamento",Tabela1[[#This Row],[DATA REAL - DOSSIÊ]]&lt;&gt;""),1)</f>
        <v>1</v>
      </c>
      <c r="O132" s="16" cm="1">
        <f t="array" aca="1" ref="O13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POSTAGEM]]="",$BH132&gt;$BF$1),2,
AND(Tabela1[[#This Row],[STATUS PROCESSO MOBILIZAÇÃO]]="Em andamento",Tabela1[[#This Row],[DATA REAL - POSTAGEM]]="",$BH132&lt;=$BF$1),3,
AND(Tabela1[[#This Row],[STATUS PROCESSO MOBILIZAÇÃO]]="Em andamento",Tabela1[[#This Row],[DATA REAL - POSTAGEM]]&lt;&gt;""),1)</f>
        <v>1</v>
      </c>
      <c r="P132" s="16" cm="1">
        <f t="array" aca="1" ref="P13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FINAL]]="",$BK132&gt;$BI$1),2,
AND(Tabela1[[#This Row],[STATUS PROCESSO MOBILIZAÇÃO]]="Em andamento",Tabela1[[#This Row],[DATA REAL - APROV FINAL]]="",$BK132&lt;=$BI$1),3,
AND(Tabela1[[#This Row],[STATUS PROCESSO MOBILIZAÇÃO]]="Em andamento",Tabela1[[#This Row],[DATA REAL - APROV FINAL]]&lt;&gt;""),1)</f>
        <v>1</v>
      </c>
      <c r="Q132" s="15" cm="1">
        <f t="array" aca="1" ref="Q13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CRACHÁ]]="",$BN132&gt;$BL$1),2,
AND(Tabela1[[#This Row],[STATUS PROCESSO MOBILIZAÇÃO]]="Em andamento",Tabela1[[#This Row],[DATA REAL - CRACHÁ]]="",$BN132&lt;=$BL$1),3,
AND(Tabela1[[#This Row],[STATUS PROCESSO MOBILIZAÇÃO]]="Em andamento",Tabela1[[#This Row],[DATA REAL - CRACHÁ]]&lt;&gt;""),1)</f>
        <v>1</v>
      </c>
      <c r="R132" s="21">
        <f>IF(Tabela1[[#This Row],[DATA REAL - FORMS]]&lt;&gt;"",Tabela1[[#This Row],[DATA REAL - FORMS]]+30,Tabela1[[#This Row],[DATA PREV - FORMS]]+35)</f>
        <v>45934</v>
      </c>
      <c r="S13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46037</v>
      </c>
      <c r="T13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133</v>
      </c>
      <c r="U13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33</v>
      </c>
      <c r="V132" s="49">
        <f>MAX(Tabela1[[#This Row],[DATA REAL - POSTAGEM]],Tabela1[[#This Row],[DATA REAL - APROV FINAL]],Tabela1[[#This Row],[DATA REAL - CRACHÁ]])-MIN(Tabela1[[#This Row],[DATA REAL - POSTAGEM]],Tabela1[[#This Row],[DATA REAL - APROV FINAL]],Tabela1[[#This Row],[DATA REAL - CRACHÁ]])+1</f>
        <v>98</v>
      </c>
      <c r="W13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32" s="15"/>
      <c r="Y132" s="16" t="s">
        <v>355</v>
      </c>
      <c r="Z132" s="18" t="s">
        <v>159</v>
      </c>
      <c r="AA132" s="18"/>
      <c r="AB132" s="16" t="s">
        <v>97</v>
      </c>
      <c r="AC132" s="16" t="s">
        <v>316</v>
      </c>
      <c r="AD132" s="16" t="s">
        <v>89</v>
      </c>
      <c r="AE132" s="16" t="s">
        <v>500</v>
      </c>
      <c r="AF132" s="16" t="s">
        <v>317</v>
      </c>
      <c r="AG132" s="16" t="str">
        <f>_xlfn.XLOOKUP(Tabela1[[#This Row],[CÓD. CT]],Controle_Projetos[COD CT],Controle_Projetos[COD PHD],"")</f>
        <v>ELEV-CT02-PLAN</v>
      </c>
      <c r="AH132" s="21">
        <v>45904</v>
      </c>
      <c r="AI132" s="75">
        <v>45904</v>
      </c>
      <c r="AJ132" s="16" cm="1">
        <f t="array" aca="1" ref="AJ13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32" s="21">
        <v>45904</v>
      </c>
      <c r="AL132" s="74">
        <v>45904</v>
      </c>
      <c r="AM132" s="16" cm="1">
        <f t="array" aca="1" ref="AM13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2" s="21">
        <f>Tabela1[[#This Row],[DATA PREV - FORMS]]+$AN$1</f>
        <v>45911</v>
      </c>
      <c r="AO132" s="74">
        <v>45904</v>
      </c>
      <c r="AP132" s="16" cm="1">
        <f t="array" aca="1" ref="AP13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2" s="21">
        <f>Tabela1[[#This Row],[DATA PREV - EXAMES]]+$AQ$1</f>
        <v>45913</v>
      </c>
      <c r="AR132" s="74">
        <v>45905</v>
      </c>
      <c r="AS132" s="15" cm="1">
        <f t="array" aca="1" ref="AS13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32" s="21">
        <f>Tabela1[[#This Row],[DATA PREV - FORMS]]+$AT$1</f>
        <v>45905</v>
      </c>
      <c r="AU132" s="74">
        <v>45904</v>
      </c>
      <c r="AV132" s="15" cm="1">
        <f t="array" aca="1" ref="AV13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2" s="21">
        <f>Tabela1[[#This Row],[DATA PREV - TREINAMENTOS]]+$AW$1</f>
        <v>45912</v>
      </c>
      <c r="AX132" s="74">
        <v>45930</v>
      </c>
      <c r="AY132" s="15" cm="1">
        <f t="array" aca="1" ref="AY13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19</v>
      </c>
      <c r="AZ132" s="24">
        <v>45911</v>
      </c>
      <c r="BA132" s="74">
        <v>45937</v>
      </c>
      <c r="BB132" s="15" cm="1">
        <f t="array" aca="1" ref="BB13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27</v>
      </c>
      <c r="BC132" s="21">
        <f>Tabela1[[#This Row],[DATA PREV - CONCL. TREIN.]]+$BC$1</f>
        <v>45914</v>
      </c>
      <c r="BD132" s="74">
        <v>45937</v>
      </c>
      <c r="BE132" s="15" cm="1">
        <f t="array" aca="1" ref="BE13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24</v>
      </c>
      <c r="BF132" s="21">
        <f>Tabela1[[#This Row],[DATA PREV - DOSSIÊ]]+$BF$1</f>
        <v>45917</v>
      </c>
      <c r="BG132" s="74">
        <v>45940</v>
      </c>
      <c r="BH132" s="15" cm="1">
        <f t="array" aca="1" ref="BH13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24</v>
      </c>
      <c r="BI132" s="21">
        <f>Tabela1[[#This Row],[DATA PREV - POSTAGEM]]+$BI$1</f>
        <v>45923</v>
      </c>
      <c r="BJ132" s="74">
        <v>46037</v>
      </c>
      <c r="BK132" s="15" cm="1">
        <f t="array" aca="1" ref="BK13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115</v>
      </c>
      <c r="BL132" s="21">
        <f>Tabela1[[#This Row],[DATA PREV - APROV FINAL]]+$BL$1</f>
        <v>45924</v>
      </c>
      <c r="BM132" s="74">
        <v>46037</v>
      </c>
      <c r="BN132" s="15" cm="1">
        <f t="array" aca="1" ref="BN13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114</v>
      </c>
      <c r="BO132" s="80" t="s">
        <v>503</v>
      </c>
    </row>
    <row r="133" spans="2:67" ht="18" hidden="1" customHeight="1" x14ac:dyDescent="0.35">
      <c r="B133" s="14" t="s">
        <v>79</v>
      </c>
      <c r="C133" s="16" t="s">
        <v>136</v>
      </c>
      <c r="D133" s="16" t="s">
        <v>108</v>
      </c>
      <c r="E133" s="16"/>
      <c r="F133" s="16" t="s">
        <v>504</v>
      </c>
      <c r="G133" s="16" cm="1">
        <f t="array" ref="G133">_xlfn.IFS(Tabela1[[#This Row],[STATUS PROCESSO MOBILIZAÇÃO]]="Finalizado",1,Tabela1[[#This Row],[STATUS PROCESSO MOBILIZAÇÃO]]="Cancelado",2,Tabela1[[#This Row],[STATUS PROCESSO MOBILIZAÇÃO]]="Em andamento",3)</f>
        <v>1</v>
      </c>
      <c r="H133" s="16" cm="1">
        <f t="array" aca="1" ref="H13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FORMS]]="",$AM133&gt;$AK$1),2,
AND(Tabela1[[#This Row],[STATUS PROCESSO MOBILIZAÇÃO]]="Em andamento",Tabela1[[#This Row],[DATA REAL - FORMS]]="",$AM133&lt;=$AK$1),3,
AND(Tabela1[[#This Row],[STATUS PROCESSO MOBILIZAÇÃO]]="Em andamento",Tabela1[[#This Row],[DATA REAL - FORMS]]&lt;&gt;""),1)</f>
        <v>1</v>
      </c>
      <c r="I133" s="16" cm="1">
        <f t="array" aca="1" ref="I13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EXAMES]]="",$AP133&gt;$AN$1),2,
AND(Tabela1[[#This Row],[STATUS PROCESSO MOBILIZAÇÃO]]="Em andamento",Tabela1[[#This Row],[DATA REAL - EXAMES]]="",$AP133&lt;=$AN$1),3,
AND(Tabela1[[#This Row],[STATUS PROCESSO MOBILIZAÇÃO]]="Em andamento",Tabela1[[#This Row],[DATA REAL - EXAMES]]&lt;&gt;""),1)</f>
        <v>1</v>
      </c>
      <c r="J133" s="16" cm="1">
        <f t="array" aca="1" ref="J13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ASO]]="",$AS133&gt;$AQ$1),2,
AND(Tabela1[[#This Row],[STATUS PROCESSO MOBILIZAÇÃO]]="Em andamento",Tabela1[[#This Row],[DATA REAL - ASO]]="",$AS133&lt;=$AQ$1),3,
AND(Tabela1[[#This Row],[STATUS PROCESSO MOBILIZAÇÃO]]="Em andamento",Tabela1[[#This Row],[DATA REAL - ASO]]&lt;&gt;""),1)</f>
        <v>1</v>
      </c>
      <c r="K133" s="15" cm="1">
        <f t="array" aca="1" ref="K13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TREINAMENTOS]]="",$AV133&gt;$AT$1),2,
AND(Tabela1[[#This Row],[STATUS PROCESSO MOBILIZAÇÃO]]="Em andamento",Tabela1[[#This Row],[DATA REAL - TREINAMENTOS]]="",$AV133&lt;=$AT$1),3,
AND(Tabela1[[#This Row],[STATUS PROCESSO MOBILIZAÇÃO]]="Em andamento",Tabela1[[#This Row],[DATA REAL - TREINAMENTOS]]&lt;&gt;""),1)</f>
        <v>1</v>
      </c>
      <c r="L133" s="15" cm="1">
        <f t="array" aca="1" ref="L13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TREIN.]]="",$AY133&gt;$AW$1),2,
AND(Tabela1[[#This Row],[STATUS PROCESSO MOBILIZAÇÃO]]="Em andamento",Tabela1[[#This Row],[DATA REAL - CONCL. TREIN.]]="",$AY133&lt;=$AW$1),3,
AND(Tabela1[[#This Row],[STATUS PROCESSO MOBILIZAÇÃO]]="Em andamento",Tabela1[[#This Row],[DATA REAL - CONCL. TREIN.]]&lt;&gt;""),1)</f>
        <v>1</v>
      </c>
      <c r="M133" s="15" cm="1">
        <f t="array" aca="1" ref="M13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CONTRATUAL]]="",$BB133&gt;$AZ$1),2,
AND(Tabela1[[#This Row],[STATUS PROCESSO MOBILIZAÇÃO]]="Em andamento",Tabela1[[#This Row],[DATA FIM - ALTER. CONTRATUAL]]="",$BB133&lt;=$AZ$1),3,
AND(Tabela1[[#This Row],[STATUS PROCESSO MOBILIZAÇÃO]]="Em andamento",Tabela1[[#This Row],[DATA FIM - ALTER. CONTRATUAL]]&lt;&gt;""),1)</f>
        <v>1</v>
      </c>
      <c r="N133" s="16" cm="1">
        <f t="array" aca="1" ref="N13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DOSSIÊ]]="",$BE133&gt;$BC$1),2,
AND(Tabela1[[#This Row],[STATUS PROCESSO MOBILIZAÇÃO]]="Em andamento",Tabela1[[#This Row],[DATA REAL - DOSSIÊ]]="",$BE133&lt;=$BC$1),3,
AND(Tabela1[[#This Row],[STATUS PROCESSO MOBILIZAÇÃO]]="Em andamento",Tabela1[[#This Row],[DATA REAL - DOSSIÊ]]&lt;&gt;""),1)</f>
        <v>1</v>
      </c>
      <c r="O133" s="16" cm="1">
        <f t="array" aca="1" ref="O13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POSTAGEM]]="",$BH133&gt;$BF$1),2,
AND(Tabela1[[#This Row],[STATUS PROCESSO MOBILIZAÇÃO]]="Em andamento",Tabela1[[#This Row],[DATA REAL - POSTAGEM]]="",$BH133&lt;=$BF$1),3,
AND(Tabela1[[#This Row],[STATUS PROCESSO MOBILIZAÇÃO]]="Em andamento",Tabela1[[#This Row],[DATA REAL - POSTAGEM]]&lt;&gt;""),1)</f>
        <v>1</v>
      </c>
      <c r="P133" s="16" cm="1">
        <f t="array" aca="1" ref="P13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FINAL]]="",$BK133&gt;$BI$1),2,
AND(Tabela1[[#This Row],[STATUS PROCESSO MOBILIZAÇÃO]]="Em andamento",Tabela1[[#This Row],[DATA REAL - APROV FINAL]]="",$BK133&lt;=$BI$1),3,
AND(Tabela1[[#This Row],[STATUS PROCESSO MOBILIZAÇÃO]]="Em andamento",Tabela1[[#This Row],[DATA REAL - APROV FINAL]]&lt;&gt;""),1)</f>
        <v>1</v>
      </c>
      <c r="Q133" s="15" cm="1">
        <f t="array" aca="1" ref="Q13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CRACHÁ]]="",$BN133&gt;$BL$1),2,
AND(Tabela1[[#This Row],[STATUS PROCESSO MOBILIZAÇÃO]]="Em andamento",Tabela1[[#This Row],[DATA REAL - CRACHÁ]]="",$BN133&lt;=$BL$1),3,
AND(Tabela1[[#This Row],[STATUS PROCESSO MOBILIZAÇÃO]]="Em andamento",Tabela1[[#This Row],[DATA REAL - CRACHÁ]]&lt;&gt;""),1)</f>
        <v>1</v>
      </c>
      <c r="R133" s="21">
        <f>IF(Tabela1[[#This Row],[DATA REAL - FORMS]]&lt;&gt;"",Tabela1[[#This Row],[DATA REAL - FORMS]]+30,Tabela1[[#This Row],[DATA PREV - FORMS]]+35)</f>
        <v>45940</v>
      </c>
      <c r="S13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45922</v>
      </c>
      <c r="T13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13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33" s="49">
        <f>MAX(Tabela1[[#This Row],[DATA REAL - POSTAGEM]],Tabela1[[#This Row],[DATA REAL - APROV FINAL]],Tabela1[[#This Row],[DATA REAL - CRACHÁ]])-MIN(Tabela1[[#This Row],[DATA REAL - POSTAGEM]],Tabela1[[#This Row],[DATA REAL - APROV FINAL]],Tabela1[[#This Row],[DATA REAL - CRACHÁ]])+1</f>
        <v>5</v>
      </c>
      <c r="W13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33" s="15" t="s">
        <v>110</v>
      </c>
      <c r="Y133" s="16" t="s">
        <v>84</v>
      </c>
      <c r="Z133" s="18"/>
      <c r="AA133" s="18" t="s">
        <v>86</v>
      </c>
      <c r="AB133" s="16" t="s">
        <v>97</v>
      </c>
      <c r="AC133" s="16" t="s">
        <v>98</v>
      </c>
      <c r="AD133" s="16" t="s">
        <v>89</v>
      </c>
      <c r="AE133" s="16" t="s">
        <v>99</v>
      </c>
      <c r="AF133" s="16" t="s">
        <v>100</v>
      </c>
      <c r="AG133" s="16" t="str">
        <f>_xlfn.XLOOKUP(Tabela1[[#This Row],[CÓD. CT]],Controle_Projetos[COD CT],Controle_Projetos[COD PHD],"")</f>
        <v>SALU-CT08-TAMA</v>
      </c>
      <c r="AH133" s="21">
        <v>45910</v>
      </c>
      <c r="AI133" s="75">
        <v>45910</v>
      </c>
      <c r="AJ133" s="16" cm="1">
        <f t="array" aca="1" ref="AJ13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33" s="21">
        <v>45910</v>
      </c>
      <c r="AL133" s="74">
        <v>45910</v>
      </c>
      <c r="AM133" s="16" cm="1">
        <f t="array" aca="1" ref="AM13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3" s="21">
        <f>Tabela1[[#This Row],[DATA PREV - FORMS]]+$AN$1</f>
        <v>45917</v>
      </c>
      <c r="AO133" s="74">
        <v>45910</v>
      </c>
      <c r="AP133" s="16" cm="1">
        <f t="array" aca="1" ref="AP13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3" s="21">
        <f>Tabela1[[#This Row],[DATA PREV - EXAMES]]+$AQ$1</f>
        <v>45919</v>
      </c>
      <c r="AR133" s="74">
        <v>45917</v>
      </c>
      <c r="AS133" s="15" cm="1">
        <f t="array" aca="1" ref="AS13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33" s="21">
        <f>Tabela1[[#This Row],[DATA PREV - FORMS]]+$AT$1</f>
        <v>45911</v>
      </c>
      <c r="AU133" s="74">
        <v>45911</v>
      </c>
      <c r="AV133" s="15" cm="1">
        <f t="array" aca="1" ref="AV13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33" s="21">
        <f>Tabela1[[#This Row],[DATA PREV - TREINAMENTOS]]+$AW$1</f>
        <v>45918</v>
      </c>
      <c r="AX133" s="74">
        <v>45917</v>
      </c>
      <c r="AY133" s="15" cm="1">
        <f t="array" aca="1" ref="AY13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133" s="24">
        <v>45911</v>
      </c>
      <c r="BA133" s="74">
        <v>45910</v>
      </c>
      <c r="BB133" s="15" cm="1">
        <f t="array" aca="1" ref="BB13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33" s="21">
        <f>Tabela1[[#This Row],[DATA PREV - CONCL. TREIN.]]+$BC$1</f>
        <v>45920</v>
      </c>
      <c r="BD133" s="74">
        <v>45918</v>
      </c>
      <c r="BE133" s="15" cm="1">
        <f t="array" aca="1" ref="BE13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33" s="21">
        <f>Tabela1[[#This Row],[DATA PREV - DOSSIÊ]]+$BF$1</f>
        <v>45923</v>
      </c>
      <c r="BG133" s="74">
        <v>45918</v>
      </c>
      <c r="BH133" s="15" cm="1">
        <f t="array" aca="1" ref="BH13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133" s="21">
        <f>Tabela1[[#This Row],[DATA PREV - POSTAGEM]]+$BI$1</f>
        <v>45929</v>
      </c>
      <c r="BJ133" s="74">
        <v>45919</v>
      </c>
      <c r="BK133" s="15" cm="1">
        <f t="array" aca="1" ref="BK13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133" s="21">
        <f>Tabela1[[#This Row],[DATA PREV - APROV FINAL]]+$BL$1</f>
        <v>45930</v>
      </c>
      <c r="BM133" s="74">
        <v>45922</v>
      </c>
      <c r="BN133" s="15" cm="1">
        <f t="array" aca="1" ref="BN13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133" s="80" t="s">
        <v>505</v>
      </c>
    </row>
    <row r="134" spans="2:67" ht="18" hidden="1" customHeight="1" x14ac:dyDescent="0.35">
      <c r="B134" s="14" t="s">
        <v>79</v>
      </c>
      <c r="C134" s="16" t="s">
        <v>136</v>
      </c>
      <c r="D134" s="16" t="s">
        <v>81</v>
      </c>
      <c r="E134" s="16"/>
      <c r="F134" s="16" t="s">
        <v>410</v>
      </c>
      <c r="G134" s="16" cm="1">
        <f t="array" ref="G134">_xlfn.IFS(Tabela1[[#This Row],[STATUS PROCESSO MOBILIZAÇÃO]]="Finalizado",1,Tabela1[[#This Row],[STATUS PROCESSO MOBILIZAÇÃO]]="Cancelado",2,Tabela1[[#This Row],[STATUS PROCESSO MOBILIZAÇÃO]]="Em andamento",3)</f>
        <v>1</v>
      </c>
      <c r="H134" s="16" cm="1">
        <f t="array" aca="1" ref="H13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FORMS]]="",$AM134&gt;$AK$1),2,
AND(Tabela1[[#This Row],[STATUS PROCESSO MOBILIZAÇÃO]]="Em andamento",Tabela1[[#This Row],[DATA REAL - FORMS]]="",$AM134&lt;=$AK$1),3,
AND(Tabela1[[#This Row],[STATUS PROCESSO MOBILIZAÇÃO]]="Em andamento",Tabela1[[#This Row],[DATA REAL - FORMS]]&lt;&gt;""),1)</f>
        <v>1</v>
      </c>
      <c r="I134" s="16" cm="1">
        <f t="array" aca="1" ref="I13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EXAMES]]="",$AP134&gt;$AN$1),2,
AND(Tabela1[[#This Row],[STATUS PROCESSO MOBILIZAÇÃO]]="Em andamento",Tabela1[[#This Row],[DATA REAL - EXAMES]]="",$AP134&lt;=$AN$1),3,
AND(Tabela1[[#This Row],[STATUS PROCESSO MOBILIZAÇÃO]]="Em andamento",Tabela1[[#This Row],[DATA REAL - EXAMES]]&lt;&gt;""),1)</f>
        <v>1</v>
      </c>
      <c r="J134" s="16" cm="1">
        <f t="array" aca="1" ref="J13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ASO]]="",$AS134&gt;$AQ$1),2,
AND(Tabela1[[#This Row],[STATUS PROCESSO MOBILIZAÇÃO]]="Em andamento",Tabela1[[#This Row],[DATA REAL - ASO]]="",$AS134&lt;=$AQ$1),3,
AND(Tabela1[[#This Row],[STATUS PROCESSO MOBILIZAÇÃO]]="Em andamento",Tabela1[[#This Row],[DATA REAL - ASO]]&lt;&gt;""),1)</f>
        <v>1</v>
      </c>
      <c r="K134" s="15" cm="1">
        <f t="array" aca="1" ref="K13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TREINAMENTOS]]="",$AV134&gt;$AT$1),2,
AND(Tabela1[[#This Row],[STATUS PROCESSO MOBILIZAÇÃO]]="Em andamento",Tabela1[[#This Row],[DATA REAL - TREINAMENTOS]]="",$AV134&lt;=$AT$1),3,
AND(Tabela1[[#This Row],[STATUS PROCESSO MOBILIZAÇÃO]]="Em andamento",Tabela1[[#This Row],[DATA REAL - TREINAMENTOS]]&lt;&gt;""),1)</f>
        <v>1</v>
      </c>
      <c r="L134" s="15" cm="1">
        <f t="array" aca="1" ref="L13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TREIN.]]="",$AY134&gt;$AW$1),2,
AND(Tabela1[[#This Row],[STATUS PROCESSO MOBILIZAÇÃO]]="Em andamento",Tabela1[[#This Row],[DATA REAL - CONCL. TREIN.]]="",$AY134&lt;=$AW$1),3,
AND(Tabela1[[#This Row],[STATUS PROCESSO MOBILIZAÇÃO]]="Em andamento",Tabela1[[#This Row],[DATA REAL - CONCL. TREIN.]]&lt;&gt;""),1)</f>
        <v>1</v>
      </c>
      <c r="M134" s="15" cm="1">
        <f t="array" aca="1" ref="M13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CONTRATUAL]]="",$BB134&gt;$AZ$1),2,
AND(Tabela1[[#This Row],[STATUS PROCESSO MOBILIZAÇÃO]]="Em andamento",Tabela1[[#This Row],[DATA FIM - ALTER. CONTRATUAL]]="",$BB134&lt;=$AZ$1),3,
AND(Tabela1[[#This Row],[STATUS PROCESSO MOBILIZAÇÃO]]="Em andamento",Tabela1[[#This Row],[DATA FIM - ALTER. CONTRATUAL]]&lt;&gt;""),1)</f>
        <v>1</v>
      </c>
      <c r="N134" s="16" cm="1">
        <f t="array" aca="1" ref="N13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DOSSIÊ]]="",$BE134&gt;$BC$1),2,
AND(Tabela1[[#This Row],[STATUS PROCESSO MOBILIZAÇÃO]]="Em andamento",Tabela1[[#This Row],[DATA REAL - DOSSIÊ]]="",$BE134&lt;=$BC$1),3,
AND(Tabela1[[#This Row],[STATUS PROCESSO MOBILIZAÇÃO]]="Em andamento",Tabela1[[#This Row],[DATA REAL - DOSSIÊ]]&lt;&gt;""),1)</f>
        <v>1</v>
      </c>
      <c r="O134" s="16" cm="1">
        <f t="array" aca="1" ref="O13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POSTAGEM]]="",$BH134&gt;$BF$1),2,
AND(Tabela1[[#This Row],[STATUS PROCESSO MOBILIZAÇÃO]]="Em andamento",Tabela1[[#This Row],[DATA REAL - POSTAGEM]]="",$BH134&lt;=$BF$1),3,
AND(Tabela1[[#This Row],[STATUS PROCESSO MOBILIZAÇÃO]]="Em andamento",Tabela1[[#This Row],[DATA REAL - POSTAGEM]]&lt;&gt;""),1)</f>
        <v>1</v>
      </c>
      <c r="P134" s="16" cm="1">
        <f t="array" aca="1" ref="P13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FINAL]]="",$BK134&gt;$BI$1),2,
AND(Tabela1[[#This Row],[STATUS PROCESSO MOBILIZAÇÃO]]="Em andamento",Tabela1[[#This Row],[DATA REAL - APROV FINAL]]="",$BK134&lt;=$BI$1),3,
AND(Tabela1[[#This Row],[STATUS PROCESSO MOBILIZAÇÃO]]="Em andamento",Tabela1[[#This Row],[DATA REAL - APROV FINAL]]&lt;&gt;""),1)</f>
        <v>1</v>
      </c>
      <c r="Q134" s="15" cm="1">
        <f t="array" aca="1" ref="Q13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CRACHÁ]]="",$BN134&gt;$BL$1),2,
AND(Tabela1[[#This Row],[STATUS PROCESSO MOBILIZAÇÃO]]="Em andamento",Tabela1[[#This Row],[DATA REAL - CRACHÁ]]="",$BN134&lt;=$BL$1),3,
AND(Tabela1[[#This Row],[STATUS PROCESSO MOBILIZAÇÃO]]="Em andamento",Tabela1[[#This Row],[DATA REAL - CRACHÁ]]&lt;&gt;""),1)</f>
        <v>1</v>
      </c>
      <c r="R134" s="21">
        <f>IF(Tabela1[[#This Row],[DATA REAL - FORMS]]&lt;&gt;"",Tabela1[[#This Row],[DATA REAL - FORMS]]+30,Tabela1[[#This Row],[DATA PREV - FORMS]]+35)</f>
        <v>45941</v>
      </c>
      <c r="S13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45946</v>
      </c>
      <c r="T13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U13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35</v>
      </c>
      <c r="V134" s="49">
        <f>MAX(Tabela1[[#This Row],[DATA REAL - POSTAGEM]],Tabela1[[#This Row],[DATA REAL - APROV FINAL]],Tabela1[[#This Row],[DATA REAL - CRACHÁ]])-MIN(Tabela1[[#This Row],[DATA REAL - POSTAGEM]],Tabela1[[#This Row],[DATA REAL - APROV FINAL]],Tabela1[[#This Row],[DATA REAL - CRACHÁ]])+1</f>
        <v>1</v>
      </c>
      <c r="W13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X134" s="15"/>
      <c r="Y134" s="16"/>
      <c r="Z134" s="18"/>
      <c r="AA134" s="18" t="s">
        <v>124</v>
      </c>
      <c r="AB134" s="16" t="s">
        <v>97</v>
      </c>
      <c r="AC134" s="16" t="s">
        <v>506</v>
      </c>
      <c r="AD134" s="16" t="s">
        <v>506</v>
      </c>
      <c r="AE134" s="16"/>
      <c r="AF134" s="16" t="s">
        <v>507</v>
      </c>
      <c r="AG134" s="16" t="str">
        <f>_xlfn.XLOOKUP(Tabela1[[#This Row],[CÓD. CT]],Controle_Projetos[COD CT],Controle_Projetos[COD PHD],"")</f>
        <v>ENGT-CT01-LPSA</v>
      </c>
      <c r="AH134" s="21"/>
      <c r="AI134" s="75">
        <v>45946</v>
      </c>
      <c r="AJ134" s="16" t="str" cm="1">
        <f t="array" aca="1" ref="AJ13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4" s="21">
        <v>45911</v>
      </c>
      <c r="AL134" s="74">
        <v>45911</v>
      </c>
      <c r="AM134" s="16" cm="1">
        <f t="array" aca="1" ref="AM13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4" s="21">
        <f>Tabela1[[#This Row],[DATA PREV - FORMS]]+$AN$1</f>
        <v>45918</v>
      </c>
      <c r="AO134" s="74">
        <v>45911</v>
      </c>
      <c r="AP134" s="16" cm="1">
        <f t="array" aca="1" ref="AP13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4" s="21">
        <f>Tabela1[[#This Row],[DATA PREV - EXAMES]]+$AQ$1</f>
        <v>45920</v>
      </c>
      <c r="AR134" s="74">
        <v>45917</v>
      </c>
      <c r="AS134" s="15" cm="1">
        <f t="array" aca="1" ref="AS13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34" s="21">
        <f>Tabela1[[#This Row],[DATA PREV - FORMS]]+$AT$1</f>
        <v>45912</v>
      </c>
      <c r="AU134" s="74">
        <v>45911</v>
      </c>
      <c r="AV134" s="15" cm="1">
        <f t="array" aca="1" ref="AV13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4" s="21">
        <f>Tabela1[[#This Row],[DATA PREV - TREINAMENTOS]]+$AW$1</f>
        <v>45919</v>
      </c>
      <c r="AX134" s="74">
        <v>45911</v>
      </c>
      <c r="AY134" s="15" cm="1">
        <f t="array" aca="1" ref="AY13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4" s="24">
        <v>45915</v>
      </c>
      <c r="BA134" s="74">
        <v>45911</v>
      </c>
      <c r="BB134" s="15" cm="1">
        <f t="array" aca="1" ref="BB13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v>
      </c>
      <c r="BC134" s="21">
        <f>Tabela1[[#This Row],[DATA PREV - CONCL. TREIN.]]+$BC$1</f>
        <v>45921</v>
      </c>
      <c r="BD134" s="74">
        <v>45917</v>
      </c>
      <c r="BE134" s="15" cm="1">
        <f t="array" aca="1" ref="BE13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34" s="21">
        <f>Tabela1[[#This Row],[DATA PREV - DOSSIÊ]]+$BF$1</f>
        <v>45924</v>
      </c>
      <c r="BG134" s="74">
        <v>45917</v>
      </c>
      <c r="BH134" s="15" cm="1">
        <f t="array" aca="1" ref="BH13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134" s="21">
        <f>Tabela1[[#This Row],[DATA PREV - POSTAGEM]]+$BI$1</f>
        <v>45930</v>
      </c>
      <c r="BJ134" s="74">
        <v>45917</v>
      </c>
      <c r="BK134" s="15" cm="1">
        <f t="array" aca="1" ref="BK13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-12</v>
      </c>
      <c r="BL134" s="21">
        <f>Tabela1[[#This Row],[DATA PREV - APROV FINAL]]+$BL$1</f>
        <v>45931</v>
      </c>
      <c r="BM134" s="74">
        <v>45917</v>
      </c>
      <c r="BN134" s="15" cm="1">
        <f t="array" aca="1" ref="BN13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134" s="80" t="s">
        <v>508</v>
      </c>
    </row>
    <row r="135" spans="2:67" ht="18" hidden="1" customHeight="1" x14ac:dyDescent="0.35">
      <c r="B135" s="14" t="s">
        <v>119</v>
      </c>
      <c r="C135" s="16" t="s">
        <v>136</v>
      </c>
      <c r="D135" s="77" t="s">
        <v>119</v>
      </c>
      <c r="E135" s="77"/>
      <c r="F135" s="15" t="s">
        <v>148</v>
      </c>
      <c r="G135" s="16" cm="1">
        <f t="array" ref="G135">_xlfn.IFS(Tabela1[[#This Row],[STATUS PROCESSO MOBILIZAÇÃO]]="Finalizado",1,Tabela1[[#This Row],[STATUS PROCESSO MOBILIZAÇÃO]]="Cancelado",2,Tabela1[[#This Row],[STATUS PROCESSO MOBILIZAÇÃO]]="Em andamento",3)</f>
        <v>2</v>
      </c>
      <c r="H135" s="16" cm="1">
        <f t="array" aca="1" ref="H13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FORMS]]="",$AM135&gt;$AK$1),2,
AND(Tabela1[[#This Row],[STATUS PROCESSO MOBILIZAÇÃO]]="Em andamento",Tabela1[[#This Row],[DATA REAL - FORMS]]="",$AM135&lt;=$AK$1),3,
AND(Tabela1[[#This Row],[STATUS PROCESSO MOBILIZAÇÃO]]="Em andamento",Tabela1[[#This Row],[DATA REAL - FORMS]]&lt;&gt;""),1)</f>
        <v>1</v>
      </c>
      <c r="I135" s="16" cm="1">
        <f t="array" aca="1" ref="I13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EXAMES]]="",$AP135&gt;$AN$1),2,
AND(Tabela1[[#This Row],[STATUS PROCESSO MOBILIZAÇÃO]]="Em andamento",Tabela1[[#This Row],[DATA REAL - EXAMES]]="",$AP135&lt;=$AN$1),3,
AND(Tabela1[[#This Row],[STATUS PROCESSO MOBILIZAÇÃO]]="Em andamento",Tabela1[[#This Row],[DATA REAL - EXAMES]]&lt;&gt;""),1)</f>
        <v>1</v>
      </c>
      <c r="J135" s="16" cm="1">
        <f t="array" aca="1" ref="J13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ASO]]="",$AS135&gt;$AQ$1),2,
AND(Tabela1[[#This Row],[STATUS PROCESSO MOBILIZAÇÃO]]="Em andamento",Tabela1[[#This Row],[DATA REAL - ASO]]="",$AS135&lt;=$AQ$1),3,
AND(Tabela1[[#This Row],[STATUS PROCESSO MOBILIZAÇÃO]]="Em andamento",Tabela1[[#This Row],[DATA REAL - ASO]]&lt;&gt;""),1)</f>
        <v>1</v>
      </c>
      <c r="K135" s="15" cm="1">
        <f t="array" aca="1" ref="K13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TREINAMENTOS]]="",$AV135&gt;$AT$1),2,
AND(Tabela1[[#This Row],[STATUS PROCESSO MOBILIZAÇÃO]]="Em andamento",Tabela1[[#This Row],[DATA REAL - TREINAMENTOS]]="",$AV135&lt;=$AT$1),3,
AND(Tabela1[[#This Row],[STATUS PROCESSO MOBILIZAÇÃO]]="Em andamento",Tabela1[[#This Row],[DATA REAL - TREINAMENTOS]]&lt;&gt;""),1)</f>
        <v>1</v>
      </c>
      <c r="L135" s="15" cm="1">
        <f t="array" aca="1" ref="L13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TREIN.]]="",$AY135&gt;$AW$1),2,
AND(Tabela1[[#This Row],[STATUS PROCESSO MOBILIZAÇÃO]]="Em andamento",Tabela1[[#This Row],[DATA REAL - CONCL. TREIN.]]="",$AY135&lt;=$AW$1),3,
AND(Tabela1[[#This Row],[STATUS PROCESSO MOBILIZAÇÃO]]="Em andamento",Tabela1[[#This Row],[DATA REAL - CONCL. TREIN.]]&lt;&gt;""),1)</f>
        <v>1</v>
      </c>
      <c r="M135" s="15" cm="1">
        <f t="array" aca="1" ref="M13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CONTRATUAL]]="",$BB135&gt;$AZ$1),2,
AND(Tabela1[[#This Row],[STATUS PROCESSO MOBILIZAÇÃO]]="Em andamento",Tabela1[[#This Row],[DATA FIM - ALTER. CONTRATUAL]]="",$BB135&lt;=$AZ$1),3,
AND(Tabela1[[#This Row],[STATUS PROCESSO MOBILIZAÇÃO]]="Em andamento",Tabela1[[#This Row],[DATA FIM - ALTER. CONTRATUAL]]&lt;&gt;""),1)</f>
        <v>1</v>
      </c>
      <c r="N135" s="16" cm="1">
        <f t="array" aca="1" ref="N13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DOSSIÊ]]="",$BE135&gt;$BC$1),2,
AND(Tabela1[[#This Row],[STATUS PROCESSO MOBILIZAÇÃO]]="Em andamento",Tabela1[[#This Row],[DATA REAL - DOSSIÊ]]="",$BE135&lt;=$BC$1),3,
AND(Tabela1[[#This Row],[STATUS PROCESSO MOBILIZAÇÃO]]="Em andamento",Tabela1[[#This Row],[DATA REAL - DOSSIÊ]]&lt;&gt;""),1)</f>
        <v>1</v>
      </c>
      <c r="O135" s="16" cm="1">
        <f t="array" aca="1" ref="O13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POSTAGEM]]="",$BH135&gt;$BF$1),2,
AND(Tabela1[[#This Row],[STATUS PROCESSO MOBILIZAÇÃO]]="Em andamento",Tabela1[[#This Row],[DATA REAL - POSTAGEM]]="",$BH135&lt;=$BF$1),3,
AND(Tabela1[[#This Row],[STATUS PROCESSO MOBILIZAÇÃO]]="Em andamento",Tabela1[[#This Row],[DATA REAL - POSTAGEM]]&lt;&gt;""),1)</f>
        <v>1</v>
      </c>
      <c r="P135" s="16" cm="1">
        <f t="array" aca="1" ref="P13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FINAL]]="",$BK135&gt;$BI$1),2,
AND(Tabela1[[#This Row],[STATUS PROCESSO MOBILIZAÇÃO]]="Em andamento",Tabela1[[#This Row],[DATA REAL - APROV FINAL]]="",$BK135&lt;=$BI$1),3,
AND(Tabela1[[#This Row],[STATUS PROCESSO MOBILIZAÇÃO]]="Em andamento",Tabela1[[#This Row],[DATA REAL - APROV FINAL]]&lt;&gt;""),1)</f>
        <v>1</v>
      </c>
      <c r="Q135" s="15" cm="1">
        <f t="array" aca="1" ref="Q13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CRACHÁ]]="",$BN135&gt;$BL$1),2,
AND(Tabela1[[#This Row],[STATUS PROCESSO MOBILIZAÇÃO]]="Em andamento",Tabela1[[#This Row],[DATA REAL - CRACHÁ]]="",$BN135&lt;=$BL$1),3,
AND(Tabela1[[#This Row],[STATUS PROCESSO MOBILIZAÇÃO]]="Em andamento",Tabela1[[#This Row],[DATA REAL - CRACHÁ]]&lt;&gt;""),1)</f>
        <v>1</v>
      </c>
      <c r="R135" s="21">
        <f>IF(Tabela1[[#This Row],[DATA REAL - FORMS]]&lt;&gt;"",Tabela1[[#This Row],[DATA REAL - FORMS]]+30,Tabela1[[#This Row],[DATA PREV - FORMS]]+35)</f>
        <v>45941</v>
      </c>
      <c r="S13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45936</v>
      </c>
      <c r="T13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210</v>
      </c>
      <c r="U13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200</v>
      </c>
      <c r="V135" s="49">
        <f>MAX(Tabela1[[#This Row],[DATA REAL - POSTAGEM]],Tabela1[[#This Row],[DATA REAL - APROV FINAL]],Tabela1[[#This Row],[DATA REAL - CRACHÁ]])-MIN(Tabela1[[#This Row],[DATA REAL - POSTAGEM]],Tabela1[[#This Row],[DATA REAL - APROV FINAL]],Tabela1[[#This Row],[DATA REAL - CRACHÁ]])+1</f>
        <v>1</v>
      </c>
      <c r="W13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5" s="15"/>
      <c r="Y135" s="16"/>
      <c r="Z135" s="18"/>
      <c r="AA135" s="18" t="s">
        <v>124</v>
      </c>
      <c r="AB135" s="16" t="s">
        <v>97</v>
      </c>
      <c r="AC135" s="16" t="s">
        <v>332</v>
      </c>
      <c r="AD135" s="16" t="s">
        <v>332</v>
      </c>
      <c r="AE135" s="16"/>
      <c r="AF135" s="16" t="s">
        <v>333</v>
      </c>
      <c r="AG135" s="16" t="str">
        <f>_xlfn.XLOOKUP(Tabela1[[#This Row],[CÓD. CT]],Controle_Projetos[COD CT],Controle_Projetos[COD PHD],"")</f>
        <v>SEEL-CT01-LPSA</v>
      </c>
      <c r="AH135" s="21"/>
      <c r="AI135" s="75">
        <v>45726</v>
      </c>
      <c r="AJ135" s="16" t="str" cm="1">
        <f t="array" aca="1" ref="AJ13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5" s="21">
        <v>45911</v>
      </c>
      <c r="AL135" s="74">
        <v>45911</v>
      </c>
      <c r="AM135" s="16" cm="1">
        <f t="array" aca="1" ref="AM13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5" s="21">
        <f>Tabela1[[#This Row],[DATA PREV - FORMS]]+$AN$1</f>
        <v>45918</v>
      </c>
      <c r="AO135" s="74">
        <v>45911</v>
      </c>
      <c r="AP135" s="16" cm="1">
        <f t="array" aca="1" ref="AP13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5" s="21">
        <f>Tabela1[[#This Row],[DATA PREV - EXAMES]]+$AQ$1</f>
        <v>45920</v>
      </c>
      <c r="AR135" s="74">
        <v>45926</v>
      </c>
      <c r="AS135" s="15" cm="1">
        <f t="array" aca="1" ref="AS13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35" s="21">
        <f>Tabela1[[#This Row],[DATA PREV - FORMS]]+$AT$1</f>
        <v>45912</v>
      </c>
      <c r="AU135" s="74">
        <v>45911</v>
      </c>
      <c r="AV135" s="15" cm="1">
        <f t="array" aca="1" ref="AV13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5" s="21">
        <f>Tabela1[[#This Row],[DATA PREV - TREINAMENTOS]]+$AW$1</f>
        <v>45919</v>
      </c>
      <c r="AX135" s="74">
        <v>45911</v>
      </c>
      <c r="AY135" s="15" cm="1">
        <f t="array" aca="1" ref="AY13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5" s="24">
        <v>45915</v>
      </c>
      <c r="BA135" s="74">
        <v>45911</v>
      </c>
      <c r="BB135" s="15" cm="1">
        <f t="array" aca="1" ref="BB13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v>
      </c>
      <c r="BC135" s="21">
        <f>Tabela1[[#This Row],[DATA PREV - CONCL. TREIN.]]+$BC$1</f>
        <v>45921</v>
      </c>
      <c r="BD135" s="74">
        <v>45926</v>
      </c>
      <c r="BE135" s="15" cm="1">
        <f t="array" aca="1" ref="BE13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35" s="21">
        <f>Tabela1[[#This Row],[DATA PREV - DOSSIÊ]]+$BF$1</f>
        <v>45924</v>
      </c>
      <c r="BG135" s="74">
        <v>45936</v>
      </c>
      <c r="BH135" s="15" cm="1">
        <f t="array" aca="1" ref="BH13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13</v>
      </c>
      <c r="BI135" s="21">
        <f>Tabela1[[#This Row],[DATA PREV - POSTAGEM]]+$BI$1</f>
        <v>45930</v>
      </c>
      <c r="BJ135" s="74">
        <v>45936</v>
      </c>
      <c r="BK135" s="15" cm="1">
        <f t="array" aca="1" ref="BK13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135" s="21">
        <f>Tabela1[[#This Row],[DATA PREV - APROV FINAL]]+$BL$1</f>
        <v>45931</v>
      </c>
      <c r="BM135" s="74">
        <v>45936</v>
      </c>
      <c r="BN135" s="15" cm="1">
        <f t="array" aca="1" ref="BN13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35" s="80" t="s">
        <v>509</v>
      </c>
    </row>
    <row r="136" spans="2:67" ht="18" hidden="1" customHeight="1" x14ac:dyDescent="0.35">
      <c r="B136" s="14" t="s">
        <v>79</v>
      </c>
      <c r="C136" s="16" t="s">
        <v>136</v>
      </c>
      <c r="D136" s="16" t="s">
        <v>81</v>
      </c>
      <c r="E136" s="16"/>
      <c r="F136" s="16" t="s">
        <v>232</v>
      </c>
      <c r="G136" s="16" cm="1">
        <f t="array" ref="G136">_xlfn.IFS(Tabela1[[#This Row],[STATUS PROCESSO MOBILIZAÇÃO]]="Finalizado",1,Tabela1[[#This Row],[STATUS PROCESSO MOBILIZAÇÃO]]="Cancelado",2,Tabela1[[#This Row],[STATUS PROCESSO MOBILIZAÇÃO]]="Em andamento",3)</f>
        <v>1</v>
      </c>
      <c r="H136" s="16" cm="1">
        <f t="array" aca="1" ref="H13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FORMS]]="",$AM136&gt;$AK$1),2,
AND(Tabela1[[#This Row],[STATUS PROCESSO MOBILIZAÇÃO]]="Em andamento",Tabela1[[#This Row],[DATA REAL - FORMS]]="",$AM136&lt;=$AK$1),3,
AND(Tabela1[[#This Row],[STATUS PROCESSO MOBILIZAÇÃO]]="Em andamento",Tabela1[[#This Row],[DATA REAL - FORMS]]&lt;&gt;""),1)</f>
        <v>1</v>
      </c>
      <c r="I136" s="16" cm="1">
        <f t="array" aca="1" ref="I13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EXAMES]]="",$AP136&gt;$AN$1),2,
AND(Tabela1[[#This Row],[STATUS PROCESSO MOBILIZAÇÃO]]="Em andamento",Tabela1[[#This Row],[DATA REAL - EXAMES]]="",$AP136&lt;=$AN$1),3,
AND(Tabela1[[#This Row],[STATUS PROCESSO MOBILIZAÇÃO]]="Em andamento",Tabela1[[#This Row],[DATA REAL - EXAMES]]&lt;&gt;""),1)</f>
        <v>1</v>
      </c>
      <c r="J136" s="16" cm="1">
        <f t="array" aca="1" ref="J13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ASO]]="",$AS136&gt;$AQ$1),2,
AND(Tabela1[[#This Row],[STATUS PROCESSO MOBILIZAÇÃO]]="Em andamento",Tabela1[[#This Row],[DATA REAL - ASO]]="",$AS136&lt;=$AQ$1),3,
AND(Tabela1[[#This Row],[STATUS PROCESSO MOBILIZAÇÃO]]="Em andamento",Tabela1[[#This Row],[DATA REAL - ASO]]&lt;&gt;""),1)</f>
        <v>1</v>
      </c>
      <c r="K136" s="15" cm="1">
        <f t="array" aca="1" ref="K13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TREINAMENTOS]]="",$AV136&gt;$AT$1),2,
AND(Tabela1[[#This Row],[STATUS PROCESSO MOBILIZAÇÃO]]="Em andamento",Tabela1[[#This Row],[DATA REAL - TREINAMENTOS]]="",$AV136&lt;=$AT$1),3,
AND(Tabela1[[#This Row],[STATUS PROCESSO MOBILIZAÇÃO]]="Em andamento",Tabela1[[#This Row],[DATA REAL - TREINAMENTOS]]&lt;&gt;""),1)</f>
        <v>1</v>
      </c>
      <c r="L136" s="15" cm="1">
        <f t="array" aca="1" ref="L13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TREIN.]]="",$AY136&gt;$AW$1),2,
AND(Tabela1[[#This Row],[STATUS PROCESSO MOBILIZAÇÃO]]="Em andamento",Tabela1[[#This Row],[DATA REAL - CONCL. TREIN.]]="",$AY136&lt;=$AW$1),3,
AND(Tabela1[[#This Row],[STATUS PROCESSO MOBILIZAÇÃO]]="Em andamento",Tabela1[[#This Row],[DATA REAL - CONCL. TREIN.]]&lt;&gt;""),1)</f>
        <v>1</v>
      </c>
      <c r="M136" s="15" cm="1">
        <f t="array" aca="1" ref="M13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CONTRATUAL]]="",$BB136&gt;$AZ$1),2,
AND(Tabela1[[#This Row],[STATUS PROCESSO MOBILIZAÇÃO]]="Em andamento",Tabela1[[#This Row],[DATA FIM - ALTER. CONTRATUAL]]="",$BB136&lt;=$AZ$1),3,
AND(Tabela1[[#This Row],[STATUS PROCESSO MOBILIZAÇÃO]]="Em andamento",Tabela1[[#This Row],[DATA FIM - ALTER. CONTRATUAL]]&lt;&gt;""),1)</f>
        <v>1</v>
      </c>
      <c r="N136" s="16" cm="1">
        <f t="array" aca="1" ref="N13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DOSSIÊ]]="",$BE136&gt;$BC$1),2,
AND(Tabela1[[#This Row],[STATUS PROCESSO MOBILIZAÇÃO]]="Em andamento",Tabela1[[#This Row],[DATA REAL - DOSSIÊ]]="",$BE136&lt;=$BC$1),3,
AND(Tabela1[[#This Row],[STATUS PROCESSO MOBILIZAÇÃO]]="Em andamento",Tabela1[[#This Row],[DATA REAL - DOSSIÊ]]&lt;&gt;""),1)</f>
        <v>1</v>
      </c>
      <c r="O136" s="16" cm="1">
        <f t="array" aca="1" ref="O13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POSTAGEM]]="",$BH136&gt;$BF$1),2,
AND(Tabela1[[#This Row],[STATUS PROCESSO MOBILIZAÇÃO]]="Em andamento",Tabela1[[#This Row],[DATA REAL - POSTAGEM]]="",$BH136&lt;=$BF$1),3,
AND(Tabela1[[#This Row],[STATUS PROCESSO MOBILIZAÇÃO]]="Em andamento",Tabela1[[#This Row],[DATA REAL - POSTAGEM]]&lt;&gt;""),1)</f>
        <v>1</v>
      </c>
      <c r="P136" s="16" cm="1">
        <f t="array" aca="1" ref="P13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FINAL]]="",$BK136&gt;$BI$1),2,
AND(Tabela1[[#This Row],[STATUS PROCESSO MOBILIZAÇÃO]]="Em andamento",Tabela1[[#This Row],[DATA REAL - APROV FINAL]]="",$BK136&lt;=$BI$1),3,
AND(Tabela1[[#This Row],[STATUS PROCESSO MOBILIZAÇÃO]]="Em andamento",Tabela1[[#This Row],[DATA REAL - APROV FINAL]]&lt;&gt;""),1)</f>
        <v>1</v>
      </c>
      <c r="Q136" s="15" cm="1">
        <f t="array" aca="1" ref="Q13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CRACHÁ]]="",$BN136&gt;$BL$1),2,
AND(Tabela1[[#This Row],[STATUS PROCESSO MOBILIZAÇÃO]]="Em andamento",Tabela1[[#This Row],[DATA REAL - CRACHÁ]]="",$BN136&lt;=$BL$1),3,
AND(Tabela1[[#This Row],[STATUS PROCESSO MOBILIZAÇÃO]]="Em andamento",Tabela1[[#This Row],[DATA REAL - CRACHÁ]]&lt;&gt;""),1)</f>
        <v>1</v>
      </c>
      <c r="R136" s="21">
        <f>IF(Tabela1[[#This Row],[DATA REAL - FORMS]]&lt;&gt;"",Tabela1[[#This Row],[DATA REAL - FORMS]]+30,Tabela1[[#This Row],[DATA PREV - FORMS]]+35)</f>
        <v>45945</v>
      </c>
      <c r="S13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45926</v>
      </c>
      <c r="T13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58</v>
      </c>
      <c r="U13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56</v>
      </c>
      <c r="V136" s="49">
        <f>MAX(Tabela1[[#This Row],[DATA REAL - POSTAGEM]],Tabela1[[#This Row],[DATA REAL - APROV FINAL]],Tabela1[[#This Row],[DATA REAL - CRACHÁ]])-MIN(Tabela1[[#This Row],[DATA REAL - POSTAGEM]],Tabela1[[#This Row],[DATA REAL - APROV FINAL]],Tabela1[[#This Row],[DATA REAL - CRACHÁ]])+1</f>
        <v>3</v>
      </c>
      <c r="W13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6" s="15" t="s">
        <v>103</v>
      </c>
      <c r="Y136" s="16" t="s">
        <v>84</v>
      </c>
      <c r="Z136" s="18" t="s">
        <v>104</v>
      </c>
      <c r="AA136" s="18" t="s">
        <v>86</v>
      </c>
      <c r="AB136" s="16" t="s">
        <v>97</v>
      </c>
      <c r="AC136" s="16" t="s">
        <v>452</v>
      </c>
      <c r="AD136" s="16" t="s">
        <v>89</v>
      </c>
      <c r="AE136" s="16" t="s">
        <v>160</v>
      </c>
      <c r="AF136" s="16" t="s">
        <v>453</v>
      </c>
      <c r="AG136" s="16" t="str">
        <f>_xlfn.XLOOKUP(Tabela1[[#This Row],[CÓD. CT]],Controle_Projetos[COD CT],Controle_Projetos[COD PHD],"")</f>
        <v>ENGF-CT03-PLAN</v>
      </c>
      <c r="AH136" s="21">
        <v>45915</v>
      </c>
      <c r="AI136" s="75">
        <v>45868</v>
      </c>
      <c r="AJ136" s="16" t="str" cm="1">
        <f t="array" aca="1" ref="AJ13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6" s="21">
        <v>45915</v>
      </c>
      <c r="AL136" s="74">
        <v>45915</v>
      </c>
      <c r="AM136" s="16" cm="1">
        <f t="array" aca="1" ref="AM13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6" s="21">
        <f>Tabela1[[#This Row],[DATA PREV - FORMS]]+$AN$1</f>
        <v>45922</v>
      </c>
      <c r="AO136" s="74">
        <v>45915</v>
      </c>
      <c r="AP136" s="16" cm="1">
        <f t="array" aca="1" ref="AP13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6" s="21">
        <f>Tabela1[[#This Row],[DATA PREV - EXAMES]]+$AQ$1</f>
        <v>45924</v>
      </c>
      <c r="AR136" s="74">
        <v>45924</v>
      </c>
      <c r="AS136" s="15" cm="1">
        <f t="array" aca="1" ref="AS13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36" s="21">
        <f>Tabela1[[#This Row],[DATA PREV - FORMS]]+$AT$1</f>
        <v>45916</v>
      </c>
      <c r="AU136" s="74">
        <v>45915</v>
      </c>
      <c r="AV136" s="15" cm="1">
        <f t="array" aca="1" ref="AV13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6" s="21">
        <f>Tabela1[[#This Row],[DATA PREV - TREINAMENTOS]]+$AW$1</f>
        <v>45923</v>
      </c>
      <c r="AX136" s="74">
        <v>45915</v>
      </c>
      <c r="AY136" s="15" cm="1">
        <f t="array" aca="1" ref="AY13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6" s="24">
        <v>45917</v>
      </c>
      <c r="BA136" s="74">
        <v>45915</v>
      </c>
      <c r="BB136" s="15" cm="1">
        <f t="array" aca="1" ref="BB13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36" s="21">
        <f>Tabela1[[#This Row],[DATA PREV - CONCL. TREIN.]]+$BC$1</f>
        <v>45925</v>
      </c>
      <c r="BD136" s="74">
        <v>45924</v>
      </c>
      <c r="BE136" s="15" cm="1">
        <f t="array" aca="1" ref="BE13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136" s="21">
        <f>Tabela1[[#This Row],[DATA PREV - DOSSIÊ]]+$BF$1</f>
        <v>45928</v>
      </c>
      <c r="BG136" s="74">
        <v>45924</v>
      </c>
      <c r="BH136" s="15" cm="1">
        <f t="array" aca="1" ref="BH13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36" s="21">
        <f>Tabela1[[#This Row],[DATA PREV - POSTAGEM]]+$BI$1</f>
        <v>45934</v>
      </c>
      <c r="BJ136" s="74">
        <v>45926</v>
      </c>
      <c r="BK136" s="15" cm="1">
        <f t="array" aca="1" ref="BK13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136" s="21">
        <f>Tabela1[[#This Row],[DATA PREV - APROV FINAL]]+$BL$1</f>
        <v>45935</v>
      </c>
      <c r="BM136" s="74">
        <v>45926</v>
      </c>
      <c r="BN136" s="15" cm="1">
        <f t="array" aca="1" ref="BN13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36" s="80" t="s">
        <v>510</v>
      </c>
    </row>
    <row r="137" spans="2:67" ht="18" hidden="1" customHeight="1" x14ac:dyDescent="0.35">
      <c r="B137" s="14" t="s">
        <v>119</v>
      </c>
      <c r="C137" s="16" t="s">
        <v>136</v>
      </c>
      <c r="D137" s="16" t="s">
        <v>119</v>
      </c>
      <c r="E137" s="16"/>
      <c r="F137" s="16" t="s">
        <v>511</v>
      </c>
      <c r="G137" s="16" cm="1">
        <f t="array" ref="G137">_xlfn.IFS(Tabela1[[#This Row],[STATUS PROCESSO MOBILIZAÇÃO]]="Finalizado",1,Tabela1[[#This Row],[STATUS PROCESSO MOBILIZAÇÃO]]="Cancelado",2,Tabela1[[#This Row],[STATUS PROCESSO MOBILIZAÇÃO]]="Em andamento",3)</f>
        <v>2</v>
      </c>
      <c r="H137" s="16" cm="1">
        <f t="array" aca="1" ref="H13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FORMS]]="",$AM137&gt;$AK$1),2,
AND(Tabela1[[#This Row],[STATUS PROCESSO MOBILIZAÇÃO]]="Em andamento",Tabela1[[#This Row],[DATA REAL - FORMS]]="",$AM137&lt;=$AK$1),3,
AND(Tabela1[[#This Row],[STATUS PROCESSO MOBILIZAÇÃO]]="Em andamento",Tabela1[[#This Row],[DATA REAL - FORMS]]&lt;&gt;""),1)</f>
        <v>1</v>
      </c>
      <c r="I137" s="16" cm="1">
        <f t="array" aca="1" ref="I13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EXAMES]]="",$AP137&gt;$AN$1),2,
AND(Tabela1[[#This Row],[STATUS PROCESSO MOBILIZAÇÃO]]="Em andamento",Tabela1[[#This Row],[DATA REAL - EXAMES]]="",$AP137&lt;=$AN$1),3,
AND(Tabela1[[#This Row],[STATUS PROCESSO MOBILIZAÇÃO]]="Em andamento",Tabela1[[#This Row],[DATA REAL - EXAMES]]&lt;&gt;""),1)</f>
        <v>1</v>
      </c>
      <c r="J137" s="16" cm="1">
        <f t="array" aca="1" ref="J13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ASO]]="",$AS137&gt;$AQ$1),2,
AND(Tabela1[[#This Row],[STATUS PROCESSO MOBILIZAÇÃO]]="Em andamento",Tabela1[[#This Row],[DATA REAL - ASO]]="",$AS137&lt;=$AQ$1),3,
AND(Tabela1[[#This Row],[STATUS PROCESSO MOBILIZAÇÃO]]="Em andamento",Tabela1[[#This Row],[DATA REAL - ASO]]&lt;&gt;""),1)</f>
        <v>1</v>
      </c>
      <c r="K137" s="15" cm="1">
        <f t="array" aca="1" ref="K13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TREINAMENTOS]]="",$AV137&gt;$AT$1),2,
AND(Tabela1[[#This Row],[STATUS PROCESSO MOBILIZAÇÃO]]="Em andamento",Tabela1[[#This Row],[DATA REAL - TREINAMENTOS]]="",$AV137&lt;=$AT$1),3,
AND(Tabela1[[#This Row],[STATUS PROCESSO MOBILIZAÇÃO]]="Em andamento",Tabela1[[#This Row],[DATA REAL - TREINAMENTOS]]&lt;&gt;""),1)</f>
        <v>1</v>
      </c>
      <c r="L137" s="15" cm="1">
        <f t="array" aca="1" ref="L13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TREIN.]]="",$AY137&gt;$AW$1),2,
AND(Tabela1[[#This Row],[STATUS PROCESSO MOBILIZAÇÃO]]="Em andamento",Tabela1[[#This Row],[DATA REAL - CONCL. TREIN.]]="",$AY137&lt;=$AW$1),3,
AND(Tabela1[[#This Row],[STATUS PROCESSO MOBILIZAÇÃO]]="Em andamento",Tabela1[[#This Row],[DATA REAL - CONCL. TREIN.]]&lt;&gt;""),1)</f>
        <v>1</v>
      </c>
      <c r="M137" s="15" cm="1">
        <f t="array" aca="1" ref="M13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CONTRATUAL]]="",$BB137&gt;$AZ$1),2,
AND(Tabela1[[#This Row],[STATUS PROCESSO MOBILIZAÇÃO]]="Em andamento",Tabela1[[#This Row],[DATA FIM - ALTER. CONTRATUAL]]="",$BB137&lt;=$AZ$1),3,
AND(Tabela1[[#This Row],[STATUS PROCESSO MOBILIZAÇÃO]]="Em andamento",Tabela1[[#This Row],[DATA FIM - ALTER. CONTRATUAL]]&lt;&gt;""),1)</f>
        <v>1</v>
      </c>
      <c r="N137" s="16" cm="1">
        <f t="array" aca="1" ref="N13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DOSSIÊ]]="",$BE137&gt;$BC$1),2,
AND(Tabela1[[#This Row],[STATUS PROCESSO MOBILIZAÇÃO]]="Em andamento",Tabela1[[#This Row],[DATA REAL - DOSSIÊ]]="",$BE137&lt;=$BC$1),3,
AND(Tabela1[[#This Row],[STATUS PROCESSO MOBILIZAÇÃO]]="Em andamento",Tabela1[[#This Row],[DATA REAL - DOSSIÊ]]&lt;&gt;""),1)</f>
        <v>1</v>
      </c>
      <c r="O137" s="16" cm="1">
        <f t="array" aca="1" ref="O13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POSTAGEM]]="",$BH137&gt;$BF$1),2,
AND(Tabela1[[#This Row],[STATUS PROCESSO MOBILIZAÇÃO]]="Em andamento",Tabela1[[#This Row],[DATA REAL - POSTAGEM]]="",$BH137&lt;=$BF$1),3,
AND(Tabela1[[#This Row],[STATUS PROCESSO MOBILIZAÇÃO]]="Em andamento",Tabela1[[#This Row],[DATA REAL - POSTAGEM]]&lt;&gt;""),1)</f>
        <v>1</v>
      </c>
      <c r="P137" s="16" cm="1">
        <f t="array" aca="1" ref="P13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FINAL]]="",$BK137&gt;$BI$1),2,
AND(Tabela1[[#This Row],[STATUS PROCESSO MOBILIZAÇÃO]]="Em andamento",Tabela1[[#This Row],[DATA REAL - APROV FINAL]]="",$BK137&lt;=$BI$1),3,
AND(Tabela1[[#This Row],[STATUS PROCESSO MOBILIZAÇÃO]]="Em andamento",Tabela1[[#This Row],[DATA REAL - APROV FINAL]]&lt;&gt;""),1)</f>
        <v>1</v>
      </c>
      <c r="Q137" s="15" cm="1">
        <f t="array" aca="1" ref="Q13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CRACHÁ]]="",$BN137&gt;$BL$1),2,
AND(Tabela1[[#This Row],[STATUS PROCESSO MOBILIZAÇÃO]]="Em andamento",Tabela1[[#This Row],[DATA REAL - CRACHÁ]]="",$BN137&lt;=$BL$1),3,
AND(Tabela1[[#This Row],[STATUS PROCESSO MOBILIZAÇÃO]]="Em andamento",Tabela1[[#This Row],[DATA REAL - CRACHÁ]]&lt;&gt;""),1)</f>
        <v>1</v>
      </c>
      <c r="R137" s="21">
        <f>IF(Tabela1[[#This Row],[DATA REAL - FORMS]]&lt;&gt;"",Tabela1[[#This Row],[DATA REAL - FORMS]]+30,Tabela1[[#This Row],[DATA PREV - FORMS]]+35)</f>
        <v>45945</v>
      </c>
      <c r="S13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45926</v>
      </c>
      <c r="T13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48</v>
      </c>
      <c r="U13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45</v>
      </c>
      <c r="V137" s="49">
        <f>MAX(Tabela1[[#This Row],[DATA REAL - POSTAGEM]],Tabela1[[#This Row],[DATA REAL - APROV FINAL]],Tabela1[[#This Row],[DATA REAL - CRACHÁ]])-MIN(Tabela1[[#This Row],[DATA REAL - POSTAGEM]],Tabela1[[#This Row],[DATA REAL - APROV FINAL]],Tabela1[[#This Row],[DATA REAL - CRACHÁ]])+1</f>
        <v>1</v>
      </c>
      <c r="W13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7" s="15" t="s">
        <v>83</v>
      </c>
      <c r="Y137" s="16" t="s">
        <v>84</v>
      </c>
      <c r="Z137" s="18" t="s">
        <v>85</v>
      </c>
      <c r="AA137" s="18" t="s">
        <v>86</v>
      </c>
      <c r="AB137" s="16" t="s">
        <v>97</v>
      </c>
      <c r="AC137" s="16" t="s">
        <v>400</v>
      </c>
      <c r="AD137" s="16" t="s">
        <v>89</v>
      </c>
      <c r="AE137" s="16"/>
      <c r="AF137" s="16" t="s">
        <v>402</v>
      </c>
      <c r="AG137" s="16" t="str">
        <f>_xlfn.XLOOKUP(Tabela1[[#This Row],[CÓD. CT]],Controle_Projetos[COD CT],Controle_Projetos[COD PHD],"")</f>
        <v>FIDE-CT02-PDER</v>
      </c>
      <c r="AH137" s="21">
        <v>45915</v>
      </c>
      <c r="AI137" s="75">
        <v>45878</v>
      </c>
      <c r="AJ137" s="16" t="str" cm="1">
        <f t="array" aca="1" ref="AJ13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7" s="21">
        <v>45915</v>
      </c>
      <c r="AL137" s="74">
        <v>45915</v>
      </c>
      <c r="AM137" s="16" cm="1">
        <f t="array" aca="1" ref="AM13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7" s="21">
        <f>Tabela1[[#This Row],[DATA PREV - FORMS]]+$AN$1</f>
        <v>45922</v>
      </c>
      <c r="AO137" s="74">
        <v>45915</v>
      </c>
      <c r="AP137" s="16" cm="1">
        <f t="array" aca="1" ref="AP13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7" s="21">
        <f>Tabela1[[#This Row],[DATA PREV - EXAMES]]+$AQ$1</f>
        <v>45924</v>
      </c>
      <c r="AR137" s="74">
        <v>45923</v>
      </c>
      <c r="AS137" s="15" cm="1">
        <f t="array" aca="1" ref="AS13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37" s="21">
        <f>Tabela1[[#This Row],[DATA PREV - FORMS]]+$AT$1</f>
        <v>45916</v>
      </c>
      <c r="AU137" s="74">
        <v>45915</v>
      </c>
      <c r="AV137" s="15" cm="1">
        <f t="array" aca="1" ref="AV13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7" s="21">
        <f>Tabela1[[#This Row],[DATA PREV - TREINAMENTOS]]+$AW$1</f>
        <v>45923</v>
      </c>
      <c r="AX137" s="74">
        <v>45919</v>
      </c>
      <c r="AY137" s="15" cm="1">
        <f t="array" aca="1" ref="AY13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37" s="24">
        <v>45918</v>
      </c>
      <c r="BA137" s="74">
        <v>45915</v>
      </c>
      <c r="BB137" s="15" cm="1">
        <f t="array" aca="1" ref="BB13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v>
      </c>
      <c r="BC137" s="21">
        <f>Tabela1[[#This Row],[DATA PREV - CONCL. TREIN.]]+$BC$1</f>
        <v>45925</v>
      </c>
      <c r="BD137" s="74">
        <v>45923</v>
      </c>
      <c r="BE137" s="15" cm="1">
        <f t="array" aca="1" ref="BE13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37" s="21">
        <f>Tabela1[[#This Row],[DATA PREV - DOSSIÊ]]+$BF$1</f>
        <v>45928</v>
      </c>
      <c r="BG137" s="74">
        <v>45926</v>
      </c>
      <c r="BH137" s="15" cm="1">
        <f t="array" aca="1" ref="BH13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37" s="21">
        <f>Tabela1[[#This Row],[DATA PREV - POSTAGEM]]+$BI$1</f>
        <v>45934</v>
      </c>
      <c r="BJ137" s="74">
        <v>45926</v>
      </c>
      <c r="BK137" s="15" cm="1">
        <f t="array" aca="1" ref="BK13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137" s="21">
        <f>Tabela1[[#This Row],[DATA PREV - APROV FINAL]]+$BL$1</f>
        <v>45935</v>
      </c>
      <c r="BM137" s="74">
        <v>45926</v>
      </c>
      <c r="BN137" s="15" cm="1">
        <f t="array" aca="1" ref="BN13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37" s="80" t="s">
        <v>512</v>
      </c>
    </row>
    <row r="138" spans="2:67" ht="18" hidden="1" customHeight="1" x14ac:dyDescent="0.35">
      <c r="B138" s="14" t="s">
        <v>79</v>
      </c>
      <c r="C138" s="16" t="s">
        <v>136</v>
      </c>
      <c r="D138" s="16" t="s">
        <v>81</v>
      </c>
      <c r="E138" s="16"/>
      <c r="F138" s="16" t="s">
        <v>276</v>
      </c>
      <c r="G138" s="16" cm="1">
        <f t="array" ref="G138">_xlfn.IFS(Tabela1[[#This Row],[STATUS PROCESSO MOBILIZAÇÃO]]="Finalizado",1,Tabela1[[#This Row],[STATUS PROCESSO MOBILIZAÇÃO]]="Cancelado",2,Tabela1[[#This Row],[STATUS PROCESSO MOBILIZAÇÃO]]="Em andamento",3)</f>
        <v>1</v>
      </c>
      <c r="H138" s="16" cm="1">
        <f t="array" aca="1" ref="H13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FORMS]]="",$AM138&gt;$AK$1),2,
AND(Tabela1[[#This Row],[STATUS PROCESSO MOBILIZAÇÃO]]="Em andamento",Tabela1[[#This Row],[DATA REAL - FORMS]]="",$AM138&lt;=$AK$1),3,
AND(Tabela1[[#This Row],[STATUS PROCESSO MOBILIZAÇÃO]]="Em andamento",Tabela1[[#This Row],[DATA REAL - FORMS]]&lt;&gt;""),1)</f>
        <v>0</v>
      </c>
      <c r="I138" s="16" cm="1">
        <f t="array" aca="1" ref="I13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EXAMES]]="",$AP138&gt;$AN$1),2,
AND(Tabela1[[#This Row],[STATUS PROCESSO MOBILIZAÇÃO]]="Em andamento",Tabela1[[#This Row],[DATA REAL - EXAMES]]="",$AP138&lt;=$AN$1),3,
AND(Tabela1[[#This Row],[STATUS PROCESSO MOBILIZAÇÃO]]="Em andamento",Tabela1[[#This Row],[DATA REAL - EXAMES]]&lt;&gt;""),1)</f>
        <v>1</v>
      </c>
      <c r="J138" s="16" cm="1">
        <f t="array" aca="1" ref="J13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ASO]]="",$AS138&gt;$AQ$1),2,
AND(Tabela1[[#This Row],[STATUS PROCESSO MOBILIZAÇÃO]]="Em andamento",Tabela1[[#This Row],[DATA REAL - ASO]]="",$AS138&lt;=$AQ$1),3,
AND(Tabela1[[#This Row],[STATUS PROCESSO MOBILIZAÇÃO]]="Em andamento",Tabela1[[#This Row],[DATA REAL - ASO]]&lt;&gt;""),1)</f>
        <v>1</v>
      </c>
      <c r="K138" s="15" cm="1">
        <f t="array" aca="1" ref="K13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TREINAMENTOS]]="",$AV138&gt;$AT$1),2,
AND(Tabela1[[#This Row],[STATUS PROCESSO MOBILIZAÇÃO]]="Em andamento",Tabela1[[#This Row],[DATA REAL - TREINAMENTOS]]="",$AV138&lt;=$AT$1),3,
AND(Tabela1[[#This Row],[STATUS PROCESSO MOBILIZAÇÃO]]="Em andamento",Tabela1[[#This Row],[DATA REAL - TREINAMENTOS]]&lt;&gt;""),1)</f>
        <v>1</v>
      </c>
      <c r="L138" s="15" cm="1">
        <f t="array" aca="1" ref="L13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TREIN.]]="",$AY138&gt;$AW$1),2,
AND(Tabela1[[#This Row],[STATUS PROCESSO MOBILIZAÇÃO]]="Em andamento",Tabela1[[#This Row],[DATA REAL - CONCL. TREIN.]]="",$AY138&lt;=$AW$1),3,
AND(Tabela1[[#This Row],[STATUS PROCESSO MOBILIZAÇÃO]]="Em andamento",Tabela1[[#This Row],[DATA REAL - CONCL. TREIN.]]&lt;&gt;""),1)</f>
        <v>1</v>
      </c>
      <c r="M138" s="15" cm="1">
        <f t="array" aca="1" ref="M13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CONTRATUAL]]="",$BB138&gt;$AZ$1),2,
AND(Tabela1[[#This Row],[STATUS PROCESSO MOBILIZAÇÃO]]="Em andamento",Tabela1[[#This Row],[DATA FIM - ALTER. CONTRATUAL]]="",$BB138&lt;=$AZ$1),3,
AND(Tabela1[[#This Row],[STATUS PROCESSO MOBILIZAÇÃO]]="Em andamento",Tabela1[[#This Row],[DATA FIM - ALTER. CONTRATUAL]]&lt;&gt;""),1)</f>
        <v>1</v>
      </c>
      <c r="N138" s="16" cm="1">
        <f t="array" aca="1" ref="N13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DOSSIÊ]]="",$BE138&gt;$BC$1),2,
AND(Tabela1[[#This Row],[STATUS PROCESSO MOBILIZAÇÃO]]="Em andamento",Tabela1[[#This Row],[DATA REAL - DOSSIÊ]]="",$BE138&lt;=$BC$1),3,
AND(Tabela1[[#This Row],[STATUS PROCESSO MOBILIZAÇÃO]]="Em andamento",Tabela1[[#This Row],[DATA REAL - DOSSIÊ]]&lt;&gt;""),1)</f>
        <v>1</v>
      </c>
      <c r="O138" s="16" cm="1">
        <f t="array" aca="1" ref="O13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POSTAGEM]]="",$BH138&gt;$BF$1),2,
AND(Tabela1[[#This Row],[STATUS PROCESSO MOBILIZAÇÃO]]="Em andamento",Tabela1[[#This Row],[DATA REAL - POSTAGEM]]="",$BH138&lt;=$BF$1),3,
AND(Tabela1[[#This Row],[STATUS PROCESSO MOBILIZAÇÃO]]="Em andamento",Tabela1[[#This Row],[DATA REAL - POSTAGEM]]&lt;&gt;""),1)</f>
        <v>1</v>
      </c>
      <c r="P138" s="16" cm="1">
        <f t="array" aca="1" ref="P13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FINAL]]="",$BK138&gt;$BI$1),2,
AND(Tabela1[[#This Row],[STATUS PROCESSO MOBILIZAÇÃO]]="Em andamento",Tabela1[[#This Row],[DATA REAL - APROV FINAL]]="",$BK138&lt;=$BI$1),3,
AND(Tabela1[[#This Row],[STATUS PROCESSO MOBILIZAÇÃO]]="Em andamento",Tabela1[[#This Row],[DATA REAL - APROV FINAL]]&lt;&gt;""),1)</f>
        <v>1</v>
      </c>
      <c r="Q138" s="15" cm="1">
        <f t="array" aca="1" ref="Q13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CRACHÁ]]="",$BN138&gt;$BL$1),2,
AND(Tabela1[[#This Row],[STATUS PROCESSO MOBILIZAÇÃO]]="Em andamento",Tabela1[[#This Row],[DATA REAL - CRACHÁ]]="",$BN138&lt;=$BL$1),3,
AND(Tabela1[[#This Row],[STATUS PROCESSO MOBILIZAÇÃO]]="Em andamento",Tabela1[[#This Row],[DATA REAL - CRACHÁ]]&lt;&gt;""),1)</f>
        <v>1</v>
      </c>
      <c r="R138" s="21">
        <f>IF(Tabela1[[#This Row],[DATA REAL - FORMS]]&lt;&gt;"",Tabela1[[#This Row],[DATA REAL - FORMS]]+30,Tabela1[[#This Row],[DATA PREV - FORMS]]+35)</f>
        <v>45952</v>
      </c>
      <c r="S13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45937</v>
      </c>
      <c r="T13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v>
      </c>
      <c r="U13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138" s="49">
        <f>MAX(Tabela1[[#This Row],[DATA REAL - POSTAGEM]],Tabela1[[#This Row],[DATA REAL - APROV FINAL]],Tabela1[[#This Row],[DATA REAL - CRACHÁ]])-MIN(Tabela1[[#This Row],[DATA REAL - POSTAGEM]],Tabela1[[#This Row],[DATA REAL - APROV FINAL]],Tabela1[[#This Row],[DATA REAL - CRACHÁ]])+1</f>
        <v>2</v>
      </c>
      <c r="W13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38" s="15"/>
      <c r="Y138" s="16"/>
      <c r="Z138" s="18"/>
      <c r="AA138" s="18" t="s">
        <v>131</v>
      </c>
      <c r="AB138" s="16" t="s">
        <v>97</v>
      </c>
      <c r="AC138" s="16" t="s">
        <v>132</v>
      </c>
      <c r="AD138" s="16" t="s">
        <v>132</v>
      </c>
      <c r="AE138" s="16" t="s">
        <v>337</v>
      </c>
      <c r="AF138" s="16" t="s">
        <v>513</v>
      </c>
      <c r="AG138" s="16" t="str">
        <f>_xlfn.XLOOKUP(Tabela1[[#This Row],[CÓD. CT]],Controle_Projetos[COD CT],Controle_Projetos[COD PHD],"")</f>
        <v>GERD-CT20-AGUA</v>
      </c>
      <c r="AH138" s="21"/>
      <c r="AI138" s="75">
        <v>45905</v>
      </c>
      <c r="AJ138" s="16" t="str" cm="1">
        <f t="array" aca="1" ref="AJ13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8" s="21">
        <v>45917</v>
      </c>
      <c r="AL138" s="74"/>
      <c r="AM138" s="16" cm="1">
        <f t="array" aca="1" ref="AM13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8" s="21">
        <f>Tabela1[[#This Row],[DATA PREV - FORMS]]+$AN$1</f>
        <v>45924</v>
      </c>
      <c r="AO138" s="74">
        <v>45917</v>
      </c>
      <c r="AP138" s="16" cm="1">
        <f t="array" aca="1" ref="AP13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38" s="21">
        <f>Tabela1[[#This Row],[DATA PREV - EXAMES]]+$AQ$1</f>
        <v>45926</v>
      </c>
      <c r="AR138" s="74">
        <v>45919</v>
      </c>
      <c r="AS138" s="15" cm="1">
        <f t="array" aca="1" ref="AS13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38" s="21">
        <f>Tabela1[[#This Row],[DATA PREV - FORMS]]+$AT$1</f>
        <v>45918</v>
      </c>
      <c r="AU138" s="74">
        <v>45917</v>
      </c>
      <c r="AV138" s="15" cm="1">
        <f t="array" aca="1" ref="AV13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8" s="21">
        <f>Tabela1[[#This Row],[DATA PREV - TREINAMENTOS]]+$AW$1</f>
        <v>45925</v>
      </c>
      <c r="AX138" s="74">
        <v>45917</v>
      </c>
      <c r="AY138" s="15" cm="1">
        <f t="array" aca="1" ref="AY13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8" s="24">
        <v>45918</v>
      </c>
      <c r="BA138" s="74">
        <v>45917</v>
      </c>
      <c r="BB138" s="15" cm="1">
        <f t="array" aca="1" ref="BB13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38" s="21">
        <f>Tabela1[[#This Row],[DATA PREV - CONCL. TREIN.]]+$BC$1</f>
        <v>45927</v>
      </c>
      <c r="BD138" s="74">
        <v>45922</v>
      </c>
      <c r="BE138" s="15" cm="1">
        <f t="array" aca="1" ref="BE13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38" s="21">
        <f>Tabela1[[#This Row],[DATA PREV - DOSSIÊ]]+$BF$1</f>
        <v>45930</v>
      </c>
      <c r="BG138" s="74">
        <v>45936</v>
      </c>
      <c r="BH138" s="15" cm="1">
        <f t="array" aca="1" ref="BH13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138" s="21">
        <f>Tabela1[[#This Row],[DATA PREV - POSTAGEM]]+$BI$1</f>
        <v>45936</v>
      </c>
      <c r="BJ138" s="74">
        <v>45937</v>
      </c>
      <c r="BK138" s="15" cm="1">
        <f t="array" aca="1" ref="BK13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38" s="21">
        <f>Tabela1[[#This Row],[DATA PREV - APROV FINAL]]+$BL$1</f>
        <v>45937</v>
      </c>
      <c r="BM138" s="74">
        <v>45937</v>
      </c>
      <c r="BN138" s="15" cm="1">
        <f t="array" aca="1" ref="BN13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138" s="80" t="s">
        <v>514</v>
      </c>
    </row>
    <row r="139" spans="2:67" ht="18" hidden="1" customHeight="1" x14ac:dyDescent="0.35">
      <c r="B139" s="14" t="s">
        <v>79</v>
      </c>
      <c r="C139" s="16" t="s">
        <v>136</v>
      </c>
      <c r="D139" s="16" t="s">
        <v>108</v>
      </c>
      <c r="E139" s="16"/>
      <c r="F139" s="16" t="s">
        <v>342</v>
      </c>
      <c r="G139" s="16" cm="1">
        <f t="array" ref="G139">_xlfn.IFS(Tabela1[[#This Row],[STATUS PROCESSO MOBILIZAÇÃO]]="Finalizado",1,Tabela1[[#This Row],[STATUS PROCESSO MOBILIZAÇÃO]]="Cancelado",2,Tabela1[[#This Row],[STATUS PROCESSO MOBILIZAÇÃO]]="Em andamento",3)</f>
        <v>1</v>
      </c>
      <c r="H139" s="16" cm="1">
        <f t="array" aca="1" ref="H13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FORMS]]="",$AM139&gt;$AK$1),2,
AND(Tabela1[[#This Row],[STATUS PROCESSO MOBILIZAÇÃO]]="Em andamento",Tabela1[[#This Row],[DATA REAL - FORMS]]="",$AM139&lt;=$AK$1),3,
AND(Tabela1[[#This Row],[STATUS PROCESSO MOBILIZAÇÃO]]="Em andamento",Tabela1[[#This Row],[DATA REAL - FORMS]]&lt;&gt;""),1)</f>
        <v>0</v>
      </c>
      <c r="I139" s="16" cm="1">
        <f t="array" aca="1" ref="I13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EXAMES]]="",$AP139&gt;$AN$1),2,
AND(Tabela1[[#This Row],[STATUS PROCESSO MOBILIZAÇÃO]]="Em andamento",Tabela1[[#This Row],[DATA REAL - EXAMES]]="",$AP139&lt;=$AN$1),3,
AND(Tabela1[[#This Row],[STATUS PROCESSO MOBILIZAÇÃO]]="Em andamento",Tabela1[[#This Row],[DATA REAL - EXAMES]]&lt;&gt;""),1)</f>
        <v>1</v>
      </c>
      <c r="J139" s="16" cm="1">
        <f t="array" aca="1" ref="J13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ASO]]="",$AS139&gt;$AQ$1),2,
AND(Tabela1[[#This Row],[STATUS PROCESSO MOBILIZAÇÃO]]="Em andamento",Tabela1[[#This Row],[DATA REAL - ASO]]="",$AS139&lt;=$AQ$1),3,
AND(Tabela1[[#This Row],[STATUS PROCESSO MOBILIZAÇÃO]]="Em andamento",Tabela1[[#This Row],[DATA REAL - ASO]]&lt;&gt;""),1)</f>
        <v>1</v>
      </c>
      <c r="K139" s="15" cm="1">
        <f t="array" aca="1" ref="K13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TREINAMENTOS]]="",$AV139&gt;$AT$1),2,
AND(Tabela1[[#This Row],[STATUS PROCESSO MOBILIZAÇÃO]]="Em andamento",Tabela1[[#This Row],[DATA REAL - TREINAMENTOS]]="",$AV139&lt;=$AT$1),3,
AND(Tabela1[[#This Row],[STATUS PROCESSO MOBILIZAÇÃO]]="Em andamento",Tabela1[[#This Row],[DATA REAL - TREINAMENTOS]]&lt;&gt;""),1)</f>
        <v>1</v>
      </c>
      <c r="L139" s="15" cm="1">
        <f t="array" aca="1" ref="L13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TREIN.]]="",$AY139&gt;$AW$1),2,
AND(Tabela1[[#This Row],[STATUS PROCESSO MOBILIZAÇÃO]]="Em andamento",Tabela1[[#This Row],[DATA REAL - CONCL. TREIN.]]="",$AY139&lt;=$AW$1),3,
AND(Tabela1[[#This Row],[STATUS PROCESSO MOBILIZAÇÃO]]="Em andamento",Tabela1[[#This Row],[DATA REAL - CONCL. TREIN.]]&lt;&gt;""),1)</f>
        <v>1</v>
      </c>
      <c r="M139" s="15" cm="1">
        <f t="array" aca="1" ref="M13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CONTRATUAL]]="",$BB139&gt;$AZ$1),2,
AND(Tabela1[[#This Row],[STATUS PROCESSO MOBILIZAÇÃO]]="Em andamento",Tabela1[[#This Row],[DATA FIM - ALTER. CONTRATUAL]]="",$BB139&lt;=$AZ$1),3,
AND(Tabela1[[#This Row],[STATUS PROCESSO MOBILIZAÇÃO]]="Em andamento",Tabela1[[#This Row],[DATA FIM - ALTER. CONTRATUAL]]&lt;&gt;""),1)</f>
        <v>1</v>
      </c>
      <c r="N139" s="16" cm="1">
        <f t="array" aca="1" ref="N13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DOSSIÊ]]="",$BE139&gt;$BC$1),2,
AND(Tabela1[[#This Row],[STATUS PROCESSO MOBILIZAÇÃO]]="Em andamento",Tabela1[[#This Row],[DATA REAL - DOSSIÊ]]="",$BE139&lt;=$BC$1),3,
AND(Tabela1[[#This Row],[STATUS PROCESSO MOBILIZAÇÃO]]="Em andamento",Tabela1[[#This Row],[DATA REAL - DOSSIÊ]]&lt;&gt;""),1)</f>
        <v>1</v>
      </c>
      <c r="O139" s="16" cm="1">
        <f t="array" aca="1" ref="O13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POSTAGEM]]="",$BH139&gt;$BF$1),2,
AND(Tabela1[[#This Row],[STATUS PROCESSO MOBILIZAÇÃO]]="Em andamento",Tabela1[[#This Row],[DATA REAL - POSTAGEM]]="",$BH139&lt;=$BF$1),3,
AND(Tabela1[[#This Row],[STATUS PROCESSO MOBILIZAÇÃO]]="Em andamento",Tabela1[[#This Row],[DATA REAL - POSTAGEM]]&lt;&gt;""),1)</f>
        <v>1</v>
      </c>
      <c r="P139" s="16" cm="1">
        <f t="array" aca="1" ref="P13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FINAL]]="",$BK139&gt;$BI$1),2,
AND(Tabela1[[#This Row],[STATUS PROCESSO MOBILIZAÇÃO]]="Em andamento",Tabela1[[#This Row],[DATA REAL - APROV FINAL]]="",$BK139&lt;=$BI$1),3,
AND(Tabela1[[#This Row],[STATUS PROCESSO MOBILIZAÇÃO]]="Em andamento",Tabela1[[#This Row],[DATA REAL - APROV FINAL]]&lt;&gt;""),1)</f>
        <v>1</v>
      </c>
      <c r="Q139" s="15" cm="1">
        <f t="array" aca="1" ref="Q13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CRACHÁ]]="",$BN139&gt;$BL$1),2,
AND(Tabela1[[#This Row],[STATUS PROCESSO MOBILIZAÇÃO]]="Em andamento",Tabela1[[#This Row],[DATA REAL - CRACHÁ]]="",$BN139&lt;=$BL$1),3,
AND(Tabela1[[#This Row],[STATUS PROCESSO MOBILIZAÇÃO]]="Em andamento",Tabela1[[#This Row],[DATA REAL - CRACHÁ]]&lt;&gt;""),1)</f>
        <v>1</v>
      </c>
      <c r="R139" s="21">
        <f>IF(Tabela1[[#This Row],[DATA REAL - FORMS]]&lt;&gt;"",Tabela1[[#This Row],[DATA REAL - FORMS]]+30,Tabela1[[#This Row],[DATA PREV - FORMS]]+35)</f>
        <v>45953</v>
      </c>
      <c r="S13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3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U13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55</v>
      </c>
      <c r="V139" s="49">
        <f>MAX(Tabela1[[#This Row],[DATA REAL - POSTAGEM]],Tabela1[[#This Row],[DATA REAL - APROV FINAL]],Tabela1[[#This Row],[DATA REAL - CRACHÁ]])-MIN(Tabela1[[#This Row],[DATA REAL - POSTAGEM]],Tabela1[[#This Row],[DATA REAL - APROV FINAL]],Tabela1[[#This Row],[DATA REAL - CRACHÁ]])+1</f>
        <v>1</v>
      </c>
      <c r="W13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X139" s="15" t="s">
        <v>515</v>
      </c>
      <c r="Y139" s="16"/>
      <c r="Z139" s="18"/>
      <c r="AA139" s="18" t="s">
        <v>131</v>
      </c>
      <c r="AB139" s="16" t="s">
        <v>97</v>
      </c>
      <c r="AC139" s="16" t="s">
        <v>516</v>
      </c>
      <c r="AD139" s="16" t="s">
        <v>516</v>
      </c>
      <c r="AE139" s="16" t="s">
        <v>517</v>
      </c>
      <c r="AF139" s="16" t="s">
        <v>518</v>
      </c>
      <c r="AG139" s="16" t="str">
        <f>_xlfn.XLOOKUP(Tabela1[[#This Row],[CÓD. CT]],Controle_Projetos[COD CT],Controle_Projetos[COD PHD],"")</f>
        <v>SINO-CT01-CONS</v>
      </c>
      <c r="AH139" s="21"/>
      <c r="AI139" s="75">
        <v>45973</v>
      </c>
      <c r="AJ139" s="16" t="str" cm="1">
        <f t="array" aca="1" ref="AJ13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39" s="21">
        <v>45918</v>
      </c>
      <c r="AL139" s="74"/>
      <c r="AM139" s="16" cm="1">
        <f t="array" aca="1" ref="AM13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39" s="21">
        <f>Tabela1[[#This Row],[DATA PREV - FORMS]]+$AN$1</f>
        <v>45925</v>
      </c>
      <c r="AO139" s="74">
        <v>45919</v>
      </c>
      <c r="AP139" s="16" cm="1">
        <f t="array" aca="1" ref="AP13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39" s="21">
        <f>Tabela1[[#This Row],[DATA PREV - EXAMES]]+$AQ$1</f>
        <v>45927</v>
      </c>
      <c r="AR139" s="74">
        <v>45923</v>
      </c>
      <c r="AS139" s="15" cm="1">
        <f t="array" aca="1" ref="AS13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39" s="21">
        <f>Tabela1[[#This Row],[DATA PREV - FORMS]]+$AT$1</f>
        <v>45919</v>
      </c>
      <c r="AU139" s="74">
        <v>45918</v>
      </c>
      <c r="AV139" s="15" cm="1">
        <f t="array" aca="1" ref="AV13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39" s="21">
        <f>Tabela1[[#This Row],[DATA PREV - TREINAMENTOS]]+$AW$1</f>
        <v>45926</v>
      </c>
      <c r="AX139" s="74">
        <v>45918</v>
      </c>
      <c r="AY139" s="15" cm="1">
        <f t="array" aca="1" ref="AY13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39" s="24">
        <v>45918</v>
      </c>
      <c r="BA139" s="74">
        <v>45918</v>
      </c>
      <c r="BB139" s="15" cm="1">
        <f t="array" aca="1" ref="BB13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39" s="21">
        <f>Tabela1[[#This Row],[DATA PREV - CONCL. TREIN.]]+$BC$1</f>
        <v>45928</v>
      </c>
      <c r="BD139" s="74">
        <v>45923</v>
      </c>
      <c r="BE139" s="15" cm="1">
        <f t="array" aca="1" ref="BE13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39" s="21">
        <f>Tabela1[[#This Row],[DATA PREV - DOSSIÊ]]+$BF$1</f>
        <v>45931</v>
      </c>
      <c r="BG139" s="74">
        <v>45940</v>
      </c>
      <c r="BH139" s="15" cm="1">
        <f t="array" aca="1" ref="BH13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39" s="21">
        <f>Tabela1[[#This Row],[DATA PREV - POSTAGEM]]+$BI$1</f>
        <v>45937</v>
      </c>
      <c r="BJ139" s="74">
        <v>45940</v>
      </c>
      <c r="BK139" s="15" cm="1">
        <f t="array" aca="1" ref="BK13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39" s="21">
        <f>Tabela1[[#This Row],[DATA PREV - APROV FINAL]]+$BL$1</f>
        <v>45938</v>
      </c>
      <c r="BM139" s="74">
        <v>45940</v>
      </c>
      <c r="BN139" s="15" cm="1">
        <f t="array" aca="1" ref="BN13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39" s="80" t="s">
        <v>519</v>
      </c>
    </row>
    <row r="140" spans="2:67" ht="18" hidden="1" customHeight="1" x14ac:dyDescent="0.35">
      <c r="B140" s="14" t="s">
        <v>79</v>
      </c>
      <c r="C140" s="16" t="s">
        <v>136</v>
      </c>
      <c r="D140" s="16" t="s">
        <v>108</v>
      </c>
      <c r="E140" s="16"/>
      <c r="F140" s="16" t="s">
        <v>404</v>
      </c>
      <c r="G140" s="16" cm="1">
        <f t="array" ref="G140">_xlfn.IFS(Tabela1[[#This Row],[STATUS PROCESSO MOBILIZAÇÃO]]="Finalizado",1,Tabela1[[#This Row],[STATUS PROCESSO MOBILIZAÇÃO]]="Cancelado",2,Tabela1[[#This Row],[STATUS PROCESSO MOBILIZAÇÃO]]="Em andamento",3)</f>
        <v>1</v>
      </c>
      <c r="H140" s="16" cm="1">
        <f t="array" aca="1" ref="H14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FORMS]]="",$AM140&gt;$AK$1),2,
AND(Tabela1[[#This Row],[STATUS PROCESSO MOBILIZAÇÃO]]="Em andamento",Tabela1[[#This Row],[DATA REAL - FORMS]]="",$AM140&lt;=$AK$1),3,
AND(Tabela1[[#This Row],[STATUS PROCESSO MOBILIZAÇÃO]]="Em andamento",Tabela1[[#This Row],[DATA REAL - FORMS]]&lt;&gt;""),1)</f>
        <v>0</v>
      </c>
      <c r="I140" s="16" cm="1">
        <f t="array" aca="1" ref="I14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EXAMES]]="",$AP140&gt;$AN$1),2,
AND(Tabela1[[#This Row],[STATUS PROCESSO MOBILIZAÇÃO]]="Em andamento",Tabela1[[#This Row],[DATA REAL - EXAMES]]="",$AP140&lt;=$AN$1),3,
AND(Tabela1[[#This Row],[STATUS PROCESSO MOBILIZAÇÃO]]="Em andamento",Tabela1[[#This Row],[DATA REAL - EXAMES]]&lt;&gt;""),1)</f>
        <v>1</v>
      </c>
      <c r="J140" s="16" cm="1">
        <f t="array" aca="1" ref="J14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ASO]]="",$AS140&gt;$AQ$1),2,
AND(Tabela1[[#This Row],[STATUS PROCESSO MOBILIZAÇÃO]]="Em andamento",Tabela1[[#This Row],[DATA REAL - ASO]]="",$AS140&lt;=$AQ$1),3,
AND(Tabela1[[#This Row],[STATUS PROCESSO MOBILIZAÇÃO]]="Em andamento",Tabela1[[#This Row],[DATA REAL - ASO]]&lt;&gt;""),1)</f>
        <v>1</v>
      </c>
      <c r="K140" s="15" cm="1">
        <f t="array" aca="1" ref="K14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TREINAMENTOS]]="",$AV140&gt;$AT$1),2,
AND(Tabela1[[#This Row],[STATUS PROCESSO MOBILIZAÇÃO]]="Em andamento",Tabela1[[#This Row],[DATA REAL - TREINAMENTOS]]="",$AV140&lt;=$AT$1),3,
AND(Tabela1[[#This Row],[STATUS PROCESSO MOBILIZAÇÃO]]="Em andamento",Tabela1[[#This Row],[DATA REAL - TREINAMENTOS]]&lt;&gt;""),1)</f>
        <v>1</v>
      </c>
      <c r="L140" s="15" cm="1">
        <f t="array" aca="1" ref="L14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TREIN.]]="",$AY140&gt;$AW$1),2,
AND(Tabela1[[#This Row],[STATUS PROCESSO MOBILIZAÇÃO]]="Em andamento",Tabela1[[#This Row],[DATA REAL - CONCL. TREIN.]]="",$AY140&lt;=$AW$1),3,
AND(Tabela1[[#This Row],[STATUS PROCESSO MOBILIZAÇÃO]]="Em andamento",Tabela1[[#This Row],[DATA REAL - CONCL. TREIN.]]&lt;&gt;""),1)</f>
        <v>1</v>
      </c>
      <c r="M140" s="15" cm="1">
        <f t="array" aca="1" ref="M14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CONTRATUAL]]="",$BB140&gt;$AZ$1),2,
AND(Tabela1[[#This Row],[STATUS PROCESSO MOBILIZAÇÃO]]="Em andamento",Tabela1[[#This Row],[DATA FIM - ALTER. CONTRATUAL]]="",$BB140&lt;=$AZ$1),3,
AND(Tabela1[[#This Row],[STATUS PROCESSO MOBILIZAÇÃO]]="Em andamento",Tabela1[[#This Row],[DATA FIM - ALTER. CONTRATUAL]]&lt;&gt;""),1)</f>
        <v>1</v>
      </c>
      <c r="N140" s="16" cm="1">
        <f t="array" aca="1" ref="N14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DOSSIÊ]]="",$BE140&gt;$BC$1),2,
AND(Tabela1[[#This Row],[STATUS PROCESSO MOBILIZAÇÃO]]="Em andamento",Tabela1[[#This Row],[DATA REAL - DOSSIÊ]]="",$BE140&lt;=$BC$1),3,
AND(Tabela1[[#This Row],[STATUS PROCESSO MOBILIZAÇÃO]]="Em andamento",Tabela1[[#This Row],[DATA REAL - DOSSIÊ]]&lt;&gt;""),1)</f>
        <v>1</v>
      </c>
      <c r="O140" s="16" cm="1">
        <f t="array" aca="1" ref="O14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POSTAGEM]]="",$BH140&gt;$BF$1),2,
AND(Tabela1[[#This Row],[STATUS PROCESSO MOBILIZAÇÃO]]="Em andamento",Tabela1[[#This Row],[DATA REAL - POSTAGEM]]="",$BH140&lt;=$BF$1),3,
AND(Tabela1[[#This Row],[STATUS PROCESSO MOBILIZAÇÃO]]="Em andamento",Tabela1[[#This Row],[DATA REAL - POSTAGEM]]&lt;&gt;""),1)</f>
        <v>1</v>
      </c>
      <c r="P140" s="16" cm="1">
        <f t="array" aca="1" ref="P14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FINAL]]="",$BK140&gt;$BI$1),2,
AND(Tabela1[[#This Row],[STATUS PROCESSO MOBILIZAÇÃO]]="Em andamento",Tabela1[[#This Row],[DATA REAL - APROV FINAL]]="",$BK140&lt;=$BI$1),3,
AND(Tabela1[[#This Row],[STATUS PROCESSO MOBILIZAÇÃO]]="Em andamento",Tabela1[[#This Row],[DATA REAL - APROV FINAL]]&lt;&gt;""),1)</f>
        <v>1</v>
      </c>
      <c r="Q140" s="15" cm="1">
        <f t="array" aca="1" ref="Q14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CRACHÁ]]="",$BN140&gt;$BL$1),2,
AND(Tabela1[[#This Row],[STATUS PROCESSO MOBILIZAÇÃO]]="Em andamento",Tabela1[[#This Row],[DATA REAL - CRACHÁ]]="",$BN140&lt;=$BL$1),3,
AND(Tabela1[[#This Row],[STATUS PROCESSO MOBILIZAÇÃO]]="Em andamento",Tabela1[[#This Row],[DATA REAL - CRACHÁ]]&lt;&gt;""),1)</f>
        <v>1</v>
      </c>
      <c r="R140" s="21">
        <f>IF(Tabela1[[#This Row],[DATA REAL - FORMS]]&lt;&gt;"",Tabela1[[#This Row],[DATA REAL - FORMS]]+30,Tabela1[[#This Row],[DATA PREV - FORMS]]+35)</f>
        <v>45953</v>
      </c>
      <c r="S14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4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U14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55</v>
      </c>
      <c r="V140" s="49">
        <f>MAX(Tabela1[[#This Row],[DATA REAL - POSTAGEM]],Tabela1[[#This Row],[DATA REAL - APROV FINAL]],Tabela1[[#This Row],[DATA REAL - CRACHÁ]])-MIN(Tabela1[[#This Row],[DATA REAL - POSTAGEM]],Tabela1[[#This Row],[DATA REAL - APROV FINAL]],Tabela1[[#This Row],[DATA REAL - CRACHÁ]])+1</f>
        <v>1</v>
      </c>
      <c r="W14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X140" s="15" t="s">
        <v>515</v>
      </c>
      <c r="Y140" s="16"/>
      <c r="Z140" s="18"/>
      <c r="AA140" s="18" t="s">
        <v>131</v>
      </c>
      <c r="AB140" s="16" t="s">
        <v>97</v>
      </c>
      <c r="AC140" s="16" t="s">
        <v>516</v>
      </c>
      <c r="AD140" s="16" t="s">
        <v>516</v>
      </c>
      <c r="AE140" s="16" t="s">
        <v>517</v>
      </c>
      <c r="AF140" s="16" t="s">
        <v>518</v>
      </c>
      <c r="AG140" s="16" t="str">
        <f>_xlfn.XLOOKUP(Tabela1[[#This Row],[CÓD. CT]],Controle_Projetos[COD CT],Controle_Projetos[COD PHD],"")</f>
        <v>SINO-CT01-CONS</v>
      </c>
      <c r="AH140" s="21"/>
      <c r="AI140" s="75">
        <v>45973</v>
      </c>
      <c r="AJ140" s="16" t="str" cm="1">
        <f t="array" aca="1" ref="AJ14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0" s="21">
        <v>45918</v>
      </c>
      <c r="AL140" s="74"/>
      <c r="AM140" s="16" cm="1">
        <f t="array" aca="1" ref="AM14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0" s="21">
        <f>Tabela1[[#This Row],[DATA PREV - FORMS]]+$AN$1</f>
        <v>45925</v>
      </c>
      <c r="AO140" s="74">
        <v>45919</v>
      </c>
      <c r="AP140" s="16" cm="1">
        <f t="array" aca="1" ref="AP14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40" s="21">
        <f>Tabela1[[#This Row],[DATA PREV - EXAMES]]+$AQ$1</f>
        <v>45927</v>
      </c>
      <c r="AR140" s="74">
        <v>45923</v>
      </c>
      <c r="AS140" s="15" cm="1">
        <f t="array" aca="1" ref="AS14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40" s="21">
        <f>Tabela1[[#This Row],[DATA PREV - FORMS]]+$AT$1</f>
        <v>45919</v>
      </c>
      <c r="AU140" s="74">
        <v>45918</v>
      </c>
      <c r="AV140" s="15" cm="1">
        <f t="array" aca="1" ref="AV14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0" s="21">
        <f>Tabela1[[#This Row],[DATA PREV - TREINAMENTOS]]+$AW$1</f>
        <v>45926</v>
      </c>
      <c r="AX140" s="74">
        <v>45918</v>
      </c>
      <c r="AY140" s="15" cm="1">
        <f t="array" aca="1" ref="AY14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0" s="24">
        <v>45922</v>
      </c>
      <c r="BA140" s="74">
        <v>45918</v>
      </c>
      <c r="BB140" s="15" cm="1">
        <f t="array" aca="1" ref="BB14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v>
      </c>
      <c r="BC140" s="21">
        <f>Tabela1[[#This Row],[DATA PREV - CONCL. TREIN.]]+$BC$1</f>
        <v>45928</v>
      </c>
      <c r="BD140" s="74">
        <v>45923</v>
      </c>
      <c r="BE140" s="15" cm="1">
        <f t="array" aca="1" ref="BE14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40" s="21">
        <f>Tabela1[[#This Row],[DATA PREV - DOSSIÊ]]+$BF$1</f>
        <v>45931</v>
      </c>
      <c r="BG140" s="74">
        <v>45940</v>
      </c>
      <c r="BH140" s="15" cm="1">
        <f t="array" aca="1" ref="BH14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40" s="21">
        <f>Tabela1[[#This Row],[DATA PREV - POSTAGEM]]+$BI$1</f>
        <v>45937</v>
      </c>
      <c r="BJ140" s="74">
        <v>45940</v>
      </c>
      <c r="BK140" s="15" cm="1">
        <f t="array" aca="1" ref="BK14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40" s="21">
        <f>Tabela1[[#This Row],[DATA PREV - APROV FINAL]]+$BL$1</f>
        <v>45938</v>
      </c>
      <c r="BM140" s="74">
        <v>45940</v>
      </c>
      <c r="BN140" s="15" cm="1">
        <f t="array" aca="1" ref="BN14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40" s="80" t="s">
        <v>519</v>
      </c>
    </row>
    <row r="141" spans="2:67" ht="18" hidden="1" customHeight="1" x14ac:dyDescent="0.35">
      <c r="B141" s="14" t="s">
        <v>79</v>
      </c>
      <c r="C141" s="16" t="s">
        <v>136</v>
      </c>
      <c r="D141" s="16" t="s">
        <v>108</v>
      </c>
      <c r="E141" s="16"/>
      <c r="F141" s="16" t="s">
        <v>408</v>
      </c>
      <c r="G141" s="16" cm="1">
        <f t="array" ref="G141">_xlfn.IFS(Tabela1[[#This Row],[STATUS PROCESSO MOBILIZAÇÃO]]="Finalizado",1,Tabela1[[#This Row],[STATUS PROCESSO MOBILIZAÇÃO]]="Cancelado",2,Tabela1[[#This Row],[STATUS PROCESSO MOBILIZAÇÃO]]="Em andamento",3)</f>
        <v>1</v>
      </c>
      <c r="H141" s="16" cm="1">
        <f t="array" aca="1" ref="H14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FORMS]]="",$AM141&gt;$AK$1),2,
AND(Tabela1[[#This Row],[STATUS PROCESSO MOBILIZAÇÃO]]="Em andamento",Tabela1[[#This Row],[DATA REAL - FORMS]]="",$AM141&lt;=$AK$1),3,
AND(Tabela1[[#This Row],[STATUS PROCESSO MOBILIZAÇÃO]]="Em andamento",Tabela1[[#This Row],[DATA REAL - FORMS]]&lt;&gt;""),1)</f>
        <v>0</v>
      </c>
      <c r="I141" s="16" cm="1">
        <f t="array" aca="1" ref="I14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EXAMES]]="",$AP141&gt;$AN$1),2,
AND(Tabela1[[#This Row],[STATUS PROCESSO MOBILIZAÇÃO]]="Em andamento",Tabela1[[#This Row],[DATA REAL - EXAMES]]="",$AP141&lt;=$AN$1),3,
AND(Tabela1[[#This Row],[STATUS PROCESSO MOBILIZAÇÃO]]="Em andamento",Tabela1[[#This Row],[DATA REAL - EXAMES]]&lt;&gt;""),1)</f>
        <v>1</v>
      </c>
      <c r="J141" s="16" cm="1">
        <f t="array" aca="1" ref="J14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ASO]]="",$AS141&gt;$AQ$1),2,
AND(Tabela1[[#This Row],[STATUS PROCESSO MOBILIZAÇÃO]]="Em andamento",Tabela1[[#This Row],[DATA REAL - ASO]]="",$AS141&lt;=$AQ$1),3,
AND(Tabela1[[#This Row],[STATUS PROCESSO MOBILIZAÇÃO]]="Em andamento",Tabela1[[#This Row],[DATA REAL - ASO]]&lt;&gt;""),1)</f>
        <v>1</v>
      </c>
      <c r="K141" s="15" cm="1">
        <f t="array" aca="1" ref="K14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TREINAMENTOS]]="",$AV141&gt;$AT$1),2,
AND(Tabela1[[#This Row],[STATUS PROCESSO MOBILIZAÇÃO]]="Em andamento",Tabela1[[#This Row],[DATA REAL - TREINAMENTOS]]="",$AV141&lt;=$AT$1),3,
AND(Tabela1[[#This Row],[STATUS PROCESSO MOBILIZAÇÃO]]="Em andamento",Tabela1[[#This Row],[DATA REAL - TREINAMENTOS]]&lt;&gt;""),1)</f>
        <v>1</v>
      </c>
      <c r="L141" s="15" cm="1">
        <f t="array" aca="1" ref="L14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TREIN.]]="",$AY141&gt;$AW$1),2,
AND(Tabela1[[#This Row],[STATUS PROCESSO MOBILIZAÇÃO]]="Em andamento",Tabela1[[#This Row],[DATA REAL - CONCL. TREIN.]]="",$AY141&lt;=$AW$1),3,
AND(Tabela1[[#This Row],[STATUS PROCESSO MOBILIZAÇÃO]]="Em andamento",Tabela1[[#This Row],[DATA REAL - CONCL. TREIN.]]&lt;&gt;""),1)</f>
        <v>1</v>
      </c>
      <c r="M141" s="15" cm="1">
        <f t="array" aca="1" ref="M14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CONTRATUAL]]="",$BB141&gt;$AZ$1),2,
AND(Tabela1[[#This Row],[STATUS PROCESSO MOBILIZAÇÃO]]="Em andamento",Tabela1[[#This Row],[DATA FIM - ALTER. CONTRATUAL]]="",$BB141&lt;=$AZ$1),3,
AND(Tabela1[[#This Row],[STATUS PROCESSO MOBILIZAÇÃO]]="Em andamento",Tabela1[[#This Row],[DATA FIM - ALTER. CONTRATUAL]]&lt;&gt;""),1)</f>
        <v>1</v>
      </c>
      <c r="N141" s="16" cm="1">
        <f t="array" aca="1" ref="N14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DOSSIÊ]]="",$BE141&gt;$BC$1),2,
AND(Tabela1[[#This Row],[STATUS PROCESSO MOBILIZAÇÃO]]="Em andamento",Tabela1[[#This Row],[DATA REAL - DOSSIÊ]]="",$BE141&lt;=$BC$1),3,
AND(Tabela1[[#This Row],[STATUS PROCESSO MOBILIZAÇÃO]]="Em andamento",Tabela1[[#This Row],[DATA REAL - DOSSIÊ]]&lt;&gt;""),1)</f>
        <v>1</v>
      </c>
      <c r="O141" s="16" cm="1">
        <f t="array" aca="1" ref="O14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POSTAGEM]]="",$BH141&gt;$BF$1),2,
AND(Tabela1[[#This Row],[STATUS PROCESSO MOBILIZAÇÃO]]="Em andamento",Tabela1[[#This Row],[DATA REAL - POSTAGEM]]="",$BH141&lt;=$BF$1),3,
AND(Tabela1[[#This Row],[STATUS PROCESSO MOBILIZAÇÃO]]="Em andamento",Tabela1[[#This Row],[DATA REAL - POSTAGEM]]&lt;&gt;""),1)</f>
        <v>1</v>
      </c>
      <c r="P141" s="16" cm="1">
        <f t="array" aca="1" ref="P14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FINAL]]="",$BK141&gt;$BI$1),2,
AND(Tabela1[[#This Row],[STATUS PROCESSO MOBILIZAÇÃO]]="Em andamento",Tabela1[[#This Row],[DATA REAL - APROV FINAL]]="",$BK141&lt;=$BI$1),3,
AND(Tabela1[[#This Row],[STATUS PROCESSO MOBILIZAÇÃO]]="Em andamento",Tabela1[[#This Row],[DATA REAL - APROV FINAL]]&lt;&gt;""),1)</f>
        <v>1</v>
      </c>
      <c r="Q141" s="15" cm="1">
        <f t="array" aca="1" ref="Q14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CRACHÁ]]="",$BN141&gt;$BL$1),2,
AND(Tabela1[[#This Row],[STATUS PROCESSO MOBILIZAÇÃO]]="Em andamento",Tabela1[[#This Row],[DATA REAL - CRACHÁ]]="",$BN141&lt;=$BL$1),3,
AND(Tabela1[[#This Row],[STATUS PROCESSO MOBILIZAÇÃO]]="Em andamento",Tabela1[[#This Row],[DATA REAL - CRACHÁ]]&lt;&gt;""),1)</f>
        <v>1</v>
      </c>
      <c r="R141" s="21">
        <f>IF(Tabela1[[#This Row],[DATA REAL - FORMS]]&lt;&gt;"",Tabela1[[#This Row],[DATA REAL - FORMS]]+30,Tabela1[[#This Row],[DATA PREV - FORMS]]+35)</f>
        <v>45953</v>
      </c>
      <c r="S14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4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U14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55</v>
      </c>
      <c r="V141" s="49">
        <f>MAX(Tabela1[[#This Row],[DATA REAL - POSTAGEM]],Tabela1[[#This Row],[DATA REAL - APROV FINAL]],Tabela1[[#This Row],[DATA REAL - CRACHÁ]])-MIN(Tabela1[[#This Row],[DATA REAL - POSTAGEM]],Tabela1[[#This Row],[DATA REAL - APROV FINAL]],Tabela1[[#This Row],[DATA REAL - CRACHÁ]])+1</f>
        <v>1</v>
      </c>
      <c r="W14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X141" s="15"/>
      <c r="Y141" s="16"/>
      <c r="Z141" s="18"/>
      <c r="AA141" s="18" t="s">
        <v>131</v>
      </c>
      <c r="AB141" s="16" t="s">
        <v>97</v>
      </c>
      <c r="AC141" s="16" t="s">
        <v>516</v>
      </c>
      <c r="AD141" s="16" t="s">
        <v>516</v>
      </c>
      <c r="AE141" s="16" t="s">
        <v>517</v>
      </c>
      <c r="AF141" s="16" t="s">
        <v>518</v>
      </c>
      <c r="AG141" s="16" t="str">
        <f>_xlfn.XLOOKUP(Tabela1[[#This Row],[CÓD. CT]],Controle_Projetos[COD CT],Controle_Projetos[COD PHD],"")</f>
        <v>SINO-CT01-CONS</v>
      </c>
      <c r="AH141" s="21"/>
      <c r="AI141" s="75">
        <v>45973</v>
      </c>
      <c r="AJ141" s="16" t="str" cm="1">
        <f t="array" aca="1" ref="AJ14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1" s="21">
        <v>45918</v>
      </c>
      <c r="AL141" s="74"/>
      <c r="AM141" s="16" cm="1">
        <f t="array" aca="1" ref="AM14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1" s="21">
        <f>Tabela1[[#This Row],[DATA PREV - FORMS]]+$AN$1</f>
        <v>45925</v>
      </c>
      <c r="AO141" s="74">
        <v>45919</v>
      </c>
      <c r="AP141" s="16" cm="1">
        <f t="array" aca="1" ref="AP14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41" s="21">
        <f>Tabela1[[#This Row],[DATA PREV - EXAMES]]+$AQ$1</f>
        <v>45927</v>
      </c>
      <c r="AR141" s="74">
        <v>45923</v>
      </c>
      <c r="AS141" s="15" cm="1">
        <f t="array" aca="1" ref="AS14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41" s="21">
        <f>Tabela1[[#This Row],[DATA PREV - FORMS]]+$AT$1</f>
        <v>45919</v>
      </c>
      <c r="AU141" s="74">
        <v>45918</v>
      </c>
      <c r="AV141" s="15" cm="1">
        <f t="array" aca="1" ref="AV14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1" s="21">
        <f>Tabela1[[#This Row],[DATA PREV - TREINAMENTOS]]+$AW$1</f>
        <v>45926</v>
      </c>
      <c r="AX141" s="74">
        <v>45918</v>
      </c>
      <c r="AY141" s="15" cm="1">
        <f t="array" aca="1" ref="AY14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1" s="24">
        <v>45922</v>
      </c>
      <c r="BA141" s="74">
        <v>45918</v>
      </c>
      <c r="BB141" s="15" cm="1">
        <f t="array" aca="1" ref="BB14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v>
      </c>
      <c r="BC141" s="21">
        <f>Tabela1[[#This Row],[DATA PREV - CONCL. TREIN.]]+$BC$1</f>
        <v>45928</v>
      </c>
      <c r="BD141" s="74">
        <v>45923</v>
      </c>
      <c r="BE141" s="15" cm="1">
        <f t="array" aca="1" ref="BE14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41" s="21">
        <f>Tabela1[[#This Row],[DATA PREV - DOSSIÊ]]+$BF$1</f>
        <v>45931</v>
      </c>
      <c r="BG141" s="74">
        <v>45940</v>
      </c>
      <c r="BH141" s="15" cm="1">
        <f t="array" aca="1" ref="BH14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41" s="21">
        <f>Tabela1[[#This Row],[DATA PREV - POSTAGEM]]+$BI$1</f>
        <v>45937</v>
      </c>
      <c r="BJ141" s="74">
        <v>45940</v>
      </c>
      <c r="BK141" s="15" cm="1">
        <f t="array" aca="1" ref="BK14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41" s="21">
        <f>Tabela1[[#This Row],[DATA PREV - APROV FINAL]]+$BL$1</f>
        <v>45938</v>
      </c>
      <c r="BM141" s="74">
        <v>45940</v>
      </c>
      <c r="BN141" s="15" cm="1">
        <f t="array" aca="1" ref="BN14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41" s="80" t="s">
        <v>519</v>
      </c>
    </row>
    <row r="142" spans="2:67" ht="18" hidden="1" customHeight="1" x14ac:dyDescent="0.35">
      <c r="B142" s="14" t="s">
        <v>79</v>
      </c>
      <c r="C142" s="16" t="s">
        <v>136</v>
      </c>
      <c r="D142" s="16" t="s">
        <v>108</v>
      </c>
      <c r="E142" s="16"/>
      <c r="F142" s="16" t="s">
        <v>520</v>
      </c>
      <c r="G142" s="16" cm="1">
        <f t="array" ref="G142">_xlfn.IFS(Tabela1[[#This Row],[STATUS PROCESSO MOBILIZAÇÃO]]="Finalizado",1,Tabela1[[#This Row],[STATUS PROCESSO MOBILIZAÇÃO]]="Cancelado",2,Tabela1[[#This Row],[STATUS PROCESSO MOBILIZAÇÃO]]="Em andamento",3)</f>
        <v>1</v>
      </c>
      <c r="H142" s="16" cm="1">
        <f t="array" aca="1" ref="H14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FORMS]]="",$AM142&gt;$AK$1),2,
AND(Tabela1[[#This Row],[STATUS PROCESSO MOBILIZAÇÃO]]="Em andamento",Tabela1[[#This Row],[DATA REAL - FORMS]]="",$AM142&lt;=$AK$1),3,
AND(Tabela1[[#This Row],[STATUS PROCESSO MOBILIZAÇÃO]]="Em andamento",Tabela1[[#This Row],[DATA REAL - FORMS]]&lt;&gt;""),1)</f>
        <v>1</v>
      </c>
      <c r="I142" s="16" cm="1">
        <f t="array" aca="1" ref="I14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EXAMES]]="",$AP142&gt;$AN$1),2,
AND(Tabela1[[#This Row],[STATUS PROCESSO MOBILIZAÇÃO]]="Em andamento",Tabela1[[#This Row],[DATA REAL - EXAMES]]="",$AP142&lt;=$AN$1),3,
AND(Tabela1[[#This Row],[STATUS PROCESSO MOBILIZAÇÃO]]="Em andamento",Tabela1[[#This Row],[DATA REAL - EXAMES]]&lt;&gt;""),1)</f>
        <v>1</v>
      </c>
      <c r="J142" s="16" cm="1">
        <f t="array" aca="1" ref="J14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ASO]]="",$AS142&gt;$AQ$1),2,
AND(Tabela1[[#This Row],[STATUS PROCESSO MOBILIZAÇÃO]]="Em andamento",Tabela1[[#This Row],[DATA REAL - ASO]]="",$AS142&lt;=$AQ$1),3,
AND(Tabela1[[#This Row],[STATUS PROCESSO MOBILIZAÇÃO]]="Em andamento",Tabela1[[#This Row],[DATA REAL - ASO]]&lt;&gt;""),1)</f>
        <v>1</v>
      </c>
      <c r="K142" s="15" cm="1">
        <f t="array" aca="1" ref="K14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TREINAMENTOS]]="",$AV142&gt;$AT$1),2,
AND(Tabela1[[#This Row],[STATUS PROCESSO MOBILIZAÇÃO]]="Em andamento",Tabela1[[#This Row],[DATA REAL - TREINAMENTOS]]="",$AV142&lt;=$AT$1),3,
AND(Tabela1[[#This Row],[STATUS PROCESSO MOBILIZAÇÃO]]="Em andamento",Tabela1[[#This Row],[DATA REAL - TREINAMENTOS]]&lt;&gt;""),1)</f>
        <v>1</v>
      </c>
      <c r="L142" s="15" cm="1">
        <f t="array" aca="1" ref="L14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TREIN.]]="",$AY142&gt;$AW$1),2,
AND(Tabela1[[#This Row],[STATUS PROCESSO MOBILIZAÇÃO]]="Em andamento",Tabela1[[#This Row],[DATA REAL - CONCL. TREIN.]]="",$AY142&lt;=$AW$1),3,
AND(Tabela1[[#This Row],[STATUS PROCESSO MOBILIZAÇÃO]]="Em andamento",Tabela1[[#This Row],[DATA REAL - CONCL. TREIN.]]&lt;&gt;""),1)</f>
        <v>1</v>
      </c>
      <c r="M142" s="15" cm="1">
        <f t="array" aca="1" ref="M14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CONTRATUAL]]="",$BB142&gt;$AZ$1),2,
AND(Tabela1[[#This Row],[STATUS PROCESSO MOBILIZAÇÃO]]="Em andamento",Tabela1[[#This Row],[DATA FIM - ALTER. CONTRATUAL]]="",$BB142&lt;=$AZ$1),3,
AND(Tabela1[[#This Row],[STATUS PROCESSO MOBILIZAÇÃO]]="Em andamento",Tabela1[[#This Row],[DATA FIM - ALTER. CONTRATUAL]]&lt;&gt;""),1)</f>
        <v>1</v>
      </c>
      <c r="N142" s="16" cm="1">
        <f t="array" aca="1" ref="N14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DOSSIÊ]]="",$BE142&gt;$BC$1),2,
AND(Tabela1[[#This Row],[STATUS PROCESSO MOBILIZAÇÃO]]="Em andamento",Tabela1[[#This Row],[DATA REAL - DOSSIÊ]]="",$BE142&lt;=$BC$1),3,
AND(Tabela1[[#This Row],[STATUS PROCESSO MOBILIZAÇÃO]]="Em andamento",Tabela1[[#This Row],[DATA REAL - DOSSIÊ]]&lt;&gt;""),1)</f>
        <v>1</v>
      </c>
      <c r="O142" s="16" cm="1">
        <f t="array" aca="1" ref="O14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POSTAGEM]]="",$BH142&gt;$BF$1),2,
AND(Tabela1[[#This Row],[STATUS PROCESSO MOBILIZAÇÃO]]="Em andamento",Tabela1[[#This Row],[DATA REAL - POSTAGEM]]="",$BH142&lt;=$BF$1),3,
AND(Tabela1[[#This Row],[STATUS PROCESSO MOBILIZAÇÃO]]="Em andamento",Tabela1[[#This Row],[DATA REAL - POSTAGEM]]&lt;&gt;""),1)</f>
        <v>1</v>
      </c>
      <c r="P142" s="16" cm="1">
        <f t="array" aca="1" ref="P14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FINAL]]="",$BK142&gt;$BI$1),2,
AND(Tabela1[[#This Row],[STATUS PROCESSO MOBILIZAÇÃO]]="Em andamento",Tabela1[[#This Row],[DATA REAL - APROV FINAL]]="",$BK142&lt;=$BI$1),3,
AND(Tabela1[[#This Row],[STATUS PROCESSO MOBILIZAÇÃO]]="Em andamento",Tabela1[[#This Row],[DATA REAL - APROV FINAL]]&lt;&gt;""),1)</f>
        <v>1</v>
      </c>
      <c r="Q142" s="15" cm="1">
        <f t="array" aca="1" ref="Q14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CRACHÁ]]="",$BN142&gt;$BL$1),2,
AND(Tabela1[[#This Row],[STATUS PROCESSO MOBILIZAÇÃO]]="Em andamento",Tabela1[[#This Row],[DATA REAL - CRACHÁ]]="",$BN142&lt;=$BL$1),3,
AND(Tabela1[[#This Row],[STATUS PROCESSO MOBILIZAÇÃO]]="Em andamento",Tabela1[[#This Row],[DATA REAL - CRACHÁ]]&lt;&gt;""),1)</f>
        <v>1</v>
      </c>
      <c r="R142" s="21">
        <f>IF(Tabela1[[#This Row],[DATA REAL - FORMS]]&lt;&gt;"",Tabela1[[#This Row],[DATA REAL - FORMS]]+30,Tabela1[[#This Row],[DATA PREV - FORMS]]+35)</f>
        <v>45952</v>
      </c>
      <c r="S14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45980</v>
      </c>
      <c r="T14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68</v>
      </c>
      <c r="U14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42</v>
      </c>
      <c r="V142" s="49">
        <f>MAX(Tabela1[[#This Row],[DATA REAL - POSTAGEM]],Tabela1[[#This Row],[DATA REAL - APROV FINAL]],Tabela1[[#This Row],[DATA REAL - CRACHÁ]])-MIN(Tabela1[[#This Row],[DATA REAL - POSTAGEM]],Tabela1[[#This Row],[DATA REAL - APROV FINAL]],Tabela1[[#This Row],[DATA REAL - CRACHÁ]])+1</f>
        <v>15</v>
      </c>
      <c r="W14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2" s="15" t="s">
        <v>83</v>
      </c>
      <c r="Y142" s="16" t="s">
        <v>84</v>
      </c>
      <c r="Z142" s="18" t="s">
        <v>85</v>
      </c>
      <c r="AA142" s="18" t="s">
        <v>86</v>
      </c>
      <c r="AB142" s="16" t="s">
        <v>97</v>
      </c>
      <c r="AC142" s="16" t="s">
        <v>521</v>
      </c>
      <c r="AD142" s="16" t="s">
        <v>522</v>
      </c>
      <c r="AE142" s="16"/>
      <c r="AF142" s="16" t="s">
        <v>523</v>
      </c>
      <c r="AG142" s="16" t="str">
        <f>_xlfn.XLOOKUP(Tabela1[[#This Row],[CÓD. CT]],Controle_Projetos[COD CT],Controle_Projetos[COD PHD],"")</f>
        <v>PAVI-CT01-PLAN</v>
      </c>
      <c r="AH142" s="21"/>
      <c r="AI142" s="75">
        <v>45912</v>
      </c>
      <c r="AJ142" s="16" t="str" cm="1">
        <f t="array" aca="1" ref="AJ14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2" s="21">
        <v>45922</v>
      </c>
      <c r="AL142" s="74">
        <v>45922</v>
      </c>
      <c r="AM142" s="16" cm="1">
        <f t="array" aca="1" ref="AM14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2" s="21">
        <f>Tabela1[[#This Row],[DATA PREV - FORMS]]+$AN$1</f>
        <v>45929</v>
      </c>
      <c r="AO142" s="74">
        <v>45922</v>
      </c>
      <c r="AP142" s="16" cm="1">
        <f t="array" aca="1" ref="AP14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2" s="21">
        <f>Tabela1[[#This Row],[DATA PREV - EXAMES]]+$AQ$1</f>
        <v>45931</v>
      </c>
      <c r="AR142" s="74">
        <v>45923</v>
      </c>
      <c r="AS142" s="15" cm="1">
        <f t="array" aca="1" ref="AS14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42" s="21">
        <f>Tabela1[[#This Row],[DATA PREV - FORMS]]+$AT$1</f>
        <v>45923</v>
      </c>
      <c r="AU142" s="74">
        <v>45922</v>
      </c>
      <c r="AV142" s="15" cm="1">
        <f t="array" aca="1" ref="AV14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2" s="21">
        <f>Tabela1[[#This Row],[DATA PREV - TREINAMENTOS]]+$AW$1</f>
        <v>45930</v>
      </c>
      <c r="AX142" s="74">
        <v>45923</v>
      </c>
      <c r="AY142" s="15" cm="1">
        <f t="array" aca="1" ref="AY14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42" s="24">
        <v>45929</v>
      </c>
      <c r="BA142" s="74">
        <v>45954</v>
      </c>
      <c r="BB142" s="15" cm="1">
        <f t="array" aca="1" ref="BB14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26</v>
      </c>
      <c r="BC142" s="21">
        <f>Tabela1[[#This Row],[DATA PREV - CONCL. TREIN.]]+$BC$1</f>
        <v>45932</v>
      </c>
      <c r="BD142" s="74">
        <v>45954</v>
      </c>
      <c r="BE142" s="15" cm="1">
        <f t="array" aca="1" ref="BE14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23</v>
      </c>
      <c r="BF142" s="21">
        <f>Tabela1[[#This Row],[DATA PREV - DOSSIÊ]]+$BF$1</f>
        <v>45935</v>
      </c>
      <c r="BG142" s="74">
        <v>45966</v>
      </c>
      <c r="BH142" s="15" cm="1">
        <f t="array" aca="1" ref="BH14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32</v>
      </c>
      <c r="BI142" s="21">
        <f>Tabela1[[#This Row],[DATA PREV - POSTAGEM]]+$BI$1</f>
        <v>45941</v>
      </c>
      <c r="BJ142" s="74">
        <v>45980</v>
      </c>
      <c r="BK142" s="15" cm="1">
        <f t="array" aca="1" ref="BK14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40</v>
      </c>
      <c r="BL142" s="21">
        <f>Tabela1[[#This Row],[DATA PREV - APROV FINAL]]+$BL$1</f>
        <v>45942</v>
      </c>
      <c r="BM142" s="74">
        <v>45980</v>
      </c>
      <c r="BN142" s="15" cm="1">
        <f t="array" aca="1" ref="BN14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39</v>
      </c>
      <c r="BO142" s="81" t="s">
        <v>524</v>
      </c>
    </row>
    <row r="143" spans="2:67" ht="18" hidden="1" customHeight="1" x14ac:dyDescent="0.35">
      <c r="B143" s="14" t="s">
        <v>79</v>
      </c>
      <c r="C143" s="16" t="s">
        <v>136</v>
      </c>
      <c r="D143" s="16" t="s">
        <v>81</v>
      </c>
      <c r="E143" s="16"/>
      <c r="F143" s="16" t="s">
        <v>251</v>
      </c>
      <c r="G143" s="16" cm="1">
        <f t="array" ref="G143">_xlfn.IFS(Tabela1[[#This Row],[STATUS PROCESSO MOBILIZAÇÃO]]="Finalizado",1,Tabela1[[#This Row],[STATUS PROCESSO MOBILIZAÇÃO]]="Cancelado",2,Tabela1[[#This Row],[STATUS PROCESSO MOBILIZAÇÃO]]="Em andamento",3)</f>
        <v>1</v>
      </c>
      <c r="H143" s="16" cm="1">
        <f t="array" aca="1" ref="H14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FORMS]]="",$AM143&gt;$AK$1),2,
AND(Tabela1[[#This Row],[STATUS PROCESSO MOBILIZAÇÃO]]="Em andamento",Tabela1[[#This Row],[DATA REAL - FORMS]]="",$AM143&lt;=$AK$1),3,
AND(Tabela1[[#This Row],[STATUS PROCESSO MOBILIZAÇÃO]]="Em andamento",Tabela1[[#This Row],[DATA REAL - FORMS]]&lt;&gt;""),1)</f>
        <v>1</v>
      </c>
      <c r="I143" s="16" cm="1">
        <f t="array" aca="1" ref="I14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EXAMES]]="",$AP143&gt;$AN$1),2,
AND(Tabela1[[#This Row],[STATUS PROCESSO MOBILIZAÇÃO]]="Em andamento",Tabela1[[#This Row],[DATA REAL - EXAMES]]="",$AP143&lt;=$AN$1),3,
AND(Tabela1[[#This Row],[STATUS PROCESSO MOBILIZAÇÃO]]="Em andamento",Tabela1[[#This Row],[DATA REAL - EXAMES]]&lt;&gt;""),1)</f>
        <v>1</v>
      </c>
      <c r="J143" s="16" cm="1">
        <f t="array" aca="1" ref="J14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ASO]]="",$AS143&gt;$AQ$1),2,
AND(Tabela1[[#This Row],[STATUS PROCESSO MOBILIZAÇÃO]]="Em andamento",Tabela1[[#This Row],[DATA REAL - ASO]]="",$AS143&lt;=$AQ$1),3,
AND(Tabela1[[#This Row],[STATUS PROCESSO MOBILIZAÇÃO]]="Em andamento",Tabela1[[#This Row],[DATA REAL - ASO]]&lt;&gt;""),1)</f>
        <v>1</v>
      </c>
      <c r="K143" s="15" cm="1">
        <f t="array" aca="1" ref="K14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TREINAMENTOS]]="",$AV143&gt;$AT$1),2,
AND(Tabela1[[#This Row],[STATUS PROCESSO MOBILIZAÇÃO]]="Em andamento",Tabela1[[#This Row],[DATA REAL - TREINAMENTOS]]="",$AV143&lt;=$AT$1),3,
AND(Tabela1[[#This Row],[STATUS PROCESSO MOBILIZAÇÃO]]="Em andamento",Tabela1[[#This Row],[DATA REAL - TREINAMENTOS]]&lt;&gt;""),1)</f>
        <v>1</v>
      </c>
      <c r="L143" s="15" cm="1">
        <f t="array" aca="1" ref="L14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TREIN.]]="",$AY143&gt;$AW$1),2,
AND(Tabela1[[#This Row],[STATUS PROCESSO MOBILIZAÇÃO]]="Em andamento",Tabela1[[#This Row],[DATA REAL - CONCL. TREIN.]]="",$AY143&lt;=$AW$1),3,
AND(Tabela1[[#This Row],[STATUS PROCESSO MOBILIZAÇÃO]]="Em andamento",Tabela1[[#This Row],[DATA REAL - CONCL. TREIN.]]&lt;&gt;""),1)</f>
        <v>1</v>
      </c>
      <c r="M143" s="15" cm="1">
        <f t="array" aca="1" ref="M14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CONTRATUAL]]="",$BB143&gt;$AZ$1),2,
AND(Tabela1[[#This Row],[STATUS PROCESSO MOBILIZAÇÃO]]="Em andamento",Tabela1[[#This Row],[DATA FIM - ALTER. CONTRATUAL]]="",$BB143&lt;=$AZ$1),3,
AND(Tabela1[[#This Row],[STATUS PROCESSO MOBILIZAÇÃO]]="Em andamento",Tabela1[[#This Row],[DATA FIM - ALTER. CONTRATUAL]]&lt;&gt;""),1)</f>
        <v>1</v>
      </c>
      <c r="N143" s="16" cm="1">
        <f t="array" aca="1" ref="N14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DOSSIÊ]]="",$BE143&gt;$BC$1),2,
AND(Tabela1[[#This Row],[STATUS PROCESSO MOBILIZAÇÃO]]="Em andamento",Tabela1[[#This Row],[DATA REAL - DOSSIÊ]]="",$BE143&lt;=$BC$1),3,
AND(Tabela1[[#This Row],[STATUS PROCESSO MOBILIZAÇÃO]]="Em andamento",Tabela1[[#This Row],[DATA REAL - DOSSIÊ]]&lt;&gt;""),1)</f>
        <v>1</v>
      </c>
      <c r="O143" s="16" cm="1">
        <f t="array" aca="1" ref="O14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POSTAGEM]]="",$BH143&gt;$BF$1),2,
AND(Tabela1[[#This Row],[STATUS PROCESSO MOBILIZAÇÃO]]="Em andamento",Tabela1[[#This Row],[DATA REAL - POSTAGEM]]="",$BH143&lt;=$BF$1),3,
AND(Tabela1[[#This Row],[STATUS PROCESSO MOBILIZAÇÃO]]="Em andamento",Tabela1[[#This Row],[DATA REAL - POSTAGEM]]&lt;&gt;""),1)</f>
        <v>1</v>
      </c>
      <c r="P143" s="16" cm="1">
        <f t="array" aca="1" ref="P14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FINAL]]="",$BK143&gt;$BI$1),2,
AND(Tabela1[[#This Row],[STATUS PROCESSO MOBILIZAÇÃO]]="Em andamento",Tabela1[[#This Row],[DATA REAL - APROV FINAL]]="",$BK143&lt;=$BI$1),3,
AND(Tabela1[[#This Row],[STATUS PROCESSO MOBILIZAÇÃO]]="Em andamento",Tabela1[[#This Row],[DATA REAL - APROV FINAL]]&lt;&gt;""),1)</f>
        <v>1</v>
      </c>
      <c r="Q143" s="15" cm="1">
        <f t="array" aca="1" ref="Q14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CRACHÁ]]="",$BN143&gt;$BL$1),2,
AND(Tabela1[[#This Row],[STATUS PROCESSO MOBILIZAÇÃO]]="Em andamento",Tabela1[[#This Row],[DATA REAL - CRACHÁ]]="",$BN143&lt;=$BL$1),3,
AND(Tabela1[[#This Row],[STATUS PROCESSO MOBILIZAÇÃO]]="Em andamento",Tabela1[[#This Row],[DATA REAL - CRACHÁ]]&lt;&gt;""),1)</f>
        <v>1</v>
      </c>
      <c r="R143" s="21">
        <f>IF(Tabela1[[#This Row],[DATA REAL - FORMS]]&lt;&gt;"",Tabela1[[#This Row],[DATA REAL - FORMS]]+30,Tabela1[[#This Row],[DATA PREV - FORMS]]+35)</f>
        <v>45952</v>
      </c>
      <c r="S14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45932</v>
      </c>
      <c r="T14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54</v>
      </c>
      <c r="U14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53</v>
      </c>
      <c r="V143" s="49">
        <f>MAX(Tabela1[[#This Row],[DATA REAL - POSTAGEM]],Tabela1[[#This Row],[DATA REAL - APROV FINAL]],Tabela1[[#This Row],[DATA REAL - CRACHÁ]])-MIN(Tabela1[[#This Row],[DATA REAL - POSTAGEM]],Tabela1[[#This Row],[DATA REAL - APROV FINAL]],Tabela1[[#This Row],[DATA REAL - CRACHÁ]])+1</f>
        <v>2</v>
      </c>
      <c r="W14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3" s="15" t="s">
        <v>83</v>
      </c>
      <c r="Y143" s="16" t="s">
        <v>84</v>
      </c>
      <c r="Z143" s="18" t="s">
        <v>85</v>
      </c>
      <c r="AA143" s="18" t="s">
        <v>86</v>
      </c>
      <c r="AB143" s="16" t="s">
        <v>97</v>
      </c>
      <c r="AC143" s="16" t="s">
        <v>400</v>
      </c>
      <c r="AD143" s="16" t="s">
        <v>89</v>
      </c>
      <c r="AE143" s="16"/>
      <c r="AF143" s="16" t="s">
        <v>402</v>
      </c>
      <c r="AG143" s="16" t="str">
        <f>_xlfn.XLOOKUP(Tabela1[[#This Row],[CÓD. CT]],Controle_Projetos[COD CT],Controle_Projetos[COD PHD],"")</f>
        <v>FIDE-CT02-PDER</v>
      </c>
      <c r="AH143" s="21"/>
      <c r="AI143" s="75">
        <v>45878</v>
      </c>
      <c r="AJ143" s="16" t="str" cm="1">
        <f t="array" aca="1" ref="AJ14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3" s="21">
        <v>45922</v>
      </c>
      <c r="AL143" s="74">
        <v>45922</v>
      </c>
      <c r="AM143" s="16" cm="1">
        <f t="array" aca="1" ref="AM14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3" s="21">
        <f>Tabela1[[#This Row],[DATA PREV - FORMS]]+$AN$1</f>
        <v>45929</v>
      </c>
      <c r="AO143" s="74">
        <v>45922</v>
      </c>
      <c r="AP143" s="16" cm="1">
        <f t="array" aca="1" ref="AP14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3" s="21">
        <f>Tabela1[[#This Row],[DATA PREV - EXAMES]]+$AQ$1</f>
        <v>45931</v>
      </c>
      <c r="AR143" s="74">
        <v>45931</v>
      </c>
      <c r="AS143" s="15" cm="1">
        <f t="array" aca="1" ref="AS14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43" s="21">
        <f>Tabela1[[#This Row],[DATA PREV - FORMS]]+$AT$1</f>
        <v>45923</v>
      </c>
      <c r="AU143" s="74">
        <v>45922</v>
      </c>
      <c r="AV143" s="15" cm="1">
        <f t="array" aca="1" ref="AV14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3" s="21">
        <f>Tabela1[[#This Row],[DATA PREV - TREINAMENTOS]]+$AW$1</f>
        <v>45930</v>
      </c>
      <c r="AX143" s="74">
        <v>45922</v>
      </c>
      <c r="AY143" s="15" cm="1">
        <f t="array" aca="1" ref="AY14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3" s="24">
        <v>45925</v>
      </c>
      <c r="BA143" s="74">
        <v>45922</v>
      </c>
      <c r="BB143" s="15" cm="1">
        <f t="array" aca="1" ref="BB14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v>
      </c>
      <c r="BC143" s="21">
        <f>Tabela1[[#This Row],[DATA PREV - CONCL. TREIN.]]+$BC$1</f>
        <v>45932</v>
      </c>
      <c r="BD143" s="74">
        <v>45931</v>
      </c>
      <c r="BE143" s="15" cm="1">
        <f t="array" aca="1" ref="BE14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143" s="21">
        <f>Tabela1[[#This Row],[DATA PREV - DOSSIÊ]]+$BF$1</f>
        <v>45935</v>
      </c>
      <c r="BG143" s="74">
        <v>45931</v>
      </c>
      <c r="BH143" s="15" cm="1">
        <f t="array" aca="1" ref="BH14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43" s="21">
        <f>Tabela1[[#This Row],[DATA PREV - POSTAGEM]]+$BI$1</f>
        <v>45941</v>
      </c>
      <c r="BJ143" s="74">
        <v>45932</v>
      </c>
      <c r="BK143" s="15" cm="1">
        <f t="array" aca="1" ref="BK14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143" s="21">
        <f>Tabela1[[#This Row],[DATA PREV - APROV FINAL]]+$BL$1</f>
        <v>45942</v>
      </c>
      <c r="BM143" s="74">
        <v>45932</v>
      </c>
      <c r="BN143" s="15" cm="1">
        <f t="array" aca="1" ref="BN14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143" s="80" t="s">
        <v>525</v>
      </c>
    </row>
    <row r="144" spans="2:67" ht="18" hidden="1" customHeight="1" x14ac:dyDescent="0.35">
      <c r="B144" s="14" t="s">
        <v>79</v>
      </c>
      <c r="C144" s="16" t="s">
        <v>136</v>
      </c>
      <c r="D144" s="16" t="s">
        <v>108</v>
      </c>
      <c r="E144" s="16"/>
      <c r="F144" s="16" t="s">
        <v>526</v>
      </c>
      <c r="G144" s="16" cm="1">
        <f t="array" ref="G144">_xlfn.IFS(Tabela1[[#This Row],[STATUS PROCESSO MOBILIZAÇÃO]]="Finalizado",1,Tabela1[[#This Row],[STATUS PROCESSO MOBILIZAÇÃO]]="Cancelado",2,Tabela1[[#This Row],[STATUS PROCESSO MOBILIZAÇÃO]]="Em andamento",3)</f>
        <v>1</v>
      </c>
      <c r="H144" s="16" cm="1">
        <f t="array" aca="1" ref="H14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FORMS]]="",$AM144&gt;$AK$1),2,
AND(Tabela1[[#This Row],[STATUS PROCESSO MOBILIZAÇÃO]]="Em andamento",Tabela1[[#This Row],[DATA REAL - FORMS]]="",$AM144&lt;=$AK$1),3,
AND(Tabela1[[#This Row],[STATUS PROCESSO MOBILIZAÇÃO]]="Em andamento",Tabela1[[#This Row],[DATA REAL - FORMS]]&lt;&gt;""),1)</f>
        <v>1</v>
      </c>
      <c r="I144" s="16" cm="1">
        <f t="array" aca="1" ref="I14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EXAMES]]="",$AP144&gt;$AN$1),2,
AND(Tabela1[[#This Row],[STATUS PROCESSO MOBILIZAÇÃO]]="Em andamento",Tabela1[[#This Row],[DATA REAL - EXAMES]]="",$AP144&lt;=$AN$1),3,
AND(Tabela1[[#This Row],[STATUS PROCESSO MOBILIZAÇÃO]]="Em andamento",Tabela1[[#This Row],[DATA REAL - EXAMES]]&lt;&gt;""),1)</f>
        <v>1</v>
      </c>
      <c r="J144" s="16" cm="1">
        <f t="array" aca="1" ref="J14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ASO]]="",$AS144&gt;$AQ$1),2,
AND(Tabela1[[#This Row],[STATUS PROCESSO MOBILIZAÇÃO]]="Em andamento",Tabela1[[#This Row],[DATA REAL - ASO]]="",$AS144&lt;=$AQ$1),3,
AND(Tabela1[[#This Row],[STATUS PROCESSO MOBILIZAÇÃO]]="Em andamento",Tabela1[[#This Row],[DATA REAL - ASO]]&lt;&gt;""),1)</f>
        <v>1</v>
      </c>
      <c r="K144" s="15" cm="1">
        <f t="array" aca="1" ref="K14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TREINAMENTOS]]="",$AV144&gt;$AT$1),2,
AND(Tabela1[[#This Row],[STATUS PROCESSO MOBILIZAÇÃO]]="Em andamento",Tabela1[[#This Row],[DATA REAL - TREINAMENTOS]]="",$AV144&lt;=$AT$1),3,
AND(Tabela1[[#This Row],[STATUS PROCESSO MOBILIZAÇÃO]]="Em andamento",Tabela1[[#This Row],[DATA REAL - TREINAMENTOS]]&lt;&gt;""),1)</f>
        <v>1</v>
      </c>
      <c r="L144" s="15" cm="1">
        <f t="array" aca="1" ref="L14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TREIN.]]="",$AY144&gt;$AW$1),2,
AND(Tabela1[[#This Row],[STATUS PROCESSO MOBILIZAÇÃO]]="Em andamento",Tabela1[[#This Row],[DATA REAL - CONCL. TREIN.]]="",$AY144&lt;=$AW$1),3,
AND(Tabela1[[#This Row],[STATUS PROCESSO MOBILIZAÇÃO]]="Em andamento",Tabela1[[#This Row],[DATA REAL - CONCL. TREIN.]]&lt;&gt;""),1)</f>
        <v>1</v>
      </c>
      <c r="M144" s="15" cm="1">
        <f t="array" aca="1" ref="M14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CONTRATUAL]]="",$BB144&gt;$AZ$1),2,
AND(Tabela1[[#This Row],[STATUS PROCESSO MOBILIZAÇÃO]]="Em andamento",Tabela1[[#This Row],[DATA FIM - ALTER. CONTRATUAL]]="",$BB144&lt;=$AZ$1),3,
AND(Tabela1[[#This Row],[STATUS PROCESSO MOBILIZAÇÃO]]="Em andamento",Tabela1[[#This Row],[DATA FIM - ALTER. CONTRATUAL]]&lt;&gt;""),1)</f>
        <v>1</v>
      </c>
      <c r="N144" s="16" cm="1">
        <f t="array" aca="1" ref="N14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DOSSIÊ]]="",$BE144&gt;$BC$1),2,
AND(Tabela1[[#This Row],[STATUS PROCESSO MOBILIZAÇÃO]]="Em andamento",Tabela1[[#This Row],[DATA REAL - DOSSIÊ]]="",$BE144&lt;=$BC$1),3,
AND(Tabela1[[#This Row],[STATUS PROCESSO MOBILIZAÇÃO]]="Em andamento",Tabela1[[#This Row],[DATA REAL - DOSSIÊ]]&lt;&gt;""),1)</f>
        <v>1</v>
      </c>
      <c r="O144" s="16" cm="1">
        <f t="array" aca="1" ref="O14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POSTAGEM]]="",$BH144&gt;$BF$1),2,
AND(Tabela1[[#This Row],[STATUS PROCESSO MOBILIZAÇÃO]]="Em andamento",Tabela1[[#This Row],[DATA REAL - POSTAGEM]]="",$BH144&lt;=$BF$1),3,
AND(Tabela1[[#This Row],[STATUS PROCESSO MOBILIZAÇÃO]]="Em andamento",Tabela1[[#This Row],[DATA REAL - POSTAGEM]]&lt;&gt;""),1)</f>
        <v>1</v>
      </c>
      <c r="P144" s="16" cm="1">
        <f t="array" aca="1" ref="P14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FINAL]]="",$BK144&gt;$BI$1),2,
AND(Tabela1[[#This Row],[STATUS PROCESSO MOBILIZAÇÃO]]="Em andamento",Tabela1[[#This Row],[DATA REAL - APROV FINAL]]="",$BK144&lt;=$BI$1),3,
AND(Tabela1[[#This Row],[STATUS PROCESSO MOBILIZAÇÃO]]="Em andamento",Tabela1[[#This Row],[DATA REAL - APROV FINAL]]&lt;&gt;""),1)</f>
        <v>1</v>
      </c>
      <c r="Q144" s="15" cm="1">
        <f t="array" aca="1" ref="Q14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CRACHÁ]]="",$BN144&gt;$BL$1),2,
AND(Tabela1[[#This Row],[STATUS PROCESSO MOBILIZAÇÃO]]="Em andamento",Tabela1[[#This Row],[DATA REAL - CRACHÁ]]="",$BN144&lt;=$BL$1),3,
AND(Tabela1[[#This Row],[STATUS PROCESSO MOBILIZAÇÃO]]="Em andamento",Tabela1[[#This Row],[DATA REAL - CRACHÁ]]&lt;&gt;""),1)</f>
        <v>1</v>
      </c>
      <c r="R144" s="21">
        <f>IF(Tabela1[[#This Row],[DATA REAL - FORMS]]&lt;&gt;"",Tabela1[[#This Row],[DATA REAL - FORMS]]+30,Tabela1[[#This Row],[DATA PREV - FORMS]]+35)</f>
        <v>45956</v>
      </c>
      <c r="S14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4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48</v>
      </c>
      <c r="U14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48</v>
      </c>
      <c r="V144" s="49">
        <f>MAX(Tabela1[[#This Row],[DATA REAL - POSTAGEM]],Tabela1[[#This Row],[DATA REAL - APROV FINAL]],Tabela1[[#This Row],[DATA REAL - CRACHÁ]])-MIN(Tabela1[[#This Row],[DATA REAL - POSTAGEM]],Tabela1[[#This Row],[DATA REAL - APROV FINAL]],Tabela1[[#This Row],[DATA REAL - CRACHÁ]])+1</f>
        <v>32</v>
      </c>
      <c r="W14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48</v>
      </c>
      <c r="X144" s="15" t="s">
        <v>121</v>
      </c>
      <c r="Y144" s="16" t="s">
        <v>122</v>
      </c>
      <c r="Z144" s="18" t="s">
        <v>123</v>
      </c>
      <c r="AA144" s="18" t="s">
        <v>124</v>
      </c>
      <c r="AB144" s="16" t="s">
        <v>97</v>
      </c>
      <c r="AC144" s="16" t="s">
        <v>516</v>
      </c>
      <c r="AD144" s="16" t="s">
        <v>516</v>
      </c>
      <c r="AE144" s="16" t="s">
        <v>517</v>
      </c>
      <c r="AF144" s="16" t="s">
        <v>518</v>
      </c>
      <c r="AG144" s="16" t="str">
        <f>_xlfn.XLOOKUP(Tabela1[[#This Row],[CÓD. CT]],Controle_Projetos[COD CT],Controle_Projetos[COD PHD],"")</f>
        <v>SINO-CT01-CONS</v>
      </c>
      <c r="AH144" s="21"/>
      <c r="AI144" s="75">
        <v>45973</v>
      </c>
      <c r="AJ144" s="16" t="str" cm="1">
        <f t="array" aca="1" ref="AJ14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4" s="21">
        <v>45925</v>
      </c>
      <c r="AL144" s="74">
        <v>45926</v>
      </c>
      <c r="AM144" s="16" cm="1">
        <f t="array" aca="1" ref="AM14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144" s="21">
        <f>Tabela1[[#This Row],[DATA PREV - FORMS]]+$AN$1</f>
        <v>45932</v>
      </c>
      <c r="AO144" s="74">
        <v>45925</v>
      </c>
      <c r="AP144" s="16" cm="1">
        <f t="array" aca="1" ref="AP14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4" s="21">
        <f>Tabela1[[#This Row],[DATA PREV - EXAMES]]+$AQ$1</f>
        <v>45934</v>
      </c>
      <c r="AR144" s="74">
        <v>45936</v>
      </c>
      <c r="AS144" s="15" cm="1">
        <f t="array" aca="1" ref="AS14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44" s="21">
        <f>Tabela1[[#This Row],[DATA PREV - FORMS]]+$AT$1</f>
        <v>45926</v>
      </c>
      <c r="AU144" s="74">
        <v>45925</v>
      </c>
      <c r="AV144" s="15" cm="1">
        <f t="array" aca="1" ref="AV14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4" s="21">
        <f>Tabela1[[#This Row],[DATA PREV - TREINAMENTOS]]+$AW$1</f>
        <v>45933</v>
      </c>
      <c r="AX144" s="74">
        <v>45925</v>
      </c>
      <c r="AY144" s="15" cm="1">
        <f t="array" aca="1" ref="AY14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4" s="24">
        <v>45932</v>
      </c>
      <c r="BA144" s="74">
        <v>45925</v>
      </c>
      <c r="BB144" s="15" cm="1">
        <f t="array" aca="1" ref="BB14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v>
      </c>
      <c r="BC144" s="21">
        <f>Tabela1[[#This Row],[DATA PREV - CONCL. TREIN.]]+$BC$1</f>
        <v>45935</v>
      </c>
      <c r="BD144" s="74">
        <v>45936</v>
      </c>
      <c r="BE144" s="15" cm="1">
        <f t="array" aca="1" ref="BE14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144" s="21">
        <f>Tabela1[[#This Row],[DATA PREV - DOSSIÊ]]+$BF$1</f>
        <v>45938</v>
      </c>
      <c r="BG144" s="74">
        <v>45936</v>
      </c>
      <c r="BH144" s="15" cm="1">
        <f t="array" aca="1" ref="BH14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44" s="21">
        <f>Tabela1[[#This Row],[DATA PREV - POSTAGEM]]+$BI$1</f>
        <v>45944</v>
      </c>
      <c r="BJ144" s="74">
        <v>45967</v>
      </c>
      <c r="BK144" s="15" cm="1">
        <f t="array" aca="1" ref="BK14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24</v>
      </c>
      <c r="BL144" s="21">
        <f>Tabela1[[#This Row],[DATA PREV - APROV FINAL]]+$BL$1</f>
        <v>45945</v>
      </c>
      <c r="BM144" s="74">
        <v>45967</v>
      </c>
      <c r="BN144" s="15" cm="1">
        <f t="array" aca="1" ref="BN14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23</v>
      </c>
      <c r="BO144" s="80" t="s">
        <v>527</v>
      </c>
    </row>
    <row r="145" spans="2:67" ht="18" hidden="1" customHeight="1" x14ac:dyDescent="0.35">
      <c r="B145" s="14" t="s">
        <v>79</v>
      </c>
      <c r="C145" s="16" t="s">
        <v>136</v>
      </c>
      <c r="D145" s="16" t="s">
        <v>81</v>
      </c>
      <c r="E145" s="16"/>
      <c r="F145" s="16" t="s">
        <v>528</v>
      </c>
      <c r="G145" s="16" cm="1">
        <f t="array" ref="G145">_xlfn.IFS(Tabela1[[#This Row],[STATUS PROCESSO MOBILIZAÇÃO]]="Finalizado",1,Tabela1[[#This Row],[STATUS PROCESSO MOBILIZAÇÃO]]="Cancelado",2,Tabela1[[#This Row],[STATUS PROCESSO MOBILIZAÇÃO]]="Em andamento",3)</f>
        <v>1</v>
      </c>
      <c r="H145" s="16" cm="1">
        <f t="array" aca="1" ref="H14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FORMS]]="",$AM145&gt;$AK$1),2,
AND(Tabela1[[#This Row],[STATUS PROCESSO MOBILIZAÇÃO]]="Em andamento",Tabela1[[#This Row],[DATA REAL - FORMS]]="",$AM145&lt;=$AK$1),3,
AND(Tabela1[[#This Row],[STATUS PROCESSO MOBILIZAÇÃO]]="Em andamento",Tabela1[[#This Row],[DATA REAL - FORMS]]&lt;&gt;""),1)</f>
        <v>1</v>
      </c>
      <c r="I145" s="16" cm="1">
        <f t="array" aca="1" ref="I14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EXAMES]]="",$AP145&gt;$AN$1),2,
AND(Tabela1[[#This Row],[STATUS PROCESSO MOBILIZAÇÃO]]="Em andamento",Tabela1[[#This Row],[DATA REAL - EXAMES]]="",$AP145&lt;=$AN$1),3,
AND(Tabela1[[#This Row],[STATUS PROCESSO MOBILIZAÇÃO]]="Em andamento",Tabela1[[#This Row],[DATA REAL - EXAMES]]&lt;&gt;""),1)</f>
        <v>1</v>
      </c>
      <c r="J145" s="16" cm="1">
        <f t="array" aca="1" ref="J14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ASO]]="",$AS145&gt;$AQ$1),2,
AND(Tabela1[[#This Row],[STATUS PROCESSO MOBILIZAÇÃO]]="Em andamento",Tabela1[[#This Row],[DATA REAL - ASO]]="",$AS145&lt;=$AQ$1),3,
AND(Tabela1[[#This Row],[STATUS PROCESSO MOBILIZAÇÃO]]="Em andamento",Tabela1[[#This Row],[DATA REAL - ASO]]&lt;&gt;""),1)</f>
        <v>1</v>
      </c>
      <c r="K145" s="15" cm="1">
        <f t="array" aca="1" ref="K14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TREINAMENTOS]]="",$AV145&gt;$AT$1),2,
AND(Tabela1[[#This Row],[STATUS PROCESSO MOBILIZAÇÃO]]="Em andamento",Tabela1[[#This Row],[DATA REAL - TREINAMENTOS]]="",$AV145&lt;=$AT$1),3,
AND(Tabela1[[#This Row],[STATUS PROCESSO MOBILIZAÇÃO]]="Em andamento",Tabela1[[#This Row],[DATA REAL - TREINAMENTOS]]&lt;&gt;""),1)</f>
        <v>1</v>
      </c>
      <c r="L145" s="15" cm="1">
        <f t="array" aca="1" ref="L14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TREIN.]]="",$AY145&gt;$AW$1),2,
AND(Tabela1[[#This Row],[STATUS PROCESSO MOBILIZAÇÃO]]="Em andamento",Tabela1[[#This Row],[DATA REAL - CONCL. TREIN.]]="",$AY145&lt;=$AW$1),3,
AND(Tabela1[[#This Row],[STATUS PROCESSO MOBILIZAÇÃO]]="Em andamento",Tabela1[[#This Row],[DATA REAL - CONCL. TREIN.]]&lt;&gt;""),1)</f>
        <v>1</v>
      </c>
      <c r="M145" s="15" cm="1">
        <f t="array" aca="1" ref="M14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CONTRATUAL]]="",$BB145&gt;$AZ$1),2,
AND(Tabela1[[#This Row],[STATUS PROCESSO MOBILIZAÇÃO]]="Em andamento",Tabela1[[#This Row],[DATA FIM - ALTER. CONTRATUAL]]="",$BB145&lt;=$AZ$1),3,
AND(Tabela1[[#This Row],[STATUS PROCESSO MOBILIZAÇÃO]]="Em andamento",Tabela1[[#This Row],[DATA FIM - ALTER. CONTRATUAL]]&lt;&gt;""),1)</f>
        <v>1</v>
      </c>
      <c r="N145" s="16" cm="1">
        <f t="array" aca="1" ref="N14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DOSSIÊ]]="",$BE145&gt;$BC$1),2,
AND(Tabela1[[#This Row],[STATUS PROCESSO MOBILIZAÇÃO]]="Em andamento",Tabela1[[#This Row],[DATA REAL - DOSSIÊ]]="",$BE145&lt;=$BC$1),3,
AND(Tabela1[[#This Row],[STATUS PROCESSO MOBILIZAÇÃO]]="Em andamento",Tabela1[[#This Row],[DATA REAL - DOSSIÊ]]&lt;&gt;""),1)</f>
        <v>1</v>
      </c>
      <c r="O145" s="16" cm="1">
        <f t="array" aca="1" ref="O14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POSTAGEM]]="",$BH145&gt;$BF$1),2,
AND(Tabela1[[#This Row],[STATUS PROCESSO MOBILIZAÇÃO]]="Em andamento",Tabela1[[#This Row],[DATA REAL - POSTAGEM]]="",$BH145&lt;=$BF$1),3,
AND(Tabela1[[#This Row],[STATUS PROCESSO MOBILIZAÇÃO]]="Em andamento",Tabela1[[#This Row],[DATA REAL - POSTAGEM]]&lt;&gt;""),1)</f>
        <v>1</v>
      </c>
      <c r="P145" s="16" cm="1">
        <f t="array" aca="1" ref="P14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FINAL]]="",$BK145&gt;$BI$1),2,
AND(Tabela1[[#This Row],[STATUS PROCESSO MOBILIZAÇÃO]]="Em andamento",Tabela1[[#This Row],[DATA REAL - APROV FINAL]]="",$BK145&lt;=$BI$1),3,
AND(Tabela1[[#This Row],[STATUS PROCESSO MOBILIZAÇÃO]]="Em andamento",Tabela1[[#This Row],[DATA REAL - APROV FINAL]]&lt;&gt;""),1)</f>
        <v>1</v>
      </c>
      <c r="Q145" s="15" cm="1">
        <f t="array" aca="1" ref="Q14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CRACHÁ]]="",$BN145&gt;$BL$1),2,
AND(Tabela1[[#This Row],[STATUS PROCESSO MOBILIZAÇÃO]]="Em andamento",Tabela1[[#This Row],[DATA REAL - CRACHÁ]]="",$BN145&lt;=$BL$1),3,
AND(Tabela1[[#This Row],[STATUS PROCESSO MOBILIZAÇÃO]]="Em andamento",Tabela1[[#This Row],[DATA REAL - CRACHÁ]]&lt;&gt;""),1)</f>
        <v>1</v>
      </c>
      <c r="R145" s="21">
        <f>IF(Tabela1[[#This Row],[DATA REAL - FORMS]]&lt;&gt;"",Tabela1[[#This Row],[DATA REAL - FORMS]]+30,Tabela1[[#This Row],[DATA PREV - FORMS]]+35)</f>
        <v>45959</v>
      </c>
      <c r="S14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45933</v>
      </c>
      <c r="T14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14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145" s="49">
        <f>MAX(Tabela1[[#This Row],[DATA REAL - POSTAGEM]],Tabela1[[#This Row],[DATA REAL - APROV FINAL]],Tabela1[[#This Row],[DATA REAL - CRACHÁ]])-MIN(Tabela1[[#This Row],[DATA REAL - POSTAGEM]],Tabela1[[#This Row],[DATA REAL - APROV FINAL]],Tabela1[[#This Row],[DATA REAL - CRACHÁ]])+1</f>
        <v>2</v>
      </c>
      <c r="W14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5" s="15" t="s">
        <v>149</v>
      </c>
      <c r="Y145" s="16" t="s">
        <v>150</v>
      </c>
      <c r="Z145" s="18" t="s">
        <v>151</v>
      </c>
      <c r="AA145" s="18" t="s">
        <v>152</v>
      </c>
      <c r="AB145" s="16" t="s">
        <v>97</v>
      </c>
      <c r="AC145" s="16" t="s">
        <v>153</v>
      </c>
      <c r="AD145" s="16" t="s">
        <v>153</v>
      </c>
      <c r="AE145" s="16" t="s">
        <v>529</v>
      </c>
      <c r="AF145" s="16" t="s">
        <v>530</v>
      </c>
      <c r="AG145" s="16" t="str">
        <f>_xlfn.XLOOKUP(Tabela1[[#This Row],[CÓD. CT]],Controle_Projetos[COD CT],Controle_Projetos[COD PHD],"")</f>
        <v>ADMB-CT16-PORT</v>
      </c>
      <c r="AH145" s="21">
        <v>45837</v>
      </c>
      <c r="AI145" s="75">
        <v>45923</v>
      </c>
      <c r="AJ145" s="16" cm="1">
        <f t="array" aca="1" ref="AJ14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87</v>
      </c>
      <c r="AK145" s="21">
        <v>45929</v>
      </c>
      <c r="AL145" s="74">
        <v>45929</v>
      </c>
      <c r="AM145" s="16" cm="1">
        <f t="array" aca="1" ref="AM14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5" s="21">
        <f>Tabela1[[#This Row],[DATA PREV - FORMS]]+$AN$1</f>
        <v>45936</v>
      </c>
      <c r="AO145" s="74">
        <v>45929</v>
      </c>
      <c r="AP145" s="16" cm="1">
        <f t="array" aca="1" ref="AP14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5" s="21">
        <f>Tabela1[[#This Row],[DATA PREV - EXAMES]]+$AQ$1</f>
        <v>45938</v>
      </c>
      <c r="AR145" s="74">
        <v>45929</v>
      </c>
      <c r="AS145" s="15" cm="1">
        <f t="array" aca="1" ref="AS14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45" s="21">
        <f>Tabela1[[#This Row],[DATA PREV - FORMS]]+$AT$1</f>
        <v>45930</v>
      </c>
      <c r="AU145" s="74">
        <v>45929</v>
      </c>
      <c r="AV145" s="15" cm="1">
        <f t="array" aca="1" ref="AV14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5" s="21">
        <f>Tabela1[[#This Row],[DATA PREV - TREINAMENTOS]]+$AW$1</f>
        <v>45937</v>
      </c>
      <c r="AX145" s="74">
        <v>45931</v>
      </c>
      <c r="AY145" s="15" cm="1">
        <f t="array" aca="1" ref="AY14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145" s="24">
        <v>45932</v>
      </c>
      <c r="BA145" s="74">
        <v>45929</v>
      </c>
      <c r="BB145" s="15" cm="1">
        <f t="array" aca="1" ref="BB14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v>
      </c>
      <c r="BC145" s="21">
        <f>Tabela1[[#This Row],[DATA PREV - CONCL. TREIN.]]+$BC$1</f>
        <v>45939</v>
      </c>
      <c r="BD145" s="74">
        <v>45932</v>
      </c>
      <c r="BE145" s="15" cm="1">
        <f t="array" aca="1" ref="BE14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45" s="21">
        <f>Tabela1[[#This Row],[DATA PREV - DOSSIÊ]]+$BF$1</f>
        <v>45942</v>
      </c>
      <c r="BG145" s="74">
        <v>45932</v>
      </c>
      <c r="BH145" s="15" cm="1">
        <f t="array" aca="1" ref="BH14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145" s="21">
        <f>Tabela1[[#This Row],[DATA PREV - POSTAGEM]]+$BI$1</f>
        <v>45948</v>
      </c>
      <c r="BJ145" s="74">
        <v>45933</v>
      </c>
      <c r="BK145" s="15" cm="1">
        <f t="array" aca="1" ref="BK14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-14</v>
      </c>
      <c r="BL145" s="21">
        <f>Tabela1[[#This Row],[DATA PREV - APROV FINAL]]+$BL$1</f>
        <v>45949</v>
      </c>
      <c r="BM145" s="74">
        <v>45933</v>
      </c>
      <c r="BN145" s="15" cm="1">
        <f t="array" aca="1" ref="BN14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-15</v>
      </c>
      <c r="BO145" s="80" t="s">
        <v>531</v>
      </c>
    </row>
    <row r="146" spans="2:67" ht="18" hidden="1" customHeight="1" x14ac:dyDescent="0.35">
      <c r="B146" s="14" t="s">
        <v>79</v>
      </c>
      <c r="C146" s="16" t="s">
        <v>136</v>
      </c>
      <c r="D146" s="16" t="s">
        <v>108</v>
      </c>
      <c r="E146" s="16"/>
      <c r="F146" s="16" t="s">
        <v>350</v>
      </c>
      <c r="G146" s="16" cm="1">
        <f t="array" ref="G146">_xlfn.IFS(Tabela1[[#This Row],[STATUS PROCESSO MOBILIZAÇÃO]]="Finalizado",1,Tabela1[[#This Row],[STATUS PROCESSO MOBILIZAÇÃO]]="Cancelado",2,Tabela1[[#This Row],[STATUS PROCESSO MOBILIZAÇÃO]]="Em andamento",3)</f>
        <v>1</v>
      </c>
      <c r="H146" s="16" cm="1">
        <f t="array" aca="1" ref="H14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FORMS]]="",$AM146&gt;$AK$1),2,
AND(Tabela1[[#This Row],[STATUS PROCESSO MOBILIZAÇÃO]]="Em andamento",Tabela1[[#This Row],[DATA REAL - FORMS]]="",$AM146&lt;=$AK$1),3,
AND(Tabela1[[#This Row],[STATUS PROCESSO MOBILIZAÇÃO]]="Em andamento",Tabela1[[#This Row],[DATA REAL - FORMS]]&lt;&gt;""),1)</f>
        <v>1</v>
      </c>
      <c r="I146" s="16" cm="1">
        <f t="array" aca="1" ref="I14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EXAMES]]="",$AP146&gt;$AN$1),2,
AND(Tabela1[[#This Row],[STATUS PROCESSO MOBILIZAÇÃO]]="Em andamento",Tabela1[[#This Row],[DATA REAL - EXAMES]]="",$AP146&lt;=$AN$1),3,
AND(Tabela1[[#This Row],[STATUS PROCESSO MOBILIZAÇÃO]]="Em andamento",Tabela1[[#This Row],[DATA REAL - EXAMES]]&lt;&gt;""),1)</f>
        <v>1</v>
      </c>
      <c r="J146" s="16" cm="1">
        <f t="array" aca="1" ref="J14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ASO]]="",$AS146&gt;$AQ$1),2,
AND(Tabela1[[#This Row],[STATUS PROCESSO MOBILIZAÇÃO]]="Em andamento",Tabela1[[#This Row],[DATA REAL - ASO]]="",$AS146&lt;=$AQ$1),3,
AND(Tabela1[[#This Row],[STATUS PROCESSO MOBILIZAÇÃO]]="Em andamento",Tabela1[[#This Row],[DATA REAL - ASO]]&lt;&gt;""),1)</f>
        <v>1</v>
      </c>
      <c r="K146" s="15" cm="1">
        <f t="array" aca="1" ref="K14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TREINAMENTOS]]="",$AV146&gt;$AT$1),2,
AND(Tabela1[[#This Row],[STATUS PROCESSO MOBILIZAÇÃO]]="Em andamento",Tabela1[[#This Row],[DATA REAL - TREINAMENTOS]]="",$AV146&lt;=$AT$1),3,
AND(Tabela1[[#This Row],[STATUS PROCESSO MOBILIZAÇÃO]]="Em andamento",Tabela1[[#This Row],[DATA REAL - TREINAMENTOS]]&lt;&gt;""),1)</f>
        <v>1</v>
      </c>
      <c r="L146" s="15" cm="1">
        <f t="array" aca="1" ref="L14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TREIN.]]="",$AY146&gt;$AW$1),2,
AND(Tabela1[[#This Row],[STATUS PROCESSO MOBILIZAÇÃO]]="Em andamento",Tabela1[[#This Row],[DATA REAL - CONCL. TREIN.]]="",$AY146&lt;=$AW$1),3,
AND(Tabela1[[#This Row],[STATUS PROCESSO MOBILIZAÇÃO]]="Em andamento",Tabela1[[#This Row],[DATA REAL - CONCL. TREIN.]]&lt;&gt;""),1)</f>
        <v>1</v>
      </c>
      <c r="M146" s="15" cm="1">
        <f t="array" aca="1" ref="M14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CONTRATUAL]]="",$BB146&gt;$AZ$1),2,
AND(Tabela1[[#This Row],[STATUS PROCESSO MOBILIZAÇÃO]]="Em andamento",Tabela1[[#This Row],[DATA FIM - ALTER. CONTRATUAL]]="",$BB146&lt;=$AZ$1),3,
AND(Tabela1[[#This Row],[STATUS PROCESSO MOBILIZAÇÃO]]="Em andamento",Tabela1[[#This Row],[DATA FIM - ALTER. CONTRATUAL]]&lt;&gt;""),1)</f>
        <v>1</v>
      </c>
      <c r="N146" s="16" cm="1">
        <f t="array" aca="1" ref="N14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DOSSIÊ]]="",$BE146&gt;$BC$1),2,
AND(Tabela1[[#This Row],[STATUS PROCESSO MOBILIZAÇÃO]]="Em andamento",Tabela1[[#This Row],[DATA REAL - DOSSIÊ]]="",$BE146&lt;=$BC$1),3,
AND(Tabela1[[#This Row],[STATUS PROCESSO MOBILIZAÇÃO]]="Em andamento",Tabela1[[#This Row],[DATA REAL - DOSSIÊ]]&lt;&gt;""),1)</f>
        <v>1</v>
      </c>
      <c r="O146" s="16" cm="1">
        <f t="array" aca="1" ref="O14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POSTAGEM]]="",$BH146&gt;$BF$1),2,
AND(Tabela1[[#This Row],[STATUS PROCESSO MOBILIZAÇÃO]]="Em andamento",Tabela1[[#This Row],[DATA REAL - POSTAGEM]]="",$BH146&lt;=$BF$1),3,
AND(Tabela1[[#This Row],[STATUS PROCESSO MOBILIZAÇÃO]]="Em andamento",Tabela1[[#This Row],[DATA REAL - POSTAGEM]]&lt;&gt;""),1)</f>
        <v>1</v>
      </c>
      <c r="P146" s="16" cm="1">
        <f t="array" aca="1" ref="P14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FINAL]]="",$BK146&gt;$BI$1),2,
AND(Tabela1[[#This Row],[STATUS PROCESSO MOBILIZAÇÃO]]="Em andamento",Tabela1[[#This Row],[DATA REAL - APROV FINAL]]="",$BK146&lt;=$BI$1),3,
AND(Tabela1[[#This Row],[STATUS PROCESSO MOBILIZAÇÃO]]="Em andamento",Tabela1[[#This Row],[DATA REAL - APROV FINAL]]&lt;&gt;""),1)</f>
        <v>1</v>
      </c>
      <c r="Q146" s="15" cm="1">
        <f t="array" aca="1" ref="Q14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CRACHÁ]]="",$BN146&gt;$BL$1),2,
AND(Tabela1[[#This Row],[STATUS PROCESSO MOBILIZAÇÃO]]="Em andamento",Tabela1[[#This Row],[DATA REAL - CRACHÁ]]="",$BN146&lt;=$BL$1),3,
AND(Tabela1[[#This Row],[STATUS PROCESSO MOBILIZAÇÃO]]="Em andamento",Tabela1[[#This Row],[DATA REAL - CRACHÁ]]&lt;&gt;""),1)</f>
        <v>1</v>
      </c>
      <c r="R146" s="21">
        <f>IF(Tabela1[[#This Row],[DATA REAL - FORMS]]&lt;&gt;"",Tabela1[[#This Row],[DATA REAL - FORMS]]+30,Tabela1[[#This Row],[DATA PREV - FORMS]]+35)</f>
        <v>45962</v>
      </c>
      <c r="S14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45952</v>
      </c>
      <c r="T14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55</v>
      </c>
      <c r="U14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48</v>
      </c>
      <c r="V146" s="49">
        <f>MAX(Tabela1[[#This Row],[DATA REAL - POSTAGEM]],Tabela1[[#This Row],[DATA REAL - APROV FINAL]],Tabela1[[#This Row],[DATA REAL - CRACHÁ]])-MIN(Tabela1[[#This Row],[DATA REAL - POSTAGEM]],Tabela1[[#This Row],[DATA REAL - APROV FINAL]],Tabela1[[#This Row],[DATA REAL - CRACHÁ]])+1</f>
        <v>2</v>
      </c>
      <c r="W14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6" s="15" t="s">
        <v>103</v>
      </c>
      <c r="Y146" s="16" t="s">
        <v>84</v>
      </c>
      <c r="Z146" s="18" t="s">
        <v>104</v>
      </c>
      <c r="AA146" s="18" t="s">
        <v>86</v>
      </c>
      <c r="AB146" s="16" t="s">
        <v>97</v>
      </c>
      <c r="AC146" s="16" t="s">
        <v>532</v>
      </c>
      <c r="AD146" s="16" t="s">
        <v>89</v>
      </c>
      <c r="AE146" s="16" t="s">
        <v>533</v>
      </c>
      <c r="AF146" s="16" t="s">
        <v>534</v>
      </c>
      <c r="AG146" s="16" t="str">
        <f>_xlfn.XLOOKUP(Tabela1[[#This Row],[CÓD. CT]],Controle_Projetos[COD CT],Controle_Projetos[COD PHD],"")</f>
        <v>U&amp;MM-CT02-PLAN</v>
      </c>
      <c r="AH146" s="21">
        <v>45932</v>
      </c>
      <c r="AI146" s="75">
        <v>45897</v>
      </c>
      <c r="AJ146" s="16" t="str" cm="1">
        <f t="array" aca="1" ref="AJ14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6" s="21">
        <v>45932</v>
      </c>
      <c r="AL146" s="74">
        <v>45932</v>
      </c>
      <c r="AM146" s="16" cm="1">
        <f t="array" aca="1" ref="AM14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6" s="21">
        <f>Tabela1[[#This Row],[DATA PREV - FORMS]]+$AN$1</f>
        <v>45939</v>
      </c>
      <c r="AO146" s="74">
        <v>45932</v>
      </c>
      <c r="AP146" s="16" cm="1">
        <f t="array" aca="1" ref="AP14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6" s="21">
        <f>Tabela1[[#This Row],[DATA PREV - EXAMES]]+$AQ$1</f>
        <v>45941</v>
      </c>
      <c r="AR146" s="74">
        <v>45938</v>
      </c>
      <c r="AS146" s="15" cm="1">
        <f t="array" aca="1" ref="AS14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46" s="21">
        <f>Tabela1[[#This Row],[DATA PREV - FORMS]]+$AT$1</f>
        <v>45933</v>
      </c>
      <c r="AU146" s="74">
        <v>45932</v>
      </c>
      <c r="AV146" s="15" cm="1">
        <f t="array" aca="1" ref="AV14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6" s="21">
        <f>Tabela1[[#This Row],[DATA PREV - TREINAMENTOS]]+$AW$1</f>
        <v>45940</v>
      </c>
      <c r="AX146" s="74">
        <v>45945</v>
      </c>
      <c r="AY146" s="15" cm="1">
        <f t="array" aca="1" ref="AY14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46" s="24">
        <v>45938</v>
      </c>
      <c r="BA146" s="74">
        <v>45932</v>
      </c>
      <c r="BB146" s="15" cm="1">
        <f t="array" aca="1" ref="BB14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v>
      </c>
      <c r="BC146" s="21">
        <f>Tabela1[[#This Row],[DATA PREV - CONCL. TREIN.]]+$BC$1</f>
        <v>45942</v>
      </c>
      <c r="BD146" s="74">
        <v>45945</v>
      </c>
      <c r="BE146" s="15" cm="1">
        <f t="array" aca="1" ref="BE14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46" s="21">
        <f>Tabela1[[#This Row],[DATA PREV - DOSSIÊ]]+$BF$1</f>
        <v>45945</v>
      </c>
      <c r="BG146" s="74">
        <v>45951</v>
      </c>
      <c r="BH146" s="15" cm="1">
        <f t="array" aca="1" ref="BH14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146" s="21">
        <f>Tabela1[[#This Row],[DATA PREV - POSTAGEM]]+$BI$1</f>
        <v>45951</v>
      </c>
      <c r="BJ146" s="74">
        <v>45952</v>
      </c>
      <c r="BK146" s="15" cm="1">
        <f t="array" aca="1" ref="BK14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46" s="21">
        <f>Tabela1[[#This Row],[DATA PREV - APROV FINAL]]+$BL$1</f>
        <v>45952</v>
      </c>
      <c r="BM146" s="74">
        <v>45952</v>
      </c>
      <c r="BN146" s="15" cm="1">
        <f t="array" aca="1" ref="BN14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146" s="80" t="s">
        <v>535</v>
      </c>
    </row>
    <row r="147" spans="2:67" ht="18" hidden="1" customHeight="1" x14ac:dyDescent="0.35">
      <c r="B147" s="14" t="s">
        <v>119</v>
      </c>
      <c r="C147" s="16" t="s">
        <v>136</v>
      </c>
      <c r="D147" s="16" t="s">
        <v>81</v>
      </c>
      <c r="E147" s="16"/>
      <c r="F147" s="16" t="s">
        <v>481</v>
      </c>
      <c r="G147" s="16" cm="1">
        <f t="array" ref="G147">_xlfn.IFS(Tabela1[[#This Row],[STATUS PROCESSO MOBILIZAÇÃO]]="Finalizado",1,Tabela1[[#This Row],[STATUS PROCESSO MOBILIZAÇÃO]]="Cancelado",2,Tabela1[[#This Row],[STATUS PROCESSO MOBILIZAÇÃO]]="Em andamento",3)</f>
        <v>2</v>
      </c>
      <c r="H147" s="16" cm="1">
        <f t="array" aca="1" ref="H14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FORMS]]="",$AM147&gt;$AK$1),2,
AND(Tabela1[[#This Row],[STATUS PROCESSO MOBILIZAÇÃO]]="Em andamento",Tabela1[[#This Row],[DATA REAL - FORMS]]="",$AM147&lt;=$AK$1),3,
AND(Tabela1[[#This Row],[STATUS PROCESSO MOBILIZAÇÃO]]="Em andamento",Tabela1[[#This Row],[DATA REAL - FORMS]]&lt;&gt;""),1)</f>
        <v>1</v>
      </c>
      <c r="I147" s="16" cm="1">
        <f t="array" aca="1" ref="I14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EXAMES]]="",$AP147&gt;$AN$1),2,
AND(Tabela1[[#This Row],[STATUS PROCESSO MOBILIZAÇÃO]]="Em andamento",Tabela1[[#This Row],[DATA REAL - EXAMES]]="",$AP147&lt;=$AN$1),3,
AND(Tabela1[[#This Row],[STATUS PROCESSO MOBILIZAÇÃO]]="Em andamento",Tabela1[[#This Row],[DATA REAL - EXAMES]]&lt;&gt;""),1)</f>
        <v>1</v>
      </c>
      <c r="J147" s="16" cm="1">
        <f t="array" aca="1" ref="J14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ASO]]="",$AS147&gt;$AQ$1),2,
AND(Tabela1[[#This Row],[STATUS PROCESSO MOBILIZAÇÃO]]="Em andamento",Tabela1[[#This Row],[DATA REAL - ASO]]="",$AS147&lt;=$AQ$1),3,
AND(Tabela1[[#This Row],[STATUS PROCESSO MOBILIZAÇÃO]]="Em andamento",Tabela1[[#This Row],[DATA REAL - ASO]]&lt;&gt;""),1)</f>
        <v>1</v>
      </c>
      <c r="K147" s="15" cm="1">
        <f t="array" aca="1" ref="K14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TREINAMENTOS]]="",$AV147&gt;$AT$1),2,
AND(Tabela1[[#This Row],[STATUS PROCESSO MOBILIZAÇÃO]]="Em andamento",Tabela1[[#This Row],[DATA REAL - TREINAMENTOS]]="",$AV147&lt;=$AT$1),3,
AND(Tabela1[[#This Row],[STATUS PROCESSO MOBILIZAÇÃO]]="Em andamento",Tabela1[[#This Row],[DATA REAL - TREINAMENTOS]]&lt;&gt;""),1)</f>
        <v>1</v>
      </c>
      <c r="L147" s="15" cm="1">
        <f t="array" aca="1" ref="L14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TREIN.]]="",$AY147&gt;$AW$1),2,
AND(Tabela1[[#This Row],[STATUS PROCESSO MOBILIZAÇÃO]]="Em andamento",Tabela1[[#This Row],[DATA REAL - CONCL. TREIN.]]="",$AY147&lt;=$AW$1),3,
AND(Tabela1[[#This Row],[STATUS PROCESSO MOBILIZAÇÃO]]="Em andamento",Tabela1[[#This Row],[DATA REAL - CONCL. TREIN.]]&lt;&gt;""),1)</f>
        <v>1</v>
      </c>
      <c r="M147" s="15" cm="1">
        <f t="array" aca="1" ref="M14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CONTRATUAL]]="",$BB147&gt;$AZ$1),2,
AND(Tabela1[[#This Row],[STATUS PROCESSO MOBILIZAÇÃO]]="Em andamento",Tabela1[[#This Row],[DATA FIM - ALTER. CONTRATUAL]]="",$BB147&lt;=$AZ$1),3,
AND(Tabela1[[#This Row],[STATUS PROCESSO MOBILIZAÇÃO]]="Em andamento",Tabela1[[#This Row],[DATA FIM - ALTER. CONTRATUAL]]&lt;&gt;""),1)</f>
        <v>1</v>
      </c>
      <c r="N147" s="16" cm="1">
        <f t="array" aca="1" ref="N14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DOSSIÊ]]="",$BE147&gt;$BC$1),2,
AND(Tabela1[[#This Row],[STATUS PROCESSO MOBILIZAÇÃO]]="Em andamento",Tabela1[[#This Row],[DATA REAL - DOSSIÊ]]="",$BE147&lt;=$BC$1),3,
AND(Tabela1[[#This Row],[STATUS PROCESSO MOBILIZAÇÃO]]="Em andamento",Tabela1[[#This Row],[DATA REAL - DOSSIÊ]]&lt;&gt;""),1)</f>
        <v>1</v>
      </c>
      <c r="O147" s="16" cm="1">
        <f t="array" aca="1" ref="O14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POSTAGEM]]="",$BH147&gt;$BF$1),2,
AND(Tabela1[[#This Row],[STATUS PROCESSO MOBILIZAÇÃO]]="Em andamento",Tabela1[[#This Row],[DATA REAL - POSTAGEM]]="",$BH147&lt;=$BF$1),3,
AND(Tabela1[[#This Row],[STATUS PROCESSO MOBILIZAÇÃO]]="Em andamento",Tabela1[[#This Row],[DATA REAL - POSTAGEM]]&lt;&gt;""),1)</f>
        <v>1</v>
      </c>
      <c r="P147" s="16" cm="1">
        <f t="array" aca="1" ref="P14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FINAL]]="",$BK147&gt;$BI$1),2,
AND(Tabela1[[#This Row],[STATUS PROCESSO MOBILIZAÇÃO]]="Em andamento",Tabela1[[#This Row],[DATA REAL - APROV FINAL]]="",$BK147&lt;=$BI$1),3,
AND(Tabela1[[#This Row],[STATUS PROCESSO MOBILIZAÇÃO]]="Em andamento",Tabela1[[#This Row],[DATA REAL - APROV FINAL]]&lt;&gt;""),1)</f>
        <v>1</v>
      </c>
      <c r="Q147" s="15" cm="1">
        <f t="array" aca="1" ref="Q14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CRACHÁ]]="",$BN147&gt;$BL$1),2,
AND(Tabela1[[#This Row],[STATUS PROCESSO MOBILIZAÇÃO]]="Em andamento",Tabela1[[#This Row],[DATA REAL - CRACHÁ]]="",$BN147&lt;=$BL$1),3,
AND(Tabela1[[#This Row],[STATUS PROCESSO MOBILIZAÇÃO]]="Em andamento",Tabela1[[#This Row],[DATA REAL - CRACHÁ]]&lt;&gt;""),1)</f>
        <v>1</v>
      </c>
      <c r="R147" s="21">
        <f>IF(Tabela1[[#This Row],[DATA REAL - FORMS]]&lt;&gt;"",Tabela1[[#This Row],[DATA REAL - FORMS]]+30,Tabela1[[#This Row],[DATA PREV - FORMS]]+35)</f>
        <v>45962</v>
      </c>
      <c r="S14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45938</v>
      </c>
      <c r="T14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63</v>
      </c>
      <c r="U14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62</v>
      </c>
      <c r="V147" s="49">
        <f>MAX(Tabela1[[#This Row],[DATA REAL - POSTAGEM]],Tabela1[[#This Row],[DATA REAL - APROV FINAL]],Tabela1[[#This Row],[DATA REAL - CRACHÁ]])-MIN(Tabela1[[#This Row],[DATA REAL - POSTAGEM]],Tabela1[[#This Row],[DATA REAL - APROV FINAL]],Tabela1[[#This Row],[DATA REAL - CRACHÁ]])+1</f>
        <v>2</v>
      </c>
      <c r="W14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7" s="15" t="s">
        <v>211</v>
      </c>
      <c r="Y147" s="16" t="s">
        <v>84</v>
      </c>
      <c r="Z147" s="18" t="s">
        <v>204</v>
      </c>
      <c r="AA147" s="18" t="s">
        <v>86</v>
      </c>
      <c r="AB147" s="16" t="s">
        <v>97</v>
      </c>
      <c r="AC147" s="16" t="s">
        <v>235</v>
      </c>
      <c r="AD147" s="16" t="s">
        <v>468</v>
      </c>
      <c r="AE147" s="16" t="s">
        <v>469</v>
      </c>
      <c r="AF147" s="16" t="s">
        <v>470</v>
      </c>
      <c r="AG147" s="16" t="str">
        <f>_xlfn.XLOOKUP(Tabela1[[#This Row],[CÓD. CT]],Controle_Projetos[COD CT],Controle_Projetos[COD PHD],"")</f>
        <v>CCAP-CT16-PLAN</v>
      </c>
      <c r="AH147" s="21"/>
      <c r="AI147" s="75">
        <v>45875</v>
      </c>
      <c r="AJ147" s="16" t="str" cm="1">
        <f t="array" aca="1" ref="AJ14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7" s="21">
        <v>45932</v>
      </c>
      <c r="AL147" s="74">
        <v>45932</v>
      </c>
      <c r="AM147" s="16" cm="1">
        <f t="array" aca="1" ref="AM14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7" s="21">
        <f>Tabela1[[#This Row],[DATA PREV - FORMS]]+$AN$1</f>
        <v>45939</v>
      </c>
      <c r="AO147" s="74">
        <v>45932</v>
      </c>
      <c r="AP147" s="16" cm="1">
        <f t="array" aca="1" ref="AP14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7" s="21">
        <f>Tabela1[[#This Row],[DATA PREV - EXAMES]]+$AQ$1</f>
        <v>45941</v>
      </c>
      <c r="AR147" s="74">
        <v>45937</v>
      </c>
      <c r="AS147" s="15" cm="1">
        <f t="array" aca="1" ref="AS14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47" s="21">
        <f>Tabela1[[#This Row],[DATA PREV - FORMS]]+$AT$1</f>
        <v>45933</v>
      </c>
      <c r="AU147" s="74">
        <v>45932</v>
      </c>
      <c r="AV147" s="15" cm="1">
        <f t="array" aca="1" ref="AV14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7" s="21">
        <f>Tabela1[[#This Row],[DATA PREV - TREINAMENTOS]]+$AW$1</f>
        <v>45940</v>
      </c>
      <c r="AX147" s="74">
        <v>45932</v>
      </c>
      <c r="AY147" s="15" cm="1">
        <f t="array" aca="1" ref="AY14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7" s="24">
        <v>45936</v>
      </c>
      <c r="BA147" s="74">
        <v>45937</v>
      </c>
      <c r="BB147" s="15" cm="1">
        <f t="array" aca="1" ref="BB14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v>
      </c>
      <c r="BC147" s="21">
        <f>Tabela1[[#This Row],[DATA PREV - CONCL. TREIN.]]+$BC$1</f>
        <v>45942</v>
      </c>
      <c r="BD147" s="74">
        <v>45937</v>
      </c>
      <c r="BE147" s="15" cm="1">
        <f t="array" aca="1" ref="BE14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47" s="21">
        <f>Tabela1[[#This Row],[DATA PREV - DOSSIÊ]]+$BF$1</f>
        <v>45945</v>
      </c>
      <c r="BG147" s="74">
        <v>45937</v>
      </c>
      <c r="BH147" s="15" cm="1">
        <f t="array" aca="1" ref="BH14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147" s="21">
        <f>Tabela1[[#This Row],[DATA PREV - POSTAGEM]]+$BI$1</f>
        <v>45951</v>
      </c>
      <c r="BJ147" s="74">
        <v>45938</v>
      </c>
      <c r="BK147" s="15" cm="1">
        <f t="array" aca="1" ref="BK14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-12</v>
      </c>
      <c r="BL147" s="21">
        <f>Tabela1[[#This Row],[DATA PREV - APROV FINAL]]+$BL$1</f>
        <v>45952</v>
      </c>
      <c r="BM147" s="74">
        <v>45938</v>
      </c>
      <c r="BN147" s="15" cm="1">
        <f t="array" aca="1" ref="BN14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147" s="80" t="s">
        <v>536</v>
      </c>
    </row>
    <row r="148" spans="2:67" ht="18" hidden="1" customHeight="1" x14ac:dyDescent="0.35">
      <c r="B148" s="14" t="s">
        <v>119</v>
      </c>
      <c r="C148" s="16" t="s">
        <v>136</v>
      </c>
      <c r="D148" s="16" t="s">
        <v>119</v>
      </c>
      <c r="E148" s="16">
        <v>72</v>
      </c>
      <c r="F148" s="16" t="s">
        <v>537</v>
      </c>
      <c r="G148" s="16" cm="1">
        <f t="array" ref="G148">_xlfn.IFS(Tabela1[[#This Row],[STATUS PROCESSO MOBILIZAÇÃO]]="Finalizado",1,Tabela1[[#This Row],[STATUS PROCESSO MOBILIZAÇÃO]]="Cancelado",2,Tabela1[[#This Row],[STATUS PROCESSO MOBILIZAÇÃO]]="Em andamento",3)</f>
        <v>2</v>
      </c>
      <c r="H148" s="16" cm="1">
        <f t="array" aca="1" ref="H14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FORMS]]="",$AM148&gt;$AK$1),2,
AND(Tabela1[[#This Row],[STATUS PROCESSO MOBILIZAÇÃO]]="Em andamento",Tabela1[[#This Row],[DATA REAL - FORMS]]="",$AM148&lt;=$AK$1),3,
AND(Tabela1[[#This Row],[STATUS PROCESSO MOBILIZAÇÃO]]="Em andamento",Tabela1[[#This Row],[DATA REAL - FORMS]]&lt;&gt;""),1)</f>
        <v>1</v>
      </c>
      <c r="I148" s="16" cm="1">
        <f t="array" aca="1" ref="I14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EXAMES]]="",$AP148&gt;$AN$1),2,
AND(Tabela1[[#This Row],[STATUS PROCESSO MOBILIZAÇÃO]]="Em andamento",Tabela1[[#This Row],[DATA REAL - EXAMES]]="",$AP148&lt;=$AN$1),3,
AND(Tabela1[[#This Row],[STATUS PROCESSO MOBILIZAÇÃO]]="Em andamento",Tabela1[[#This Row],[DATA REAL - EXAMES]]&lt;&gt;""),1)</f>
        <v>1</v>
      </c>
      <c r="J148" s="16" cm="1">
        <f t="array" aca="1" ref="J14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ASO]]="",$AS148&gt;$AQ$1),2,
AND(Tabela1[[#This Row],[STATUS PROCESSO MOBILIZAÇÃO]]="Em andamento",Tabela1[[#This Row],[DATA REAL - ASO]]="",$AS148&lt;=$AQ$1),3,
AND(Tabela1[[#This Row],[STATUS PROCESSO MOBILIZAÇÃO]]="Em andamento",Tabela1[[#This Row],[DATA REAL - ASO]]&lt;&gt;""),1)</f>
        <v>1</v>
      </c>
      <c r="K148" s="15" cm="1">
        <f t="array" aca="1" ref="K14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TREINAMENTOS]]="",$AV148&gt;$AT$1),2,
AND(Tabela1[[#This Row],[STATUS PROCESSO MOBILIZAÇÃO]]="Em andamento",Tabela1[[#This Row],[DATA REAL - TREINAMENTOS]]="",$AV148&lt;=$AT$1),3,
AND(Tabela1[[#This Row],[STATUS PROCESSO MOBILIZAÇÃO]]="Em andamento",Tabela1[[#This Row],[DATA REAL - TREINAMENTOS]]&lt;&gt;""),1)</f>
        <v>1</v>
      </c>
      <c r="L148" s="15" cm="1">
        <f t="array" aca="1" ref="L14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TREIN.]]="",$AY148&gt;$AW$1),2,
AND(Tabela1[[#This Row],[STATUS PROCESSO MOBILIZAÇÃO]]="Em andamento",Tabela1[[#This Row],[DATA REAL - CONCL. TREIN.]]="",$AY148&lt;=$AW$1),3,
AND(Tabela1[[#This Row],[STATUS PROCESSO MOBILIZAÇÃO]]="Em andamento",Tabela1[[#This Row],[DATA REAL - CONCL. TREIN.]]&lt;&gt;""),1)</f>
        <v>1</v>
      </c>
      <c r="M148" s="15" cm="1">
        <f t="array" aca="1" ref="M14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CONTRATUAL]]="",$BB148&gt;$AZ$1),2,
AND(Tabela1[[#This Row],[STATUS PROCESSO MOBILIZAÇÃO]]="Em andamento",Tabela1[[#This Row],[DATA FIM - ALTER. CONTRATUAL]]="",$BB148&lt;=$AZ$1),3,
AND(Tabela1[[#This Row],[STATUS PROCESSO MOBILIZAÇÃO]]="Em andamento",Tabela1[[#This Row],[DATA FIM - ALTER. CONTRATUAL]]&lt;&gt;""),1)</f>
        <v>1</v>
      </c>
      <c r="N148" s="16" cm="1">
        <f t="array" aca="1" ref="N14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DOSSIÊ]]="",$BE148&gt;$BC$1),2,
AND(Tabela1[[#This Row],[STATUS PROCESSO MOBILIZAÇÃO]]="Em andamento",Tabela1[[#This Row],[DATA REAL - DOSSIÊ]]="",$BE148&lt;=$BC$1),3,
AND(Tabela1[[#This Row],[STATUS PROCESSO MOBILIZAÇÃO]]="Em andamento",Tabela1[[#This Row],[DATA REAL - DOSSIÊ]]&lt;&gt;""),1)</f>
        <v>1</v>
      </c>
      <c r="O148" s="16" cm="1">
        <f t="array" aca="1" ref="O14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POSTAGEM]]="",$BH148&gt;$BF$1),2,
AND(Tabela1[[#This Row],[STATUS PROCESSO MOBILIZAÇÃO]]="Em andamento",Tabela1[[#This Row],[DATA REAL - POSTAGEM]]="",$BH148&lt;=$BF$1),3,
AND(Tabela1[[#This Row],[STATUS PROCESSO MOBILIZAÇÃO]]="Em andamento",Tabela1[[#This Row],[DATA REAL - POSTAGEM]]&lt;&gt;""),1)</f>
        <v>0</v>
      </c>
      <c r="P148" s="16" cm="1">
        <f t="array" aca="1" ref="P14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FINAL]]="",$BK148&gt;$BI$1),2,
AND(Tabela1[[#This Row],[STATUS PROCESSO MOBILIZAÇÃO]]="Em andamento",Tabela1[[#This Row],[DATA REAL - APROV FINAL]]="",$BK148&lt;=$BI$1),3,
AND(Tabela1[[#This Row],[STATUS PROCESSO MOBILIZAÇÃO]]="Em andamento",Tabela1[[#This Row],[DATA REAL - APROV FINAL]]&lt;&gt;""),1)</f>
        <v>0</v>
      </c>
      <c r="Q148" s="15" cm="1">
        <f t="array" aca="1" ref="Q14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CRACHÁ]]="",$BN148&gt;$BL$1),2,
AND(Tabela1[[#This Row],[STATUS PROCESSO MOBILIZAÇÃO]]="Em andamento",Tabela1[[#This Row],[DATA REAL - CRACHÁ]]="",$BN148&lt;=$BL$1),3,
AND(Tabela1[[#This Row],[STATUS PROCESSO MOBILIZAÇÃO]]="Em andamento",Tabela1[[#This Row],[DATA REAL - CRACHÁ]]&lt;&gt;""),1)</f>
        <v>1</v>
      </c>
      <c r="R148" s="21">
        <f>IF(Tabela1[[#This Row],[DATA REAL - FORMS]]&lt;&gt;"",Tabela1[[#This Row],[DATA REAL - FORMS]]+30,Tabela1[[#This Row],[DATA PREV - FORMS]]+35)</f>
        <v>45968</v>
      </c>
      <c r="S14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46021</v>
      </c>
      <c r="T14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259</v>
      </c>
      <c r="U14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192</v>
      </c>
      <c r="V148" s="49">
        <f>MAX(Tabela1[[#This Row],[DATA REAL - POSTAGEM]],Tabela1[[#This Row],[DATA REAL - APROV FINAL]],Tabela1[[#This Row],[DATA REAL - CRACHÁ]])-MIN(Tabela1[[#This Row],[DATA REAL - POSTAGEM]],Tabela1[[#This Row],[DATA REAL - APROV FINAL]],Tabela1[[#This Row],[DATA REAL - CRACHÁ]])+1</f>
        <v>1</v>
      </c>
      <c r="W148"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8" s="15" t="s">
        <v>158</v>
      </c>
      <c r="Y148" s="16" t="s">
        <v>355</v>
      </c>
      <c r="Z148" s="18" t="s">
        <v>159</v>
      </c>
      <c r="AA148" s="18"/>
      <c r="AB148" s="16" t="s">
        <v>97</v>
      </c>
      <c r="AC148" s="16" t="s">
        <v>316</v>
      </c>
      <c r="AD148" s="16" t="s">
        <v>89</v>
      </c>
      <c r="AE148" s="16" t="s">
        <v>500</v>
      </c>
      <c r="AF148" s="16" t="s">
        <v>317</v>
      </c>
      <c r="AG148" s="16" t="str">
        <f>_xlfn.XLOOKUP(Tabela1[[#This Row],[CÓD. CT]],Controle_Projetos[COD CT],Controle_Projetos[COD PHD],"")</f>
        <v>ELEV-CT02-PLAN</v>
      </c>
      <c r="AH148" s="21">
        <v>45938</v>
      </c>
      <c r="AI148" s="75">
        <v>45762</v>
      </c>
      <c r="AJ148" s="16" t="str" cm="1">
        <f t="array" aca="1" ref="AJ14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8" s="21">
        <v>45936</v>
      </c>
      <c r="AL148" s="74">
        <v>45938</v>
      </c>
      <c r="AM148" s="16" cm="1">
        <f t="array" aca="1" ref="AM14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48" s="21">
        <f>Tabela1[[#This Row],[DATA PREV - FORMS]]+$AN$1</f>
        <v>45943</v>
      </c>
      <c r="AO148" s="74">
        <v>45936</v>
      </c>
      <c r="AP148" s="16" cm="1">
        <f t="array" aca="1" ref="AP14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8" s="21">
        <f>Tabela1[[#This Row],[DATA PREV - EXAMES]]+$AQ$1</f>
        <v>45945</v>
      </c>
      <c r="AR148" s="74">
        <v>45938</v>
      </c>
      <c r="AS148" s="15" cm="1">
        <f t="array" aca="1" ref="AS14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48" s="21">
        <f>Tabela1[[#This Row],[DATA PREV - FORMS]]+$AT$1</f>
        <v>45937</v>
      </c>
      <c r="AU148" s="74">
        <v>45936</v>
      </c>
      <c r="AV148" s="15" cm="1">
        <f t="array" aca="1" ref="AV14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8" s="21">
        <f>Tabela1[[#This Row],[DATA PREV - TREINAMENTOS]]+$AW$1</f>
        <v>45944</v>
      </c>
      <c r="AX148" s="74">
        <v>45937</v>
      </c>
      <c r="AY148" s="15" cm="1">
        <f t="array" aca="1" ref="AY14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48" s="24">
        <v>45938</v>
      </c>
      <c r="BA148" s="74">
        <v>45954</v>
      </c>
      <c r="BB148" s="15" cm="1">
        <f t="array" aca="1" ref="BB14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17</v>
      </c>
      <c r="BC148" s="21">
        <f>Tabela1[[#This Row],[DATA PREV - CONCL. TREIN.]]+$BC$1</f>
        <v>45946</v>
      </c>
      <c r="BD148" s="74">
        <v>45954</v>
      </c>
      <c r="BE148" s="15" cm="1">
        <f t="array" aca="1" ref="BE14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148" s="21">
        <f>Tabela1[[#This Row],[DATA PREV - DOSSIÊ]]+$BF$1</f>
        <v>45949</v>
      </c>
      <c r="BG148" s="74"/>
      <c r="BH148" s="15" cm="1">
        <f t="array" aca="1" ref="BH14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48" s="21">
        <f>Tabela1[[#This Row],[DATA PREV - POSTAGEM]]+$BI$1</f>
        <v>45955</v>
      </c>
      <c r="BJ148" s="74"/>
      <c r="BK148" s="15" cm="1">
        <f t="array" aca="1" ref="BK14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48" s="21">
        <f>Tabela1[[#This Row],[DATA PREV - APROV FINAL]]+$BL$1</f>
        <v>45956</v>
      </c>
      <c r="BM148" s="74">
        <v>46021</v>
      </c>
      <c r="BN148" s="15" cm="1">
        <f t="array" aca="1" ref="BN14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66</v>
      </c>
      <c r="BO148" s="80" t="s">
        <v>538</v>
      </c>
    </row>
    <row r="149" spans="2:67" ht="18" hidden="1" customHeight="1" x14ac:dyDescent="0.35">
      <c r="B149" s="14" t="s">
        <v>79</v>
      </c>
      <c r="C149" s="16" t="s">
        <v>136</v>
      </c>
      <c r="D149" s="16" t="s">
        <v>81</v>
      </c>
      <c r="E149" s="16"/>
      <c r="F149" s="16" t="s">
        <v>272</v>
      </c>
      <c r="G149" s="16" cm="1">
        <f t="array" ref="G149">_xlfn.IFS(Tabela1[[#This Row],[STATUS PROCESSO MOBILIZAÇÃO]]="Finalizado",1,Tabela1[[#This Row],[STATUS PROCESSO MOBILIZAÇÃO]]="Cancelado",2,Tabela1[[#This Row],[STATUS PROCESSO MOBILIZAÇÃO]]="Em andamento",3)</f>
        <v>1</v>
      </c>
      <c r="H149" s="16" cm="1">
        <f t="array" aca="1" ref="H14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FORMS]]="",$AM149&gt;$AK$1),2,
AND(Tabela1[[#This Row],[STATUS PROCESSO MOBILIZAÇÃO]]="Em andamento",Tabela1[[#This Row],[DATA REAL - FORMS]]="",$AM149&lt;=$AK$1),3,
AND(Tabela1[[#This Row],[STATUS PROCESSO MOBILIZAÇÃO]]="Em andamento",Tabela1[[#This Row],[DATA REAL - FORMS]]&lt;&gt;""),1)</f>
        <v>1</v>
      </c>
      <c r="I149" s="16" cm="1">
        <f t="array" aca="1" ref="I14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EXAMES]]="",$AP149&gt;$AN$1),2,
AND(Tabela1[[#This Row],[STATUS PROCESSO MOBILIZAÇÃO]]="Em andamento",Tabela1[[#This Row],[DATA REAL - EXAMES]]="",$AP149&lt;=$AN$1),3,
AND(Tabela1[[#This Row],[STATUS PROCESSO MOBILIZAÇÃO]]="Em andamento",Tabela1[[#This Row],[DATA REAL - EXAMES]]&lt;&gt;""),1)</f>
        <v>1</v>
      </c>
      <c r="J149" s="16" cm="1">
        <f t="array" aca="1" ref="J14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ASO]]="",$AS149&gt;$AQ$1),2,
AND(Tabela1[[#This Row],[STATUS PROCESSO MOBILIZAÇÃO]]="Em andamento",Tabela1[[#This Row],[DATA REAL - ASO]]="",$AS149&lt;=$AQ$1),3,
AND(Tabela1[[#This Row],[STATUS PROCESSO MOBILIZAÇÃO]]="Em andamento",Tabela1[[#This Row],[DATA REAL - ASO]]&lt;&gt;""),1)</f>
        <v>1</v>
      </c>
      <c r="K149" s="15" cm="1">
        <f t="array" aca="1" ref="K14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TREINAMENTOS]]="",$AV149&gt;$AT$1),2,
AND(Tabela1[[#This Row],[STATUS PROCESSO MOBILIZAÇÃO]]="Em andamento",Tabela1[[#This Row],[DATA REAL - TREINAMENTOS]]="",$AV149&lt;=$AT$1),3,
AND(Tabela1[[#This Row],[STATUS PROCESSO MOBILIZAÇÃO]]="Em andamento",Tabela1[[#This Row],[DATA REAL - TREINAMENTOS]]&lt;&gt;""),1)</f>
        <v>1</v>
      </c>
      <c r="L149" s="15" cm="1">
        <f t="array" aca="1" ref="L14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TREIN.]]="",$AY149&gt;$AW$1),2,
AND(Tabela1[[#This Row],[STATUS PROCESSO MOBILIZAÇÃO]]="Em andamento",Tabela1[[#This Row],[DATA REAL - CONCL. TREIN.]]="",$AY149&lt;=$AW$1),3,
AND(Tabela1[[#This Row],[STATUS PROCESSO MOBILIZAÇÃO]]="Em andamento",Tabela1[[#This Row],[DATA REAL - CONCL. TREIN.]]&lt;&gt;""),1)</f>
        <v>1</v>
      </c>
      <c r="M149" s="15" cm="1">
        <f t="array" aca="1" ref="M14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CONTRATUAL]]="",$BB149&gt;$AZ$1),2,
AND(Tabela1[[#This Row],[STATUS PROCESSO MOBILIZAÇÃO]]="Em andamento",Tabela1[[#This Row],[DATA FIM - ALTER. CONTRATUAL]]="",$BB149&lt;=$AZ$1),3,
AND(Tabela1[[#This Row],[STATUS PROCESSO MOBILIZAÇÃO]]="Em andamento",Tabela1[[#This Row],[DATA FIM - ALTER. CONTRATUAL]]&lt;&gt;""),1)</f>
        <v>1</v>
      </c>
      <c r="N149" s="16" cm="1">
        <f t="array" aca="1" ref="N14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DOSSIÊ]]="",$BE149&gt;$BC$1),2,
AND(Tabela1[[#This Row],[STATUS PROCESSO MOBILIZAÇÃO]]="Em andamento",Tabela1[[#This Row],[DATA REAL - DOSSIÊ]]="",$BE149&lt;=$BC$1),3,
AND(Tabela1[[#This Row],[STATUS PROCESSO MOBILIZAÇÃO]]="Em andamento",Tabela1[[#This Row],[DATA REAL - DOSSIÊ]]&lt;&gt;""),1)</f>
        <v>1</v>
      </c>
      <c r="O149" s="16" cm="1">
        <f t="array" aca="1" ref="O14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POSTAGEM]]="",$BH149&gt;$BF$1),2,
AND(Tabela1[[#This Row],[STATUS PROCESSO MOBILIZAÇÃO]]="Em andamento",Tabela1[[#This Row],[DATA REAL - POSTAGEM]]="",$BH149&lt;=$BF$1),3,
AND(Tabela1[[#This Row],[STATUS PROCESSO MOBILIZAÇÃO]]="Em andamento",Tabela1[[#This Row],[DATA REAL - POSTAGEM]]&lt;&gt;""),1)</f>
        <v>1</v>
      </c>
      <c r="P149" s="16" cm="1">
        <f t="array" aca="1" ref="P14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FINAL]]="",$BK149&gt;$BI$1),2,
AND(Tabela1[[#This Row],[STATUS PROCESSO MOBILIZAÇÃO]]="Em andamento",Tabela1[[#This Row],[DATA REAL - APROV FINAL]]="",$BK149&lt;=$BI$1),3,
AND(Tabela1[[#This Row],[STATUS PROCESSO MOBILIZAÇÃO]]="Em andamento",Tabela1[[#This Row],[DATA REAL - APROV FINAL]]&lt;&gt;""),1)</f>
        <v>1</v>
      </c>
      <c r="Q149" s="15" cm="1">
        <f t="array" aca="1" ref="Q14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CRACHÁ]]="",$BN149&gt;$BL$1),2,
AND(Tabela1[[#This Row],[STATUS PROCESSO MOBILIZAÇÃO]]="Em andamento",Tabela1[[#This Row],[DATA REAL - CRACHÁ]]="",$BN149&lt;=$BL$1),3,
AND(Tabela1[[#This Row],[STATUS PROCESSO MOBILIZAÇÃO]]="Em andamento",Tabela1[[#This Row],[DATA REAL - CRACHÁ]]&lt;&gt;""),1)</f>
        <v>1</v>
      </c>
      <c r="R149" s="21">
        <f>IF(Tabela1[[#This Row],[DATA REAL - FORMS]]&lt;&gt;"",Tabela1[[#This Row],[DATA REAL - FORMS]]+30,Tabela1[[#This Row],[DATA PREV - FORMS]]+35)</f>
        <v>45968</v>
      </c>
      <c r="S14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45952</v>
      </c>
      <c r="T14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61</v>
      </c>
      <c r="U14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49</v>
      </c>
      <c r="V149" s="49">
        <f>MAX(Tabela1[[#This Row],[DATA REAL - POSTAGEM]],Tabela1[[#This Row],[DATA REAL - APROV FINAL]],Tabela1[[#This Row],[DATA REAL - CRACHÁ]])-MIN(Tabela1[[#This Row],[DATA REAL - POSTAGEM]],Tabela1[[#This Row],[DATA REAL - APROV FINAL]],Tabela1[[#This Row],[DATA REAL - CRACHÁ]])+1</f>
        <v>13</v>
      </c>
      <c r="W149"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49" s="15" t="s">
        <v>539</v>
      </c>
      <c r="Y149" s="16" t="s">
        <v>130</v>
      </c>
      <c r="Z149" s="18" t="s">
        <v>540</v>
      </c>
      <c r="AA149" s="18" t="s">
        <v>131</v>
      </c>
      <c r="AB149" s="16" t="s">
        <v>97</v>
      </c>
      <c r="AC149" s="16" t="s">
        <v>132</v>
      </c>
      <c r="AD149" s="16" t="s">
        <v>132</v>
      </c>
      <c r="AE149" s="16" t="s">
        <v>483</v>
      </c>
      <c r="AF149" s="16" t="s">
        <v>484</v>
      </c>
      <c r="AG149" s="16" t="str">
        <f>_xlfn.XLOOKUP(Tabela1[[#This Row],[CÓD. CT]],Controle_Projetos[COD CT],Controle_Projetos[COD PHD],"")</f>
        <v>GERD-CT19-PROD</v>
      </c>
      <c r="AH149" s="21">
        <v>45938</v>
      </c>
      <c r="AI149" s="75">
        <v>45891</v>
      </c>
      <c r="AJ149" s="16" t="str" cm="1">
        <f t="array" aca="1" ref="AJ14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49" s="21">
        <v>45938</v>
      </c>
      <c r="AL149" s="74">
        <v>45938</v>
      </c>
      <c r="AM149" s="16" cm="1">
        <f t="array" aca="1" ref="AM14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49" s="21">
        <f>Tabela1[[#This Row],[DATA PREV - FORMS]]+$AN$1</f>
        <v>45945</v>
      </c>
      <c r="AO149" s="74">
        <v>45938</v>
      </c>
      <c r="AP149" s="16" cm="1">
        <f t="array" aca="1" ref="AP14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49" s="21">
        <f>Tabela1[[#This Row],[DATA PREV - EXAMES]]+$AQ$1</f>
        <v>45947</v>
      </c>
      <c r="AR149" s="74">
        <v>45938</v>
      </c>
      <c r="AS149" s="15" cm="1">
        <f t="array" aca="1" ref="AS14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49" s="21">
        <f>Tabela1[[#This Row],[DATA PREV - FORMS]]+$AT$1</f>
        <v>45939</v>
      </c>
      <c r="AU149" s="74">
        <v>45938</v>
      </c>
      <c r="AV149" s="15" cm="1">
        <f t="array" aca="1" ref="AV14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49" s="21">
        <f>Tabela1[[#This Row],[DATA PREV - TREINAMENTOS]]+$AW$1</f>
        <v>45946</v>
      </c>
      <c r="AX149" s="74">
        <v>45938</v>
      </c>
      <c r="AY149" s="15" cm="1">
        <f t="array" aca="1" ref="AY14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49" s="24">
        <v>45944</v>
      </c>
      <c r="BA149" s="74">
        <v>45938</v>
      </c>
      <c r="BB149" s="15" cm="1">
        <f t="array" aca="1" ref="BB14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-5</v>
      </c>
      <c r="BC149" s="21">
        <f>Tabela1[[#This Row],[DATA PREV - CONCL. TREIN.]]+$BC$1</f>
        <v>45948</v>
      </c>
      <c r="BD149" s="74">
        <v>45940</v>
      </c>
      <c r="BE149" s="15" cm="1">
        <f t="array" aca="1" ref="BE14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49" s="21">
        <f>Tabela1[[#This Row],[DATA PREV - DOSSIÊ]]+$BF$1</f>
        <v>45951</v>
      </c>
      <c r="BG149" s="74">
        <v>45940</v>
      </c>
      <c r="BH149" s="15" cm="1">
        <f t="array" aca="1" ref="BH14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49" s="21">
        <f>Tabela1[[#This Row],[DATA PREV - POSTAGEM]]+$BI$1</f>
        <v>45957</v>
      </c>
      <c r="BJ149" s="74">
        <v>45952</v>
      </c>
      <c r="BK149" s="15" cm="1">
        <f t="array" aca="1" ref="BK14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49" s="21">
        <f>Tabela1[[#This Row],[DATA PREV - APROV FINAL]]+$BL$1</f>
        <v>45958</v>
      </c>
      <c r="BM149" s="74">
        <v>45952</v>
      </c>
      <c r="BN149" s="15" cm="1">
        <f t="array" aca="1" ref="BN14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49" s="80" t="s">
        <v>541</v>
      </c>
    </row>
    <row r="150" spans="2:67" ht="18" hidden="1" customHeight="1" x14ac:dyDescent="0.35">
      <c r="B150" s="14" t="s">
        <v>79</v>
      </c>
      <c r="C150" s="16" t="s">
        <v>136</v>
      </c>
      <c r="D150" s="16" t="s">
        <v>81</v>
      </c>
      <c r="E150" s="16"/>
      <c r="F150" s="16" t="s">
        <v>489</v>
      </c>
      <c r="G150" s="16" cm="1">
        <f t="array" ref="G150">_xlfn.IFS(Tabela1[[#This Row],[STATUS PROCESSO MOBILIZAÇÃO]]="Finalizado",1,Tabela1[[#This Row],[STATUS PROCESSO MOBILIZAÇÃO]]="Cancelado",2,Tabela1[[#This Row],[STATUS PROCESSO MOBILIZAÇÃO]]="Em andamento",3)</f>
        <v>1</v>
      </c>
      <c r="H150" s="16" cm="1">
        <f t="array" aca="1" ref="H15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FORMS]]="",$AM150&gt;$AK$1),2,
AND(Tabela1[[#This Row],[STATUS PROCESSO MOBILIZAÇÃO]]="Em andamento",Tabela1[[#This Row],[DATA REAL - FORMS]]="",$AM150&lt;=$AK$1),3,
AND(Tabela1[[#This Row],[STATUS PROCESSO MOBILIZAÇÃO]]="Em andamento",Tabela1[[#This Row],[DATA REAL - FORMS]]&lt;&gt;""),1)</f>
        <v>1</v>
      </c>
      <c r="I150" s="16" cm="1">
        <f t="array" aca="1" ref="I15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EXAMES]]="",$AP150&gt;$AN$1),2,
AND(Tabela1[[#This Row],[STATUS PROCESSO MOBILIZAÇÃO]]="Em andamento",Tabela1[[#This Row],[DATA REAL - EXAMES]]="",$AP150&lt;=$AN$1),3,
AND(Tabela1[[#This Row],[STATUS PROCESSO MOBILIZAÇÃO]]="Em andamento",Tabela1[[#This Row],[DATA REAL - EXAMES]]&lt;&gt;""),1)</f>
        <v>1</v>
      </c>
      <c r="J150" s="16" cm="1">
        <f t="array" aca="1" ref="J15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ASO]]="",$AS150&gt;$AQ$1),2,
AND(Tabela1[[#This Row],[STATUS PROCESSO MOBILIZAÇÃO]]="Em andamento",Tabela1[[#This Row],[DATA REAL - ASO]]="",$AS150&lt;=$AQ$1),3,
AND(Tabela1[[#This Row],[STATUS PROCESSO MOBILIZAÇÃO]]="Em andamento",Tabela1[[#This Row],[DATA REAL - ASO]]&lt;&gt;""),1)</f>
        <v>1</v>
      </c>
      <c r="K150" s="15" cm="1">
        <f t="array" aca="1" ref="K15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TREINAMENTOS]]="",$AV150&gt;$AT$1),2,
AND(Tabela1[[#This Row],[STATUS PROCESSO MOBILIZAÇÃO]]="Em andamento",Tabela1[[#This Row],[DATA REAL - TREINAMENTOS]]="",$AV150&lt;=$AT$1),3,
AND(Tabela1[[#This Row],[STATUS PROCESSO MOBILIZAÇÃO]]="Em andamento",Tabela1[[#This Row],[DATA REAL - TREINAMENTOS]]&lt;&gt;""),1)</f>
        <v>1</v>
      </c>
      <c r="L150" s="15" cm="1">
        <f t="array" aca="1" ref="L15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TREIN.]]="",$AY150&gt;$AW$1),2,
AND(Tabela1[[#This Row],[STATUS PROCESSO MOBILIZAÇÃO]]="Em andamento",Tabela1[[#This Row],[DATA REAL - CONCL. TREIN.]]="",$AY150&lt;=$AW$1),3,
AND(Tabela1[[#This Row],[STATUS PROCESSO MOBILIZAÇÃO]]="Em andamento",Tabela1[[#This Row],[DATA REAL - CONCL. TREIN.]]&lt;&gt;""),1)</f>
        <v>1</v>
      </c>
      <c r="M150" s="15" cm="1">
        <f t="array" aca="1" ref="M15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CONTRATUAL]]="",$BB150&gt;$AZ$1),2,
AND(Tabela1[[#This Row],[STATUS PROCESSO MOBILIZAÇÃO]]="Em andamento",Tabela1[[#This Row],[DATA FIM - ALTER. CONTRATUAL]]="",$BB150&lt;=$AZ$1),3,
AND(Tabela1[[#This Row],[STATUS PROCESSO MOBILIZAÇÃO]]="Em andamento",Tabela1[[#This Row],[DATA FIM - ALTER. CONTRATUAL]]&lt;&gt;""),1)</f>
        <v>1</v>
      </c>
      <c r="N150" s="16" cm="1">
        <f t="array" aca="1" ref="N15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DOSSIÊ]]="",$BE150&gt;$BC$1),2,
AND(Tabela1[[#This Row],[STATUS PROCESSO MOBILIZAÇÃO]]="Em andamento",Tabela1[[#This Row],[DATA REAL - DOSSIÊ]]="",$BE150&lt;=$BC$1),3,
AND(Tabela1[[#This Row],[STATUS PROCESSO MOBILIZAÇÃO]]="Em andamento",Tabela1[[#This Row],[DATA REAL - DOSSIÊ]]&lt;&gt;""),1)</f>
        <v>1</v>
      </c>
      <c r="O150" s="16" cm="1">
        <f t="array" aca="1" ref="O15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POSTAGEM]]="",$BH150&gt;$BF$1),2,
AND(Tabela1[[#This Row],[STATUS PROCESSO MOBILIZAÇÃO]]="Em andamento",Tabela1[[#This Row],[DATA REAL - POSTAGEM]]="",$BH150&lt;=$BF$1),3,
AND(Tabela1[[#This Row],[STATUS PROCESSO MOBILIZAÇÃO]]="Em andamento",Tabela1[[#This Row],[DATA REAL - POSTAGEM]]&lt;&gt;""),1)</f>
        <v>1</v>
      </c>
      <c r="P150" s="16" cm="1">
        <f t="array" aca="1" ref="P15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FINAL]]="",$BK150&gt;$BI$1),2,
AND(Tabela1[[#This Row],[STATUS PROCESSO MOBILIZAÇÃO]]="Em andamento",Tabela1[[#This Row],[DATA REAL - APROV FINAL]]="",$BK150&lt;=$BI$1),3,
AND(Tabela1[[#This Row],[STATUS PROCESSO MOBILIZAÇÃO]]="Em andamento",Tabela1[[#This Row],[DATA REAL - APROV FINAL]]&lt;&gt;""),1)</f>
        <v>1</v>
      </c>
      <c r="Q150" s="15" cm="1">
        <f t="array" aca="1" ref="Q15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CRACHÁ]]="",$BN150&gt;$BL$1),2,
AND(Tabela1[[#This Row],[STATUS PROCESSO MOBILIZAÇÃO]]="Em andamento",Tabela1[[#This Row],[DATA REAL - CRACHÁ]]="",$BN150&lt;=$BL$1),3,
AND(Tabela1[[#This Row],[STATUS PROCESSO MOBILIZAÇÃO]]="Em andamento",Tabela1[[#This Row],[DATA REAL - CRACHÁ]]&lt;&gt;""),1)</f>
        <v>1</v>
      </c>
      <c r="R150" s="21">
        <f>IF(Tabela1[[#This Row],[DATA REAL - FORMS]]&lt;&gt;"",Tabela1[[#This Row],[DATA REAL - FORMS]]+30,Tabela1[[#This Row],[DATA PREV - FORMS]]+35)</f>
        <v>45968</v>
      </c>
      <c r="S15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45952</v>
      </c>
      <c r="T15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61</v>
      </c>
      <c r="U15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49</v>
      </c>
      <c r="V150" s="49">
        <f>MAX(Tabela1[[#This Row],[DATA REAL - POSTAGEM]],Tabela1[[#This Row],[DATA REAL - APROV FINAL]],Tabela1[[#This Row],[DATA REAL - CRACHÁ]])-MIN(Tabela1[[#This Row],[DATA REAL - POSTAGEM]],Tabela1[[#This Row],[DATA REAL - APROV FINAL]],Tabela1[[#This Row],[DATA REAL - CRACHÁ]])+1</f>
        <v>13</v>
      </c>
      <c r="W150"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50" s="15" t="s">
        <v>539</v>
      </c>
      <c r="Y150" s="16" t="s">
        <v>130</v>
      </c>
      <c r="Z150" s="18" t="s">
        <v>540</v>
      </c>
      <c r="AA150" s="18" t="s">
        <v>131</v>
      </c>
      <c r="AB150" s="16" t="s">
        <v>97</v>
      </c>
      <c r="AC150" s="16" t="s">
        <v>132</v>
      </c>
      <c r="AD150" s="16" t="s">
        <v>132</v>
      </c>
      <c r="AE150" s="16" t="s">
        <v>483</v>
      </c>
      <c r="AF150" s="16" t="s">
        <v>484</v>
      </c>
      <c r="AG150" s="16" t="str">
        <f>_xlfn.XLOOKUP(Tabela1[[#This Row],[CÓD. CT]],Controle_Projetos[COD CT],Controle_Projetos[COD PHD],"")</f>
        <v>GERD-CT19-PROD</v>
      </c>
      <c r="AH150" s="21">
        <v>45938</v>
      </c>
      <c r="AI150" s="75">
        <v>45891</v>
      </c>
      <c r="AJ150" s="16" t="str" cm="1">
        <f t="array" aca="1" ref="AJ15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50" s="21">
        <v>45938</v>
      </c>
      <c r="AL150" s="74">
        <v>45938</v>
      </c>
      <c r="AM150" s="16" cm="1">
        <f t="array" aca="1" ref="AM15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0" s="21">
        <f>Tabela1[[#This Row],[DATA PREV - FORMS]]+$AN$1</f>
        <v>45945</v>
      </c>
      <c r="AO150" s="74">
        <v>45938</v>
      </c>
      <c r="AP150" s="16" cm="1">
        <f t="array" aca="1" ref="AP15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0" s="21">
        <f>Tabela1[[#This Row],[DATA PREV - EXAMES]]+$AQ$1</f>
        <v>45947</v>
      </c>
      <c r="AR150" s="74">
        <v>45938</v>
      </c>
      <c r="AS150" s="15" cm="1">
        <f t="array" aca="1" ref="AS15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50" s="21">
        <f>Tabela1[[#This Row],[DATA PREV - FORMS]]+$AT$1</f>
        <v>45939</v>
      </c>
      <c r="AU150" s="74">
        <v>45938</v>
      </c>
      <c r="AV150" s="15" cm="1">
        <f t="array" aca="1" ref="AV15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0" s="21">
        <f>Tabela1[[#This Row],[DATA PREV - TREINAMENTOS]]+$AW$1</f>
        <v>45946</v>
      </c>
      <c r="AX150" s="74">
        <v>45938</v>
      </c>
      <c r="AY150" s="15" cm="1">
        <f t="array" aca="1" ref="AY15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50" s="24">
        <v>45945</v>
      </c>
      <c r="BA150" s="74">
        <v>45938</v>
      </c>
      <c r="BB150" s="15" cm="1">
        <f t="array" aca="1" ref="BB15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v>
      </c>
      <c r="BC150" s="21">
        <f>Tabela1[[#This Row],[DATA PREV - CONCL. TREIN.]]+$BC$1</f>
        <v>45948</v>
      </c>
      <c r="BD150" s="74">
        <v>45940</v>
      </c>
      <c r="BE150" s="15" cm="1">
        <f t="array" aca="1" ref="BE15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50" s="21">
        <f>Tabela1[[#This Row],[DATA PREV - DOSSIÊ]]+$BF$1</f>
        <v>45951</v>
      </c>
      <c r="BG150" s="74">
        <v>45940</v>
      </c>
      <c r="BH150" s="15" cm="1">
        <f t="array" aca="1" ref="BH15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50" s="21">
        <f>Tabela1[[#This Row],[DATA PREV - POSTAGEM]]+$BI$1</f>
        <v>45957</v>
      </c>
      <c r="BJ150" s="74">
        <v>45952</v>
      </c>
      <c r="BK150" s="15" cm="1">
        <f t="array" aca="1" ref="BK15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50" s="21">
        <f>Tabela1[[#This Row],[DATA PREV - APROV FINAL]]+$BL$1</f>
        <v>45958</v>
      </c>
      <c r="BM150" s="74">
        <v>45952</v>
      </c>
      <c r="BN150" s="15" cm="1">
        <f t="array" aca="1" ref="BN15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50" s="80" t="s">
        <v>542</v>
      </c>
    </row>
    <row r="151" spans="2:67" ht="18" hidden="1" customHeight="1" x14ac:dyDescent="0.35">
      <c r="B151" s="14" t="s">
        <v>79</v>
      </c>
      <c r="C151" s="16" t="s">
        <v>136</v>
      </c>
      <c r="D151" s="16" t="s">
        <v>81</v>
      </c>
      <c r="E151" s="16"/>
      <c r="F151" s="16" t="s">
        <v>543</v>
      </c>
      <c r="G151" s="16" cm="1">
        <f t="array" ref="G151">_xlfn.IFS(Tabela1[[#This Row],[STATUS PROCESSO MOBILIZAÇÃO]]="Finalizado",1,Tabela1[[#This Row],[STATUS PROCESSO MOBILIZAÇÃO]]="Cancelado",2,Tabela1[[#This Row],[STATUS PROCESSO MOBILIZAÇÃO]]="Em andamento",3)</f>
        <v>1</v>
      </c>
      <c r="H151" s="16" cm="1">
        <f t="array" aca="1" ref="H15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FORMS]]="",$AM151&gt;$AK$1),2,
AND(Tabela1[[#This Row],[STATUS PROCESSO MOBILIZAÇÃO]]="Em andamento",Tabela1[[#This Row],[DATA REAL - FORMS]]="",$AM151&lt;=$AK$1),3,
AND(Tabela1[[#This Row],[STATUS PROCESSO MOBILIZAÇÃO]]="Em andamento",Tabela1[[#This Row],[DATA REAL - FORMS]]&lt;&gt;""),1)</f>
        <v>1</v>
      </c>
      <c r="I151" s="16" cm="1">
        <f t="array" aca="1" ref="I15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EXAMES]]="",$AP151&gt;$AN$1),2,
AND(Tabela1[[#This Row],[STATUS PROCESSO MOBILIZAÇÃO]]="Em andamento",Tabela1[[#This Row],[DATA REAL - EXAMES]]="",$AP151&lt;=$AN$1),3,
AND(Tabela1[[#This Row],[STATUS PROCESSO MOBILIZAÇÃO]]="Em andamento",Tabela1[[#This Row],[DATA REAL - EXAMES]]&lt;&gt;""),1)</f>
        <v>1</v>
      </c>
      <c r="J151" s="16" cm="1">
        <f t="array" aca="1" ref="J15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ASO]]="",$AS151&gt;$AQ$1),2,
AND(Tabela1[[#This Row],[STATUS PROCESSO MOBILIZAÇÃO]]="Em andamento",Tabela1[[#This Row],[DATA REAL - ASO]]="",$AS151&lt;=$AQ$1),3,
AND(Tabela1[[#This Row],[STATUS PROCESSO MOBILIZAÇÃO]]="Em andamento",Tabela1[[#This Row],[DATA REAL - ASO]]&lt;&gt;""),1)</f>
        <v>1</v>
      </c>
      <c r="K151" s="15" cm="1">
        <f t="array" aca="1" ref="K15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TREINAMENTOS]]="",$AV151&gt;$AT$1),2,
AND(Tabela1[[#This Row],[STATUS PROCESSO MOBILIZAÇÃO]]="Em andamento",Tabela1[[#This Row],[DATA REAL - TREINAMENTOS]]="",$AV151&lt;=$AT$1),3,
AND(Tabela1[[#This Row],[STATUS PROCESSO MOBILIZAÇÃO]]="Em andamento",Tabela1[[#This Row],[DATA REAL - TREINAMENTOS]]&lt;&gt;""),1)</f>
        <v>1</v>
      </c>
      <c r="L151" s="15" cm="1">
        <f t="array" aca="1" ref="L15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TREIN.]]="",$AY151&gt;$AW$1),2,
AND(Tabela1[[#This Row],[STATUS PROCESSO MOBILIZAÇÃO]]="Em andamento",Tabela1[[#This Row],[DATA REAL - CONCL. TREIN.]]="",$AY151&lt;=$AW$1),3,
AND(Tabela1[[#This Row],[STATUS PROCESSO MOBILIZAÇÃO]]="Em andamento",Tabela1[[#This Row],[DATA REAL - CONCL. TREIN.]]&lt;&gt;""),1)</f>
        <v>1</v>
      </c>
      <c r="M151" s="15" cm="1">
        <f t="array" aca="1" ref="M15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CONTRATUAL]]="",$BB151&gt;$AZ$1),2,
AND(Tabela1[[#This Row],[STATUS PROCESSO MOBILIZAÇÃO]]="Em andamento",Tabela1[[#This Row],[DATA FIM - ALTER. CONTRATUAL]]="",$BB151&lt;=$AZ$1),3,
AND(Tabela1[[#This Row],[STATUS PROCESSO MOBILIZAÇÃO]]="Em andamento",Tabela1[[#This Row],[DATA FIM - ALTER. CONTRATUAL]]&lt;&gt;""),1)</f>
        <v>1</v>
      </c>
      <c r="N151" s="16" cm="1">
        <f t="array" aca="1" ref="N15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DOSSIÊ]]="",$BE151&gt;$BC$1),2,
AND(Tabela1[[#This Row],[STATUS PROCESSO MOBILIZAÇÃO]]="Em andamento",Tabela1[[#This Row],[DATA REAL - DOSSIÊ]]="",$BE151&lt;=$BC$1),3,
AND(Tabela1[[#This Row],[STATUS PROCESSO MOBILIZAÇÃO]]="Em andamento",Tabela1[[#This Row],[DATA REAL - DOSSIÊ]]&lt;&gt;""),1)</f>
        <v>1</v>
      </c>
      <c r="O151" s="16" cm="1">
        <f t="array" aca="1" ref="O15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POSTAGEM]]="",$BH151&gt;$BF$1),2,
AND(Tabela1[[#This Row],[STATUS PROCESSO MOBILIZAÇÃO]]="Em andamento",Tabela1[[#This Row],[DATA REAL - POSTAGEM]]="",$BH151&lt;=$BF$1),3,
AND(Tabela1[[#This Row],[STATUS PROCESSO MOBILIZAÇÃO]]="Em andamento",Tabela1[[#This Row],[DATA REAL - POSTAGEM]]&lt;&gt;""),1)</f>
        <v>1</v>
      </c>
      <c r="P151" s="16" cm="1">
        <f t="array" aca="1" ref="P15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FINAL]]="",$BK151&gt;$BI$1),2,
AND(Tabela1[[#This Row],[STATUS PROCESSO MOBILIZAÇÃO]]="Em andamento",Tabela1[[#This Row],[DATA REAL - APROV FINAL]]="",$BK151&lt;=$BI$1),3,
AND(Tabela1[[#This Row],[STATUS PROCESSO MOBILIZAÇÃO]]="Em andamento",Tabela1[[#This Row],[DATA REAL - APROV FINAL]]&lt;&gt;""),1)</f>
        <v>1</v>
      </c>
      <c r="Q151" s="15" cm="1">
        <f t="array" aca="1" ref="Q15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CRACHÁ]]="",$BN151&gt;$BL$1),2,
AND(Tabela1[[#This Row],[STATUS PROCESSO MOBILIZAÇÃO]]="Em andamento",Tabela1[[#This Row],[DATA REAL - CRACHÁ]]="",$BN151&lt;=$BL$1),3,
AND(Tabela1[[#This Row],[STATUS PROCESSO MOBILIZAÇÃO]]="Em andamento",Tabela1[[#This Row],[DATA REAL - CRACHÁ]]&lt;&gt;""),1)</f>
        <v>1</v>
      </c>
      <c r="R151" s="21">
        <f>IF(Tabela1[[#This Row],[DATA REAL - FORMS]]&lt;&gt;"",Tabela1[[#This Row],[DATA REAL - FORMS]]+30,Tabela1[[#This Row],[DATA PREV - FORMS]]+35)</f>
        <v>45976</v>
      </c>
      <c r="S15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45957</v>
      </c>
      <c r="T15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66</v>
      </c>
      <c r="U15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63</v>
      </c>
      <c r="V151" s="49">
        <f>MAX(Tabela1[[#This Row],[DATA REAL - POSTAGEM]],Tabela1[[#This Row],[DATA REAL - APROV FINAL]],Tabela1[[#This Row],[DATA REAL - CRACHÁ]])-MIN(Tabela1[[#This Row],[DATA REAL - POSTAGEM]],Tabela1[[#This Row],[DATA REAL - APROV FINAL]],Tabela1[[#This Row],[DATA REAL - CRACHÁ]])+1</f>
        <v>4</v>
      </c>
      <c r="W15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51" s="15" t="s">
        <v>539</v>
      </c>
      <c r="Y151" s="16" t="s">
        <v>130</v>
      </c>
      <c r="Z151" s="18" t="s">
        <v>131</v>
      </c>
      <c r="AA151" s="18" t="s">
        <v>131</v>
      </c>
      <c r="AB151" s="16" t="s">
        <v>97</v>
      </c>
      <c r="AC151" s="16" t="s">
        <v>132</v>
      </c>
      <c r="AD151" s="16" t="s">
        <v>132</v>
      </c>
      <c r="AE151" s="16" t="s">
        <v>483</v>
      </c>
      <c r="AF151" s="16" t="s">
        <v>484</v>
      </c>
      <c r="AG151" s="16" t="str">
        <f>_xlfn.XLOOKUP(Tabela1[[#This Row],[CÓD. CT]],Controle_Projetos[COD CT],Controle_Projetos[COD PHD],"")</f>
        <v>GERD-CT19-PROD</v>
      </c>
      <c r="AH151" s="21">
        <v>45944</v>
      </c>
      <c r="AI151" s="75">
        <v>45891</v>
      </c>
      <c r="AJ151" s="16" t="str" cm="1">
        <f t="array" aca="1" ref="AJ15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51" s="21">
        <v>45944</v>
      </c>
      <c r="AL151" s="74">
        <v>45946</v>
      </c>
      <c r="AM151" s="16" cm="1">
        <f t="array" aca="1" ref="AM15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3</v>
      </c>
      <c r="AN151" s="21">
        <f>Tabela1[[#This Row],[DATA PREV - FORMS]]+$AN$1</f>
        <v>45951</v>
      </c>
      <c r="AO151" s="74">
        <v>45944</v>
      </c>
      <c r="AP151" s="16" cm="1">
        <f t="array" aca="1" ref="AP15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1" s="21">
        <f>Tabela1[[#This Row],[DATA PREV - EXAMES]]+$AQ$1</f>
        <v>45953</v>
      </c>
      <c r="AR151" s="74">
        <v>45946</v>
      </c>
      <c r="AS151" s="15" cm="1">
        <f t="array" aca="1" ref="AS15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51" s="21">
        <f>Tabela1[[#This Row],[DATA PREV - FORMS]]+$AT$1</f>
        <v>45945</v>
      </c>
      <c r="AU151" s="74">
        <v>45944</v>
      </c>
      <c r="AV151" s="15" cm="1">
        <f t="array" aca="1" ref="AV15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1" s="21">
        <f>Tabela1[[#This Row],[DATA PREV - TREINAMENTOS]]+$AW$1</f>
        <v>45952</v>
      </c>
      <c r="AX151" s="74">
        <v>45945</v>
      </c>
      <c r="AY151" s="15" cm="1">
        <f t="array" aca="1" ref="AY15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51" s="24"/>
      <c r="BA151" s="74">
        <v>45954</v>
      </c>
      <c r="BB151" s="15" t="str" cm="1">
        <f t="array" aca="1" ref="BB15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151" s="21">
        <f>Tabela1[[#This Row],[DATA PREV - CONCL. TREIN.]]+$BC$1</f>
        <v>45954</v>
      </c>
      <c r="BD151" s="74">
        <v>45954</v>
      </c>
      <c r="BE151" s="15" cm="1">
        <f t="array" aca="1" ref="BE15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51" s="21">
        <f>Tabela1[[#This Row],[DATA PREV - DOSSIÊ]]+$BF$1</f>
        <v>45957</v>
      </c>
      <c r="BG151" s="74">
        <v>45954</v>
      </c>
      <c r="BH151" s="15" cm="1">
        <f t="array" aca="1" ref="BH15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151" s="21">
        <f>Tabela1[[#This Row],[DATA PREV - POSTAGEM]]+$BI$1</f>
        <v>45963</v>
      </c>
      <c r="BJ151" s="74">
        <v>45957</v>
      </c>
      <c r="BK151" s="15" cm="1">
        <f t="array" aca="1" ref="BK15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151" s="21">
        <f>Tabela1[[#This Row],[DATA PREV - APROV FINAL]]+$BL$1</f>
        <v>45964</v>
      </c>
      <c r="BM151" s="74">
        <v>45957</v>
      </c>
      <c r="BN151" s="15" cm="1">
        <f t="array" aca="1" ref="BN15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51" s="80" t="s">
        <v>544</v>
      </c>
    </row>
    <row r="152" spans="2:67" ht="18" hidden="1" customHeight="1" x14ac:dyDescent="0.35">
      <c r="B152" s="14" t="s">
        <v>79</v>
      </c>
      <c r="C152" s="16" t="s">
        <v>136</v>
      </c>
      <c r="D152" s="16" t="s">
        <v>81</v>
      </c>
      <c r="E152" s="16"/>
      <c r="F152" s="16" t="s">
        <v>545</v>
      </c>
      <c r="G152" s="16" cm="1">
        <f t="array" ref="G152">_xlfn.IFS(Tabela1[[#This Row],[STATUS PROCESSO MOBILIZAÇÃO]]="Finalizado",1,Tabela1[[#This Row],[STATUS PROCESSO MOBILIZAÇÃO]]="Cancelado",2,Tabela1[[#This Row],[STATUS PROCESSO MOBILIZAÇÃO]]="Em andamento",3)</f>
        <v>1</v>
      </c>
      <c r="H152" s="16" cm="1">
        <f t="array" aca="1" ref="H15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FORMS]]="",$AM152&gt;$AK$1),2,
AND(Tabela1[[#This Row],[STATUS PROCESSO MOBILIZAÇÃO]]="Em andamento",Tabela1[[#This Row],[DATA REAL - FORMS]]="",$AM152&lt;=$AK$1),3,
AND(Tabela1[[#This Row],[STATUS PROCESSO MOBILIZAÇÃO]]="Em andamento",Tabela1[[#This Row],[DATA REAL - FORMS]]&lt;&gt;""),1)</f>
        <v>1</v>
      </c>
      <c r="I152" s="16" cm="1">
        <f t="array" aca="1" ref="I15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EXAMES]]="",$AP152&gt;$AN$1),2,
AND(Tabela1[[#This Row],[STATUS PROCESSO MOBILIZAÇÃO]]="Em andamento",Tabela1[[#This Row],[DATA REAL - EXAMES]]="",$AP152&lt;=$AN$1),3,
AND(Tabela1[[#This Row],[STATUS PROCESSO MOBILIZAÇÃO]]="Em andamento",Tabela1[[#This Row],[DATA REAL - EXAMES]]&lt;&gt;""),1)</f>
        <v>1</v>
      </c>
      <c r="J152" s="16" cm="1">
        <f t="array" aca="1" ref="J15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ASO]]="",$AS152&gt;$AQ$1),2,
AND(Tabela1[[#This Row],[STATUS PROCESSO MOBILIZAÇÃO]]="Em andamento",Tabela1[[#This Row],[DATA REAL - ASO]]="",$AS152&lt;=$AQ$1),3,
AND(Tabela1[[#This Row],[STATUS PROCESSO MOBILIZAÇÃO]]="Em andamento",Tabela1[[#This Row],[DATA REAL - ASO]]&lt;&gt;""),1)</f>
        <v>1</v>
      </c>
      <c r="K152" s="15" cm="1">
        <f t="array" aca="1" ref="K15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TREINAMENTOS]]="",$AV152&gt;$AT$1),2,
AND(Tabela1[[#This Row],[STATUS PROCESSO MOBILIZAÇÃO]]="Em andamento",Tabela1[[#This Row],[DATA REAL - TREINAMENTOS]]="",$AV152&lt;=$AT$1),3,
AND(Tabela1[[#This Row],[STATUS PROCESSO MOBILIZAÇÃO]]="Em andamento",Tabela1[[#This Row],[DATA REAL - TREINAMENTOS]]&lt;&gt;""),1)</f>
        <v>1</v>
      </c>
      <c r="L152" s="15" cm="1">
        <f t="array" aca="1" ref="L15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TREIN.]]="",$AY152&gt;$AW$1),2,
AND(Tabela1[[#This Row],[STATUS PROCESSO MOBILIZAÇÃO]]="Em andamento",Tabela1[[#This Row],[DATA REAL - CONCL. TREIN.]]="",$AY152&lt;=$AW$1),3,
AND(Tabela1[[#This Row],[STATUS PROCESSO MOBILIZAÇÃO]]="Em andamento",Tabela1[[#This Row],[DATA REAL - CONCL. TREIN.]]&lt;&gt;""),1)</f>
        <v>1</v>
      </c>
      <c r="M152" s="15" cm="1">
        <f t="array" aca="1" ref="M15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CONTRATUAL]]="",$BB152&gt;$AZ$1),2,
AND(Tabela1[[#This Row],[STATUS PROCESSO MOBILIZAÇÃO]]="Em andamento",Tabela1[[#This Row],[DATA FIM - ALTER. CONTRATUAL]]="",$BB152&lt;=$AZ$1),3,
AND(Tabela1[[#This Row],[STATUS PROCESSO MOBILIZAÇÃO]]="Em andamento",Tabela1[[#This Row],[DATA FIM - ALTER. CONTRATUAL]]&lt;&gt;""),1)</f>
        <v>1</v>
      </c>
      <c r="N152" s="16" cm="1">
        <f t="array" aca="1" ref="N15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DOSSIÊ]]="",$BE152&gt;$BC$1),2,
AND(Tabela1[[#This Row],[STATUS PROCESSO MOBILIZAÇÃO]]="Em andamento",Tabela1[[#This Row],[DATA REAL - DOSSIÊ]]="",$BE152&lt;=$BC$1),3,
AND(Tabela1[[#This Row],[STATUS PROCESSO MOBILIZAÇÃO]]="Em andamento",Tabela1[[#This Row],[DATA REAL - DOSSIÊ]]&lt;&gt;""),1)</f>
        <v>1</v>
      </c>
      <c r="O152" s="16" cm="1">
        <f t="array" aca="1" ref="O15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POSTAGEM]]="",$BH152&gt;$BF$1),2,
AND(Tabela1[[#This Row],[STATUS PROCESSO MOBILIZAÇÃO]]="Em andamento",Tabela1[[#This Row],[DATA REAL - POSTAGEM]]="",$BH152&lt;=$BF$1),3,
AND(Tabela1[[#This Row],[STATUS PROCESSO MOBILIZAÇÃO]]="Em andamento",Tabela1[[#This Row],[DATA REAL - POSTAGEM]]&lt;&gt;""),1)</f>
        <v>1</v>
      </c>
      <c r="P152" s="16" cm="1">
        <f t="array" aca="1" ref="P15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FINAL]]="",$BK152&gt;$BI$1),2,
AND(Tabela1[[#This Row],[STATUS PROCESSO MOBILIZAÇÃO]]="Em andamento",Tabela1[[#This Row],[DATA REAL - APROV FINAL]]="",$BK152&lt;=$BI$1),3,
AND(Tabela1[[#This Row],[STATUS PROCESSO MOBILIZAÇÃO]]="Em andamento",Tabela1[[#This Row],[DATA REAL - APROV FINAL]]&lt;&gt;""),1)</f>
        <v>1</v>
      </c>
      <c r="Q152" s="15" cm="1">
        <f t="array" aca="1" ref="Q15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CRACHÁ]]="",$BN152&gt;$BL$1),2,
AND(Tabela1[[#This Row],[STATUS PROCESSO MOBILIZAÇÃO]]="Em andamento",Tabela1[[#This Row],[DATA REAL - CRACHÁ]]="",$BN152&lt;=$BL$1),3,
AND(Tabela1[[#This Row],[STATUS PROCESSO MOBILIZAÇÃO]]="Em andamento",Tabela1[[#This Row],[DATA REAL - CRACHÁ]]&lt;&gt;""),1)</f>
        <v>1</v>
      </c>
      <c r="R152" s="21">
        <f>IF(Tabela1[[#This Row],[DATA REAL - FORMS]]&lt;&gt;"",Tabela1[[#This Row],[DATA REAL - FORMS]]+30,Tabela1[[#This Row],[DATA PREV - FORMS]]+35)</f>
        <v>45976</v>
      </c>
      <c r="S15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45959</v>
      </c>
      <c r="T15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62</v>
      </c>
      <c r="U15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57</v>
      </c>
      <c r="V152" s="49">
        <f>MAX(Tabela1[[#This Row],[DATA REAL - POSTAGEM]],Tabela1[[#This Row],[DATA REAL - APROV FINAL]],Tabela1[[#This Row],[DATA REAL - CRACHÁ]])-MIN(Tabela1[[#This Row],[DATA REAL - POSTAGEM]],Tabela1[[#This Row],[DATA REAL - APROV FINAL]],Tabela1[[#This Row],[DATA REAL - CRACHÁ]])+1</f>
        <v>6</v>
      </c>
      <c r="W15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52" s="15" t="s">
        <v>103</v>
      </c>
      <c r="Y152" s="16" t="s">
        <v>84</v>
      </c>
      <c r="Z152" s="18" t="s">
        <v>104</v>
      </c>
      <c r="AA152" s="18" t="s">
        <v>86</v>
      </c>
      <c r="AB152" s="16" t="s">
        <v>97</v>
      </c>
      <c r="AC152" s="16" t="s">
        <v>532</v>
      </c>
      <c r="AD152" s="16" t="s">
        <v>89</v>
      </c>
      <c r="AE152" s="16" t="s">
        <v>533</v>
      </c>
      <c r="AF152" s="16" t="s">
        <v>534</v>
      </c>
      <c r="AG152" s="16" t="str">
        <f>_xlfn.XLOOKUP(Tabela1[[#This Row],[CÓD. CT]],Controle_Projetos[COD CT],Controle_Projetos[COD PHD],"")</f>
        <v>U&amp;MM-CT02-PLAN</v>
      </c>
      <c r="AH152" s="21">
        <v>45945</v>
      </c>
      <c r="AI152" s="75">
        <v>45897</v>
      </c>
      <c r="AJ152" s="16" t="str" cm="1">
        <f t="array" aca="1" ref="AJ15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52" s="21">
        <v>45945</v>
      </c>
      <c r="AL152" s="74">
        <v>45946</v>
      </c>
      <c r="AM152" s="16" cm="1">
        <f t="array" aca="1" ref="AM15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152" s="21">
        <f>Tabela1[[#This Row],[DATA PREV - FORMS]]+$AN$1</f>
        <v>45952</v>
      </c>
      <c r="AO152" s="74">
        <v>45945</v>
      </c>
      <c r="AP152" s="16" cm="1">
        <f t="array" aca="1" ref="AP15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2" s="21">
        <f>Tabela1[[#This Row],[DATA PREV - EXAMES]]+$AQ$1</f>
        <v>45954</v>
      </c>
      <c r="AR152" s="74">
        <v>45945</v>
      </c>
      <c r="AS152" s="15" cm="1">
        <f t="array" aca="1" ref="AS15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52" s="21">
        <f>Tabela1[[#This Row],[DATA PREV - FORMS]]+$AT$1</f>
        <v>45946</v>
      </c>
      <c r="AU152" s="74">
        <v>45945</v>
      </c>
      <c r="AV152" s="15" cm="1">
        <f t="array" aca="1" ref="AV15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2" s="21">
        <f>Tabela1[[#This Row],[DATA PREV - TREINAMENTOS]]+$AW$1</f>
        <v>45953</v>
      </c>
      <c r="AX152" s="74">
        <v>45951</v>
      </c>
      <c r="AY152" s="15" cm="1">
        <f t="array" aca="1" ref="AY15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52" s="24">
        <v>45946</v>
      </c>
      <c r="BA152" s="74">
        <v>45954</v>
      </c>
      <c r="BB152" s="15" cm="1">
        <f t="array" aca="1" ref="BB15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9</v>
      </c>
      <c r="BC152" s="21">
        <f>Tabela1[[#This Row],[DATA PREV - CONCL. TREIN.]]+$BC$1</f>
        <v>45955</v>
      </c>
      <c r="BD152" s="74">
        <v>45954</v>
      </c>
      <c r="BE152" s="15" cm="1">
        <f t="array" aca="1" ref="BE15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152" s="21">
        <f>Tabela1[[#This Row],[DATA PREV - DOSSIÊ]]+$BF$1</f>
        <v>45958</v>
      </c>
      <c r="BG152" s="74">
        <v>45954</v>
      </c>
      <c r="BH152" s="15" cm="1">
        <f t="array" aca="1" ref="BH15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52" s="21">
        <f>Tabela1[[#This Row],[DATA PREV - POSTAGEM]]+$BI$1</f>
        <v>45964</v>
      </c>
      <c r="BJ152" s="74">
        <v>45959</v>
      </c>
      <c r="BK152" s="15" cm="1">
        <f t="array" aca="1" ref="BK15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52" s="21">
        <f>Tabela1[[#This Row],[DATA PREV - APROV FINAL]]+$BL$1</f>
        <v>45965</v>
      </c>
      <c r="BM152" s="74">
        <v>45959</v>
      </c>
      <c r="BN152" s="15" cm="1">
        <f t="array" aca="1" ref="BN15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52" s="80" t="s">
        <v>546</v>
      </c>
    </row>
    <row r="153" spans="2:67" ht="18" hidden="1" customHeight="1" x14ac:dyDescent="0.35">
      <c r="B153" s="14" t="s">
        <v>79</v>
      </c>
      <c r="C153" s="16" t="s">
        <v>136</v>
      </c>
      <c r="D153" s="16" t="s">
        <v>108</v>
      </c>
      <c r="E153" s="16"/>
      <c r="F153" s="16" t="s">
        <v>148</v>
      </c>
      <c r="G153" s="16" cm="1">
        <f t="array" ref="G153">_xlfn.IFS(Tabela1[[#This Row],[STATUS PROCESSO MOBILIZAÇÃO]]="Finalizado",1,Tabela1[[#This Row],[STATUS PROCESSO MOBILIZAÇÃO]]="Cancelado",2,Tabela1[[#This Row],[STATUS PROCESSO MOBILIZAÇÃO]]="Em andamento",3)</f>
        <v>1</v>
      </c>
      <c r="H153" s="16" cm="1">
        <f t="array" aca="1" ref="H15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FORMS]]="",$AM153&gt;$AK$1),2,
AND(Tabela1[[#This Row],[STATUS PROCESSO MOBILIZAÇÃO]]="Em andamento",Tabela1[[#This Row],[DATA REAL - FORMS]]="",$AM153&lt;=$AK$1),3,
AND(Tabela1[[#This Row],[STATUS PROCESSO MOBILIZAÇÃO]]="Em andamento",Tabela1[[#This Row],[DATA REAL - FORMS]]&lt;&gt;""),1)</f>
        <v>1</v>
      </c>
      <c r="I153" s="16" cm="1">
        <f t="array" aca="1" ref="I15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EXAMES]]="",$AP153&gt;$AN$1),2,
AND(Tabela1[[#This Row],[STATUS PROCESSO MOBILIZAÇÃO]]="Em andamento",Tabela1[[#This Row],[DATA REAL - EXAMES]]="",$AP153&lt;=$AN$1),3,
AND(Tabela1[[#This Row],[STATUS PROCESSO MOBILIZAÇÃO]]="Em andamento",Tabela1[[#This Row],[DATA REAL - EXAMES]]&lt;&gt;""),1)</f>
        <v>1</v>
      </c>
      <c r="J153" s="16" cm="1">
        <f t="array" aca="1" ref="J15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ASO]]="",$AS153&gt;$AQ$1),2,
AND(Tabela1[[#This Row],[STATUS PROCESSO MOBILIZAÇÃO]]="Em andamento",Tabela1[[#This Row],[DATA REAL - ASO]]="",$AS153&lt;=$AQ$1),3,
AND(Tabela1[[#This Row],[STATUS PROCESSO MOBILIZAÇÃO]]="Em andamento",Tabela1[[#This Row],[DATA REAL - ASO]]&lt;&gt;""),1)</f>
        <v>1</v>
      </c>
      <c r="K153" s="15" cm="1">
        <f t="array" aca="1" ref="K15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TREINAMENTOS]]="",$AV153&gt;$AT$1),2,
AND(Tabela1[[#This Row],[STATUS PROCESSO MOBILIZAÇÃO]]="Em andamento",Tabela1[[#This Row],[DATA REAL - TREINAMENTOS]]="",$AV153&lt;=$AT$1),3,
AND(Tabela1[[#This Row],[STATUS PROCESSO MOBILIZAÇÃO]]="Em andamento",Tabela1[[#This Row],[DATA REAL - TREINAMENTOS]]&lt;&gt;""),1)</f>
        <v>1</v>
      </c>
      <c r="L153" s="15" cm="1">
        <f t="array" aca="1" ref="L15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TREIN.]]="",$AY153&gt;$AW$1),2,
AND(Tabela1[[#This Row],[STATUS PROCESSO MOBILIZAÇÃO]]="Em andamento",Tabela1[[#This Row],[DATA REAL - CONCL. TREIN.]]="",$AY153&lt;=$AW$1),3,
AND(Tabela1[[#This Row],[STATUS PROCESSO MOBILIZAÇÃO]]="Em andamento",Tabela1[[#This Row],[DATA REAL - CONCL. TREIN.]]&lt;&gt;""),1)</f>
        <v>1</v>
      </c>
      <c r="M153" s="15" cm="1">
        <f t="array" aca="1" ref="M15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CONTRATUAL]]="",$BB153&gt;$AZ$1),2,
AND(Tabela1[[#This Row],[STATUS PROCESSO MOBILIZAÇÃO]]="Em andamento",Tabela1[[#This Row],[DATA FIM - ALTER. CONTRATUAL]]="",$BB153&lt;=$AZ$1),3,
AND(Tabela1[[#This Row],[STATUS PROCESSO MOBILIZAÇÃO]]="Em andamento",Tabela1[[#This Row],[DATA FIM - ALTER. CONTRATUAL]]&lt;&gt;""),1)</f>
        <v>1</v>
      </c>
      <c r="N153" s="16" cm="1">
        <f t="array" aca="1" ref="N15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DOSSIÊ]]="",$BE153&gt;$BC$1),2,
AND(Tabela1[[#This Row],[STATUS PROCESSO MOBILIZAÇÃO]]="Em andamento",Tabela1[[#This Row],[DATA REAL - DOSSIÊ]]="",$BE153&lt;=$BC$1),3,
AND(Tabela1[[#This Row],[STATUS PROCESSO MOBILIZAÇÃO]]="Em andamento",Tabela1[[#This Row],[DATA REAL - DOSSIÊ]]&lt;&gt;""),1)</f>
        <v>1</v>
      </c>
      <c r="O153" s="16" cm="1">
        <f t="array" aca="1" ref="O15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POSTAGEM]]="",$BH153&gt;$BF$1),2,
AND(Tabela1[[#This Row],[STATUS PROCESSO MOBILIZAÇÃO]]="Em andamento",Tabela1[[#This Row],[DATA REAL - POSTAGEM]]="",$BH153&lt;=$BF$1),3,
AND(Tabela1[[#This Row],[STATUS PROCESSO MOBILIZAÇÃO]]="Em andamento",Tabela1[[#This Row],[DATA REAL - POSTAGEM]]&lt;&gt;""),1)</f>
        <v>1</v>
      </c>
      <c r="P153" s="16" cm="1">
        <f t="array" aca="1" ref="P15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FINAL]]="",$BK153&gt;$BI$1),2,
AND(Tabela1[[#This Row],[STATUS PROCESSO MOBILIZAÇÃO]]="Em andamento",Tabela1[[#This Row],[DATA REAL - APROV FINAL]]="",$BK153&lt;=$BI$1),3,
AND(Tabela1[[#This Row],[STATUS PROCESSO MOBILIZAÇÃO]]="Em andamento",Tabela1[[#This Row],[DATA REAL - APROV FINAL]]&lt;&gt;""),1)</f>
        <v>1</v>
      </c>
      <c r="Q153" s="15" cm="1">
        <f t="array" aca="1" ref="Q15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CRACHÁ]]="",$BN153&gt;$BL$1),2,
AND(Tabela1[[#This Row],[STATUS PROCESSO MOBILIZAÇÃO]]="Em andamento",Tabela1[[#This Row],[DATA REAL - CRACHÁ]]="",$BN153&lt;=$BL$1),3,
AND(Tabela1[[#This Row],[STATUS PROCESSO MOBILIZAÇÃO]]="Em andamento",Tabela1[[#This Row],[DATA REAL - CRACHÁ]]&lt;&gt;""),1)</f>
        <v>1</v>
      </c>
      <c r="R153" s="21">
        <f>IF(Tabela1[[#This Row],[DATA REAL - FORMS]]&lt;&gt;"",Tabela1[[#This Row],[DATA REAL - FORMS]]+30,Tabela1[[#This Row],[DATA PREV - FORMS]]+35)</f>
        <v>45977</v>
      </c>
      <c r="S15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45971</v>
      </c>
      <c r="T15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15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153" s="49">
        <f>MAX(Tabela1[[#This Row],[DATA REAL - POSTAGEM]],Tabela1[[#This Row],[DATA REAL - APROV FINAL]],Tabela1[[#This Row],[DATA REAL - CRACHÁ]])-MIN(Tabela1[[#This Row],[DATA REAL - POSTAGEM]],Tabela1[[#This Row],[DATA REAL - APROV FINAL]],Tabela1[[#This Row],[DATA REAL - CRACHÁ]])+1</f>
        <v>7</v>
      </c>
      <c r="W15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328</v>
      </c>
      <c r="X153" s="15"/>
      <c r="Y153" s="16"/>
      <c r="Z153" s="18"/>
      <c r="AA153" s="18" t="s">
        <v>124</v>
      </c>
      <c r="AB153" s="16" t="s">
        <v>97</v>
      </c>
      <c r="AC153" s="16" t="s">
        <v>547</v>
      </c>
      <c r="AD153" s="16" t="s">
        <v>548</v>
      </c>
      <c r="AE153" s="16" t="s">
        <v>549</v>
      </c>
      <c r="AF153" s="16" t="s">
        <v>550</v>
      </c>
      <c r="AG153" s="16" t="str">
        <f>_xlfn.XLOOKUP(Tabela1[[#This Row],[CÓD. CT]],Controle_Projetos[COD CT],Controle_Projetos[COD PHD],"")</f>
        <v>MROS-CT02-CAIN</v>
      </c>
      <c r="AH153" s="21">
        <v>45946</v>
      </c>
      <c r="AI153" s="75" t="s">
        <v>249</v>
      </c>
      <c r="AJ153" s="16" cm="1">
        <f t="array" aca="1" ref="AJ15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53" s="21">
        <v>45946</v>
      </c>
      <c r="AL153" s="74">
        <v>45947</v>
      </c>
      <c r="AM153" s="16" cm="1">
        <f t="array" aca="1" ref="AM15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153" s="21">
        <f>Tabela1[[#This Row],[DATA PREV - FORMS]]+$AN$1</f>
        <v>45953</v>
      </c>
      <c r="AO153" s="74">
        <v>45947</v>
      </c>
      <c r="AP153" s="16" cm="1">
        <f t="array" aca="1" ref="AP15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53" s="21">
        <f>Tabela1[[#This Row],[DATA PREV - EXAMES]]+$AQ$1</f>
        <v>45955</v>
      </c>
      <c r="AR153" s="74">
        <v>45958</v>
      </c>
      <c r="AS153" s="15" cm="1">
        <f t="array" aca="1" ref="AS15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53" s="21">
        <f>Tabela1[[#This Row],[DATA PREV - FORMS]]+$AT$1</f>
        <v>45947</v>
      </c>
      <c r="AU153" s="74">
        <v>45947</v>
      </c>
      <c r="AV153" s="15" cm="1">
        <f t="array" aca="1" ref="AV15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53" s="21">
        <f>Tabela1[[#This Row],[DATA PREV - TREINAMENTOS]]+$AW$1</f>
        <v>45954</v>
      </c>
      <c r="AX153" s="74">
        <v>45947</v>
      </c>
      <c r="AY153" s="15" cm="1">
        <f t="array" aca="1" ref="AY15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53" s="24">
        <v>45947</v>
      </c>
      <c r="BA153" s="74">
        <v>45946</v>
      </c>
      <c r="BB153" s="15" cm="1">
        <f t="array" aca="1" ref="BB15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53" s="21">
        <f>Tabela1[[#This Row],[DATA PREV - CONCL. TREIN.]]+$BC$1</f>
        <v>45956</v>
      </c>
      <c r="BD153" s="74">
        <v>45958</v>
      </c>
      <c r="BE153" s="15" cm="1">
        <f t="array" aca="1" ref="BE15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53" s="21">
        <f>Tabela1[[#This Row],[DATA PREV - DOSSIÊ]]+$BF$1</f>
        <v>45959</v>
      </c>
      <c r="BG153" s="74">
        <v>45965</v>
      </c>
      <c r="BH153" s="15" cm="1">
        <f t="array" aca="1" ref="BH15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153" s="21">
        <f>Tabela1[[#This Row],[DATA PREV - POSTAGEM]]+$BI$1</f>
        <v>45965</v>
      </c>
      <c r="BJ153" s="74">
        <v>45971</v>
      </c>
      <c r="BK153" s="15" cm="1">
        <f t="array" aca="1" ref="BK15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153" s="21">
        <f>Tabela1[[#This Row],[DATA PREV - APROV FINAL]]+$BL$1</f>
        <v>45966</v>
      </c>
      <c r="BM153" s="74">
        <v>45971</v>
      </c>
      <c r="BN153" s="15" cm="1">
        <f t="array" aca="1" ref="BN15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153" s="81" t="s">
        <v>551</v>
      </c>
    </row>
    <row r="154" spans="2:67" ht="18" hidden="1" customHeight="1" x14ac:dyDescent="0.35">
      <c r="B154" s="14" t="s">
        <v>119</v>
      </c>
      <c r="C154" s="16" t="s">
        <v>136</v>
      </c>
      <c r="D154" s="77" t="s">
        <v>119</v>
      </c>
      <c r="E154" s="77">
        <v>131</v>
      </c>
      <c r="F154" s="15" t="s">
        <v>552</v>
      </c>
      <c r="G154" s="16" cm="1">
        <f t="array" ref="G154">_xlfn.IFS(Tabela1[[#This Row],[STATUS PROCESSO MOBILIZAÇÃO]]="Finalizado",1,Tabela1[[#This Row],[STATUS PROCESSO MOBILIZAÇÃO]]="Cancelado",2,Tabela1[[#This Row],[STATUS PROCESSO MOBILIZAÇÃO]]="Em andamento",3)</f>
        <v>2</v>
      </c>
      <c r="H154" s="16" cm="1">
        <f t="array" aca="1" ref="H15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FORMS]]="",$AM154&gt;$AK$1),2,
AND(Tabela1[[#This Row],[STATUS PROCESSO MOBILIZAÇÃO]]="Em andamento",Tabela1[[#This Row],[DATA REAL - FORMS]]="",$AM154&lt;=$AK$1),3,
AND(Tabela1[[#This Row],[STATUS PROCESSO MOBILIZAÇÃO]]="Em andamento",Tabela1[[#This Row],[DATA REAL - FORMS]]&lt;&gt;""),1)</f>
        <v>1</v>
      </c>
      <c r="I154" s="16" cm="1">
        <f t="array" aca="1" ref="I15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EXAMES]]="",$AP154&gt;$AN$1),2,
AND(Tabela1[[#This Row],[STATUS PROCESSO MOBILIZAÇÃO]]="Em andamento",Tabela1[[#This Row],[DATA REAL - EXAMES]]="",$AP154&lt;=$AN$1),3,
AND(Tabela1[[#This Row],[STATUS PROCESSO MOBILIZAÇÃO]]="Em andamento",Tabela1[[#This Row],[DATA REAL - EXAMES]]&lt;&gt;""),1)</f>
        <v>1</v>
      </c>
      <c r="J154" s="16" cm="1">
        <f t="array" aca="1" ref="J15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ASO]]="",$AS154&gt;$AQ$1),2,
AND(Tabela1[[#This Row],[STATUS PROCESSO MOBILIZAÇÃO]]="Em andamento",Tabela1[[#This Row],[DATA REAL - ASO]]="",$AS154&lt;=$AQ$1),3,
AND(Tabela1[[#This Row],[STATUS PROCESSO MOBILIZAÇÃO]]="Em andamento",Tabela1[[#This Row],[DATA REAL - ASO]]&lt;&gt;""),1)</f>
        <v>1</v>
      </c>
      <c r="K154" s="15" cm="1">
        <f t="array" aca="1" ref="K15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TREINAMENTOS]]="",$AV154&gt;$AT$1),2,
AND(Tabela1[[#This Row],[STATUS PROCESSO MOBILIZAÇÃO]]="Em andamento",Tabela1[[#This Row],[DATA REAL - TREINAMENTOS]]="",$AV154&lt;=$AT$1),3,
AND(Tabela1[[#This Row],[STATUS PROCESSO MOBILIZAÇÃO]]="Em andamento",Tabela1[[#This Row],[DATA REAL - TREINAMENTOS]]&lt;&gt;""),1)</f>
        <v>1</v>
      </c>
      <c r="L154" s="15" cm="1">
        <f t="array" aca="1" ref="L15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TREIN.]]="",$AY154&gt;$AW$1),2,
AND(Tabela1[[#This Row],[STATUS PROCESSO MOBILIZAÇÃO]]="Em andamento",Tabela1[[#This Row],[DATA REAL - CONCL. TREIN.]]="",$AY154&lt;=$AW$1),3,
AND(Tabela1[[#This Row],[STATUS PROCESSO MOBILIZAÇÃO]]="Em andamento",Tabela1[[#This Row],[DATA REAL - CONCL. TREIN.]]&lt;&gt;""),1)</f>
        <v>1</v>
      </c>
      <c r="M154" s="15" cm="1">
        <f t="array" aca="1" ref="M15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CONTRATUAL]]="",$BB154&gt;$AZ$1),2,
AND(Tabela1[[#This Row],[STATUS PROCESSO MOBILIZAÇÃO]]="Em andamento",Tabela1[[#This Row],[DATA FIM - ALTER. CONTRATUAL]]="",$BB154&lt;=$AZ$1),3,
AND(Tabela1[[#This Row],[STATUS PROCESSO MOBILIZAÇÃO]]="Em andamento",Tabela1[[#This Row],[DATA FIM - ALTER. CONTRATUAL]]&lt;&gt;""),1)</f>
        <v>1</v>
      </c>
      <c r="N154" s="16" cm="1">
        <f t="array" aca="1" ref="N15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DOSSIÊ]]="",$BE154&gt;$BC$1),2,
AND(Tabela1[[#This Row],[STATUS PROCESSO MOBILIZAÇÃO]]="Em andamento",Tabela1[[#This Row],[DATA REAL - DOSSIÊ]]="",$BE154&lt;=$BC$1),3,
AND(Tabela1[[#This Row],[STATUS PROCESSO MOBILIZAÇÃO]]="Em andamento",Tabela1[[#This Row],[DATA REAL - DOSSIÊ]]&lt;&gt;""),1)</f>
        <v>1</v>
      </c>
      <c r="O154" s="16" cm="1">
        <f t="array" aca="1" ref="O15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POSTAGEM]]="",$BH154&gt;$BF$1),2,
AND(Tabela1[[#This Row],[STATUS PROCESSO MOBILIZAÇÃO]]="Em andamento",Tabela1[[#This Row],[DATA REAL - POSTAGEM]]="",$BH154&lt;=$BF$1),3,
AND(Tabela1[[#This Row],[STATUS PROCESSO MOBILIZAÇÃO]]="Em andamento",Tabela1[[#This Row],[DATA REAL - POSTAGEM]]&lt;&gt;""),1)</f>
        <v>0</v>
      </c>
      <c r="P154" s="16" cm="1">
        <f t="array" aca="1" ref="P15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FINAL]]="",$BK154&gt;$BI$1),2,
AND(Tabela1[[#This Row],[STATUS PROCESSO MOBILIZAÇÃO]]="Em andamento",Tabela1[[#This Row],[DATA REAL - APROV FINAL]]="",$BK154&lt;=$BI$1),3,
AND(Tabela1[[#This Row],[STATUS PROCESSO MOBILIZAÇÃO]]="Em andamento",Tabela1[[#This Row],[DATA REAL - APROV FINAL]]&lt;&gt;""),1)</f>
        <v>0</v>
      </c>
      <c r="Q154" s="15" cm="1">
        <f t="array" aca="1" ref="Q15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CRACHÁ]]="",$BN154&gt;$BL$1),2,
AND(Tabela1[[#This Row],[STATUS PROCESSO MOBILIZAÇÃO]]="Em andamento",Tabela1[[#This Row],[DATA REAL - CRACHÁ]]="",$BN154&lt;=$BL$1),3,
AND(Tabela1[[#This Row],[STATUS PROCESSO MOBILIZAÇÃO]]="Em andamento",Tabela1[[#This Row],[DATA REAL - CRACHÁ]]&lt;&gt;""),1)</f>
        <v>1</v>
      </c>
      <c r="R154" s="21">
        <f>IF(Tabela1[[#This Row],[DATA REAL - FORMS]]&lt;&gt;"",Tabela1[[#This Row],[DATA REAL - FORMS]]+30,Tabela1[[#This Row],[DATA PREV - FORMS]]+35)</f>
        <v>45976</v>
      </c>
      <c r="S15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46029</v>
      </c>
      <c r="T15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83</v>
      </c>
      <c r="U15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40</v>
      </c>
      <c r="V154" s="49">
        <f>MAX(Tabela1[[#This Row],[DATA REAL - POSTAGEM]],Tabela1[[#This Row],[DATA REAL - APROV FINAL]],Tabela1[[#This Row],[DATA REAL - CRACHÁ]])-MIN(Tabela1[[#This Row],[DATA REAL - POSTAGEM]],Tabela1[[#This Row],[DATA REAL - APROV FINAL]],Tabela1[[#This Row],[DATA REAL - CRACHÁ]])+1</f>
        <v>1</v>
      </c>
      <c r="W15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328</v>
      </c>
      <c r="X154" s="15" t="s">
        <v>103</v>
      </c>
      <c r="Y154" s="16" t="s">
        <v>84</v>
      </c>
      <c r="Z154" s="18" t="s">
        <v>104</v>
      </c>
      <c r="AA154" s="18" t="s">
        <v>86</v>
      </c>
      <c r="AB154" s="16" t="s">
        <v>97</v>
      </c>
      <c r="AC154" s="16" t="s">
        <v>452</v>
      </c>
      <c r="AD154" s="16" t="s">
        <v>553</v>
      </c>
      <c r="AE154" s="16" t="s">
        <v>554</v>
      </c>
      <c r="AF154" s="16" t="s">
        <v>555</v>
      </c>
      <c r="AG154" s="16" t="str">
        <f>_xlfn.XLOOKUP(Tabela1[[#This Row],[CÓD. CT]],Controle_Projetos[COD CT],Controle_Projetos[COD PHD],"")</f>
        <v>ENGF-CT04-LNTR</v>
      </c>
      <c r="AH154" s="21">
        <v>45946</v>
      </c>
      <c r="AI154" s="75" t="s">
        <v>249</v>
      </c>
      <c r="AJ154" s="16" cm="1">
        <f t="array" aca="1" ref="AJ15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54" s="21">
        <v>45946</v>
      </c>
      <c r="AL154" s="74">
        <v>45946</v>
      </c>
      <c r="AM154" s="16" cm="1">
        <f t="array" aca="1" ref="AM15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4" s="21">
        <f>Tabela1[[#This Row],[DATA PREV - FORMS]]+$AN$1</f>
        <v>45953</v>
      </c>
      <c r="AO154" s="74">
        <v>45968</v>
      </c>
      <c r="AP154" s="16" cm="1">
        <f t="array" aca="1" ref="AP15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16</v>
      </c>
      <c r="AQ154" s="21">
        <f>Tabela1[[#This Row],[DATA PREV - EXAMES]]+$AQ$1</f>
        <v>45955</v>
      </c>
      <c r="AR154" s="74">
        <v>45986</v>
      </c>
      <c r="AS154" s="15" cm="1">
        <f t="array" aca="1" ref="AS15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32</v>
      </c>
      <c r="AT154" s="21">
        <f>Tabela1[[#This Row],[DATA PREV - FORMS]]+$AT$1</f>
        <v>45947</v>
      </c>
      <c r="AU154" s="74">
        <v>45946</v>
      </c>
      <c r="AV154" s="15" cm="1">
        <f t="array" aca="1" ref="AV15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4" s="21">
        <f>Tabela1[[#This Row],[DATA PREV - TREINAMENTOS]]+$AW$1</f>
        <v>45954</v>
      </c>
      <c r="AX154" s="74">
        <v>45946</v>
      </c>
      <c r="AY154" s="15" cm="1">
        <f t="array" aca="1" ref="AY15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54" s="24">
        <v>45947</v>
      </c>
      <c r="BA154" s="74">
        <v>45946</v>
      </c>
      <c r="BB154" s="15" cm="1">
        <f t="array" aca="1" ref="BB15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54" s="21">
        <f>Tabela1[[#This Row],[DATA PREV - CONCL. TREIN.]]+$BC$1</f>
        <v>45956</v>
      </c>
      <c r="BD154" s="74">
        <v>45986</v>
      </c>
      <c r="BE154" s="15" cm="1">
        <f t="array" aca="1" ref="BE15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31</v>
      </c>
      <c r="BF154" s="21">
        <f>Tabela1[[#This Row],[DATA PREV - DOSSIÊ]]+$BF$1</f>
        <v>45959</v>
      </c>
      <c r="BG154" s="74"/>
      <c r="BH154" s="15" cm="1">
        <f t="array" aca="1" ref="BH15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54" s="21">
        <f>Tabela1[[#This Row],[DATA PREV - POSTAGEM]]+$BI$1</f>
        <v>45965</v>
      </c>
      <c r="BJ154" s="74"/>
      <c r="BK154" s="15" cm="1">
        <f t="array" aca="1" ref="BK15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54" s="21">
        <f>Tabela1[[#This Row],[DATA PREV - APROV FINAL]]+$BL$1</f>
        <v>45966</v>
      </c>
      <c r="BM154" s="74">
        <v>46029</v>
      </c>
      <c r="BN154" s="15" cm="1">
        <f t="array" aca="1" ref="BN15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64</v>
      </c>
      <c r="BO154" s="80" t="s">
        <v>556</v>
      </c>
    </row>
    <row r="155" spans="2:67" ht="18" hidden="1" customHeight="1" x14ac:dyDescent="0.35">
      <c r="B155" s="14" t="s">
        <v>79</v>
      </c>
      <c r="C155" s="16" t="s">
        <v>136</v>
      </c>
      <c r="D155" s="16" t="s">
        <v>108</v>
      </c>
      <c r="E155" s="16"/>
      <c r="F155" s="16" t="s">
        <v>511</v>
      </c>
      <c r="G155" s="16" cm="1">
        <f t="array" ref="G155">_xlfn.IFS(Tabela1[[#This Row],[STATUS PROCESSO MOBILIZAÇÃO]]="Finalizado",1,Tabela1[[#This Row],[STATUS PROCESSO MOBILIZAÇÃO]]="Cancelado",2,Tabela1[[#This Row],[STATUS PROCESSO MOBILIZAÇÃO]]="Em andamento",3)</f>
        <v>1</v>
      </c>
      <c r="H155" s="16" cm="1">
        <f t="array" aca="1" ref="H15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FORMS]]="",$AM155&gt;$AK$1),2,
AND(Tabela1[[#This Row],[STATUS PROCESSO MOBILIZAÇÃO]]="Em andamento",Tabela1[[#This Row],[DATA REAL - FORMS]]="",$AM155&lt;=$AK$1),3,
AND(Tabela1[[#This Row],[STATUS PROCESSO MOBILIZAÇÃO]]="Em andamento",Tabela1[[#This Row],[DATA REAL - FORMS]]&lt;&gt;""),1)</f>
        <v>0</v>
      </c>
      <c r="I155" s="16" cm="1">
        <f t="array" aca="1" ref="I15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EXAMES]]="",$AP155&gt;$AN$1),2,
AND(Tabela1[[#This Row],[STATUS PROCESSO MOBILIZAÇÃO]]="Em andamento",Tabela1[[#This Row],[DATA REAL - EXAMES]]="",$AP155&lt;=$AN$1),3,
AND(Tabela1[[#This Row],[STATUS PROCESSO MOBILIZAÇÃO]]="Em andamento",Tabela1[[#This Row],[DATA REAL - EXAMES]]&lt;&gt;""),1)</f>
        <v>1</v>
      </c>
      <c r="J155" s="16" cm="1">
        <f t="array" aca="1" ref="J15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ASO]]="",$AS155&gt;$AQ$1),2,
AND(Tabela1[[#This Row],[STATUS PROCESSO MOBILIZAÇÃO]]="Em andamento",Tabela1[[#This Row],[DATA REAL - ASO]]="",$AS155&lt;=$AQ$1),3,
AND(Tabela1[[#This Row],[STATUS PROCESSO MOBILIZAÇÃO]]="Em andamento",Tabela1[[#This Row],[DATA REAL - ASO]]&lt;&gt;""),1)</f>
        <v>1</v>
      </c>
      <c r="K155" s="15" cm="1">
        <f t="array" aca="1" ref="K15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TREINAMENTOS]]="",$AV155&gt;$AT$1),2,
AND(Tabela1[[#This Row],[STATUS PROCESSO MOBILIZAÇÃO]]="Em andamento",Tabela1[[#This Row],[DATA REAL - TREINAMENTOS]]="",$AV155&lt;=$AT$1),3,
AND(Tabela1[[#This Row],[STATUS PROCESSO MOBILIZAÇÃO]]="Em andamento",Tabela1[[#This Row],[DATA REAL - TREINAMENTOS]]&lt;&gt;""),1)</f>
        <v>1</v>
      </c>
      <c r="L155" s="15" cm="1">
        <f t="array" aca="1" ref="L15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TREIN.]]="",$AY155&gt;$AW$1),2,
AND(Tabela1[[#This Row],[STATUS PROCESSO MOBILIZAÇÃO]]="Em andamento",Tabela1[[#This Row],[DATA REAL - CONCL. TREIN.]]="",$AY155&lt;=$AW$1),3,
AND(Tabela1[[#This Row],[STATUS PROCESSO MOBILIZAÇÃO]]="Em andamento",Tabela1[[#This Row],[DATA REAL - CONCL. TREIN.]]&lt;&gt;""),1)</f>
        <v>1</v>
      </c>
      <c r="M155" s="15" cm="1">
        <f t="array" aca="1" ref="M15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CONTRATUAL]]="",$BB155&gt;$AZ$1),2,
AND(Tabela1[[#This Row],[STATUS PROCESSO MOBILIZAÇÃO]]="Em andamento",Tabela1[[#This Row],[DATA FIM - ALTER. CONTRATUAL]]="",$BB155&lt;=$AZ$1),3,
AND(Tabela1[[#This Row],[STATUS PROCESSO MOBILIZAÇÃO]]="Em andamento",Tabela1[[#This Row],[DATA FIM - ALTER. CONTRATUAL]]&lt;&gt;""),1)</f>
        <v>1</v>
      </c>
      <c r="N155" s="16" cm="1">
        <f t="array" aca="1" ref="N15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DOSSIÊ]]="",$BE155&gt;$BC$1),2,
AND(Tabela1[[#This Row],[STATUS PROCESSO MOBILIZAÇÃO]]="Em andamento",Tabela1[[#This Row],[DATA REAL - DOSSIÊ]]="",$BE155&lt;=$BC$1),3,
AND(Tabela1[[#This Row],[STATUS PROCESSO MOBILIZAÇÃO]]="Em andamento",Tabela1[[#This Row],[DATA REAL - DOSSIÊ]]&lt;&gt;""),1)</f>
        <v>1</v>
      </c>
      <c r="O155" s="16" cm="1">
        <f t="array" aca="1" ref="O15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POSTAGEM]]="",$BH155&gt;$BF$1),2,
AND(Tabela1[[#This Row],[STATUS PROCESSO MOBILIZAÇÃO]]="Em andamento",Tabela1[[#This Row],[DATA REAL - POSTAGEM]]="",$BH155&lt;=$BF$1),3,
AND(Tabela1[[#This Row],[STATUS PROCESSO MOBILIZAÇÃO]]="Em andamento",Tabela1[[#This Row],[DATA REAL - POSTAGEM]]&lt;&gt;""),1)</f>
        <v>1</v>
      </c>
      <c r="P155" s="16" cm="1">
        <f t="array" aca="1" ref="P15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FINAL]]="",$BK155&gt;$BI$1),2,
AND(Tabela1[[#This Row],[STATUS PROCESSO MOBILIZAÇÃO]]="Em andamento",Tabela1[[#This Row],[DATA REAL - APROV FINAL]]="",$BK155&lt;=$BI$1),3,
AND(Tabela1[[#This Row],[STATUS PROCESSO MOBILIZAÇÃO]]="Em andamento",Tabela1[[#This Row],[DATA REAL - APROV FINAL]]&lt;&gt;""),1)</f>
        <v>1</v>
      </c>
      <c r="Q155" s="15" cm="1">
        <f t="array" aca="1" ref="Q15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CRACHÁ]]="",$BN155&gt;$BL$1),2,
AND(Tabela1[[#This Row],[STATUS PROCESSO MOBILIZAÇÃO]]="Em andamento",Tabela1[[#This Row],[DATA REAL - CRACHÁ]]="",$BN155&lt;=$BL$1),3,
AND(Tabela1[[#This Row],[STATUS PROCESSO MOBILIZAÇÃO]]="Em andamento",Tabela1[[#This Row],[DATA REAL - CRACHÁ]]&lt;&gt;""),1)</f>
        <v>1</v>
      </c>
      <c r="R155" s="21">
        <f>IF(Tabela1[[#This Row],[DATA REAL - FORMS]]&lt;&gt;"",Tabela1[[#This Row],[DATA REAL - FORMS]]+30,Tabela1[[#This Row],[DATA PREV - FORMS]]+35)</f>
        <v>45982</v>
      </c>
      <c r="S15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45964</v>
      </c>
      <c r="T15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5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155" s="49">
        <f>MAX(Tabela1[[#This Row],[DATA REAL - POSTAGEM]],Tabela1[[#This Row],[DATA REAL - APROV FINAL]],Tabela1[[#This Row],[DATA REAL - CRACHÁ]])-MIN(Tabela1[[#This Row],[DATA REAL - POSTAGEM]],Tabela1[[#This Row],[DATA REAL - APROV FINAL]],Tabela1[[#This Row],[DATA REAL - CRACHÁ]])+1</f>
        <v>11</v>
      </c>
      <c r="W15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X155" s="15"/>
      <c r="Y155" s="16"/>
      <c r="Z155" s="18"/>
      <c r="AA155" s="18"/>
      <c r="AB155" s="16" t="s">
        <v>97</v>
      </c>
      <c r="AC155" s="16" t="s">
        <v>557</v>
      </c>
      <c r="AD155" s="16" t="s">
        <v>557</v>
      </c>
      <c r="AE155" s="16" t="s">
        <v>311</v>
      </c>
      <c r="AF155" s="16" t="s">
        <v>558</v>
      </c>
      <c r="AG155" s="16" t="str">
        <f>_xlfn.XLOOKUP(Tabela1[[#This Row],[CÓD. CT]],Controle_Projetos[COD CT],Controle_Projetos[COD PHD],"")</f>
        <v>ANDR-CT03-SUAP</v>
      </c>
      <c r="AH155" s="21">
        <v>45947</v>
      </c>
      <c r="AI155" s="75">
        <v>45958</v>
      </c>
      <c r="AJ155" s="16" cm="1">
        <f t="array" aca="1" ref="AJ15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12</v>
      </c>
      <c r="AK155" s="21">
        <v>45947</v>
      </c>
      <c r="AL155" s="74"/>
      <c r="AM155" s="16" cm="1">
        <f t="array" aca="1" ref="AM15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5" s="21">
        <f>Tabela1[[#This Row],[DATA PREV - FORMS]]+$AN$1</f>
        <v>45954</v>
      </c>
      <c r="AO155" s="74">
        <v>45947</v>
      </c>
      <c r="AP155" s="16" cm="1">
        <f t="array" aca="1" ref="AP15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5" s="21">
        <f>Tabela1[[#This Row],[DATA PREV - EXAMES]]+$AQ$1</f>
        <v>45956</v>
      </c>
      <c r="AR155" s="74">
        <v>45947</v>
      </c>
      <c r="AS155" s="15" cm="1">
        <f t="array" aca="1" ref="AS15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55" s="21">
        <f>Tabela1[[#This Row],[DATA PREV - FORMS]]+$AT$1</f>
        <v>45948</v>
      </c>
      <c r="AU155" s="74">
        <v>45947</v>
      </c>
      <c r="AV155" s="15" cm="1">
        <f t="array" aca="1" ref="AV15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5" s="21">
        <f>Tabela1[[#This Row],[DATA PREV - TREINAMENTOS]]+$AW$1</f>
        <v>45955</v>
      </c>
      <c r="AX155" s="74">
        <v>45951</v>
      </c>
      <c r="AY155" s="15" cm="1">
        <f t="array" aca="1" ref="AY15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55" s="24">
        <v>45947</v>
      </c>
      <c r="BA155" s="74">
        <v>45947</v>
      </c>
      <c r="BB155" s="15" cm="1">
        <f t="array" aca="1" ref="BB15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55" s="21">
        <f>Tabela1[[#This Row],[DATA PREV - CONCL. TREIN.]]+$BC$1</f>
        <v>45957</v>
      </c>
      <c r="BD155" s="74">
        <v>45951</v>
      </c>
      <c r="BE155" s="15" cm="1">
        <f t="array" aca="1" ref="BE15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55" s="21">
        <f>Tabela1[[#This Row],[DATA PREV - DOSSIÊ]]+$BF$1</f>
        <v>45960</v>
      </c>
      <c r="BG155" s="74">
        <v>45959</v>
      </c>
      <c r="BH155" s="15" cm="1">
        <f t="array" aca="1" ref="BH15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55" s="21">
        <f>Tabela1[[#This Row],[DATA PREV - POSTAGEM]]+$BI$1</f>
        <v>45966</v>
      </c>
      <c r="BJ155" s="74">
        <v>45954</v>
      </c>
      <c r="BK155" s="15" cm="1">
        <f t="array" aca="1" ref="BK15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155" s="21">
        <f>Tabela1[[#This Row],[DATA PREV - APROV FINAL]]+$BL$1</f>
        <v>45967</v>
      </c>
      <c r="BM155" s="74">
        <v>45964</v>
      </c>
      <c r="BN155" s="15" cm="1">
        <f t="array" aca="1" ref="BN15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55" s="80" t="s">
        <v>559</v>
      </c>
    </row>
    <row r="156" spans="2:67" ht="18" hidden="1" customHeight="1" x14ac:dyDescent="0.35">
      <c r="B156" s="14" t="s">
        <v>79</v>
      </c>
      <c r="C156" s="16" t="s">
        <v>136</v>
      </c>
      <c r="D156" s="16" t="s">
        <v>108</v>
      </c>
      <c r="E156" s="16"/>
      <c r="F156" s="16" t="s">
        <v>560</v>
      </c>
      <c r="G156" s="16" cm="1">
        <f t="array" ref="G156">_xlfn.IFS(Tabela1[[#This Row],[STATUS PROCESSO MOBILIZAÇÃO]]="Finalizado",1,Tabela1[[#This Row],[STATUS PROCESSO MOBILIZAÇÃO]]="Cancelado",2,Tabela1[[#This Row],[STATUS PROCESSO MOBILIZAÇÃO]]="Em andamento",3)</f>
        <v>1</v>
      </c>
      <c r="H156" s="16" cm="1">
        <f t="array" aca="1" ref="H15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FORMS]]="",$AM156&gt;$AK$1),2,
AND(Tabela1[[#This Row],[STATUS PROCESSO MOBILIZAÇÃO]]="Em andamento",Tabela1[[#This Row],[DATA REAL - FORMS]]="",$AM156&lt;=$AK$1),3,
AND(Tabela1[[#This Row],[STATUS PROCESSO MOBILIZAÇÃO]]="Em andamento",Tabela1[[#This Row],[DATA REAL - FORMS]]&lt;&gt;""),1)</f>
        <v>0</v>
      </c>
      <c r="I156" s="16" cm="1">
        <f t="array" aca="1" ref="I15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EXAMES]]="",$AP156&gt;$AN$1),2,
AND(Tabela1[[#This Row],[STATUS PROCESSO MOBILIZAÇÃO]]="Em andamento",Tabela1[[#This Row],[DATA REAL - EXAMES]]="",$AP156&lt;=$AN$1),3,
AND(Tabela1[[#This Row],[STATUS PROCESSO MOBILIZAÇÃO]]="Em andamento",Tabela1[[#This Row],[DATA REAL - EXAMES]]&lt;&gt;""),1)</f>
        <v>1</v>
      </c>
      <c r="J156" s="16" cm="1">
        <f t="array" aca="1" ref="J15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ASO]]="",$AS156&gt;$AQ$1),2,
AND(Tabela1[[#This Row],[STATUS PROCESSO MOBILIZAÇÃO]]="Em andamento",Tabela1[[#This Row],[DATA REAL - ASO]]="",$AS156&lt;=$AQ$1),3,
AND(Tabela1[[#This Row],[STATUS PROCESSO MOBILIZAÇÃO]]="Em andamento",Tabela1[[#This Row],[DATA REAL - ASO]]&lt;&gt;""),1)</f>
        <v>1</v>
      </c>
      <c r="K156" s="15" cm="1">
        <f t="array" aca="1" ref="K15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TREINAMENTOS]]="",$AV156&gt;$AT$1),2,
AND(Tabela1[[#This Row],[STATUS PROCESSO MOBILIZAÇÃO]]="Em andamento",Tabela1[[#This Row],[DATA REAL - TREINAMENTOS]]="",$AV156&lt;=$AT$1),3,
AND(Tabela1[[#This Row],[STATUS PROCESSO MOBILIZAÇÃO]]="Em andamento",Tabela1[[#This Row],[DATA REAL - TREINAMENTOS]]&lt;&gt;""),1)</f>
        <v>1</v>
      </c>
      <c r="L156" s="15" cm="1">
        <f t="array" aca="1" ref="L15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TREIN.]]="",$AY156&gt;$AW$1),2,
AND(Tabela1[[#This Row],[STATUS PROCESSO MOBILIZAÇÃO]]="Em andamento",Tabela1[[#This Row],[DATA REAL - CONCL. TREIN.]]="",$AY156&lt;=$AW$1),3,
AND(Tabela1[[#This Row],[STATUS PROCESSO MOBILIZAÇÃO]]="Em andamento",Tabela1[[#This Row],[DATA REAL - CONCL. TREIN.]]&lt;&gt;""),1)</f>
        <v>1</v>
      </c>
      <c r="M156" s="15" cm="1">
        <f t="array" aca="1" ref="M15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CONTRATUAL]]="",$BB156&gt;$AZ$1),2,
AND(Tabela1[[#This Row],[STATUS PROCESSO MOBILIZAÇÃO]]="Em andamento",Tabela1[[#This Row],[DATA FIM - ALTER. CONTRATUAL]]="",$BB156&lt;=$AZ$1),3,
AND(Tabela1[[#This Row],[STATUS PROCESSO MOBILIZAÇÃO]]="Em andamento",Tabela1[[#This Row],[DATA FIM - ALTER. CONTRATUAL]]&lt;&gt;""),1)</f>
        <v>1</v>
      </c>
      <c r="N156" s="16" cm="1">
        <f t="array" aca="1" ref="N15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DOSSIÊ]]="",$BE156&gt;$BC$1),2,
AND(Tabela1[[#This Row],[STATUS PROCESSO MOBILIZAÇÃO]]="Em andamento",Tabela1[[#This Row],[DATA REAL - DOSSIÊ]]="",$BE156&lt;=$BC$1),3,
AND(Tabela1[[#This Row],[STATUS PROCESSO MOBILIZAÇÃO]]="Em andamento",Tabela1[[#This Row],[DATA REAL - DOSSIÊ]]&lt;&gt;""),1)</f>
        <v>1</v>
      </c>
      <c r="O156" s="16" cm="1">
        <f t="array" aca="1" ref="O15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POSTAGEM]]="",$BH156&gt;$BF$1),2,
AND(Tabela1[[#This Row],[STATUS PROCESSO MOBILIZAÇÃO]]="Em andamento",Tabela1[[#This Row],[DATA REAL - POSTAGEM]]="",$BH156&lt;=$BF$1),3,
AND(Tabela1[[#This Row],[STATUS PROCESSO MOBILIZAÇÃO]]="Em andamento",Tabela1[[#This Row],[DATA REAL - POSTAGEM]]&lt;&gt;""),1)</f>
        <v>1</v>
      </c>
      <c r="P156" s="16" cm="1">
        <f t="array" aca="1" ref="P15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FINAL]]="",$BK156&gt;$BI$1),2,
AND(Tabela1[[#This Row],[STATUS PROCESSO MOBILIZAÇÃO]]="Em andamento",Tabela1[[#This Row],[DATA REAL - APROV FINAL]]="",$BK156&lt;=$BI$1),3,
AND(Tabela1[[#This Row],[STATUS PROCESSO MOBILIZAÇÃO]]="Em andamento",Tabela1[[#This Row],[DATA REAL - APROV FINAL]]&lt;&gt;""),1)</f>
        <v>1</v>
      </c>
      <c r="Q156" s="15" cm="1">
        <f t="array" aca="1" ref="Q15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CRACHÁ]]="",$BN156&gt;$BL$1),2,
AND(Tabela1[[#This Row],[STATUS PROCESSO MOBILIZAÇÃO]]="Em andamento",Tabela1[[#This Row],[DATA REAL - CRACHÁ]]="",$BN156&lt;=$BL$1),3,
AND(Tabela1[[#This Row],[STATUS PROCESSO MOBILIZAÇÃO]]="Em andamento",Tabela1[[#This Row],[DATA REAL - CRACHÁ]]&lt;&gt;""),1)</f>
        <v>1</v>
      </c>
      <c r="R156" s="21">
        <f>IF(Tabela1[[#This Row],[DATA REAL - FORMS]]&lt;&gt;"",Tabela1[[#This Row],[DATA REAL - FORMS]]+30,Tabela1[[#This Row],[DATA PREV - FORMS]]+35)</f>
        <v>45982</v>
      </c>
      <c r="S15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45964</v>
      </c>
      <c r="T15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5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156" s="49">
        <f>MAX(Tabela1[[#This Row],[DATA REAL - POSTAGEM]],Tabela1[[#This Row],[DATA REAL - APROV FINAL]],Tabela1[[#This Row],[DATA REAL - CRACHÁ]])-MIN(Tabela1[[#This Row],[DATA REAL - POSTAGEM]],Tabela1[[#This Row],[DATA REAL - APROV FINAL]],Tabela1[[#This Row],[DATA REAL - CRACHÁ]])+1</f>
        <v>11</v>
      </c>
      <c r="W15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X156" s="15" t="s">
        <v>110</v>
      </c>
      <c r="Y156" s="16"/>
      <c r="Z156" s="18"/>
      <c r="AA156" s="18"/>
      <c r="AB156" s="16" t="s">
        <v>97</v>
      </c>
      <c r="AC156" s="16" t="s">
        <v>557</v>
      </c>
      <c r="AD156" s="16" t="s">
        <v>557</v>
      </c>
      <c r="AE156" s="16" t="s">
        <v>311</v>
      </c>
      <c r="AF156" s="16" t="s">
        <v>558</v>
      </c>
      <c r="AG156" s="16" t="str">
        <f>_xlfn.XLOOKUP(Tabela1[[#This Row],[CÓD. CT]],Controle_Projetos[COD CT],Controle_Projetos[COD PHD],"")</f>
        <v>ANDR-CT03-SUAP</v>
      </c>
      <c r="AH156" s="21">
        <v>45947</v>
      </c>
      <c r="AI156" s="75">
        <v>45958</v>
      </c>
      <c r="AJ156" s="16" cm="1">
        <f t="array" aca="1" ref="AJ15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12</v>
      </c>
      <c r="AK156" s="21">
        <v>45947</v>
      </c>
      <c r="AL156" s="74"/>
      <c r="AM156" s="16" cm="1">
        <f t="array" aca="1" ref="AM15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6" s="21">
        <f>Tabela1[[#This Row],[DATA PREV - FORMS]]+$AN$1</f>
        <v>45954</v>
      </c>
      <c r="AO156" s="74">
        <v>45947</v>
      </c>
      <c r="AP156" s="16" cm="1">
        <f t="array" aca="1" ref="AP15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6" s="21">
        <f>Tabela1[[#This Row],[DATA PREV - EXAMES]]+$AQ$1</f>
        <v>45956</v>
      </c>
      <c r="AR156" s="74">
        <v>45947</v>
      </c>
      <c r="AS156" s="15" cm="1">
        <f t="array" aca="1" ref="AS15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56" s="21">
        <f>Tabela1[[#This Row],[DATA PREV - FORMS]]+$AT$1</f>
        <v>45948</v>
      </c>
      <c r="AU156" s="74">
        <v>45947</v>
      </c>
      <c r="AV156" s="15" cm="1">
        <f t="array" aca="1" ref="AV15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6" s="21">
        <f>Tabela1[[#This Row],[DATA PREV - TREINAMENTOS]]+$AW$1</f>
        <v>45955</v>
      </c>
      <c r="AX156" s="74">
        <v>45951</v>
      </c>
      <c r="AY156" s="15" cm="1">
        <f t="array" aca="1" ref="AY15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56" s="24">
        <v>45957</v>
      </c>
      <c r="BA156" s="74">
        <v>45947</v>
      </c>
      <c r="BB156" s="15" cm="1">
        <f t="array" aca="1" ref="BB15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-9</v>
      </c>
      <c r="BC156" s="21">
        <f>Tabela1[[#This Row],[DATA PREV - CONCL. TREIN.]]+$BC$1</f>
        <v>45957</v>
      </c>
      <c r="BD156" s="74">
        <v>45951</v>
      </c>
      <c r="BE156" s="15" cm="1">
        <f t="array" aca="1" ref="BE15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56" s="21">
        <f>Tabela1[[#This Row],[DATA PREV - DOSSIÊ]]+$BF$1</f>
        <v>45960</v>
      </c>
      <c r="BG156" s="74">
        <v>45959</v>
      </c>
      <c r="BH156" s="15" cm="1">
        <f t="array" aca="1" ref="BH15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56" s="21">
        <f>Tabela1[[#This Row],[DATA PREV - POSTAGEM]]+$BI$1</f>
        <v>45966</v>
      </c>
      <c r="BJ156" s="74">
        <v>45954</v>
      </c>
      <c r="BK156" s="15" cm="1">
        <f t="array" aca="1" ref="BK15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156" s="21">
        <f>Tabela1[[#This Row],[DATA PREV - APROV FINAL]]+$BL$1</f>
        <v>45967</v>
      </c>
      <c r="BM156" s="74">
        <v>45964</v>
      </c>
      <c r="BN156" s="15" cm="1">
        <f t="array" aca="1" ref="BN15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56" s="80" t="s">
        <v>559</v>
      </c>
    </row>
    <row r="157" spans="2:67" ht="18" hidden="1" customHeight="1" x14ac:dyDescent="0.35">
      <c r="B157" s="14" t="s">
        <v>79</v>
      </c>
      <c r="C157" s="16" t="s">
        <v>136</v>
      </c>
      <c r="D157" s="16" t="s">
        <v>108</v>
      </c>
      <c r="E157" s="16"/>
      <c r="F157" s="16" t="s">
        <v>561</v>
      </c>
      <c r="G157" s="16" cm="1">
        <f t="array" ref="G157">_xlfn.IFS(Tabela1[[#This Row],[STATUS PROCESSO MOBILIZAÇÃO]]="Finalizado",1,Tabela1[[#This Row],[STATUS PROCESSO MOBILIZAÇÃO]]="Cancelado",2,Tabela1[[#This Row],[STATUS PROCESSO MOBILIZAÇÃO]]="Em andamento",3)</f>
        <v>1</v>
      </c>
      <c r="H157" s="16" cm="1">
        <f t="array" aca="1" ref="H15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FORMS]]="",$AM157&gt;$AK$1),2,
AND(Tabela1[[#This Row],[STATUS PROCESSO MOBILIZAÇÃO]]="Em andamento",Tabela1[[#This Row],[DATA REAL - FORMS]]="",$AM157&lt;=$AK$1),3,
AND(Tabela1[[#This Row],[STATUS PROCESSO MOBILIZAÇÃO]]="Em andamento",Tabela1[[#This Row],[DATA REAL - FORMS]]&lt;&gt;""),1)</f>
        <v>0</v>
      </c>
      <c r="I157" s="16" cm="1">
        <f t="array" aca="1" ref="I15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EXAMES]]="",$AP157&gt;$AN$1),2,
AND(Tabela1[[#This Row],[STATUS PROCESSO MOBILIZAÇÃO]]="Em andamento",Tabela1[[#This Row],[DATA REAL - EXAMES]]="",$AP157&lt;=$AN$1),3,
AND(Tabela1[[#This Row],[STATUS PROCESSO MOBILIZAÇÃO]]="Em andamento",Tabela1[[#This Row],[DATA REAL - EXAMES]]&lt;&gt;""),1)</f>
        <v>1</v>
      </c>
      <c r="J157" s="16" cm="1">
        <f t="array" aca="1" ref="J15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ASO]]="",$AS157&gt;$AQ$1),2,
AND(Tabela1[[#This Row],[STATUS PROCESSO MOBILIZAÇÃO]]="Em andamento",Tabela1[[#This Row],[DATA REAL - ASO]]="",$AS157&lt;=$AQ$1),3,
AND(Tabela1[[#This Row],[STATUS PROCESSO MOBILIZAÇÃO]]="Em andamento",Tabela1[[#This Row],[DATA REAL - ASO]]&lt;&gt;""),1)</f>
        <v>1</v>
      </c>
      <c r="K157" s="15" cm="1">
        <f t="array" aca="1" ref="K15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TREINAMENTOS]]="",$AV157&gt;$AT$1),2,
AND(Tabela1[[#This Row],[STATUS PROCESSO MOBILIZAÇÃO]]="Em andamento",Tabela1[[#This Row],[DATA REAL - TREINAMENTOS]]="",$AV157&lt;=$AT$1),3,
AND(Tabela1[[#This Row],[STATUS PROCESSO MOBILIZAÇÃO]]="Em andamento",Tabela1[[#This Row],[DATA REAL - TREINAMENTOS]]&lt;&gt;""),1)</f>
        <v>1</v>
      </c>
      <c r="L157" s="15" cm="1">
        <f t="array" aca="1" ref="L15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TREIN.]]="",$AY157&gt;$AW$1),2,
AND(Tabela1[[#This Row],[STATUS PROCESSO MOBILIZAÇÃO]]="Em andamento",Tabela1[[#This Row],[DATA REAL - CONCL. TREIN.]]="",$AY157&lt;=$AW$1),3,
AND(Tabela1[[#This Row],[STATUS PROCESSO MOBILIZAÇÃO]]="Em andamento",Tabela1[[#This Row],[DATA REAL - CONCL. TREIN.]]&lt;&gt;""),1)</f>
        <v>1</v>
      </c>
      <c r="M157" s="15" cm="1">
        <f t="array" aca="1" ref="M15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CONTRATUAL]]="",$BB157&gt;$AZ$1),2,
AND(Tabela1[[#This Row],[STATUS PROCESSO MOBILIZAÇÃO]]="Em andamento",Tabela1[[#This Row],[DATA FIM - ALTER. CONTRATUAL]]="",$BB157&lt;=$AZ$1),3,
AND(Tabela1[[#This Row],[STATUS PROCESSO MOBILIZAÇÃO]]="Em andamento",Tabela1[[#This Row],[DATA FIM - ALTER. CONTRATUAL]]&lt;&gt;""),1)</f>
        <v>1</v>
      </c>
      <c r="N157" s="16" cm="1">
        <f t="array" aca="1" ref="N15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DOSSIÊ]]="",$BE157&gt;$BC$1),2,
AND(Tabela1[[#This Row],[STATUS PROCESSO MOBILIZAÇÃO]]="Em andamento",Tabela1[[#This Row],[DATA REAL - DOSSIÊ]]="",$BE157&lt;=$BC$1),3,
AND(Tabela1[[#This Row],[STATUS PROCESSO MOBILIZAÇÃO]]="Em andamento",Tabela1[[#This Row],[DATA REAL - DOSSIÊ]]&lt;&gt;""),1)</f>
        <v>1</v>
      </c>
      <c r="O157" s="16" cm="1">
        <f t="array" aca="1" ref="O15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POSTAGEM]]="",$BH157&gt;$BF$1),2,
AND(Tabela1[[#This Row],[STATUS PROCESSO MOBILIZAÇÃO]]="Em andamento",Tabela1[[#This Row],[DATA REAL - POSTAGEM]]="",$BH157&lt;=$BF$1),3,
AND(Tabela1[[#This Row],[STATUS PROCESSO MOBILIZAÇÃO]]="Em andamento",Tabela1[[#This Row],[DATA REAL - POSTAGEM]]&lt;&gt;""),1)</f>
        <v>1</v>
      </c>
      <c r="P157" s="16" cm="1">
        <f t="array" aca="1" ref="P15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FINAL]]="",$BK157&gt;$BI$1),2,
AND(Tabela1[[#This Row],[STATUS PROCESSO MOBILIZAÇÃO]]="Em andamento",Tabela1[[#This Row],[DATA REAL - APROV FINAL]]="",$BK157&lt;=$BI$1),3,
AND(Tabela1[[#This Row],[STATUS PROCESSO MOBILIZAÇÃO]]="Em andamento",Tabela1[[#This Row],[DATA REAL - APROV FINAL]]&lt;&gt;""),1)</f>
        <v>1</v>
      </c>
      <c r="Q157" s="15" cm="1">
        <f t="array" aca="1" ref="Q15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CRACHÁ]]="",$BN157&gt;$BL$1),2,
AND(Tabela1[[#This Row],[STATUS PROCESSO MOBILIZAÇÃO]]="Em andamento",Tabela1[[#This Row],[DATA REAL - CRACHÁ]]="",$BN157&lt;=$BL$1),3,
AND(Tabela1[[#This Row],[STATUS PROCESSO MOBILIZAÇÃO]]="Em andamento",Tabela1[[#This Row],[DATA REAL - CRACHÁ]]&lt;&gt;""),1)</f>
        <v>1</v>
      </c>
      <c r="R157" s="21">
        <f>IF(Tabela1[[#This Row],[DATA REAL - FORMS]]&lt;&gt;"",Tabela1[[#This Row],[DATA REAL - FORMS]]+30,Tabela1[[#This Row],[DATA PREV - FORMS]]+35)</f>
        <v>45982</v>
      </c>
      <c r="S15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45964</v>
      </c>
      <c r="T15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15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157" s="49">
        <f>MAX(Tabela1[[#This Row],[DATA REAL - POSTAGEM]],Tabela1[[#This Row],[DATA REAL - APROV FINAL]],Tabela1[[#This Row],[DATA REAL - CRACHÁ]])-MIN(Tabela1[[#This Row],[DATA REAL - POSTAGEM]],Tabela1[[#This Row],[DATA REAL - APROV FINAL]],Tabela1[[#This Row],[DATA REAL - CRACHÁ]])+1</f>
        <v>11</v>
      </c>
      <c r="W15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X157" s="15"/>
      <c r="Y157" s="16"/>
      <c r="Z157" s="18"/>
      <c r="AA157" s="18"/>
      <c r="AB157" s="16" t="s">
        <v>97</v>
      </c>
      <c r="AC157" s="16" t="s">
        <v>557</v>
      </c>
      <c r="AD157" s="16" t="s">
        <v>557</v>
      </c>
      <c r="AE157" s="16" t="s">
        <v>311</v>
      </c>
      <c r="AF157" s="16" t="s">
        <v>558</v>
      </c>
      <c r="AG157" s="16" t="str">
        <f>_xlfn.XLOOKUP(Tabela1[[#This Row],[CÓD. CT]],Controle_Projetos[COD CT],Controle_Projetos[COD PHD],"")</f>
        <v>ANDR-CT03-SUAP</v>
      </c>
      <c r="AH157" s="21">
        <v>45947</v>
      </c>
      <c r="AI157" s="75">
        <v>45958</v>
      </c>
      <c r="AJ157" s="16" cm="1">
        <f t="array" aca="1" ref="AJ15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12</v>
      </c>
      <c r="AK157" s="21">
        <v>45947</v>
      </c>
      <c r="AL157" s="74"/>
      <c r="AM157" s="16" cm="1">
        <f t="array" aca="1" ref="AM15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7" s="21">
        <f>Tabela1[[#This Row],[DATA PREV - FORMS]]+$AN$1</f>
        <v>45954</v>
      </c>
      <c r="AO157" s="74">
        <v>45947</v>
      </c>
      <c r="AP157" s="16" cm="1">
        <f t="array" aca="1" ref="AP15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57" s="21">
        <f>Tabela1[[#This Row],[DATA PREV - EXAMES]]+$AQ$1</f>
        <v>45956</v>
      </c>
      <c r="AR157" s="74">
        <v>45947</v>
      </c>
      <c r="AS157" s="15" cm="1">
        <f t="array" aca="1" ref="AS15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57" s="21">
        <f>Tabela1[[#This Row],[DATA PREV - FORMS]]+$AT$1</f>
        <v>45948</v>
      </c>
      <c r="AU157" s="74">
        <v>45947</v>
      </c>
      <c r="AV157" s="15" cm="1">
        <f t="array" aca="1" ref="AV15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57" s="21">
        <f>Tabela1[[#This Row],[DATA PREV - TREINAMENTOS]]+$AW$1</f>
        <v>45955</v>
      </c>
      <c r="AX157" s="74">
        <v>45951</v>
      </c>
      <c r="AY157" s="15" cm="1">
        <f t="array" aca="1" ref="AY15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57" s="24">
        <v>45951</v>
      </c>
      <c r="BA157" s="74">
        <v>45947</v>
      </c>
      <c r="BB157" s="15" cm="1">
        <f t="array" aca="1" ref="BB15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v>
      </c>
      <c r="BC157" s="21">
        <f>Tabela1[[#This Row],[DATA PREV - CONCL. TREIN.]]+$BC$1</f>
        <v>45957</v>
      </c>
      <c r="BD157" s="74">
        <v>45951</v>
      </c>
      <c r="BE157" s="15" cm="1">
        <f t="array" aca="1" ref="BE15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57" s="21">
        <f>Tabela1[[#This Row],[DATA PREV - DOSSIÊ]]+$BF$1</f>
        <v>45960</v>
      </c>
      <c r="BG157" s="74">
        <v>45959</v>
      </c>
      <c r="BH157" s="15" cm="1">
        <f t="array" aca="1" ref="BH15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57" s="21">
        <f>Tabela1[[#This Row],[DATA PREV - POSTAGEM]]+$BI$1</f>
        <v>45966</v>
      </c>
      <c r="BJ157" s="74">
        <v>45954</v>
      </c>
      <c r="BK157" s="15" cm="1">
        <f t="array" aca="1" ref="BK15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157" s="21">
        <f>Tabela1[[#This Row],[DATA PREV - APROV FINAL]]+$BL$1</f>
        <v>45967</v>
      </c>
      <c r="BM157" s="74">
        <v>45964</v>
      </c>
      <c r="BN157" s="15" cm="1">
        <f t="array" aca="1" ref="BN15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57" s="81" t="s">
        <v>559</v>
      </c>
    </row>
    <row r="158" spans="2:67" ht="18" hidden="1" customHeight="1" x14ac:dyDescent="0.35">
      <c r="B158" s="14" t="s">
        <v>79</v>
      </c>
      <c r="C158" s="16" t="s">
        <v>136</v>
      </c>
      <c r="D158" s="16" t="s">
        <v>108</v>
      </c>
      <c r="E158" s="16"/>
      <c r="F158" s="16" t="s">
        <v>389</v>
      </c>
      <c r="G158" s="16" cm="1">
        <f t="array" ref="G158">_xlfn.IFS(Tabela1[[#This Row],[STATUS PROCESSO MOBILIZAÇÃO]]="Finalizado",1,Tabela1[[#This Row],[STATUS PROCESSO MOBILIZAÇÃO]]="Cancelado",2,Tabela1[[#This Row],[STATUS PROCESSO MOBILIZAÇÃO]]="Em andamento",3)</f>
        <v>1</v>
      </c>
      <c r="H158" s="16" cm="1">
        <f t="array" aca="1" ref="H15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FORMS]]="",$AM158&gt;$AK$1),2,
AND(Tabela1[[#This Row],[STATUS PROCESSO MOBILIZAÇÃO]]="Em andamento",Tabela1[[#This Row],[DATA REAL - FORMS]]="",$AM158&lt;=$AK$1),3,
AND(Tabela1[[#This Row],[STATUS PROCESSO MOBILIZAÇÃO]]="Em andamento",Tabela1[[#This Row],[DATA REAL - FORMS]]&lt;&gt;""),1)</f>
        <v>1</v>
      </c>
      <c r="I158" s="16" cm="1">
        <f t="array" aca="1" ref="I15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EXAMES]]="",$AP158&gt;$AN$1),2,
AND(Tabela1[[#This Row],[STATUS PROCESSO MOBILIZAÇÃO]]="Em andamento",Tabela1[[#This Row],[DATA REAL - EXAMES]]="",$AP158&lt;=$AN$1),3,
AND(Tabela1[[#This Row],[STATUS PROCESSO MOBILIZAÇÃO]]="Em andamento",Tabela1[[#This Row],[DATA REAL - EXAMES]]&lt;&gt;""),1)</f>
        <v>1</v>
      </c>
      <c r="J158" s="16" cm="1">
        <f t="array" aca="1" ref="J15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ASO]]="",$AS158&gt;$AQ$1),2,
AND(Tabela1[[#This Row],[STATUS PROCESSO MOBILIZAÇÃO]]="Em andamento",Tabela1[[#This Row],[DATA REAL - ASO]]="",$AS158&lt;=$AQ$1),3,
AND(Tabela1[[#This Row],[STATUS PROCESSO MOBILIZAÇÃO]]="Em andamento",Tabela1[[#This Row],[DATA REAL - ASO]]&lt;&gt;""),1)</f>
        <v>1</v>
      </c>
      <c r="K158" s="15" cm="1">
        <f t="array" aca="1" ref="K15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TREINAMENTOS]]="",$AV158&gt;$AT$1),2,
AND(Tabela1[[#This Row],[STATUS PROCESSO MOBILIZAÇÃO]]="Em andamento",Tabela1[[#This Row],[DATA REAL - TREINAMENTOS]]="",$AV158&lt;=$AT$1),3,
AND(Tabela1[[#This Row],[STATUS PROCESSO MOBILIZAÇÃO]]="Em andamento",Tabela1[[#This Row],[DATA REAL - TREINAMENTOS]]&lt;&gt;""),1)</f>
        <v>1</v>
      </c>
      <c r="L158" s="15" cm="1">
        <f t="array" aca="1" ref="L15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TREIN.]]="",$AY158&gt;$AW$1),2,
AND(Tabela1[[#This Row],[STATUS PROCESSO MOBILIZAÇÃO]]="Em andamento",Tabela1[[#This Row],[DATA REAL - CONCL. TREIN.]]="",$AY158&lt;=$AW$1),3,
AND(Tabela1[[#This Row],[STATUS PROCESSO MOBILIZAÇÃO]]="Em andamento",Tabela1[[#This Row],[DATA REAL - CONCL. TREIN.]]&lt;&gt;""),1)</f>
        <v>1</v>
      </c>
      <c r="M158" s="15" cm="1">
        <f t="array" aca="1" ref="M15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CONTRATUAL]]="",$BB158&gt;$AZ$1),2,
AND(Tabela1[[#This Row],[STATUS PROCESSO MOBILIZAÇÃO]]="Em andamento",Tabela1[[#This Row],[DATA FIM - ALTER. CONTRATUAL]]="",$BB158&lt;=$AZ$1),3,
AND(Tabela1[[#This Row],[STATUS PROCESSO MOBILIZAÇÃO]]="Em andamento",Tabela1[[#This Row],[DATA FIM - ALTER. CONTRATUAL]]&lt;&gt;""),1)</f>
        <v>1</v>
      </c>
      <c r="N158" s="16" cm="1">
        <f t="array" aca="1" ref="N15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DOSSIÊ]]="",$BE158&gt;$BC$1),2,
AND(Tabela1[[#This Row],[STATUS PROCESSO MOBILIZAÇÃO]]="Em andamento",Tabela1[[#This Row],[DATA REAL - DOSSIÊ]]="",$BE158&lt;=$BC$1),3,
AND(Tabela1[[#This Row],[STATUS PROCESSO MOBILIZAÇÃO]]="Em andamento",Tabela1[[#This Row],[DATA REAL - DOSSIÊ]]&lt;&gt;""),1)</f>
        <v>1</v>
      </c>
      <c r="O158" s="16" cm="1">
        <f t="array" aca="1" ref="O15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POSTAGEM]]="",$BH158&gt;$BF$1),2,
AND(Tabela1[[#This Row],[STATUS PROCESSO MOBILIZAÇÃO]]="Em andamento",Tabela1[[#This Row],[DATA REAL - POSTAGEM]]="",$BH158&lt;=$BF$1),3,
AND(Tabela1[[#This Row],[STATUS PROCESSO MOBILIZAÇÃO]]="Em andamento",Tabela1[[#This Row],[DATA REAL - POSTAGEM]]&lt;&gt;""),1)</f>
        <v>0</v>
      </c>
      <c r="P158" s="16" cm="1">
        <f t="array" aca="1" ref="P15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FINAL]]="",$BK158&gt;$BI$1),2,
AND(Tabela1[[#This Row],[STATUS PROCESSO MOBILIZAÇÃO]]="Em andamento",Tabela1[[#This Row],[DATA REAL - APROV FINAL]]="",$BK158&lt;=$BI$1),3,
AND(Tabela1[[#This Row],[STATUS PROCESSO MOBILIZAÇÃO]]="Em andamento",Tabela1[[#This Row],[DATA REAL - APROV FINAL]]&lt;&gt;""),1)</f>
        <v>1</v>
      </c>
      <c r="Q158" s="15" cm="1">
        <f t="array" aca="1" ref="Q15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CRACHÁ]]="",$BN158&gt;$BL$1),2,
AND(Tabela1[[#This Row],[STATUS PROCESSO MOBILIZAÇÃO]]="Em andamento",Tabela1[[#This Row],[DATA REAL - CRACHÁ]]="",$BN158&lt;=$BL$1),3,
AND(Tabela1[[#This Row],[STATUS PROCESSO MOBILIZAÇÃO]]="Em andamento",Tabela1[[#This Row],[DATA REAL - CRACHÁ]]&lt;&gt;""),1)</f>
        <v>1</v>
      </c>
      <c r="R158" s="21">
        <f>IF(Tabela1[[#This Row],[DATA REAL - FORMS]]&lt;&gt;"",Tabela1[[#This Row],[DATA REAL - FORMS]]+30,Tabela1[[#This Row],[DATA PREV - FORMS]]+35)</f>
        <v>45981</v>
      </c>
      <c r="S15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45987</v>
      </c>
      <c r="T15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U15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27</v>
      </c>
      <c r="V158" s="49">
        <f>MAX(Tabela1[[#This Row],[DATA REAL - POSTAGEM]],Tabela1[[#This Row],[DATA REAL - APROV FINAL]],Tabela1[[#This Row],[DATA REAL - CRACHÁ]])-MIN(Tabela1[[#This Row],[DATA REAL - POSTAGEM]],Tabela1[[#This Row],[DATA REAL - APROV FINAL]],Tabela1[[#This Row],[DATA REAL - CRACHÁ]])+1</f>
        <v>1</v>
      </c>
      <c r="W15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X158" s="15" t="s">
        <v>149</v>
      </c>
      <c r="Y158" s="16" t="s">
        <v>150</v>
      </c>
      <c r="Z158" s="18" t="s">
        <v>151</v>
      </c>
      <c r="AA158" s="18" t="s">
        <v>152</v>
      </c>
      <c r="AB158" s="16" t="s">
        <v>87</v>
      </c>
      <c r="AC158" s="16" t="s">
        <v>153</v>
      </c>
      <c r="AD158" s="16" t="s">
        <v>153</v>
      </c>
      <c r="AE158" s="16" t="s">
        <v>529</v>
      </c>
      <c r="AF158" s="16" t="s">
        <v>530</v>
      </c>
      <c r="AG158" s="16" t="str">
        <f>_xlfn.XLOOKUP(Tabela1[[#This Row],[CÓD. CT]],Controle_Projetos[COD CT],Controle_Projetos[COD PHD],"")</f>
        <v>ADMB-CT16-PORT</v>
      </c>
      <c r="AH158" s="21">
        <v>45951</v>
      </c>
      <c r="AI158" s="75">
        <v>45968</v>
      </c>
      <c r="AJ158" s="16" cm="1">
        <f t="array" aca="1" ref="AJ15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18</v>
      </c>
      <c r="AK158" s="21">
        <v>45951</v>
      </c>
      <c r="AL158" s="74">
        <v>45951</v>
      </c>
      <c r="AM158" s="16" cm="1">
        <f t="array" aca="1" ref="AM15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8" s="21">
        <f>Tabela1[[#This Row],[DATA PREV - FORMS]]+$AN$1</f>
        <v>45958</v>
      </c>
      <c r="AO158" s="74">
        <v>45952</v>
      </c>
      <c r="AP158" s="16" cm="1">
        <f t="array" aca="1" ref="AP15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58" s="21">
        <f>Tabela1[[#This Row],[DATA PREV - EXAMES]]+$AQ$1</f>
        <v>45960</v>
      </c>
      <c r="AR158" s="74">
        <v>45978</v>
      </c>
      <c r="AS158" s="15" cm="1">
        <f t="array" aca="1" ref="AS15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19</v>
      </c>
      <c r="AT158" s="21">
        <f>Tabela1[[#This Row],[DATA PREV - FORMS]]+$AT$1</f>
        <v>45952</v>
      </c>
      <c r="AU158" s="74">
        <v>45952</v>
      </c>
      <c r="AV158" s="15" cm="1">
        <f t="array" aca="1" ref="AV15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58" s="21">
        <f>Tabela1[[#This Row],[DATA PREV - TREINAMENTOS]]+$AW$1</f>
        <v>45959</v>
      </c>
      <c r="AX158" s="74">
        <v>45965</v>
      </c>
      <c r="AY158" s="15" cm="1">
        <f t="array" aca="1" ref="AY15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58" s="24">
        <v>45952</v>
      </c>
      <c r="BA158" s="74">
        <v>45951</v>
      </c>
      <c r="BB158" s="15" cm="1">
        <f t="array" aca="1" ref="BB15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58" s="21">
        <f>Tabela1[[#This Row],[DATA PREV - CONCL. TREIN.]]+$BC$1</f>
        <v>45961</v>
      </c>
      <c r="BD158" s="74">
        <v>45978</v>
      </c>
      <c r="BE158" s="15" cm="1">
        <f t="array" aca="1" ref="BE15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18</v>
      </c>
      <c r="BF158" s="21">
        <f>Tabela1[[#This Row],[DATA PREV - DOSSIÊ]]+$BF$1</f>
        <v>45964</v>
      </c>
      <c r="BG158" s="74"/>
      <c r="BH158" s="15" cm="1">
        <f t="array" aca="1" ref="BH15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58" s="21">
        <f>Tabela1[[#This Row],[DATA PREV - POSTAGEM]]+$BI$1</f>
        <v>45970</v>
      </c>
      <c r="BJ158" s="74">
        <v>45987</v>
      </c>
      <c r="BK158" s="15" cm="1">
        <f t="array" aca="1" ref="BK15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18</v>
      </c>
      <c r="BL158" s="21">
        <f>Tabela1[[#This Row],[DATA PREV - APROV FINAL]]+$BL$1</f>
        <v>45971</v>
      </c>
      <c r="BM158" s="74">
        <v>45987</v>
      </c>
      <c r="BN158" s="15" cm="1">
        <f t="array" aca="1" ref="BN15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17</v>
      </c>
      <c r="BO158" s="81" t="s">
        <v>562</v>
      </c>
    </row>
    <row r="159" spans="2:67" ht="18" hidden="1" customHeight="1" x14ac:dyDescent="0.35">
      <c r="B159" s="14" t="s">
        <v>79</v>
      </c>
      <c r="C159" s="16" t="s">
        <v>136</v>
      </c>
      <c r="D159" s="16" t="s">
        <v>108</v>
      </c>
      <c r="E159" s="16"/>
      <c r="F159" s="16" t="s">
        <v>563</v>
      </c>
      <c r="G159" s="16" cm="1">
        <f t="array" ref="G159">_xlfn.IFS(Tabela1[[#This Row],[STATUS PROCESSO MOBILIZAÇÃO]]="Finalizado",1,Tabela1[[#This Row],[STATUS PROCESSO MOBILIZAÇÃO]]="Cancelado",2,Tabela1[[#This Row],[STATUS PROCESSO MOBILIZAÇÃO]]="Em andamento",3)</f>
        <v>1</v>
      </c>
      <c r="H159" s="16" cm="1">
        <f t="array" aca="1" ref="H15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FORMS]]="",$AM159&gt;$AK$1),2,
AND(Tabela1[[#This Row],[STATUS PROCESSO MOBILIZAÇÃO]]="Em andamento",Tabela1[[#This Row],[DATA REAL - FORMS]]="",$AM159&lt;=$AK$1),3,
AND(Tabela1[[#This Row],[STATUS PROCESSO MOBILIZAÇÃO]]="Em andamento",Tabela1[[#This Row],[DATA REAL - FORMS]]&lt;&gt;""),1)</f>
        <v>1</v>
      </c>
      <c r="I159" s="16" cm="1">
        <f t="array" aca="1" ref="I15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EXAMES]]="",$AP159&gt;$AN$1),2,
AND(Tabela1[[#This Row],[STATUS PROCESSO MOBILIZAÇÃO]]="Em andamento",Tabela1[[#This Row],[DATA REAL - EXAMES]]="",$AP159&lt;=$AN$1),3,
AND(Tabela1[[#This Row],[STATUS PROCESSO MOBILIZAÇÃO]]="Em andamento",Tabela1[[#This Row],[DATA REAL - EXAMES]]&lt;&gt;""),1)</f>
        <v>1</v>
      </c>
      <c r="J159" s="16" cm="1">
        <f t="array" aca="1" ref="J15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ASO]]="",$AS159&gt;$AQ$1),2,
AND(Tabela1[[#This Row],[STATUS PROCESSO MOBILIZAÇÃO]]="Em andamento",Tabela1[[#This Row],[DATA REAL - ASO]]="",$AS159&lt;=$AQ$1),3,
AND(Tabela1[[#This Row],[STATUS PROCESSO MOBILIZAÇÃO]]="Em andamento",Tabela1[[#This Row],[DATA REAL - ASO]]&lt;&gt;""),1)</f>
        <v>1</v>
      </c>
      <c r="K159" s="16" cm="1">
        <f t="array" aca="1" ref="K15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TREINAMENTOS]]="",$AV159&gt;$AT$1),2,
AND(Tabela1[[#This Row],[STATUS PROCESSO MOBILIZAÇÃO]]="Em andamento",Tabela1[[#This Row],[DATA REAL - TREINAMENTOS]]="",$AV159&lt;=$AT$1),3,
AND(Tabela1[[#This Row],[STATUS PROCESSO MOBILIZAÇÃO]]="Em andamento",Tabela1[[#This Row],[DATA REAL - TREINAMENTOS]]&lt;&gt;""),1)</f>
        <v>1</v>
      </c>
      <c r="L159" s="16" cm="1">
        <f t="array" aca="1" ref="L15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TREIN.]]="",$AY159&gt;$AW$1),2,
AND(Tabela1[[#This Row],[STATUS PROCESSO MOBILIZAÇÃO]]="Em andamento",Tabela1[[#This Row],[DATA REAL - CONCL. TREIN.]]="",$AY159&lt;=$AW$1),3,
AND(Tabela1[[#This Row],[STATUS PROCESSO MOBILIZAÇÃO]]="Em andamento",Tabela1[[#This Row],[DATA REAL - CONCL. TREIN.]]&lt;&gt;""),1)</f>
        <v>1</v>
      </c>
      <c r="M159" s="16" cm="1">
        <f t="array" aca="1" ref="M15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CONTRATUAL]]="",$BB159&gt;$AZ$1),2,
AND(Tabela1[[#This Row],[STATUS PROCESSO MOBILIZAÇÃO]]="Em andamento",Tabela1[[#This Row],[DATA FIM - ALTER. CONTRATUAL]]="",$BB159&lt;=$AZ$1),3,
AND(Tabela1[[#This Row],[STATUS PROCESSO MOBILIZAÇÃO]]="Em andamento",Tabela1[[#This Row],[DATA FIM - ALTER. CONTRATUAL]]&lt;&gt;""),1)</f>
        <v>1</v>
      </c>
      <c r="N159" s="16" cm="1">
        <f t="array" aca="1" ref="N15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DOSSIÊ]]="",$BE159&gt;$BC$1),2,
AND(Tabela1[[#This Row],[STATUS PROCESSO MOBILIZAÇÃO]]="Em andamento",Tabela1[[#This Row],[DATA REAL - DOSSIÊ]]="",$BE159&lt;=$BC$1),3,
AND(Tabela1[[#This Row],[STATUS PROCESSO MOBILIZAÇÃO]]="Em andamento",Tabela1[[#This Row],[DATA REAL - DOSSIÊ]]&lt;&gt;""),1)</f>
        <v>1</v>
      </c>
      <c r="O159" s="16" cm="1">
        <f t="array" aca="1" ref="O15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POSTAGEM]]="",$BH159&gt;$BF$1),2,
AND(Tabela1[[#This Row],[STATUS PROCESSO MOBILIZAÇÃO]]="Em andamento",Tabela1[[#This Row],[DATA REAL - POSTAGEM]]="",$BH159&lt;=$BF$1),3,
AND(Tabela1[[#This Row],[STATUS PROCESSO MOBILIZAÇÃO]]="Em andamento",Tabela1[[#This Row],[DATA REAL - POSTAGEM]]&lt;&gt;""),1)</f>
        <v>1</v>
      </c>
      <c r="P159" s="16" cm="1">
        <f t="array" aca="1" ref="P15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FINAL]]="",$BK159&gt;$BI$1),2,
AND(Tabela1[[#This Row],[STATUS PROCESSO MOBILIZAÇÃO]]="Em andamento",Tabela1[[#This Row],[DATA REAL - APROV FINAL]]="",$BK159&lt;=$BI$1),3,
AND(Tabela1[[#This Row],[STATUS PROCESSO MOBILIZAÇÃO]]="Em andamento",Tabela1[[#This Row],[DATA REAL - APROV FINAL]]&lt;&gt;""),1)</f>
        <v>1</v>
      </c>
      <c r="Q159" s="16" cm="1">
        <f t="array" aca="1" ref="Q15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CRACHÁ]]="",$BN159&gt;$BL$1),2,
AND(Tabela1[[#This Row],[STATUS PROCESSO MOBILIZAÇÃO]]="Em andamento",Tabela1[[#This Row],[DATA REAL - CRACHÁ]]="",$BN159&lt;=$BL$1),3,
AND(Tabela1[[#This Row],[STATUS PROCESSO MOBILIZAÇÃO]]="Em andamento",Tabela1[[#This Row],[DATA REAL - CRACHÁ]]&lt;&gt;""),1)</f>
        <v>1</v>
      </c>
      <c r="R159" s="21">
        <f>IF(Tabela1[[#This Row],[DATA REAL - FORMS]]&lt;&gt;"",Tabela1[[#This Row],[DATA REAL - FORMS]]+30,Tabela1[[#This Row],[DATA PREV - FORMS]]+35)</f>
        <v>45981</v>
      </c>
      <c r="S15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45975</v>
      </c>
      <c r="T15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24</v>
      </c>
      <c r="U15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22</v>
      </c>
      <c r="V159" s="49">
        <f>MAX(Tabela1[[#This Row],[DATA REAL - POSTAGEM]],Tabela1[[#This Row],[DATA REAL - APROV FINAL]],Tabela1[[#This Row],[DATA REAL - CRACHÁ]])-MIN(Tabela1[[#This Row],[DATA REAL - POSTAGEM]],Tabela1[[#This Row],[DATA REAL - APROV FINAL]],Tabela1[[#This Row],[DATA REAL - CRACHÁ]])+1</f>
        <v>3</v>
      </c>
      <c r="W15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X159" s="15" t="s">
        <v>149</v>
      </c>
      <c r="Y159" s="16" t="s">
        <v>150</v>
      </c>
      <c r="Z159" s="18" t="s">
        <v>151</v>
      </c>
      <c r="AA159" s="18" t="s">
        <v>152</v>
      </c>
      <c r="AB159" s="16" t="s">
        <v>97</v>
      </c>
      <c r="AC159" s="16" t="s">
        <v>153</v>
      </c>
      <c r="AD159" s="16" t="s">
        <v>153</v>
      </c>
      <c r="AE159" s="16" t="s">
        <v>529</v>
      </c>
      <c r="AF159" s="16" t="s">
        <v>530</v>
      </c>
      <c r="AG159" s="16" t="str">
        <f>_xlfn.XLOOKUP(Tabela1[[#This Row],[CÓD. CT]],Controle_Projetos[COD CT],Controle_Projetos[COD PHD],"")</f>
        <v>ADMB-CT16-PORT</v>
      </c>
      <c r="AH159" s="21">
        <v>45951</v>
      </c>
      <c r="AI159" s="76">
        <v>45968</v>
      </c>
      <c r="AJ159" s="16" cm="1">
        <f t="array" aca="1" ref="AJ15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18</v>
      </c>
      <c r="AK159" s="21">
        <v>45951</v>
      </c>
      <c r="AL159" s="74">
        <v>45951</v>
      </c>
      <c r="AM159" s="16" cm="1">
        <f t="array" aca="1" ref="AM15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59" s="21">
        <f>Tabela1[[#This Row],[DATA PREV - FORMS]]+$AN$1</f>
        <v>45958</v>
      </c>
      <c r="AO159" s="74">
        <v>45952</v>
      </c>
      <c r="AP159" s="16" cm="1">
        <f t="array" aca="1" ref="AP15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59" s="21">
        <f>Tabela1[[#This Row],[DATA PREV - EXAMES]]+$AQ$1</f>
        <v>45960</v>
      </c>
      <c r="AR159" s="74">
        <v>45973</v>
      </c>
      <c r="AS159" s="16" cm="1">
        <f t="array" aca="1" ref="AS15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14</v>
      </c>
      <c r="AT159" s="21">
        <f>Tabela1[[#This Row],[DATA PREV - FORMS]]+$AT$1</f>
        <v>45952</v>
      </c>
      <c r="AU159" s="74">
        <v>45952</v>
      </c>
      <c r="AV159" s="16" cm="1">
        <f t="array" aca="1" ref="AV15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59" s="21">
        <f>Tabela1[[#This Row],[DATA PREV - TREINAMENTOS]]+$AW$1</f>
        <v>45959</v>
      </c>
      <c r="AX159" s="74">
        <v>45958</v>
      </c>
      <c r="AY159" s="16" cm="1">
        <f t="array" aca="1" ref="AY15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159" s="24">
        <v>45953</v>
      </c>
      <c r="BA159" s="74">
        <v>45951</v>
      </c>
      <c r="BB159" s="16" cm="1">
        <f t="array" aca="1" ref="BB15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59" s="21">
        <f>Tabela1[[#This Row],[DATA PREV - CONCL. TREIN.]]+$BC$1</f>
        <v>45961</v>
      </c>
      <c r="BD159" s="74">
        <v>45973</v>
      </c>
      <c r="BE159" s="16" cm="1">
        <f t="array" aca="1" ref="BE15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13</v>
      </c>
      <c r="BF159" s="21">
        <f>Tabela1[[#This Row],[DATA PREV - DOSSIÊ]]+$BF$1</f>
        <v>45964</v>
      </c>
      <c r="BG159" s="74">
        <v>45973</v>
      </c>
      <c r="BH159" s="16" cm="1">
        <f t="array" aca="1" ref="BH15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59" s="21">
        <f>Tabela1[[#This Row],[DATA PREV - POSTAGEM]]+$BI$1</f>
        <v>45970</v>
      </c>
      <c r="BJ159" s="74">
        <v>45975</v>
      </c>
      <c r="BK159" s="16" cm="1">
        <f t="array" aca="1" ref="BK15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159" s="21">
        <f>Tabela1[[#This Row],[DATA PREV - APROV FINAL]]+$BL$1</f>
        <v>45971</v>
      </c>
      <c r="BM159" s="74">
        <v>45975</v>
      </c>
      <c r="BN159" s="16" cm="1">
        <f t="array" aca="1" ref="BN15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59" s="80" t="s">
        <v>564</v>
      </c>
    </row>
    <row r="160" spans="2:67" ht="18" hidden="1" customHeight="1" x14ac:dyDescent="0.35">
      <c r="B160" s="14" t="s">
        <v>119</v>
      </c>
      <c r="C160" s="16" t="s">
        <v>136</v>
      </c>
      <c r="D160" s="16" t="s">
        <v>119</v>
      </c>
      <c r="E160" s="16">
        <v>132</v>
      </c>
      <c r="F160" s="16" t="s">
        <v>565</v>
      </c>
      <c r="G160" s="16" cm="1">
        <f t="array" ref="G160">_xlfn.IFS(Tabela1[[#This Row],[STATUS PROCESSO MOBILIZAÇÃO]]="Finalizado",1,Tabela1[[#This Row],[STATUS PROCESSO MOBILIZAÇÃO]]="Cancelado",2,Tabela1[[#This Row],[STATUS PROCESSO MOBILIZAÇÃO]]="Em andamento",3)</f>
        <v>2</v>
      </c>
      <c r="H160" s="16" cm="1">
        <f t="array" aca="1" ref="H16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FORMS]]="",$AM160&gt;$AK$1),2,
AND(Tabela1[[#This Row],[STATUS PROCESSO MOBILIZAÇÃO]]="Em andamento",Tabela1[[#This Row],[DATA REAL - FORMS]]="",$AM160&lt;=$AK$1),3,
AND(Tabela1[[#This Row],[STATUS PROCESSO MOBILIZAÇÃO]]="Em andamento",Tabela1[[#This Row],[DATA REAL - FORMS]]&lt;&gt;""),1)</f>
        <v>1</v>
      </c>
      <c r="I160" s="16" cm="1">
        <f t="array" aca="1" ref="I16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EXAMES]]="",$AP160&gt;$AN$1),2,
AND(Tabela1[[#This Row],[STATUS PROCESSO MOBILIZAÇÃO]]="Em andamento",Tabela1[[#This Row],[DATA REAL - EXAMES]]="",$AP160&lt;=$AN$1),3,
AND(Tabela1[[#This Row],[STATUS PROCESSO MOBILIZAÇÃO]]="Em andamento",Tabela1[[#This Row],[DATA REAL - EXAMES]]&lt;&gt;""),1)</f>
        <v>1</v>
      </c>
      <c r="J160" s="16" cm="1">
        <f t="array" aca="1" ref="J16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ASO]]="",$AS160&gt;$AQ$1),2,
AND(Tabela1[[#This Row],[STATUS PROCESSO MOBILIZAÇÃO]]="Em andamento",Tabela1[[#This Row],[DATA REAL - ASO]]="",$AS160&lt;=$AQ$1),3,
AND(Tabela1[[#This Row],[STATUS PROCESSO MOBILIZAÇÃO]]="Em andamento",Tabela1[[#This Row],[DATA REAL - ASO]]&lt;&gt;""),1)</f>
        <v>1</v>
      </c>
      <c r="K160" s="16" cm="1">
        <f t="array" aca="1" ref="K16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TREINAMENTOS]]="",$AV160&gt;$AT$1),2,
AND(Tabela1[[#This Row],[STATUS PROCESSO MOBILIZAÇÃO]]="Em andamento",Tabela1[[#This Row],[DATA REAL - TREINAMENTOS]]="",$AV160&lt;=$AT$1),3,
AND(Tabela1[[#This Row],[STATUS PROCESSO MOBILIZAÇÃO]]="Em andamento",Tabela1[[#This Row],[DATA REAL - TREINAMENTOS]]&lt;&gt;""),1)</f>
        <v>1</v>
      </c>
      <c r="L160" s="16" cm="1">
        <f t="array" aca="1" ref="L16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TREIN.]]="",$AY160&gt;$AW$1),2,
AND(Tabela1[[#This Row],[STATUS PROCESSO MOBILIZAÇÃO]]="Em andamento",Tabela1[[#This Row],[DATA REAL - CONCL. TREIN.]]="",$AY160&lt;=$AW$1),3,
AND(Tabela1[[#This Row],[STATUS PROCESSO MOBILIZAÇÃO]]="Em andamento",Tabela1[[#This Row],[DATA REAL - CONCL. TREIN.]]&lt;&gt;""),1)</f>
        <v>1</v>
      </c>
      <c r="M160" s="16" cm="1">
        <f t="array" aca="1" ref="M16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CONTRATUAL]]="",$BB160&gt;$AZ$1),2,
AND(Tabela1[[#This Row],[STATUS PROCESSO MOBILIZAÇÃO]]="Em andamento",Tabela1[[#This Row],[DATA FIM - ALTER. CONTRATUAL]]="",$BB160&lt;=$AZ$1),3,
AND(Tabela1[[#This Row],[STATUS PROCESSO MOBILIZAÇÃO]]="Em andamento",Tabela1[[#This Row],[DATA FIM - ALTER. CONTRATUAL]]&lt;&gt;""),1)</f>
        <v>0</v>
      </c>
      <c r="N160" s="16" cm="1">
        <f t="array" aca="1" ref="N16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DOSSIÊ]]="",$BE160&gt;$BC$1),2,
AND(Tabela1[[#This Row],[STATUS PROCESSO MOBILIZAÇÃO]]="Em andamento",Tabela1[[#This Row],[DATA REAL - DOSSIÊ]]="",$BE160&lt;=$BC$1),3,
AND(Tabela1[[#This Row],[STATUS PROCESSO MOBILIZAÇÃO]]="Em andamento",Tabela1[[#This Row],[DATA REAL - DOSSIÊ]]&lt;&gt;""),1)</f>
        <v>0</v>
      </c>
      <c r="O160" s="16" cm="1">
        <f t="array" aca="1" ref="O16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POSTAGEM]]="",$BH160&gt;$BF$1),2,
AND(Tabela1[[#This Row],[STATUS PROCESSO MOBILIZAÇÃO]]="Em andamento",Tabela1[[#This Row],[DATA REAL - POSTAGEM]]="",$BH160&lt;=$BF$1),3,
AND(Tabela1[[#This Row],[STATUS PROCESSO MOBILIZAÇÃO]]="Em andamento",Tabela1[[#This Row],[DATA REAL - POSTAGEM]]&lt;&gt;""),1)</f>
        <v>0</v>
      </c>
      <c r="P160" s="16" cm="1">
        <f t="array" aca="1" ref="P16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FINAL]]="",$BK160&gt;$BI$1),2,
AND(Tabela1[[#This Row],[STATUS PROCESSO MOBILIZAÇÃO]]="Em andamento",Tabela1[[#This Row],[DATA REAL - APROV FINAL]]="",$BK160&lt;=$BI$1),3,
AND(Tabela1[[#This Row],[STATUS PROCESSO MOBILIZAÇÃO]]="Em andamento",Tabela1[[#This Row],[DATA REAL - APROV FINAL]]&lt;&gt;""),1)</f>
        <v>0</v>
      </c>
      <c r="Q160" s="16" cm="1">
        <f t="array" aca="1" ref="Q16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CRACHÁ]]="",$BN160&gt;$BL$1),2,
AND(Tabela1[[#This Row],[STATUS PROCESSO MOBILIZAÇÃO]]="Em andamento",Tabela1[[#This Row],[DATA REAL - CRACHÁ]]="",$BN160&lt;=$BL$1),3,
AND(Tabela1[[#This Row],[STATUS PROCESSO MOBILIZAÇÃO]]="Em andamento",Tabela1[[#This Row],[DATA REAL - CRACHÁ]]&lt;&gt;""),1)</f>
        <v>1</v>
      </c>
      <c r="R160" s="21">
        <f>IF(Tabela1[[#This Row],[DATA REAL - FORMS]]&lt;&gt;"",Tabela1[[#This Row],[DATA REAL - FORMS]]+30,Tabela1[[#This Row],[DATA PREV - FORMS]]+35)</f>
        <v>45987</v>
      </c>
      <c r="S16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46029</v>
      </c>
      <c r="T16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72</v>
      </c>
      <c r="U16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160" s="49">
        <f>MAX(Tabela1[[#This Row],[DATA REAL - POSTAGEM]],Tabela1[[#This Row],[DATA REAL - APROV FINAL]],Tabela1[[#This Row],[DATA REAL - CRACHÁ]])-MIN(Tabela1[[#This Row],[DATA REAL - POSTAGEM]],Tabela1[[#This Row],[DATA REAL - APROV FINAL]],Tabela1[[#This Row],[DATA REAL - CRACHÁ]])+1</f>
        <v>1</v>
      </c>
      <c r="W16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317</v>
      </c>
      <c r="X160" s="15" t="s">
        <v>103</v>
      </c>
      <c r="Y160" s="16" t="s">
        <v>84</v>
      </c>
      <c r="Z160" s="18" t="s">
        <v>104</v>
      </c>
      <c r="AA160" s="18" t="s">
        <v>86</v>
      </c>
      <c r="AB160" s="16" t="s">
        <v>97</v>
      </c>
      <c r="AC160" s="16" t="s">
        <v>452</v>
      </c>
      <c r="AD160" s="16" t="s">
        <v>553</v>
      </c>
      <c r="AE160" s="16" t="s">
        <v>554</v>
      </c>
      <c r="AF160" s="16" t="s">
        <v>555</v>
      </c>
      <c r="AG160" s="16" t="str">
        <f>_xlfn.XLOOKUP(Tabela1[[#This Row],[CÓD. CT]],Controle_Projetos[COD CT],Controle_Projetos[COD PHD],"")</f>
        <v>ENGF-CT04-LNTR</v>
      </c>
      <c r="AH160" s="21">
        <v>45946</v>
      </c>
      <c r="AI160" s="76" t="s">
        <v>249</v>
      </c>
      <c r="AJ160" s="16" cm="1">
        <f t="array" aca="1" ref="AJ16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60" s="21">
        <v>45957</v>
      </c>
      <c r="AL160" s="74">
        <v>45957</v>
      </c>
      <c r="AM160" s="16" cm="1">
        <f t="array" aca="1" ref="AM16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0" s="21">
        <f>Tabela1[[#This Row],[DATA PREV - FORMS]]+$AN$1</f>
        <v>45964</v>
      </c>
      <c r="AO160" s="74">
        <v>45968</v>
      </c>
      <c r="AP160" s="16" cm="1">
        <f t="array" aca="1" ref="AP16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60" s="21">
        <f>Tabela1[[#This Row],[DATA PREV - EXAMES]]+$AQ$1</f>
        <v>45966</v>
      </c>
      <c r="AR160" s="74">
        <v>45974</v>
      </c>
      <c r="AS160" s="16" cm="1">
        <f t="array" aca="1" ref="AS16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9</v>
      </c>
      <c r="AT160" s="21">
        <f>Tabela1[[#This Row],[DATA PREV - FORMS]]+$AT$1</f>
        <v>45958</v>
      </c>
      <c r="AU160" s="74">
        <v>45957</v>
      </c>
      <c r="AV160" s="16" cm="1">
        <f t="array" aca="1" ref="AV16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0" s="21">
        <f>Tabela1[[#This Row],[DATA PREV - TREINAMENTOS]]+$AW$1</f>
        <v>45965</v>
      </c>
      <c r="AX160" s="74">
        <v>45958</v>
      </c>
      <c r="AY160" s="16" cm="1">
        <f t="array" aca="1" ref="AY16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60" s="24">
        <v>45951</v>
      </c>
      <c r="BA160" s="74"/>
      <c r="BB160" s="16" cm="1">
        <f t="array" aca="1" ref="BB16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60" s="21">
        <f>Tabela1[[#This Row],[DATA PREV - CONCL. TREIN.]]+$BC$1</f>
        <v>45967</v>
      </c>
      <c r="BD160" s="74"/>
      <c r="BE160" s="16" cm="1">
        <f t="array" aca="1" ref="BE16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60" s="21">
        <f>Tabela1[[#This Row],[DATA PREV - DOSSIÊ]]+$BF$1</f>
        <v>45970</v>
      </c>
      <c r="BG160" s="74"/>
      <c r="BH160" s="16" cm="1">
        <f t="array" aca="1" ref="BH16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60" s="21">
        <f>Tabela1[[#This Row],[DATA PREV - POSTAGEM]]+$BI$1</f>
        <v>45976</v>
      </c>
      <c r="BJ160" s="74"/>
      <c r="BK160" s="16" cm="1">
        <f t="array" aca="1" ref="BK16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60" s="21">
        <f>Tabela1[[#This Row],[DATA PREV - APROV FINAL]]+$BL$1</f>
        <v>45977</v>
      </c>
      <c r="BM160" s="74">
        <v>46029</v>
      </c>
      <c r="BN160" s="16" cm="1">
        <f t="array" aca="1" ref="BN16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53</v>
      </c>
      <c r="BO160" s="81" t="s">
        <v>566</v>
      </c>
    </row>
    <row r="161" spans="2:67" ht="18" hidden="1" customHeight="1" x14ac:dyDescent="0.35">
      <c r="B161" s="14" t="s">
        <v>79</v>
      </c>
      <c r="C161" s="16" t="s">
        <v>136</v>
      </c>
      <c r="D161" s="16" t="s">
        <v>81</v>
      </c>
      <c r="E161" s="16"/>
      <c r="F161" s="16" t="s">
        <v>272</v>
      </c>
      <c r="G161" s="16" cm="1">
        <f t="array" ref="G161">_xlfn.IFS(Tabela1[[#This Row],[STATUS PROCESSO MOBILIZAÇÃO]]="Finalizado",1,Tabela1[[#This Row],[STATUS PROCESSO MOBILIZAÇÃO]]="Cancelado",2,Tabela1[[#This Row],[STATUS PROCESSO MOBILIZAÇÃO]]="Em andamento",3)</f>
        <v>1</v>
      </c>
      <c r="H161" s="16" cm="1">
        <f t="array" aca="1" ref="H16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FORMS]]="",$AM161&gt;$AK$1),2,
AND(Tabela1[[#This Row],[STATUS PROCESSO MOBILIZAÇÃO]]="Em andamento",Tabela1[[#This Row],[DATA REAL - FORMS]]="",$AM161&lt;=$AK$1),3,
AND(Tabela1[[#This Row],[STATUS PROCESSO MOBILIZAÇÃO]]="Em andamento",Tabela1[[#This Row],[DATA REAL - FORMS]]&lt;&gt;""),1)</f>
        <v>1</v>
      </c>
      <c r="I161" s="16" cm="1">
        <f t="array" aca="1" ref="I16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EXAMES]]="",$AP161&gt;$AN$1),2,
AND(Tabela1[[#This Row],[STATUS PROCESSO MOBILIZAÇÃO]]="Em andamento",Tabela1[[#This Row],[DATA REAL - EXAMES]]="",$AP161&lt;=$AN$1),3,
AND(Tabela1[[#This Row],[STATUS PROCESSO MOBILIZAÇÃO]]="Em andamento",Tabela1[[#This Row],[DATA REAL - EXAMES]]&lt;&gt;""),1)</f>
        <v>1</v>
      </c>
      <c r="J161" s="16" cm="1">
        <f t="array" aca="1" ref="J16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ASO]]="",$AS161&gt;$AQ$1),2,
AND(Tabela1[[#This Row],[STATUS PROCESSO MOBILIZAÇÃO]]="Em andamento",Tabela1[[#This Row],[DATA REAL - ASO]]="",$AS161&lt;=$AQ$1),3,
AND(Tabela1[[#This Row],[STATUS PROCESSO MOBILIZAÇÃO]]="Em andamento",Tabela1[[#This Row],[DATA REAL - ASO]]&lt;&gt;""),1)</f>
        <v>1</v>
      </c>
      <c r="K161" s="16" cm="1">
        <f t="array" aca="1" ref="K16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TREINAMENTOS]]="",$AV161&gt;$AT$1),2,
AND(Tabela1[[#This Row],[STATUS PROCESSO MOBILIZAÇÃO]]="Em andamento",Tabela1[[#This Row],[DATA REAL - TREINAMENTOS]]="",$AV161&lt;=$AT$1),3,
AND(Tabela1[[#This Row],[STATUS PROCESSO MOBILIZAÇÃO]]="Em andamento",Tabela1[[#This Row],[DATA REAL - TREINAMENTOS]]&lt;&gt;""),1)</f>
        <v>1</v>
      </c>
      <c r="L161" s="16" cm="1">
        <f t="array" aca="1" ref="L16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TREIN.]]="",$AY161&gt;$AW$1),2,
AND(Tabela1[[#This Row],[STATUS PROCESSO MOBILIZAÇÃO]]="Em andamento",Tabela1[[#This Row],[DATA REAL - CONCL. TREIN.]]="",$AY161&lt;=$AW$1),3,
AND(Tabela1[[#This Row],[STATUS PROCESSO MOBILIZAÇÃO]]="Em andamento",Tabela1[[#This Row],[DATA REAL - CONCL. TREIN.]]&lt;&gt;""),1)</f>
        <v>0</v>
      </c>
      <c r="M161" s="16" cm="1">
        <f t="array" aca="1" ref="M16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CONTRATUAL]]="",$BB161&gt;$AZ$1),2,
AND(Tabela1[[#This Row],[STATUS PROCESSO MOBILIZAÇÃO]]="Em andamento",Tabela1[[#This Row],[DATA FIM - ALTER. CONTRATUAL]]="",$BB161&lt;=$AZ$1),3,
AND(Tabela1[[#This Row],[STATUS PROCESSO MOBILIZAÇÃO]]="Em andamento",Tabela1[[#This Row],[DATA FIM - ALTER. CONTRATUAL]]&lt;&gt;""),1)</f>
        <v>1</v>
      </c>
      <c r="N161" s="16" cm="1">
        <f t="array" aca="1" ref="N16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DOSSIÊ]]="",$BE161&gt;$BC$1),2,
AND(Tabela1[[#This Row],[STATUS PROCESSO MOBILIZAÇÃO]]="Em andamento",Tabela1[[#This Row],[DATA REAL - DOSSIÊ]]="",$BE161&lt;=$BC$1),3,
AND(Tabela1[[#This Row],[STATUS PROCESSO MOBILIZAÇÃO]]="Em andamento",Tabela1[[#This Row],[DATA REAL - DOSSIÊ]]&lt;&gt;""),1)</f>
        <v>1</v>
      </c>
      <c r="O161" s="16" cm="1">
        <f t="array" aca="1" ref="O16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POSTAGEM]]="",$BH161&gt;$BF$1),2,
AND(Tabela1[[#This Row],[STATUS PROCESSO MOBILIZAÇÃO]]="Em andamento",Tabela1[[#This Row],[DATA REAL - POSTAGEM]]="",$BH161&lt;=$BF$1),3,
AND(Tabela1[[#This Row],[STATUS PROCESSO MOBILIZAÇÃO]]="Em andamento",Tabela1[[#This Row],[DATA REAL - POSTAGEM]]&lt;&gt;""),1)</f>
        <v>1</v>
      </c>
      <c r="P161" s="16" cm="1">
        <f t="array" aca="1" ref="P16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FINAL]]="",$BK161&gt;$BI$1),2,
AND(Tabela1[[#This Row],[STATUS PROCESSO MOBILIZAÇÃO]]="Em andamento",Tabela1[[#This Row],[DATA REAL - APROV FINAL]]="",$BK161&lt;=$BI$1),3,
AND(Tabela1[[#This Row],[STATUS PROCESSO MOBILIZAÇÃO]]="Em andamento",Tabela1[[#This Row],[DATA REAL - APROV FINAL]]&lt;&gt;""),1)</f>
        <v>1</v>
      </c>
      <c r="Q161" s="16" cm="1">
        <f t="array" aca="1" ref="Q16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CRACHÁ]]="",$BN161&gt;$BL$1),2,
AND(Tabela1[[#This Row],[STATUS PROCESSO MOBILIZAÇÃO]]="Em andamento",Tabela1[[#This Row],[DATA REAL - CRACHÁ]]="",$BN161&lt;=$BL$1),3,
AND(Tabela1[[#This Row],[STATUS PROCESSO MOBILIZAÇÃO]]="Em andamento",Tabela1[[#This Row],[DATA REAL - CRACHÁ]]&lt;&gt;""),1)</f>
        <v>1</v>
      </c>
      <c r="R161" s="21">
        <f>IF(Tabela1[[#This Row],[DATA REAL - FORMS]]&lt;&gt;"",Tabela1[[#This Row],[DATA REAL - FORMS]]+30,Tabela1[[#This Row],[DATA PREV - FORMS]]+35)</f>
        <v>45998</v>
      </c>
      <c r="S16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6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82</v>
      </c>
      <c r="U16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80</v>
      </c>
      <c r="V161" s="49">
        <f>MAX(Tabela1[[#This Row],[DATA REAL - POSTAGEM]],Tabela1[[#This Row],[DATA REAL - APROV FINAL]],Tabela1[[#This Row],[DATA REAL - CRACHÁ]])-MIN(Tabela1[[#This Row],[DATA REAL - POSTAGEM]],Tabela1[[#This Row],[DATA REAL - APROV FINAL]],Tabela1[[#This Row],[DATA REAL - CRACHÁ]])+1</f>
        <v>3</v>
      </c>
      <c r="W161"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1" s="15" t="s">
        <v>539</v>
      </c>
      <c r="Y161" s="16" t="s">
        <v>130</v>
      </c>
      <c r="Z161" s="18" t="s">
        <v>540</v>
      </c>
      <c r="AA161" s="18" t="s">
        <v>131</v>
      </c>
      <c r="AB161" s="16" t="s">
        <v>97</v>
      </c>
      <c r="AC161" s="16" t="s">
        <v>132</v>
      </c>
      <c r="AD161" s="16" t="s">
        <v>132</v>
      </c>
      <c r="AE161" s="16" t="s">
        <v>567</v>
      </c>
      <c r="AF161" s="16" t="s">
        <v>484</v>
      </c>
      <c r="AG161" s="16" t="str">
        <f>_xlfn.XLOOKUP(Tabela1[[#This Row],[CÓD. CT]],Controle_Projetos[COD CT],Controle_Projetos[COD PHD],"")</f>
        <v>GERD-CT19-PROD</v>
      </c>
      <c r="AH161" s="21">
        <v>45968</v>
      </c>
      <c r="AI161" s="76">
        <v>45891</v>
      </c>
      <c r="AJ161" s="16" t="str" cm="1">
        <f t="array" aca="1" ref="AJ16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1" s="21">
        <v>45968</v>
      </c>
      <c r="AL161" s="74">
        <v>45968</v>
      </c>
      <c r="AM161" s="16" cm="1">
        <f t="array" aca="1" ref="AM16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1" s="21">
        <f>Tabela1[[#This Row],[DATA PREV - FORMS]]+$AN$1</f>
        <v>45975</v>
      </c>
      <c r="AO161" s="74">
        <v>45968</v>
      </c>
      <c r="AP161" s="16" cm="1">
        <f t="array" aca="1" ref="AP16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61" s="21">
        <f>Tabela1[[#This Row],[DATA PREV - EXAMES]]+$AQ$1</f>
        <v>45977</v>
      </c>
      <c r="AR161" s="74">
        <v>45968</v>
      </c>
      <c r="AS161" s="16" cm="1">
        <f t="array" aca="1" ref="AS16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61" s="21">
        <f>Tabela1[[#This Row],[DATA PREV - FORMS]]+$AT$1</f>
        <v>45969</v>
      </c>
      <c r="AU161" s="74">
        <v>45971</v>
      </c>
      <c r="AV161" s="16" cm="1">
        <f t="array" aca="1" ref="AV16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161" s="21">
        <f>Tabela1[[#This Row],[DATA PREV - TREINAMENTOS]]+$AW$1</f>
        <v>45976</v>
      </c>
      <c r="AX161" s="74"/>
      <c r="AY161" s="16" cm="1">
        <f t="array" aca="1" ref="AY16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61" s="24">
        <v>45954</v>
      </c>
      <c r="BA161" s="74">
        <v>45968</v>
      </c>
      <c r="BB161" s="16" cm="1">
        <f t="array" aca="1" ref="BB16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15</v>
      </c>
      <c r="BC161" s="21">
        <f>Tabela1[[#This Row],[DATA PREV - CONCL. TREIN.]]+$BC$1</f>
        <v>45978</v>
      </c>
      <c r="BD161" s="74">
        <v>45971</v>
      </c>
      <c r="BE161" s="16" cm="1">
        <f t="array" aca="1" ref="BE16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61" s="21">
        <f>Tabela1[[#This Row],[DATA PREV - DOSSIÊ]]+$BF$1</f>
        <v>45981</v>
      </c>
      <c r="BG161" s="74">
        <v>45971</v>
      </c>
      <c r="BH161" s="16" cm="1">
        <f t="array" aca="1" ref="BH16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161" s="21">
        <f>Tabela1[[#This Row],[DATA PREV - POSTAGEM]]+$BI$1</f>
        <v>45987</v>
      </c>
      <c r="BJ161" s="74">
        <v>45973</v>
      </c>
      <c r="BK161" s="16" cm="1">
        <f t="array" aca="1" ref="BK16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161" s="21">
        <f>Tabela1[[#This Row],[DATA PREV - APROV FINAL]]+$BL$1</f>
        <v>45988</v>
      </c>
      <c r="BM161" s="74">
        <v>45973</v>
      </c>
      <c r="BN161" s="16" cm="1">
        <f t="array" aca="1" ref="BN16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161" s="80" t="s">
        <v>568</v>
      </c>
    </row>
    <row r="162" spans="2:67" ht="18" hidden="1" customHeight="1" x14ac:dyDescent="0.35">
      <c r="B162" s="14" t="s">
        <v>79</v>
      </c>
      <c r="C162" s="16" t="s">
        <v>136</v>
      </c>
      <c r="D162" s="16" t="s">
        <v>81</v>
      </c>
      <c r="E162" s="16"/>
      <c r="F162" s="16" t="s">
        <v>489</v>
      </c>
      <c r="G162" s="16" cm="1">
        <f t="array" ref="G162">_xlfn.IFS(Tabela1[[#This Row],[STATUS PROCESSO MOBILIZAÇÃO]]="Finalizado",1,Tabela1[[#This Row],[STATUS PROCESSO MOBILIZAÇÃO]]="Cancelado",2,Tabela1[[#This Row],[STATUS PROCESSO MOBILIZAÇÃO]]="Em andamento",3)</f>
        <v>1</v>
      </c>
      <c r="H162" s="16" cm="1">
        <f t="array" aca="1" ref="H16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FORMS]]="",$AM162&gt;$AK$1),2,
AND(Tabela1[[#This Row],[STATUS PROCESSO MOBILIZAÇÃO]]="Em andamento",Tabela1[[#This Row],[DATA REAL - FORMS]]="",$AM162&lt;=$AK$1),3,
AND(Tabela1[[#This Row],[STATUS PROCESSO MOBILIZAÇÃO]]="Em andamento",Tabela1[[#This Row],[DATA REAL - FORMS]]&lt;&gt;""),1)</f>
        <v>1</v>
      </c>
      <c r="I162" s="16" cm="1">
        <f t="array" aca="1" ref="I16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EXAMES]]="",$AP162&gt;$AN$1),2,
AND(Tabela1[[#This Row],[STATUS PROCESSO MOBILIZAÇÃO]]="Em andamento",Tabela1[[#This Row],[DATA REAL - EXAMES]]="",$AP162&lt;=$AN$1),3,
AND(Tabela1[[#This Row],[STATUS PROCESSO MOBILIZAÇÃO]]="Em andamento",Tabela1[[#This Row],[DATA REAL - EXAMES]]&lt;&gt;""),1)</f>
        <v>1</v>
      </c>
      <c r="J162" s="16" cm="1">
        <f t="array" aca="1" ref="J16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ASO]]="",$AS162&gt;$AQ$1),2,
AND(Tabela1[[#This Row],[STATUS PROCESSO MOBILIZAÇÃO]]="Em andamento",Tabela1[[#This Row],[DATA REAL - ASO]]="",$AS162&lt;=$AQ$1),3,
AND(Tabela1[[#This Row],[STATUS PROCESSO MOBILIZAÇÃO]]="Em andamento",Tabela1[[#This Row],[DATA REAL - ASO]]&lt;&gt;""),1)</f>
        <v>1</v>
      </c>
      <c r="K162" s="16" cm="1">
        <f t="array" aca="1" ref="K16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TREINAMENTOS]]="",$AV162&gt;$AT$1),2,
AND(Tabela1[[#This Row],[STATUS PROCESSO MOBILIZAÇÃO]]="Em andamento",Tabela1[[#This Row],[DATA REAL - TREINAMENTOS]]="",$AV162&lt;=$AT$1),3,
AND(Tabela1[[#This Row],[STATUS PROCESSO MOBILIZAÇÃO]]="Em andamento",Tabela1[[#This Row],[DATA REAL - TREINAMENTOS]]&lt;&gt;""),1)</f>
        <v>1</v>
      </c>
      <c r="L162" s="16" cm="1">
        <f t="array" aca="1" ref="L16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TREIN.]]="",$AY162&gt;$AW$1),2,
AND(Tabela1[[#This Row],[STATUS PROCESSO MOBILIZAÇÃO]]="Em andamento",Tabela1[[#This Row],[DATA REAL - CONCL. TREIN.]]="",$AY162&lt;=$AW$1),3,
AND(Tabela1[[#This Row],[STATUS PROCESSO MOBILIZAÇÃO]]="Em andamento",Tabela1[[#This Row],[DATA REAL - CONCL. TREIN.]]&lt;&gt;""),1)</f>
        <v>0</v>
      </c>
      <c r="M162" s="16" cm="1">
        <f t="array" aca="1" ref="M16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CONTRATUAL]]="",$BB162&gt;$AZ$1),2,
AND(Tabela1[[#This Row],[STATUS PROCESSO MOBILIZAÇÃO]]="Em andamento",Tabela1[[#This Row],[DATA FIM - ALTER. CONTRATUAL]]="",$BB162&lt;=$AZ$1),3,
AND(Tabela1[[#This Row],[STATUS PROCESSO MOBILIZAÇÃO]]="Em andamento",Tabela1[[#This Row],[DATA FIM - ALTER. CONTRATUAL]]&lt;&gt;""),1)</f>
        <v>1</v>
      </c>
      <c r="N162" s="16" cm="1">
        <f t="array" aca="1" ref="N16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DOSSIÊ]]="",$BE162&gt;$BC$1),2,
AND(Tabela1[[#This Row],[STATUS PROCESSO MOBILIZAÇÃO]]="Em andamento",Tabela1[[#This Row],[DATA REAL - DOSSIÊ]]="",$BE162&lt;=$BC$1),3,
AND(Tabela1[[#This Row],[STATUS PROCESSO MOBILIZAÇÃO]]="Em andamento",Tabela1[[#This Row],[DATA REAL - DOSSIÊ]]&lt;&gt;""),1)</f>
        <v>1</v>
      </c>
      <c r="O162" s="16" cm="1">
        <f t="array" aca="1" ref="O16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POSTAGEM]]="",$BH162&gt;$BF$1),2,
AND(Tabela1[[#This Row],[STATUS PROCESSO MOBILIZAÇÃO]]="Em andamento",Tabela1[[#This Row],[DATA REAL - POSTAGEM]]="",$BH162&lt;=$BF$1),3,
AND(Tabela1[[#This Row],[STATUS PROCESSO MOBILIZAÇÃO]]="Em andamento",Tabela1[[#This Row],[DATA REAL - POSTAGEM]]&lt;&gt;""),1)</f>
        <v>1</v>
      </c>
      <c r="P162" s="16" cm="1">
        <f t="array" aca="1" ref="P16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FINAL]]="",$BK162&gt;$BI$1),2,
AND(Tabela1[[#This Row],[STATUS PROCESSO MOBILIZAÇÃO]]="Em andamento",Tabela1[[#This Row],[DATA REAL - APROV FINAL]]="",$BK162&lt;=$BI$1),3,
AND(Tabela1[[#This Row],[STATUS PROCESSO MOBILIZAÇÃO]]="Em andamento",Tabela1[[#This Row],[DATA REAL - APROV FINAL]]&lt;&gt;""),1)</f>
        <v>1</v>
      </c>
      <c r="Q162" s="16" cm="1">
        <f t="array" aca="1" ref="Q16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CRACHÁ]]="",$BN162&gt;$BL$1),2,
AND(Tabela1[[#This Row],[STATUS PROCESSO MOBILIZAÇÃO]]="Em andamento",Tabela1[[#This Row],[DATA REAL - CRACHÁ]]="",$BN162&lt;=$BL$1),3,
AND(Tabela1[[#This Row],[STATUS PROCESSO MOBILIZAÇÃO]]="Em andamento",Tabela1[[#This Row],[DATA REAL - CRACHÁ]]&lt;&gt;""),1)</f>
        <v>1</v>
      </c>
      <c r="R162" s="21">
        <f>IF(Tabela1[[#This Row],[DATA REAL - FORMS]]&lt;&gt;"",Tabela1[[#This Row],[DATA REAL - FORMS]]+30,Tabela1[[#This Row],[DATA PREV - FORMS]]+35)</f>
        <v>45998</v>
      </c>
      <c r="S16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45973</v>
      </c>
      <c r="T16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82</v>
      </c>
      <c r="U16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80</v>
      </c>
      <c r="V162" s="49">
        <f>MAX(Tabela1[[#This Row],[DATA REAL - POSTAGEM]],Tabela1[[#This Row],[DATA REAL - APROV FINAL]],Tabela1[[#This Row],[DATA REAL - CRACHÁ]])-MIN(Tabela1[[#This Row],[DATA REAL - POSTAGEM]],Tabela1[[#This Row],[DATA REAL - APROV FINAL]],Tabela1[[#This Row],[DATA REAL - CRACHÁ]])+1</f>
        <v>3</v>
      </c>
      <c r="W162"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2" s="15" t="s">
        <v>539</v>
      </c>
      <c r="Y162" s="16" t="s">
        <v>130</v>
      </c>
      <c r="Z162" s="18" t="s">
        <v>540</v>
      </c>
      <c r="AA162" s="18" t="s">
        <v>131</v>
      </c>
      <c r="AB162" s="16" t="s">
        <v>97</v>
      </c>
      <c r="AC162" s="16" t="s">
        <v>132</v>
      </c>
      <c r="AD162" s="16" t="s">
        <v>132</v>
      </c>
      <c r="AE162" s="16" t="s">
        <v>567</v>
      </c>
      <c r="AF162" s="16" t="s">
        <v>484</v>
      </c>
      <c r="AG162" s="16" t="str">
        <f>_xlfn.XLOOKUP(Tabela1[[#This Row],[CÓD. CT]],Controle_Projetos[COD CT],Controle_Projetos[COD PHD],"")</f>
        <v>GERD-CT19-PROD</v>
      </c>
      <c r="AH162" s="21">
        <v>45968</v>
      </c>
      <c r="AI162" s="76">
        <v>45891</v>
      </c>
      <c r="AJ162" s="16" t="str" cm="1">
        <f t="array" aca="1" ref="AJ16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2" s="21">
        <v>45968</v>
      </c>
      <c r="AL162" s="74">
        <v>45968</v>
      </c>
      <c r="AM162" s="16" cm="1">
        <f t="array" aca="1" ref="AM16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2" s="21">
        <f>Tabela1[[#This Row],[DATA PREV - FORMS]]+$AN$1</f>
        <v>45975</v>
      </c>
      <c r="AO162" s="74">
        <v>45968</v>
      </c>
      <c r="AP162" s="16" cm="1">
        <f t="array" aca="1" ref="AP16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62" s="21">
        <f>Tabela1[[#This Row],[DATA PREV - EXAMES]]+$AQ$1</f>
        <v>45977</v>
      </c>
      <c r="AR162" s="74">
        <v>45968</v>
      </c>
      <c r="AS162" s="16" cm="1">
        <f t="array" aca="1" ref="AS16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62" s="21">
        <f>Tabela1[[#This Row],[DATA PREV - FORMS]]+$AT$1</f>
        <v>45969</v>
      </c>
      <c r="AU162" s="74">
        <v>45971</v>
      </c>
      <c r="AV162" s="16" cm="1">
        <f t="array" aca="1" ref="AV16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3</v>
      </c>
      <c r="AW162" s="21">
        <f>Tabela1[[#This Row],[DATA PREV - TREINAMENTOS]]+$AW$1</f>
        <v>45976</v>
      </c>
      <c r="AX162" s="74"/>
      <c r="AY162" s="16" cm="1">
        <f t="array" aca="1" ref="AY16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62" s="24">
        <v>45955</v>
      </c>
      <c r="BA162" s="74">
        <v>45968</v>
      </c>
      <c r="BB162" s="16" cm="1">
        <f t="array" aca="1" ref="BB16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14</v>
      </c>
      <c r="BC162" s="21">
        <f>Tabela1[[#This Row],[DATA PREV - CONCL. TREIN.]]+$BC$1</f>
        <v>45978</v>
      </c>
      <c r="BD162" s="74">
        <v>45971</v>
      </c>
      <c r="BE162" s="16" cm="1">
        <f t="array" aca="1" ref="BE16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62" s="21">
        <f>Tabela1[[#This Row],[DATA PREV - DOSSIÊ]]+$BF$1</f>
        <v>45981</v>
      </c>
      <c r="BG162" s="74">
        <v>45971</v>
      </c>
      <c r="BH162" s="16" cm="1">
        <f t="array" aca="1" ref="BH16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162" s="21">
        <f>Tabela1[[#This Row],[DATA PREV - POSTAGEM]]+$BI$1</f>
        <v>45987</v>
      </c>
      <c r="BJ162" s="74">
        <v>45973</v>
      </c>
      <c r="BK162" s="16" cm="1">
        <f t="array" aca="1" ref="BK16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162" s="21">
        <f>Tabela1[[#This Row],[DATA PREV - APROV FINAL]]+$BL$1</f>
        <v>45988</v>
      </c>
      <c r="BM162" s="74">
        <v>45973</v>
      </c>
      <c r="BN162" s="16" cm="1">
        <f t="array" aca="1" ref="BN16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162" s="80" t="s">
        <v>569</v>
      </c>
    </row>
    <row r="163" spans="2:67" ht="18" hidden="1" customHeight="1" x14ac:dyDescent="0.35">
      <c r="B163" s="14" t="s">
        <v>79</v>
      </c>
      <c r="C163" s="16" t="s">
        <v>136</v>
      </c>
      <c r="D163" s="16" t="s">
        <v>81</v>
      </c>
      <c r="E163" s="16"/>
      <c r="F163" s="16" t="s">
        <v>143</v>
      </c>
      <c r="G163" s="16" cm="1">
        <f t="array" ref="G163">_xlfn.IFS(Tabela1[[#This Row],[STATUS PROCESSO MOBILIZAÇÃO]]="Finalizado",1,Tabela1[[#This Row],[STATUS PROCESSO MOBILIZAÇÃO]]="Cancelado",2,Tabela1[[#This Row],[STATUS PROCESSO MOBILIZAÇÃO]]="Em andamento",3)</f>
        <v>1</v>
      </c>
      <c r="H163" s="16" cm="1">
        <f t="array" aca="1" ref="H16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FORMS]]="",$AM163&gt;$AK$1),2,
AND(Tabela1[[#This Row],[STATUS PROCESSO MOBILIZAÇÃO]]="Em andamento",Tabela1[[#This Row],[DATA REAL - FORMS]]="",$AM163&lt;=$AK$1),3,
AND(Tabela1[[#This Row],[STATUS PROCESSO MOBILIZAÇÃO]]="Em andamento",Tabela1[[#This Row],[DATA REAL - FORMS]]&lt;&gt;""),1)</f>
        <v>1</v>
      </c>
      <c r="I163" s="16" cm="1">
        <f t="array" aca="1" ref="I16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EXAMES]]="",$AP163&gt;$AN$1),2,
AND(Tabela1[[#This Row],[STATUS PROCESSO MOBILIZAÇÃO]]="Em andamento",Tabela1[[#This Row],[DATA REAL - EXAMES]]="",$AP163&lt;=$AN$1),3,
AND(Tabela1[[#This Row],[STATUS PROCESSO MOBILIZAÇÃO]]="Em andamento",Tabela1[[#This Row],[DATA REAL - EXAMES]]&lt;&gt;""),1)</f>
        <v>1</v>
      </c>
      <c r="J163" s="16" cm="1">
        <f t="array" aca="1" ref="J16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ASO]]="",$AS163&gt;$AQ$1),2,
AND(Tabela1[[#This Row],[STATUS PROCESSO MOBILIZAÇÃO]]="Em andamento",Tabela1[[#This Row],[DATA REAL - ASO]]="",$AS163&lt;=$AQ$1),3,
AND(Tabela1[[#This Row],[STATUS PROCESSO MOBILIZAÇÃO]]="Em andamento",Tabela1[[#This Row],[DATA REAL - ASO]]&lt;&gt;""),1)</f>
        <v>1</v>
      </c>
      <c r="K163" s="16" cm="1">
        <f t="array" aca="1" ref="K16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TREINAMENTOS]]="",$AV163&gt;$AT$1),2,
AND(Tabela1[[#This Row],[STATUS PROCESSO MOBILIZAÇÃO]]="Em andamento",Tabela1[[#This Row],[DATA REAL - TREINAMENTOS]]="",$AV163&lt;=$AT$1),3,
AND(Tabela1[[#This Row],[STATUS PROCESSO MOBILIZAÇÃO]]="Em andamento",Tabela1[[#This Row],[DATA REAL - TREINAMENTOS]]&lt;&gt;""),1)</f>
        <v>1</v>
      </c>
      <c r="L163" s="16" cm="1">
        <f t="array" aca="1" ref="L16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TREIN.]]="",$AY163&gt;$AW$1),2,
AND(Tabela1[[#This Row],[STATUS PROCESSO MOBILIZAÇÃO]]="Em andamento",Tabela1[[#This Row],[DATA REAL - CONCL. TREIN.]]="",$AY163&lt;=$AW$1),3,
AND(Tabela1[[#This Row],[STATUS PROCESSO MOBILIZAÇÃO]]="Em andamento",Tabela1[[#This Row],[DATA REAL - CONCL. TREIN.]]&lt;&gt;""),1)</f>
        <v>1</v>
      </c>
      <c r="M163" s="16" cm="1">
        <f t="array" aca="1" ref="M16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CONTRATUAL]]="",$BB163&gt;$AZ$1),2,
AND(Tabela1[[#This Row],[STATUS PROCESSO MOBILIZAÇÃO]]="Em andamento",Tabela1[[#This Row],[DATA FIM - ALTER. CONTRATUAL]]="",$BB163&lt;=$AZ$1),3,
AND(Tabela1[[#This Row],[STATUS PROCESSO MOBILIZAÇÃO]]="Em andamento",Tabela1[[#This Row],[DATA FIM - ALTER. CONTRATUAL]]&lt;&gt;""),1)</f>
        <v>1</v>
      </c>
      <c r="N163" s="16" cm="1">
        <f t="array" aca="1" ref="N16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DOSSIÊ]]="",$BE163&gt;$BC$1),2,
AND(Tabela1[[#This Row],[STATUS PROCESSO MOBILIZAÇÃO]]="Em andamento",Tabela1[[#This Row],[DATA REAL - DOSSIÊ]]="",$BE163&lt;=$BC$1),3,
AND(Tabela1[[#This Row],[STATUS PROCESSO MOBILIZAÇÃO]]="Em andamento",Tabela1[[#This Row],[DATA REAL - DOSSIÊ]]&lt;&gt;""),1)</f>
        <v>1</v>
      </c>
      <c r="O163" s="16" cm="1">
        <f t="array" aca="1" ref="O16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POSTAGEM]]="",$BH163&gt;$BF$1),2,
AND(Tabela1[[#This Row],[STATUS PROCESSO MOBILIZAÇÃO]]="Em andamento",Tabela1[[#This Row],[DATA REAL - POSTAGEM]]="",$BH163&lt;=$BF$1),3,
AND(Tabela1[[#This Row],[STATUS PROCESSO MOBILIZAÇÃO]]="Em andamento",Tabela1[[#This Row],[DATA REAL - POSTAGEM]]&lt;&gt;""),1)</f>
        <v>1</v>
      </c>
      <c r="P163" s="16" cm="1">
        <f t="array" aca="1" ref="P16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FINAL]]="",$BK163&gt;$BI$1),2,
AND(Tabela1[[#This Row],[STATUS PROCESSO MOBILIZAÇÃO]]="Em andamento",Tabela1[[#This Row],[DATA REAL - APROV FINAL]]="",$BK163&lt;=$BI$1),3,
AND(Tabela1[[#This Row],[STATUS PROCESSO MOBILIZAÇÃO]]="Em andamento",Tabela1[[#This Row],[DATA REAL - APROV FINAL]]&lt;&gt;""),1)</f>
        <v>1</v>
      </c>
      <c r="Q163" s="16" cm="1">
        <f t="array" aca="1" ref="Q16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CRACHÁ]]="",$BN163&gt;$BL$1),2,
AND(Tabela1[[#This Row],[STATUS PROCESSO MOBILIZAÇÃO]]="Em andamento",Tabela1[[#This Row],[DATA REAL - CRACHÁ]]="",$BN163&lt;=$BL$1),3,
AND(Tabela1[[#This Row],[STATUS PROCESSO MOBILIZAÇÃO]]="Em andamento",Tabela1[[#This Row],[DATA REAL - CRACHÁ]]&lt;&gt;""),1)</f>
        <v>1</v>
      </c>
      <c r="R163" s="21">
        <f>IF(Tabela1[[#This Row],[DATA REAL - FORMS]]&lt;&gt;"",Tabela1[[#This Row],[DATA REAL - FORMS]]+30,Tabela1[[#This Row],[DATA PREV - FORMS]]+35)</f>
        <v>46005</v>
      </c>
      <c r="S16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45992</v>
      </c>
      <c r="T16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101</v>
      </c>
      <c r="U16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96</v>
      </c>
      <c r="V163" s="49">
        <f>MAX(Tabela1[[#This Row],[DATA REAL - POSTAGEM]],Tabela1[[#This Row],[DATA REAL - APROV FINAL]],Tabela1[[#This Row],[DATA REAL - CRACHÁ]])-MIN(Tabela1[[#This Row],[DATA REAL - POSTAGEM]],Tabela1[[#This Row],[DATA REAL - APROV FINAL]],Tabela1[[#This Row],[DATA REAL - CRACHÁ]])+1</f>
        <v>6</v>
      </c>
      <c r="W163"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3" s="15" t="s">
        <v>539</v>
      </c>
      <c r="Y163" s="16" t="s">
        <v>130</v>
      </c>
      <c r="Z163" s="18" t="s">
        <v>540</v>
      </c>
      <c r="AA163" s="18" t="s">
        <v>131</v>
      </c>
      <c r="AB163" s="16" t="s">
        <v>97</v>
      </c>
      <c r="AC163" s="16" t="s">
        <v>132</v>
      </c>
      <c r="AD163" s="16" t="s">
        <v>132</v>
      </c>
      <c r="AE163" s="16" t="s">
        <v>570</v>
      </c>
      <c r="AF163" s="16" t="s">
        <v>484</v>
      </c>
      <c r="AG163" s="16" t="str">
        <f>_xlfn.XLOOKUP(Tabela1[[#This Row],[CÓD. CT]],Controle_Projetos[COD CT],Controle_Projetos[COD PHD],"")</f>
        <v>GERD-CT19-PROD</v>
      </c>
      <c r="AH163" s="21">
        <v>45975</v>
      </c>
      <c r="AI163" s="76">
        <v>45891</v>
      </c>
      <c r="AJ163" s="16" t="str" cm="1">
        <f t="array" aca="1" ref="AJ16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3" s="21">
        <v>45975</v>
      </c>
      <c r="AL163" s="74">
        <v>45975</v>
      </c>
      <c r="AM163" s="16" cm="1">
        <f t="array" aca="1" ref="AM16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3" s="21">
        <f>Tabela1[[#This Row],[DATA PREV - FORMS]]+$AN$1</f>
        <v>45982</v>
      </c>
      <c r="AO163" s="74">
        <v>45980</v>
      </c>
      <c r="AP163" s="16" cm="1">
        <f t="array" aca="1" ref="AP16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63" s="21">
        <f>Tabela1[[#This Row],[DATA PREV - EXAMES]]+$AQ$1</f>
        <v>45984</v>
      </c>
      <c r="AR163" s="74">
        <v>45982</v>
      </c>
      <c r="AS163" s="16" cm="1">
        <f t="array" aca="1" ref="AS16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63" s="21">
        <f>Tabela1[[#This Row],[DATA PREV - FORMS]]+$AT$1</f>
        <v>45976</v>
      </c>
      <c r="AU163" s="74">
        <v>45975</v>
      </c>
      <c r="AV163" s="16" cm="1">
        <f t="array" aca="1" ref="AV16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3" s="21">
        <f>Tabela1[[#This Row],[DATA PREV - TREINAMENTOS]]+$AW$1</f>
        <v>45983</v>
      </c>
      <c r="AX163" s="74">
        <v>45975</v>
      </c>
      <c r="AY163" s="16" cm="1">
        <f t="array" aca="1" ref="AY16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3" s="24">
        <v>45956</v>
      </c>
      <c r="BA163" s="74">
        <v>45975</v>
      </c>
      <c r="BB163" s="16" cm="1">
        <f t="array" aca="1" ref="BB16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20</v>
      </c>
      <c r="BC163" s="21">
        <f>Tabela1[[#This Row],[DATA PREV - CONCL. TREIN.]]+$BC$1</f>
        <v>45985</v>
      </c>
      <c r="BD163" s="74">
        <v>45987</v>
      </c>
      <c r="BE163" s="16" cm="1">
        <f t="array" aca="1" ref="BE16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63" s="21">
        <f>Tabela1[[#This Row],[DATA PREV - DOSSIÊ]]+$BF$1</f>
        <v>45988</v>
      </c>
      <c r="BG163" s="74">
        <v>45987</v>
      </c>
      <c r="BH163" s="16" cm="1">
        <f t="array" aca="1" ref="BH16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63" s="21">
        <f>Tabela1[[#This Row],[DATA PREV - POSTAGEM]]+$BI$1</f>
        <v>45994</v>
      </c>
      <c r="BJ163" s="74">
        <v>45992</v>
      </c>
      <c r="BK163" s="16" cm="1">
        <f t="array" aca="1" ref="BK16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63" s="21">
        <f>Tabela1[[#This Row],[DATA PREV - APROV FINAL]]+$BL$1</f>
        <v>45995</v>
      </c>
      <c r="BM163" s="74">
        <v>45992</v>
      </c>
      <c r="BN163" s="16" cm="1">
        <f t="array" aca="1" ref="BN16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63" s="99" t="s">
        <v>571</v>
      </c>
    </row>
    <row r="164" spans="2:67" ht="18" hidden="1" customHeight="1" x14ac:dyDescent="0.35">
      <c r="B164" s="14" t="s">
        <v>79</v>
      </c>
      <c r="C164" s="16" t="s">
        <v>136</v>
      </c>
      <c r="D164" s="16" t="s">
        <v>81</v>
      </c>
      <c r="E164" s="16"/>
      <c r="F164" s="16" t="s">
        <v>178</v>
      </c>
      <c r="G164" s="16" cm="1">
        <f t="array" ref="G164">_xlfn.IFS(Tabela1[[#This Row],[STATUS PROCESSO MOBILIZAÇÃO]]="Finalizado",1,Tabela1[[#This Row],[STATUS PROCESSO MOBILIZAÇÃO]]="Cancelado",2,Tabela1[[#This Row],[STATUS PROCESSO MOBILIZAÇÃO]]="Em andamento",3)</f>
        <v>1</v>
      </c>
      <c r="H164" s="16" cm="1">
        <f t="array" aca="1" ref="H16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FORMS]]="",$AM164&gt;$AK$1),2,
AND(Tabela1[[#This Row],[STATUS PROCESSO MOBILIZAÇÃO]]="Em andamento",Tabela1[[#This Row],[DATA REAL - FORMS]]="",$AM164&lt;=$AK$1),3,
AND(Tabela1[[#This Row],[STATUS PROCESSO MOBILIZAÇÃO]]="Em andamento",Tabela1[[#This Row],[DATA REAL - FORMS]]&lt;&gt;""),1)</f>
        <v>1</v>
      </c>
      <c r="I164" s="16" cm="1">
        <f t="array" aca="1" ref="I16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EXAMES]]="",$AP164&gt;$AN$1),2,
AND(Tabela1[[#This Row],[STATUS PROCESSO MOBILIZAÇÃO]]="Em andamento",Tabela1[[#This Row],[DATA REAL - EXAMES]]="",$AP164&lt;=$AN$1),3,
AND(Tabela1[[#This Row],[STATUS PROCESSO MOBILIZAÇÃO]]="Em andamento",Tabela1[[#This Row],[DATA REAL - EXAMES]]&lt;&gt;""),1)</f>
        <v>1</v>
      </c>
      <c r="J164" s="16" cm="1">
        <f t="array" aca="1" ref="J16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ASO]]="",$AS164&gt;$AQ$1),2,
AND(Tabela1[[#This Row],[STATUS PROCESSO MOBILIZAÇÃO]]="Em andamento",Tabela1[[#This Row],[DATA REAL - ASO]]="",$AS164&lt;=$AQ$1),3,
AND(Tabela1[[#This Row],[STATUS PROCESSO MOBILIZAÇÃO]]="Em andamento",Tabela1[[#This Row],[DATA REAL - ASO]]&lt;&gt;""),1)</f>
        <v>1</v>
      </c>
      <c r="K164" s="16" cm="1">
        <f t="array" aca="1" ref="K16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TREINAMENTOS]]="",$AV164&gt;$AT$1),2,
AND(Tabela1[[#This Row],[STATUS PROCESSO MOBILIZAÇÃO]]="Em andamento",Tabela1[[#This Row],[DATA REAL - TREINAMENTOS]]="",$AV164&lt;=$AT$1),3,
AND(Tabela1[[#This Row],[STATUS PROCESSO MOBILIZAÇÃO]]="Em andamento",Tabela1[[#This Row],[DATA REAL - TREINAMENTOS]]&lt;&gt;""),1)</f>
        <v>1</v>
      </c>
      <c r="L164" s="16" cm="1">
        <f t="array" aca="1" ref="L16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TREIN.]]="",$AY164&gt;$AW$1),2,
AND(Tabela1[[#This Row],[STATUS PROCESSO MOBILIZAÇÃO]]="Em andamento",Tabela1[[#This Row],[DATA REAL - CONCL. TREIN.]]="",$AY164&lt;=$AW$1),3,
AND(Tabela1[[#This Row],[STATUS PROCESSO MOBILIZAÇÃO]]="Em andamento",Tabela1[[#This Row],[DATA REAL - CONCL. TREIN.]]&lt;&gt;""),1)</f>
        <v>1</v>
      </c>
      <c r="M164" s="16" cm="1">
        <f t="array" aca="1" ref="M16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CONTRATUAL]]="",$BB164&gt;$AZ$1),2,
AND(Tabela1[[#This Row],[STATUS PROCESSO MOBILIZAÇÃO]]="Em andamento",Tabela1[[#This Row],[DATA FIM - ALTER. CONTRATUAL]]="",$BB164&lt;=$AZ$1),3,
AND(Tabela1[[#This Row],[STATUS PROCESSO MOBILIZAÇÃO]]="Em andamento",Tabela1[[#This Row],[DATA FIM - ALTER. CONTRATUAL]]&lt;&gt;""),1)</f>
        <v>1</v>
      </c>
      <c r="N164" s="16" cm="1">
        <f t="array" aca="1" ref="N16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DOSSIÊ]]="",$BE164&gt;$BC$1),2,
AND(Tabela1[[#This Row],[STATUS PROCESSO MOBILIZAÇÃO]]="Em andamento",Tabela1[[#This Row],[DATA REAL - DOSSIÊ]]="",$BE164&lt;=$BC$1),3,
AND(Tabela1[[#This Row],[STATUS PROCESSO MOBILIZAÇÃO]]="Em andamento",Tabela1[[#This Row],[DATA REAL - DOSSIÊ]]&lt;&gt;""),1)</f>
        <v>1</v>
      </c>
      <c r="O164" s="16" cm="1">
        <f t="array" aca="1" ref="O16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POSTAGEM]]="",$BH164&gt;$BF$1),2,
AND(Tabela1[[#This Row],[STATUS PROCESSO MOBILIZAÇÃO]]="Em andamento",Tabela1[[#This Row],[DATA REAL - POSTAGEM]]="",$BH164&lt;=$BF$1),3,
AND(Tabela1[[#This Row],[STATUS PROCESSO MOBILIZAÇÃO]]="Em andamento",Tabela1[[#This Row],[DATA REAL - POSTAGEM]]&lt;&gt;""),1)</f>
        <v>1</v>
      </c>
      <c r="P164" s="16" cm="1">
        <f t="array" aca="1" ref="P16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FINAL]]="",$BK164&gt;$BI$1),2,
AND(Tabela1[[#This Row],[STATUS PROCESSO MOBILIZAÇÃO]]="Em andamento",Tabela1[[#This Row],[DATA REAL - APROV FINAL]]="",$BK164&lt;=$BI$1),3,
AND(Tabela1[[#This Row],[STATUS PROCESSO MOBILIZAÇÃO]]="Em andamento",Tabela1[[#This Row],[DATA REAL - APROV FINAL]]&lt;&gt;""),1)</f>
        <v>1</v>
      </c>
      <c r="Q164" s="16" cm="1">
        <f t="array" aca="1" ref="Q16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CRACHÁ]]="",$BN164&gt;$BL$1),2,
AND(Tabela1[[#This Row],[STATUS PROCESSO MOBILIZAÇÃO]]="Em andamento",Tabela1[[#This Row],[DATA REAL - CRACHÁ]]="",$BN164&lt;=$BL$1),3,
AND(Tabela1[[#This Row],[STATUS PROCESSO MOBILIZAÇÃO]]="Em andamento",Tabela1[[#This Row],[DATA REAL - CRACHÁ]]&lt;&gt;""),1)</f>
        <v>1</v>
      </c>
      <c r="R164" s="21">
        <f>IF(Tabela1[[#This Row],[DATA REAL - FORMS]]&lt;&gt;"",Tabela1[[#This Row],[DATA REAL - FORMS]]+30,Tabela1[[#This Row],[DATA PREV - FORMS]]+35)</f>
        <v>46005</v>
      </c>
      <c r="S16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45992</v>
      </c>
      <c r="T16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101</v>
      </c>
      <c r="U16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96</v>
      </c>
      <c r="V164" s="49">
        <f>MAX(Tabela1[[#This Row],[DATA REAL - POSTAGEM]],Tabela1[[#This Row],[DATA REAL - APROV FINAL]],Tabela1[[#This Row],[DATA REAL - CRACHÁ]])-MIN(Tabela1[[#This Row],[DATA REAL - POSTAGEM]],Tabela1[[#This Row],[DATA REAL - APROV FINAL]],Tabela1[[#This Row],[DATA REAL - CRACHÁ]])+1</f>
        <v>6</v>
      </c>
      <c r="W164"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4" s="15" t="s">
        <v>539</v>
      </c>
      <c r="Y164" s="16" t="s">
        <v>130</v>
      </c>
      <c r="Z164" s="18" t="s">
        <v>540</v>
      </c>
      <c r="AA164" s="18" t="s">
        <v>131</v>
      </c>
      <c r="AB164" s="16" t="s">
        <v>87</v>
      </c>
      <c r="AC164" s="16" t="s">
        <v>132</v>
      </c>
      <c r="AD164" s="16" t="s">
        <v>132</v>
      </c>
      <c r="AE164" s="16" t="s">
        <v>570</v>
      </c>
      <c r="AF164" s="16" t="s">
        <v>484</v>
      </c>
      <c r="AG164" s="16" t="str">
        <f>_xlfn.XLOOKUP(Tabela1[[#This Row],[CÓD. CT]],Controle_Projetos[COD CT],Controle_Projetos[COD PHD],"")</f>
        <v>GERD-CT19-PROD</v>
      </c>
      <c r="AH164" s="21">
        <v>45975</v>
      </c>
      <c r="AI164" s="76">
        <v>45891</v>
      </c>
      <c r="AJ164" s="16" t="str" cm="1">
        <f t="array" aca="1" ref="AJ16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4" s="21">
        <v>45975</v>
      </c>
      <c r="AL164" s="74">
        <v>45975</v>
      </c>
      <c r="AM164" s="16" cm="1">
        <f t="array" aca="1" ref="AM16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4" s="21">
        <f>Tabela1[[#This Row],[DATA PREV - FORMS]]+$AN$1</f>
        <v>45982</v>
      </c>
      <c r="AO164" s="74">
        <v>45980</v>
      </c>
      <c r="AP164" s="16" cm="1">
        <f t="array" aca="1" ref="AP16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64" s="21">
        <f>Tabela1[[#This Row],[DATA PREV - EXAMES]]+$AQ$1</f>
        <v>45984</v>
      </c>
      <c r="AR164" s="74">
        <v>45982</v>
      </c>
      <c r="AS164" s="16" cm="1">
        <f t="array" aca="1" ref="AS16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64" s="21">
        <f>Tabela1[[#This Row],[DATA PREV - FORMS]]+$AT$1</f>
        <v>45976</v>
      </c>
      <c r="AU164" s="74">
        <v>45975</v>
      </c>
      <c r="AV164" s="16" cm="1">
        <f t="array" aca="1" ref="AV16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4" s="21">
        <f>Tabela1[[#This Row],[DATA PREV - TREINAMENTOS]]+$AW$1</f>
        <v>45983</v>
      </c>
      <c r="AX164" s="74">
        <v>45975</v>
      </c>
      <c r="AY164" s="16" cm="1">
        <f t="array" aca="1" ref="AY16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4" s="24">
        <v>45957</v>
      </c>
      <c r="BA164" s="74">
        <v>45975</v>
      </c>
      <c r="BB164" s="16" cm="1">
        <f t="array" aca="1" ref="BB16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19</v>
      </c>
      <c r="BC164" s="21">
        <f>Tabela1[[#This Row],[DATA PREV - CONCL. TREIN.]]+$BC$1</f>
        <v>45985</v>
      </c>
      <c r="BD164" s="74">
        <v>45987</v>
      </c>
      <c r="BE164" s="16" cm="1">
        <f t="array" aca="1" ref="BE16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64" s="21">
        <f>Tabela1[[#This Row],[DATA PREV - DOSSIÊ]]+$BF$1</f>
        <v>45988</v>
      </c>
      <c r="BG164" s="74">
        <v>45987</v>
      </c>
      <c r="BH164" s="16" cm="1">
        <f t="array" aca="1" ref="BH16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64" s="21">
        <f>Tabela1[[#This Row],[DATA PREV - POSTAGEM]]+$BI$1</f>
        <v>45994</v>
      </c>
      <c r="BJ164" s="74">
        <v>45992</v>
      </c>
      <c r="BK164" s="16" cm="1">
        <f t="array" aca="1" ref="BK16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64" s="21">
        <f>Tabela1[[#This Row],[DATA PREV - APROV FINAL]]+$BL$1</f>
        <v>45995</v>
      </c>
      <c r="BM164" s="74">
        <v>45992</v>
      </c>
      <c r="BN164" s="16" cm="1">
        <f t="array" aca="1" ref="BN16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64" s="99" t="s">
        <v>572</v>
      </c>
    </row>
    <row r="165" spans="2:67" ht="18" hidden="1" customHeight="1" x14ac:dyDescent="0.35">
      <c r="B165" s="14" t="s">
        <v>79</v>
      </c>
      <c r="C165" s="16" t="s">
        <v>136</v>
      </c>
      <c r="D165" s="16" t="s">
        <v>81</v>
      </c>
      <c r="E165" s="16"/>
      <c r="F165" s="16" t="s">
        <v>272</v>
      </c>
      <c r="G165" s="16" cm="1">
        <f t="array" ref="G165">_xlfn.IFS(Tabela1[[#This Row],[STATUS PROCESSO MOBILIZAÇÃO]]="Finalizado",1,Tabela1[[#This Row],[STATUS PROCESSO MOBILIZAÇÃO]]="Cancelado",2,Tabela1[[#This Row],[STATUS PROCESSO MOBILIZAÇÃO]]="Em andamento",3)</f>
        <v>1</v>
      </c>
      <c r="H165" s="16" cm="1">
        <f t="array" aca="1" ref="H16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FORMS]]="",$AM165&gt;$AK$1),2,
AND(Tabela1[[#This Row],[STATUS PROCESSO MOBILIZAÇÃO]]="Em andamento",Tabela1[[#This Row],[DATA REAL - FORMS]]="",$AM165&lt;=$AK$1),3,
AND(Tabela1[[#This Row],[STATUS PROCESSO MOBILIZAÇÃO]]="Em andamento",Tabela1[[#This Row],[DATA REAL - FORMS]]&lt;&gt;""),1)</f>
        <v>1</v>
      </c>
      <c r="I165" s="16" cm="1">
        <f t="array" aca="1" ref="I16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EXAMES]]="",$AP165&gt;$AN$1),2,
AND(Tabela1[[#This Row],[STATUS PROCESSO MOBILIZAÇÃO]]="Em andamento",Tabela1[[#This Row],[DATA REAL - EXAMES]]="",$AP165&lt;=$AN$1),3,
AND(Tabela1[[#This Row],[STATUS PROCESSO MOBILIZAÇÃO]]="Em andamento",Tabela1[[#This Row],[DATA REAL - EXAMES]]&lt;&gt;""),1)</f>
        <v>1</v>
      </c>
      <c r="J165" s="16" cm="1">
        <f t="array" aca="1" ref="J16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ASO]]="",$AS165&gt;$AQ$1),2,
AND(Tabela1[[#This Row],[STATUS PROCESSO MOBILIZAÇÃO]]="Em andamento",Tabela1[[#This Row],[DATA REAL - ASO]]="",$AS165&lt;=$AQ$1),3,
AND(Tabela1[[#This Row],[STATUS PROCESSO MOBILIZAÇÃO]]="Em andamento",Tabela1[[#This Row],[DATA REAL - ASO]]&lt;&gt;""),1)</f>
        <v>1</v>
      </c>
      <c r="K165" s="16" cm="1">
        <f t="array" aca="1" ref="K16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TREINAMENTOS]]="",$AV165&gt;$AT$1),2,
AND(Tabela1[[#This Row],[STATUS PROCESSO MOBILIZAÇÃO]]="Em andamento",Tabela1[[#This Row],[DATA REAL - TREINAMENTOS]]="",$AV165&lt;=$AT$1),3,
AND(Tabela1[[#This Row],[STATUS PROCESSO MOBILIZAÇÃO]]="Em andamento",Tabela1[[#This Row],[DATA REAL - TREINAMENTOS]]&lt;&gt;""),1)</f>
        <v>1</v>
      </c>
      <c r="L165" s="16" cm="1">
        <f t="array" aca="1" ref="L16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TREIN.]]="",$AY165&gt;$AW$1),2,
AND(Tabela1[[#This Row],[STATUS PROCESSO MOBILIZAÇÃO]]="Em andamento",Tabela1[[#This Row],[DATA REAL - CONCL. TREIN.]]="",$AY165&lt;=$AW$1),3,
AND(Tabela1[[#This Row],[STATUS PROCESSO MOBILIZAÇÃO]]="Em andamento",Tabela1[[#This Row],[DATA REAL - CONCL. TREIN.]]&lt;&gt;""),1)</f>
        <v>1</v>
      </c>
      <c r="M165" s="16" cm="1">
        <f t="array" aca="1" ref="M16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CONTRATUAL]]="",$BB165&gt;$AZ$1),2,
AND(Tabela1[[#This Row],[STATUS PROCESSO MOBILIZAÇÃO]]="Em andamento",Tabela1[[#This Row],[DATA FIM - ALTER. CONTRATUAL]]="",$BB165&lt;=$AZ$1),3,
AND(Tabela1[[#This Row],[STATUS PROCESSO MOBILIZAÇÃO]]="Em andamento",Tabela1[[#This Row],[DATA FIM - ALTER. CONTRATUAL]]&lt;&gt;""),1)</f>
        <v>1</v>
      </c>
      <c r="N165" s="16" cm="1">
        <f t="array" aca="1" ref="N16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DOSSIÊ]]="",$BE165&gt;$BC$1),2,
AND(Tabela1[[#This Row],[STATUS PROCESSO MOBILIZAÇÃO]]="Em andamento",Tabela1[[#This Row],[DATA REAL - DOSSIÊ]]="",$BE165&lt;=$BC$1),3,
AND(Tabela1[[#This Row],[STATUS PROCESSO MOBILIZAÇÃO]]="Em andamento",Tabela1[[#This Row],[DATA REAL - DOSSIÊ]]&lt;&gt;""),1)</f>
        <v>1</v>
      </c>
      <c r="O165" s="16" cm="1">
        <f t="array" aca="1" ref="O16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POSTAGEM]]="",$BH165&gt;$BF$1),2,
AND(Tabela1[[#This Row],[STATUS PROCESSO MOBILIZAÇÃO]]="Em andamento",Tabela1[[#This Row],[DATA REAL - POSTAGEM]]="",$BH165&lt;=$BF$1),3,
AND(Tabela1[[#This Row],[STATUS PROCESSO MOBILIZAÇÃO]]="Em andamento",Tabela1[[#This Row],[DATA REAL - POSTAGEM]]&lt;&gt;""),1)</f>
        <v>1</v>
      </c>
      <c r="P165" s="16" cm="1">
        <f t="array" aca="1" ref="P16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FINAL]]="",$BK165&gt;$BI$1),2,
AND(Tabela1[[#This Row],[STATUS PROCESSO MOBILIZAÇÃO]]="Em andamento",Tabela1[[#This Row],[DATA REAL - APROV FINAL]]="",$BK165&lt;=$BI$1),3,
AND(Tabela1[[#This Row],[STATUS PROCESSO MOBILIZAÇÃO]]="Em andamento",Tabela1[[#This Row],[DATA REAL - APROV FINAL]]&lt;&gt;""),1)</f>
        <v>1</v>
      </c>
      <c r="Q165" s="16" cm="1">
        <f t="array" aca="1" ref="Q16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CRACHÁ]]="",$BN165&gt;$BL$1),2,
AND(Tabela1[[#This Row],[STATUS PROCESSO MOBILIZAÇÃO]]="Em andamento",Tabela1[[#This Row],[DATA REAL - CRACHÁ]]="",$BN165&lt;=$BL$1),3,
AND(Tabela1[[#This Row],[STATUS PROCESSO MOBILIZAÇÃO]]="Em andamento",Tabela1[[#This Row],[DATA REAL - CRACHÁ]]&lt;&gt;""),1)</f>
        <v>1</v>
      </c>
      <c r="R165" s="21">
        <f>IF(Tabela1[[#This Row],[DATA REAL - FORMS]]&lt;&gt;"",Tabela1[[#This Row],[DATA REAL - FORMS]]+30,Tabela1[[#This Row],[DATA PREV - FORMS]]+35)</f>
        <v>46005</v>
      </c>
      <c r="S16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45992</v>
      </c>
      <c r="T16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101</v>
      </c>
      <c r="U16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97</v>
      </c>
      <c r="V165" s="49">
        <f>MAX(Tabela1[[#This Row],[DATA REAL - POSTAGEM]],Tabela1[[#This Row],[DATA REAL - APROV FINAL]],Tabela1[[#This Row],[DATA REAL - CRACHÁ]])-MIN(Tabela1[[#This Row],[DATA REAL - POSTAGEM]],Tabela1[[#This Row],[DATA REAL - APROV FINAL]],Tabela1[[#This Row],[DATA REAL - CRACHÁ]])+1</f>
        <v>5</v>
      </c>
      <c r="W165"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5" s="15" t="s">
        <v>539</v>
      </c>
      <c r="Y165" s="16" t="s">
        <v>130</v>
      </c>
      <c r="Z165" s="18" t="s">
        <v>540</v>
      </c>
      <c r="AA165" s="18" t="s">
        <v>131</v>
      </c>
      <c r="AB165" s="16" t="s">
        <v>97</v>
      </c>
      <c r="AC165" s="16" t="s">
        <v>132</v>
      </c>
      <c r="AD165" s="16" t="s">
        <v>132</v>
      </c>
      <c r="AE165" s="16" t="s">
        <v>573</v>
      </c>
      <c r="AF165" s="16" t="s">
        <v>484</v>
      </c>
      <c r="AG165" s="16" t="str">
        <f>_xlfn.XLOOKUP(Tabela1[[#This Row],[CÓD. CT]],Controle_Projetos[COD CT],Controle_Projetos[COD PHD],"")</f>
        <v>GERD-CT19-PROD</v>
      </c>
      <c r="AH165" s="21">
        <v>45975</v>
      </c>
      <c r="AI165" s="76">
        <v>45891</v>
      </c>
      <c r="AJ165" s="16" t="str" cm="1">
        <f t="array" aca="1" ref="AJ16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5" s="21">
        <v>45975</v>
      </c>
      <c r="AL165" s="74">
        <v>45975</v>
      </c>
      <c r="AM165" s="16" cm="1">
        <f t="array" aca="1" ref="AM16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5" s="21">
        <f>Tabela1[[#This Row],[DATA PREV - FORMS]]+$AN$1</f>
        <v>45982</v>
      </c>
      <c r="AO165" s="74">
        <v>45980</v>
      </c>
      <c r="AP165" s="16" cm="1">
        <f t="array" aca="1" ref="AP16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65" s="21">
        <f>Tabela1[[#This Row],[DATA PREV - EXAMES]]+$AQ$1</f>
        <v>45984</v>
      </c>
      <c r="AR165" s="74">
        <v>45982</v>
      </c>
      <c r="AS165" s="16" cm="1">
        <f t="array" aca="1" ref="AS16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65" s="21">
        <f>Tabela1[[#This Row],[DATA PREV - FORMS]]+$AT$1</f>
        <v>45976</v>
      </c>
      <c r="AU165" s="74">
        <v>45975</v>
      </c>
      <c r="AV165" s="16" cm="1">
        <f t="array" aca="1" ref="AV16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5" s="21">
        <f>Tabela1[[#This Row],[DATA PREV - TREINAMENTOS]]+$AW$1</f>
        <v>45983</v>
      </c>
      <c r="AX165" s="74">
        <v>45975</v>
      </c>
      <c r="AY165" s="16" cm="1">
        <f t="array" aca="1" ref="AY16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5" s="24">
        <v>45958</v>
      </c>
      <c r="BA165" s="74">
        <v>45975</v>
      </c>
      <c r="BB165" s="16" cm="1">
        <f t="array" aca="1" ref="BB16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18</v>
      </c>
      <c r="BC165" s="21">
        <f>Tabela1[[#This Row],[DATA PREV - CONCL. TREIN.]]+$BC$1</f>
        <v>45985</v>
      </c>
      <c r="BD165" s="74">
        <v>45988</v>
      </c>
      <c r="BE165" s="16" cm="1">
        <f t="array" aca="1" ref="BE16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65" s="21">
        <f>Tabela1[[#This Row],[DATA PREV - DOSSIÊ]]+$BF$1</f>
        <v>45988</v>
      </c>
      <c r="BG165" s="74">
        <v>45988</v>
      </c>
      <c r="BH165" s="16" cm="1">
        <f t="array" aca="1" ref="BH16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65" s="21">
        <f>Tabela1[[#This Row],[DATA PREV - POSTAGEM]]+$BI$1</f>
        <v>45994</v>
      </c>
      <c r="BJ165" s="74">
        <v>45992</v>
      </c>
      <c r="BK165" s="16" cm="1">
        <f t="array" aca="1" ref="BK16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65" s="21">
        <f>Tabela1[[#This Row],[DATA PREV - APROV FINAL]]+$BL$1</f>
        <v>45995</v>
      </c>
      <c r="BM165" s="74">
        <v>45992</v>
      </c>
      <c r="BN165" s="16" cm="1">
        <f t="array" aca="1" ref="BN16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65" s="99" t="s">
        <v>574</v>
      </c>
    </row>
    <row r="166" spans="2:67" ht="18" hidden="1" customHeight="1" x14ac:dyDescent="0.35">
      <c r="B166" s="14" t="s">
        <v>79</v>
      </c>
      <c r="C166" s="16" t="s">
        <v>136</v>
      </c>
      <c r="D166" s="16" t="s">
        <v>81</v>
      </c>
      <c r="E166" s="16"/>
      <c r="F166" s="16" t="s">
        <v>489</v>
      </c>
      <c r="G166" s="16" cm="1">
        <f t="array" ref="G166">_xlfn.IFS(Tabela1[[#This Row],[STATUS PROCESSO MOBILIZAÇÃO]]="Finalizado",1,Tabela1[[#This Row],[STATUS PROCESSO MOBILIZAÇÃO]]="Cancelado",2,Tabela1[[#This Row],[STATUS PROCESSO MOBILIZAÇÃO]]="Em andamento",3)</f>
        <v>1</v>
      </c>
      <c r="H166" s="16" cm="1">
        <f t="array" aca="1" ref="H16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FORMS]]="",$AM166&gt;$AK$1),2,
AND(Tabela1[[#This Row],[STATUS PROCESSO MOBILIZAÇÃO]]="Em andamento",Tabela1[[#This Row],[DATA REAL - FORMS]]="",$AM166&lt;=$AK$1),3,
AND(Tabela1[[#This Row],[STATUS PROCESSO MOBILIZAÇÃO]]="Em andamento",Tabela1[[#This Row],[DATA REAL - FORMS]]&lt;&gt;""),1)</f>
        <v>1</v>
      </c>
      <c r="I166" s="16" cm="1">
        <f t="array" aca="1" ref="I16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EXAMES]]="",$AP166&gt;$AN$1),2,
AND(Tabela1[[#This Row],[STATUS PROCESSO MOBILIZAÇÃO]]="Em andamento",Tabela1[[#This Row],[DATA REAL - EXAMES]]="",$AP166&lt;=$AN$1),3,
AND(Tabela1[[#This Row],[STATUS PROCESSO MOBILIZAÇÃO]]="Em andamento",Tabela1[[#This Row],[DATA REAL - EXAMES]]&lt;&gt;""),1)</f>
        <v>1</v>
      </c>
      <c r="J166" s="16" cm="1">
        <f t="array" aca="1" ref="J16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ASO]]="",$AS166&gt;$AQ$1),2,
AND(Tabela1[[#This Row],[STATUS PROCESSO MOBILIZAÇÃO]]="Em andamento",Tabela1[[#This Row],[DATA REAL - ASO]]="",$AS166&lt;=$AQ$1),3,
AND(Tabela1[[#This Row],[STATUS PROCESSO MOBILIZAÇÃO]]="Em andamento",Tabela1[[#This Row],[DATA REAL - ASO]]&lt;&gt;""),1)</f>
        <v>1</v>
      </c>
      <c r="K166" s="16" cm="1">
        <f t="array" aca="1" ref="K16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TREINAMENTOS]]="",$AV166&gt;$AT$1),2,
AND(Tabela1[[#This Row],[STATUS PROCESSO MOBILIZAÇÃO]]="Em andamento",Tabela1[[#This Row],[DATA REAL - TREINAMENTOS]]="",$AV166&lt;=$AT$1),3,
AND(Tabela1[[#This Row],[STATUS PROCESSO MOBILIZAÇÃO]]="Em andamento",Tabela1[[#This Row],[DATA REAL - TREINAMENTOS]]&lt;&gt;""),1)</f>
        <v>1</v>
      </c>
      <c r="L166" s="16" cm="1">
        <f t="array" aca="1" ref="L16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TREIN.]]="",$AY166&gt;$AW$1),2,
AND(Tabela1[[#This Row],[STATUS PROCESSO MOBILIZAÇÃO]]="Em andamento",Tabela1[[#This Row],[DATA REAL - CONCL. TREIN.]]="",$AY166&lt;=$AW$1),3,
AND(Tabela1[[#This Row],[STATUS PROCESSO MOBILIZAÇÃO]]="Em andamento",Tabela1[[#This Row],[DATA REAL - CONCL. TREIN.]]&lt;&gt;""),1)</f>
        <v>1</v>
      </c>
      <c r="M166" s="16" cm="1">
        <f t="array" aca="1" ref="M16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CONTRATUAL]]="",$BB166&gt;$AZ$1),2,
AND(Tabela1[[#This Row],[STATUS PROCESSO MOBILIZAÇÃO]]="Em andamento",Tabela1[[#This Row],[DATA FIM - ALTER. CONTRATUAL]]="",$BB166&lt;=$AZ$1),3,
AND(Tabela1[[#This Row],[STATUS PROCESSO MOBILIZAÇÃO]]="Em andamento",Tabela1[[#This Row],[DATA FIM - ALTER. CONTRATUAL]]&lt;&gt;""),1)</f>
        <v>1</v>
      </c>
      <c r="N166" s="16" cm="1">
        <f t="array" aca="1" ref="N16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DOSSIÊ]]="",$BE166&gt;$BC$1),2,
AND(Tabela1[[#This Row],[STATUS PROCESSO MOBILIZAÇÃO]]="Em andamento",Tabela1[[#This Row],[DATA REAL - DOSSIÊ]]="",$BE166&lt;=$BC$1),3,
AND(Tabela1[[#This Row],[STATUS PROCESSO MOBILIZAÇÃO]]="Em andamento",Tabela1[[#This Row],[DATA REAL - DOSSIÊ]]&lt;&gt;""),1)</f>
        <v>1</v>
      </c>
      <c r="O166" s="16" cm="1">
        <f t="array" aca="1" ref="O16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POSTAGEM]]="",$BH166&gt;$BF$1),2,
AND(Tabela1[[#This Row],[STATUS PROCESSO MOBILIZAÇÃO]]="Em andamento",Tabela1[[#This Row],[DATA REAL - POSTAGEM]]="",$BH166&lt;=$BF$1),3,
AND(Tabela1[[#This Row],[STATUS PROCESSO MOBILIZAÇÃO]]="Em andamento",Tabela1[[#This Row],[DATA REAL - POSTAGEM]]&lt;&gt;""),1)</f>
        <v>1</v>
      </c>
      <c r="P166" s="16" cm="1">
        <f t="array" aca="1" ref="P16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FINAL]]="",$BK166&gt;$BI$1),2,
AND(Tabela1[[#This Row],[STATUS PROCESSO MOBILIZAÇÃO]]="Em andamento",Tabela1[[#This Row],[DATA REAL - APROV FINAL]]="",$BK166&lt;=$BI$1),3,
AND(Tabela1[[#This Row],[STATUS PROCESSO MOBILIZAÇÃO]]="Em andamento",Tabela1[[#This Row],[DATA REAL - APROV FINAL]]&lt;&gt;""),1)</f>
        <v>1</v>
      </c>
      <c r="Q166" s="16" cm="1">
        <f t="array" aca="1" ref="Q16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CRACHÁ]]="",$BN166&gt;$BL$1),2,
AND(Tabela1[[#This Row],[STATUS PROCESSO MOBILIZAÇÃO]]="Em andamento",Tabela1[[#This Row],[DATA REAL - CRACHÁ]]="",$BN166&lt;=$BL$1),3,
AND(Tabela1[[#This Row],[STATUS PROCESSO MOBILIZAÇÃO]]="Em andamento",Tabela1[[#This Row],[DATA REAL - CRACHÁ]]&lt;&gt;""),1)</f>
        <v>1</v>
      </c>
      <c r="R166" s="21">
        <f>IF(Tabela1[[#This Row],[DATA REAL - FORMS]]&lt;&gt;"",Tabela1[[#This Row],[DATA REAL - FORMS]]+30,Tabela1[[#This Row],[DATA PREV - FORMS]]+35)</f>
        <v>46005</v>
      </c>
      <c r="S16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45992</v>
      </c>
      <c r="T16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101</v>
      </c>
      <c r="U16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97</v>
      </c>
      <c r="V166" s="49">
        <f>MAX(Tabela1[[#This Row],[DATA REAL - POSTAGEM]],Tabela1[[#This Row],[DATA REAL - APROV FINAL]],Tabela1[[#This Row],[DATA REAL - CRACHÁ]])-MIN(Tabela1[[#This Row],[DATA REAL - POSTAGEM]],Tabela1[[#This Row],[DATA REAL - APROV FINAL]],Tabela1[[#This Row],[DATA REAL - CRACHÁ]])+1</f>
        <v>5</v>
      </c>
      <c r="W166"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6" s="15" t="s">
        <v>539</v>
      </c>
      <c r="Y166" s="16" t="s">
        <v>130</v>
      </c>
      <c r="Z166" s="18" t="s">
        <v>540</v>
      </c>
      <c r="AA166" s="18" t="s">
        <v>131</v>
      </c>
      <c r="AB166" s="16" t="s">
        <v>87</v>
      </c>
      <c r="AC166" s="16" t="s">
        <v>132</v>
      </c>
      <c r="AD166" s="16" t="s">
        <v>132</v>
      </c>
      <c r="AE166" s="16" t="s">
        <v>573</v>
      </c>
      <c r="AF166" s="16" t="s">
        <v>484</v>
      </c>
      <c r="AG166" s="16" t="str">
        <f>_xlfn.XLOOKUP(Tabela1[[#This Row],[CÓD. CT]],Controle_Projetos[COD CT],Controle_Projetos[COD PHD],"")</f>
        <v>GERD-CT19-PROD</v>
      </c>
      <c r="AH166" s="21">
        <v>45975</v>
      </c>
      <c r="AI166" s="76">
        <v>45891</v>
      </c>
      <c r="AJ166" s="16" t="str" cm="1">
        <f t="array" aca="1" ref="AJ16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6" s="21">
        <v>45975</v>
      </c>
      <c r="AL166" s="74">
        <v>45975</v>
      </c>
      <c r="AM166" s="16" cm="1">
        <f t="array" aca="1" ref="AM16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6" s="21">
        <f>Tabela1[[#This Row],[DATA PREV - FORMS]]+$AN$1</f>
        <v>45982</v>
      </c>
      <c r="AO166" s="74">
        <v>45980</v>
      </c>
      <c r="AP166" s="16" cm="1">
        <f t="array" aca="1" ref="AP16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66" s="21">
        <f>Tabela1[[#This Row],[DATA PREV - EXAMES]]+$AQ$1</f>
        <v>45984</v>
      </c>
      <c r="AR166" s="74">
        <v>45986</v>
      </c>
      <c r="AS166" s="16" cm="1">
        <f t="array" aca="1" ref="AS16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66" s="21">
        <f>Tabela1[[#This Row],[DATA PREV - FORMS]]+$AT$1</f>
        <v>45976</v>
      </c>
      <c r="AU166" s="74">
        <v>45975</v>
      </c>
      <c r="AV166" s="16" cm="1">
        <f t="array" aca="1" ref="AV16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6" s="21">
        <f>Tabela1[[#This Row],[DATA PREV - TREINAMENTOS]]+$AW$1</f>
        <v>45983</v>
      </c>
      <c r="AX166" s="74">
        <v>45975</v>
      </c>
      <c r="AY166" s="16" cm="1">
        <f t="array" aca="1" ref="AY16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6" s="24">
        <v>45959</v>
      </c>
      <c r="BA166" s="74">
        <v>45975</v>
      </c>
      <c r="BB166" s="16" cm="1">
        <f t="array" aca="1" ref="BB16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17</v>
      </c>
      <c r="BC166" s="21">
        <f>Tabela1[[#This Row],[DATA PREV - CONCL. TREIN.]]+$BC$1</f>
        <v>45985</v>
      </c>
      <c r="BD166" s="74">
        <v>45988</v>
      </c>
      <c r="BE166" s="16" cm="1">
        <f t="array" aca="1" ref="BE16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166" s="21">
        <f>Tabela1[[#This Row],[DATA PREV - DOSSIÊ]]+$BF$1</f>
        <v>45988</v>
      </c>
      <c r="BG166" s="74">
        <v>45988</v>
      </c>
      <c r="BH166" s="16" cm="1">
        <f t="array" aca="1" ref="BH16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66" s="21">
        <f>Tabela1[[#This Row],[DATA PREV - POSTAGEM]]+$BI$1</f>
        <v>45994</v>
      </c>
      <c r="BJ166" s="74">
        <v>45992</v>
      </c>
      <c r="BK166" s="16" cm="1">
        <f t="array" aca="1" ref="BK16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66" s="21">
        <f>Tabela1[[#This Row],[DATA PREV - APROV FINAL]]+$BL$1</f>
        <v>45995</v>
      </c>
      <c r="BM166" s="74">
        <v>45992</v>
      </c>
      <c r="BN166" s="16" cm="1">
        <f t="array" aca="1" ref="BN16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66" s="99" t="s">
        <v>575</v>
      </c>
    </row>
    <row r="167" spans="2:67" ht="18" hidden="1" customHeight="1" x14ac:dyDescent="0.35">
      <c r="B167" s="14" t="s">
        <v>79</v>
      </c>
      <c r="C167" s="16" t="s">
        <v>136</v>
      </c>
      <c r="D167" s="16" t="s">
        <v>81</v>
      </c>
      <c r="E167" s="16"/>
      <c r="F167" s="16" t="s">
        <v>543</v>
      </c>
      <c r="G167" s="16" cm="1">
        <f t="array" ref="G167">_xlfn.IFS(Tabela1[[#This Row],[STATUS PROCESSO MOBILIZAÇÃO]]="Finalizado",1,Tabela1[[#This Row],[STATUS PROCESSO MOBILIZAÇÃO]]="Cancelado",2,Tabela1[[#This Row],[STATUS PROCESSO MOBILIZAÇÃO]]="Em andamento",3)</f>
        <v>1</v>
      </c>
      <c r="H167" s="16" cm="1">
        <f t="array" aca="1" ref="H16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FORMS]]="",$AM167&gt;$AK$1),2,
AND(Tabela1[[#This Row],[STATUS PROCESSO MOBILIZAÇÃO]]="Em andamento",Tabela1[[#This Row],[DATA REAL - FORMS]]="",$AM167&lt;=$AK$1),3,
AND(Tabela1[[#This Row],[STATUS PROCESSO MOBILIZAÇÃO]]="Em andamento",Tabela1[[#This Row],[DATA REAL - FORMS]]&lt;&gt;""),1)</f>
        <v>1</v>
      </c>
      <c r="I167" s="16" cm="1">
        <f t="array" aca="1" ref="I16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EXAMES]]="",$AP167&gt;$AN$1),2,
AND(Tabela1[[#This Row],[STATUS PROCESSO MOBILIZAÇÃO]]="Em andamento",Tabela1[[#This Row],[DATA REAL - EXAMES]]="",$AP167&lt;=$AN$1),3,
AND(Tabela1[[#This Row],[STATUS PROCESSO MOBILIZAÇÃO]]="Em andamento",Tabela1[[#This Row],[DATA REAL - EXAMES]]&lt;&gt;""),1)</f>
        <v>1</v>
      </c>
      <c r="J167" s="16" cm="1">
        <f t="array" aca="1" ref="J16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ASO]]="",$AS167&gt;$AQ$1),2,
AND(Tabela1[[#This Row],[STATUS PROCESSO MOBILIZAÇÃO]]="Em andamento",Tabela1[[#This Row],[DATA REAL - ASO]]="",$AS167&lt;=$AQ$1),3,
AND(Tabela1[[#This Row],[STATUS PROCESSO MOBILIZAÇÃO]]="Em andamento",Tabela1[[#This Row],[DATA REAL - ASO]]&lt;&gt;""),1)</f>
        <v>1</v>
      </c>
      <c r="K167" s="16" cm="1">
        <f t="array" aca="1" ref="K16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TREINAMENTOS]]="",$AV167&gt;$AT$1),2,
AND(Tabela1[[#This Row],[STATUS PROCESSO MOBILIZAÇÃO]]="Em andamento",Tabela1[[#This Row],[DATA REAL - TREINAMENTOS]]="",$AV167&lt;=$AT$1),3,
AND(Tabela1[[#This Row],[STATUS PROCESSO MOBILIZAÇÃO]]="Em andamento",Tabela1[[#This Row],[DATA REAL - TREINAMENTOS]]&lt;&gt;""),1)</f>
        <v>1</v>
      </c>
      <c r="L167" s="16" cm="1">
        <f t="array" aca="1" ref="L16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TREIN.]]="",$AY167&gt;$AW$1),2,
AND(Tabela1[[#This Row],[STATUS PROCESSO MOBILIZAÇÃO]]="Em andamento",Tabela1[[#This Row],[DATA REAL - CONCL. TREIN.]]="",$AY167&lt;=$AW$1),3,
AND(Tabela1[[#This Row],[STATUS PROCESSO MOBILIZAÇÃO]]="Em andamento",Tabela1[[#This Row],[DATA REAL - CONCL. TREIN.]]&lt;&gt;""),1)</f>
        <v>1</v>
      </c>
      <c r="M167" s="16" cm="1">
        <f t="array" aca="1" ref="M16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CONTRATUAL]]="",$BB167&gt;$AZ$1),2,
AND(Tabela1[[#This Row],[STATUS PROCESSO MOBILIZAÇÃO]]="Em andamento",Tabela1[[#This Row],[DATA FIM - ALTER. CONTRATUAL]]="",$BB167&lt;=$AZ$1),3,
AND(Tabela1[[#This Row],[STATUS PROCESSO MOBILIZAÇÃO]]="Em andamento",Tabela1[[#This Row],[DATA FIM - ALTER. CONTRATUAL]]&lt;&gt;""),1)</f>
        <v>1</v>
      </c>
      <c r="N167" s="16" cm="1">
        <f t="array" aca="1" ref="N16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DOSSIÊ]]="",$BE167&gt;$BC$1),2,
AND(Tabela1[[#This Row],[STATUS PROCESSO MOBILIZAÇÃO]]="Em andamento",Tabela1[[#This Row],[DATA REAL - DOSSIÊ]]="",$BE167&lt;=$BC$1),3,
AND(Tabela1[[#This Row],[STATUS PROCESSO MOBILIZAÇÃO]]="Em andamento",Tabela1[[#This Row],[DATA REAL - DOSSIÊ]]&lt;&gt;""),1)</f>
        <v>1</v>
      </c>
      <c r="O167" s="16" cm="1">
        <f t="array" aca="1" ref="O16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POSTAGEM]]="",$BH167&gt;$BF$1),2,
AND(Tabela1[[#This Row],[STATUS PROCESSO MOBILIZAÇÃO]]="Em andamento",Tabela1[[#This Row],[DATA REAL - POSTAGEM]]="",$BH167&lt;=$BF$1),3,
AND(Tabela1[[#This Row],[STATUS PROCESSO MOBILIZAÇÃO]]="Em andamento",Tabela1[[#This Row],[DATA REAL - POSTAGEM]]&lt;&gt;""),1)</f>
        <v>1</v>
      </c>
      <c r="P167" s="16" cm="1">
        <f t="array" aca="1" ref="P16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FINAL]]="",$BK167&gt;$BI$1),2,
AND(Tabela1[[#This Row],[STATUS PROCESSO MOBILIZAÇÃO]]="Em andamento",Tabela1[[#This Row],[DATA REAL - APROV FINAL]]="",$BK167&lt;=$BI$1),3,
AND(Tabela1[[#This Row],[STATUS PROCESSO MOBILIZAÇÃO]]="Em andamento",Tabela1[[#This Row],[DATA REAL - APROV FINAL]]&lt;&gt;""),1)</f>
        <v>1</v>
      </c>
      <c r="Q167" s="16" cm="1">
        <f t="array" aca="1" ref="Q16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CRACHÁ]]="",$BN167&gt;$BL$1),2,
AND(Tabela1[[#This Row],[STATUS PROCESSO MOBILIZAÇÃO]]="Em andamento",Tabela1[[#This Row],[DATA REAL - CRACHÁ]]="",$BN167&lt;=$BL$1),3,
AND(Tabela1[[#This Row],[STATUS PROCESSO MOBILIZAÇÃO]]="Em andamento",Tabela1[[#This Row],[DATA REAL - CRACHÁ]]&lt;&gt;""),1)</f>
        <v>1</v>
      </c>
      <c r="R167" s="21">
        <f>IF(Tabela1[[#This Row],[DATA REAL - FORMS]]&lt;&gt;"",Tabela1[[#This Row],[DATA REAL - FORMS]]+30,Tabela1[[#This Row],[DATA PREV - FORMS]]+35)</f>
        <v>46005</v>
      </c>
      <c r="S16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45993</v>
      </c>
      <c r="T16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102</v>
      </c>
      <c r="U16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96</v>
      </c>
      <c r="V167" s="49">
        <f>MAX(Tabela1[[#This Row],[DATA REAL - POSTAGEM]],Tabela1[[#This Row],[DATA REAL - APROV FINAL]],Tabela1[[#This Row],[DATA REAL - CRACHÁ]])-MIN(Tabela1[[#This Row],[DATA REAL - POSTAGEM]],Tabela1[[#This Row],[DATA REAL - APROV FINAL]],Tabela1[[#This Row],[DATA REAL - CRACHÁ]])+1</f>
        <v>7</v>
      </c>
      <c r="W167" s="49" t="str">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X167" s="15" t="s">
        <v>539</v>
      </c>
      <c r="Y167" s="16" t="s">
        <v>130</v>
      </c>
      <c r="Z167" s="18" t="s">
        <v>540</v>
      </c>
      <c r="AA167" s="18" t="s">
        <v>131</v>
      </c>
      <c r="AB167" s="16" t="s">
        <v>97</v>
      </c>
      <c r="AC167" s="16" t="s">
        <v>132</v>
      </c>
      <c r="AD167" s="16" t="s">
        <v>132</v>
      </c>
      <c r="AE167" s="16" t="s">
        <v>576</v>
      </c>
      <c r="AF167" s="16" t="s">
        <v>484</v>
      </c>
      <c r="AG167" s="16" t="str">
        <f>_xlfn.XLOOKUP(Tabela1[[#This Row],[CÓD. CT]],Controle_Projetos[COD CT],Controle_Projetos[COD PHD],"")</f>
        <v>GERD-CT19-PROD</v>
      </c>
      <c r="AH167" s="21">
        <v>45975</v>
      </c>
      <c r="AI167" s="76">
        <v>45891</v>
      </c>
      <c r="AJ167" s="16" t="str" cm="1">
        <f t="array" aca="1" ref="AJ16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167" s="21">
        <v>45975</v>
      </c>
      <c r="AL167" s="74">
        <v>45975</v>
      </c>
      <c r="AM167" s="16" cm="1">
        <f t="array" aca="1" ref="AM16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7" s="21">
        <f>Tabela1[[#This Row],[DATA PREV - FORMS]]+$AN$1</f>
        <v>45982</v>
      </c>
      <c r="AO167" s="74">
        <v>45978</v>
      </c>
      <c r="AP167" s="16" cm="1">
        <f t="array" aca="1" ref="AP16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167" s="21">
        <f>Tabela1[[#This Row],[DATA PREV - EXAMES]]+$AQ$1</f>
        <v>45984</v>
      </c>
      <c r="AR167" s="74">
        <v>45979</v>
      </c>
      <c r="AS167" s="16" cm="1">
        <f t="array" aca="1" ref="AS16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67" s="21">
        <f>Tabela1[[#This Row],[DATA PREV - FORMS]]+$AT$1</f>
        <v>45976</v>
      </c>
      <c r="AU167" s="74">
        <v>45975</v>
      </c>
      <c r="AV167" s="16" cm="1">
        <f t="array" aca="1" ref="AV16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7" s="21">
        <f>Tabela1[[#This Row],[DATA PREV - TREINAMENTOS]]+$AW$1</f>
        <v>45983</v>
      </c>
      <c r="AX167" s="74">
        <v>45975</v>
      </c>
      <c r="AY167" s="16" cm="1">
        <f t="array" aca="1" ref="AY16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7" s="24">
        <v>45960</v>
      </c>
      <c r="BA167" s="74">
        <v>45975</v>
      </c>
      <c r="BB167" s="16" cm="1">
        <f t="array" aca="1" ref="BB16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16</v>
      </c>
      <c r="BC167" s="21">
        <f>Tabela1[[#This Row],[DATA PREV - CONCL. TREIN.]]+$BC$1</f>
        <v>45985</v>
      </c>
      <c r="BD167" s="126">
        <v>45987</v>
      </c>
      <c r="BE167" s="16" cm="1">
        <f t="array" aca="1" ref="BE16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67" s="21">
        <f>Tabela1[[#This Row],[DATA PREV - DOSSIÊ]]+$BF$1</f>
        <v>45988</v>
      </c>
      <c r="BG167" s="126">
        <v>45987</v>
      </c>
      <c r="BH167" s="16" cm="1">
        <f t="array" aca="1" ref="BH16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67" s="21">
        <f>Tabela1[[#This Row],[DATA PREV - POSTAGEM]]+$BI$1</f>
        <v>45994</v>
      </c>
      <c r="BJ167" s="126">
        <v>45993</v>
      </c>
      <c r="BK167" s="16" cm="1">
        <f t="array" aca="1" ref="BK16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0</v>
      </c>
      <c r="BL167" s="21">
        <f>Tabela1[[#This Row],[DATA PREV - APROV FINAL]]+$BL$1</f>
        <v>45995</v>
      </c>
      <c r="BM167" s="126">
        <v>45993</v>
      </c>
      <c r="BN167" s="16" cm="1">
        <f t="array" aca="1" ref="BN16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167" s="99" t="s">
        <v>577</v>
      </c>
    </row>
    <row r="168" spans="2:67" ht="18" hidden="1" customHeight="1" x14ac:dyDescent="0.35">
      <c r="B168" s="14" t="s">
        <v>79</v>
      </c>
      <c r="C168" s="16" t="s">
        <v>136</v>
      </c>
      <c r="D168" s="16" t="s">
        <v>81</v>
      </c>
      <c r="E168" s="16"/>
      <c r="F168" s="16" t="s">
        <v>491</v>
      </c>
      <c r="G168" s="16" cm="1">
        <f t="array" ref="G168">_xlfn.IFS(Tabela1[[#This Row],[STATUS PROCESSO MOBILIZAÇÃO]]="Finalizado",1,Tabela1[[#This Row],[STATUS PROCESSO MOBILIZAÇÃO]]="Cancelado",2,Tabela1[[#This Row],[STATUS PROCESSO MOBILIZAÇÃO]]="Em andamento",3)</f>
        <v>1</v>
      </c>
      <c r="H168" s="16" cm="1">
        <f t="array" aca="1" ref="H16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FORMS]]="",$AM168&gt;$AK$1),2,
AND(Tabela1[[#This Row],[STATUS PROCESSO MOBILIZAÇÃO]]="Em andamento",Tabela1[[#This Row],[DATA REAL - FORMS]]="",$AM168&lt;=$AK$1),3,
AND(Tabela1[[#This Row],[STATUS PROCESSO MOBILIZAÇÃO]]="Em andamento",Tabela1[[#This Row],[DATA REAL - FORMS]]&lt;&gt;""),1)</f>
        <v>1</v>
      </c>
      <c r="I168" s="16" cm="1">
        <f t="array" aca="1" ref="I16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EXAMES]]="",$AP168&gt;$AN$1),2,
AND(Tabela1[[#This Row],[STATUS PROCESSO MOBILIZAÇÃO]]="Em andamento",Tabela1[[#This Row],[DATA REAL - EXAMES]]="",$AP168&lt;=$AN$1),3,
AND(Tabela1[[#This Row],[STATUS PROCESSO MOBILIZAÇÃO]]="Em andamento",Tabela1[[#This Row],[DATA REAL - EXAMES]]&lt;&gt;""),1)</f>
        <v>1</v>
      </c>
      <c r="J168" s="16" cm="1">
        <f t="array" aca="1" ref="J16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ASO]]="",$AS168&gt;$AQ$1),2,
AND(Tabela1[[#This Row],[STATUS PROCESSO MOBILIZAÇÃO]]="Em andamento",Tabela1[[#This Row],[DATA REAL - ASO]]="",$AS168&lt;=$AQ$1),3,
AND(Tabela1[[#This Row],[STATUS PROCESSO MOBILIZAÇÃO]]="Em andamento",Tabela1[[#This Row],[DATA REAL - ASO]]&lt;&gt;""),1)</f>
        <v>1</v>
      </c>
      <c r="K168" s="16" cm="1">
        <f t="array" aca="1" ref="K16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TREINAMENTOS]]="",$AV168&gt;$AT$1),2,
AND(Tabela1[[#This Row],[STATUS PROCESSO MOBILIZAÇÃO]]="Em andamento",Tabela1[[#This Row],[DATA REAL - TREINAMENTOS]]="",$AV168&lt;=$AT$1),3,
AND(Tabela1[[#This Row],[STATUS PROCESSO MOBILIZAÇÃO]]="Em andamento",Tabela1[[#This Row],[DATA REAL - TREINAMENTOS]]&lt;&gt;""),1)</f>
        <v>1</v>
      </c>
      <c r="L168" s="16" cm="1">
        <f t="array" aca="1" ref="L16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TREIN.]]="",$AY168&gt;$AW$1),2,
AND(Tabela1[[#This Row],[STATUS PROCESSO MOBILIZAÇÃO]]="Em andamento",Tabela1[[#This Row],[DATA REAL - CONCL. TREIN.]]="",$AY168&lt;=$AW$1),3,
AND(Tabela1[[#This Row],[STATUS PROCESSO MOBILIZAÇÃO]]="Em andamento",Tabela1[[#This Row],[DATA REAL - CONCL. TREIN.]]&lt;&gt;""),1)</f>
        <v>1</v>
      </c>
      <c r="M168" s="16" cm="1">
        <f t="array" aca="1" ref="M16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CONTRATUAL]]="",$BB168&gt;$AZ$1),2,
AND(Tabela1[[#This Row],[STATUS PROCESSO MOBILIZAÇÃO]]="Em andamento",Tabela1[[#This Row],[DATA FIM - ALTER. CONTRATUAL]]="",$BB168&lt;=$AZ$1),3,
AND(Tabela1[[#This Row],[STATUS PROCESSO MOBILIZAÇÃO]]="Em andamento",Tabela1[[#This Row],[DATA FIM - ALTER. CONTRATUAL]]&lt;&gt;""),1)</f>
        <v>1</v>
      </c>
      <c r="N168" s="16" cm="1">
        <f t="array" aca="1" ref="N16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DOSSIÊ]]="",$BE168&gt;$BC$1),2,
AND(Tabela1[[#This Row],[STATUS PROCESSO MOBILIZAÇÃO]]="Em andamento",Tabela1[[#This Row],[DATA REAL - DOSSIÊ]]="",$BE168&lt;=$BC$1),3,
AND(Tabela1[[#This Row],[STATUS PROCESSO MOBILIZAÇÃO]]="Em andamento",Tabela1[[#This Row],[DATA REAL - DOSSIÊ]]&lt;&gt;""),1)</f>
        <v>1</v>
      </c>
      <c r="O168" s="16" cm="1">
        <f t="array" aca="1" ref="O16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POSTAGEM]]="",$BH168&gt;$BF$1),2,
AND(Tabela1[[#This Row],[STATUS PROCESSO MOBILIZAÇÃO]]="Em andamento",Tabela1[[#This Row],[DATA REAL - POSTAGEM]]="",$BH168&lt;=$BF$1),3,
AND(Tabela1[[#This Row],[STATUS PROCESSO MOBILIZAÇÃO]]="Em andamento",Tabela1[[#This Row],[DATA REAL - POSTAGEM]]&lt;&gt;""),1)</f>
        <v>1</v>
      </c>
      <c r="P168" s="16" cm="1">
        <f t="array" aca="1" ref="P16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FINAL]]="",$BK168&gt;$BI$1),2,
AND(Tabela1[[#This Row],[STATUS PROCESSO MOBILIZAÇÃO]]="Em andamento",Tabela1[[#This Row],[DATA REAL - APROV FINAL]]="",$BK168&lt;=$BI$1),3,
AND(Tabela1[[#This Row],[STATUS PROCESSO MOBILIZAÇÃO]]="Em andamento",Tabela1[[#This Row],[DATA REAL - APROV FINAL]]&lt;&gt;""),1)</f>
        <v>1</v>
      </c>
      <c r="Q168" s="16" cm="1">
        <f t="array" aca="1" ref="Q16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CRACHÁ]]="",$BN168&gt;$BL$1),2,
AND(Tabela1[[#This Row],[STATUS PROCESSO MOBILIZAÇÃO]]="Em andamento",Tabela1[[#This Row],[DATA REAL - CRACHÁ]]="",$BN168&lt;=$BL$1),3,
AND(Tabela1[[#This Row],[STATUS PROCESSO MOBILIZAÇÃO]]="Em andamento",Tabela1[[#This Row],[DATA REAL - CRACHÁ]]&lt;&gt;""),1)</f>
        <v>1</v>
      </c>
      <c r="R168" s="21">
        <f>IF(Tabela1[[#This Row],[DATA REAL - FORMS]]&lt;&gt;"",Tabela1[[#This Row],[DATA REAL - FORMS]]+30,Tabela1[[#This Row],[DATA PREV - FORMS]]+35)</f>
        <v>46005</v>
      </c>
      <c r="S16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45993</v>
      </c>
      <c r="T16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18</v>
      </c>
      <c r="U16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68" s="49">
        <f>MAX(Tabela1[[#This Row],[DATA REAL - POSTAGEM]],Tabela1[[#This Row],[DATA REAL - APROV FINAL]],Tabela1[[#This Row],[DATA REAL - CRACHÁ]])-MIN(Tabela1[[#This Row],[DATA REAL - POSTAGEM]],Tabela1[[#This Row],[DATA REAL - APROV FINAL]],Tabela1[[#This Row],[DATA REAL - CRACHÁ]])+1</f>
        <v>7</v>
      </c>
      <c r="W16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68" s="15" t="s">
        <v>539</v>
      </c>
      <c r="Y168" s="16" t="s">
        <v>130</v>
      </c>
      <c r="Z168" s="18" t="s">
        <v>540</v>
      </c>
      <c r="AA168" s="18" t="s">
        <v>131</v>
      </c>
      <c r="AB168" s="16" t="s">
        <v>97</v>
      </c>
      <c r="AC168" s="16" t="s">
        <v>132</v>
      </c>
      <c r="AD168" s="16" t="s">
        <v>132</v>
      </c>
      <c r="AE168" s="16" t="s">
        <v>576</v>
      </c>
      <c r="AF168" s="16" t="s">
        <v>484</v>
      </c>
      <c r="AG168" s="16" t="str">
        <f>_xlfn.XLOOKUP(Tabela1[[#This Row],[CÓD. CT]],Controle_Projetos[COD CT],Controle_Projetos[COD PHD],"")</f>
        <v>GERD-CT19-PROD</v>
      </c>
      <c r="AH168" s="21">
        <v>45975</v>
      </c>
      <c r="AI168" s="76">
        <v>45975</v>
      </c>
      <c r="AJ168" s="21">
        <v>45975</v>
      </c>
      <c r="AK168" s="21">
        <v>45975</v>
      </c>
      <c r="AL168" s="74">
        <v>45975</v>
      </c>
      <c r="AM168" s="16" cm="1">
        <f t="array" aca="1" ref="AM16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8" s="21">
        <f>Tabela1[[#This Row],[DATA PREV - FORMS]]+$AN$1</f>
        <v>45982</v>
      </c>
      <c r="AO168" s="74">
        <v>45978</v>
      </c>
      <c r="AP168" s="16" cm="1">
        <f t="array" aca="1" ref="AP16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-3</v>
      </c>
      <c r="AQ168" s="21">
        <f>Tabela1[[#This Row],[DATA PREV - EXAMES]]+$AQ$1</f>
        <v>45984</v>
      </c>
      <c r="AR168" s="74">
        <v>45979</v>
      </c>
      <c r="AS168" s="16" cm="1">
        <f t="array" aca="1" ref="AS16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68" s="21">
        <f>Tabela1[[#This Row],[DATA PREV - FORMS]]+$AT$1</f>
        <v>45976</v>
      </c>
      <c r="AU168" s="74">
        <v>45975</v>
      </c>
      <c r="AV168" s="16" cm="1">
        <f t="array" aca="1" ref="AV16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8" s="21">
        <f>Tabela1[[#This Row],[DATA PREV - TREINAMENTOS]]+$AW$1</f>
        <v>45983</v>
      </c>
      <c r="AX168" s="74">
        <v>45975</v>
      </c>
      <c r="AY168" s="16" cm="1">
        <f t="array" aca="1" ref="AY16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8" s="24">
        <v>45961</v>
      </c>
      <c r="BA168" s="74">
        <v>45975</v>
      </c>
      <c r="BB168" s="16" cm="1">
        <f t="array" aca="1" ref="BB16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15</v>
      </c>
      <c r="BC168" s="21">
        <f>Tabela1[[#This Row],[DATA PREV - CONCL. TREIN.]]+$BC$1</f>
        <v>45985</v>
      </c>
      <c r="BD168" s="126">
        <v>45987</v>
      </c>
      <c r="BE168" s="16" cm="1">
        <f t="array" aca="1" ref="BE16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68" s="21">
        <f>Tabela1[[#This Row],[DATA PREV - DOSSIÊ]]+$BF$1</f>
        <v>45988</v>
      </c>
      <c r="BG168" s="126">
        <v>45987</v>
      </c>
      <c r="BH168" s="16" cm="1">
        <f t="array" aca="1" ref="BH16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68" s="21">
        <f>Tabela1[[#This Row],[DATA PREV - POSTAGEM]]+$BI$1</f>
        <v>45994</v>
      </c>
      <c r="BJ168" s="126">
        <v>45993</v>
      </c>
      <c r="BK168" s="16" cm="1">
        <f t="array" aca="1" ref="BK16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0</v>
      </c>
      <c r="BL168" s="21">
        <f>Tabela1[[#This Row],[DATA PREV - APROV FINAL]]+$BL$1</f>
        <v>45995</v>
      </c>
      <c r="BM168" s="126">
        <v>45993</v>
      </c>
      <c r="BN168" s="16" cm="1">
        <f t="array" aca="1" ref="BN16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168" s="99" t="s">
        <v>578</v>
      </c>
    </row>
    <row r="169" spans="2:67" ht="18" hidden="1" customHeight="1" x14ac:dyDescent="0.35">
      <c r="B169" s="14" t="s">
        <v>79</v>
      </c>
      <c r="C169" s="16" t="s">
        <v>136</v>
      </c>
      <c r="D169" s="16" t="s">
        <v>81</v>
      </c>
      <c r="E169" s="16"/>
      <c r="F169" s="16" t="s">
        <v>579</v>
      </c>
      <c r="G169" s="16" cm="1">
        <f t="array" ref="G169">_xlfn.IFS(Tabela1[[#This Row],[STATUS PROCESSO MOBILIZAÇÃO]]="Finalizado",1,Tabela1[[#This Row],[STATUS PROCESSO MOBILIZAÇÃO]]="Cancelado",2,Tabela1[[#This Row],[STATUS PROCESSO MOBILIZAÇÃO]]="Em andamento",3)</f>
        <v>1</v>
      </c>
      <c r="H169" s="16" cm="1">
        <f t="array" aca="1" ref="H16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FORMS]]="",$AM169&gt;$AK$1),2,
AND(Tabela1[[#This Row],[STATUS PROCESSO MOBILIZAÇÃO]]="Em andamento",Tabela1[[#This Row],[DATA REAL - FORMS]]="",$AM169&lt;=$AK$1),3,
AND(Tabela1[[#This Row],[STATUS PROCESSO MOBILIZAÇÃO]]="Em andamento",Tabela1[[#This Row],[DATA REAL - FORMS]]&lt;&gt;""),1)</f>
        <v>1</v>
      </c>
      <c r="I169" s="16" cm="1">
        <f t="array" aca="1" ref="I16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EXAMES]]="",$AP169&gt;$AN$1),2,
AND(Tabela1[[#This Row],[STATUS PROCESSO MOBILIZAÇÃO]]="Em andamento",Tabela1[[#This Row],[DATA REAL - EXAMES]]="",$AP169&lt;=$AN$1),3,
AND(Tabela1[[#This Row],[STATUS PROCESSO MOBILIZAÇÃO]]="Em andamento",Tabela1[[#This Row],[DATA REAL - EXAMES]]&lt;&gt;""),1)</f>
        <v>1</v>
      </c>
      <c r="J169" s="16" cm="1">
        <f t="array" aca="1" ref="J16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ASO]]="",$AS169&gt;$AQ$1),2,
AND(Tabela1[[#This Row],[STATUS PROCESSO MOBILIZAÇÃO]]="Em andamento",Tabela1[[#This Row],[DATA REAL - ASO]]="",$AS169&lt;=$AQ$1),3,
AND(Tabela1[[#This Row],[STATUS PROCESSO MOBILIZAÇÃO]]="Em andamento",Tabela1[[#This Row],[DATA REAL - ASO]]&lt;&gt;""),1)</f>
        <v>1</v>
      </c>
      <c r="K169" s="16" cm="1">
        <f t="array" aca="1" ref="K16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TREINAMENTOS]]="",$AV169&gt;$AT$1),2,
AND(Tabela1[[#This Row],[STATUS PROCESSO MOBILIZAÇÃO]]="Em andamento",Tabela1[[#This Row],[DATA REAL - TREINAMENTOS]]="",$AV169&lt;=$AT$1),3,
AND(Tabela1[[#This Row],[STATUS PROCESSO MOBILIZAÇÃO]]="Em andamento",Tabela1[[#This Row],[DATA REAL - TREINAMENTOS]]&lt;&gt;""),1)</f>
        <v>1</v>
      </c>
      <c r="L169" s="16" cm="1">
        <f t="array" aca="1" ref="L16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TREIN.]]="",$AY169&gt;$AW$1),2,
AND(Tabela1[[#This Row],[STATUS PROCESSO MOBILIZAÇÃO]]="Em andamento",Tabela1[[#This Row],[DATA REAL - CONCL. TREIN.]]="",$AY169&lt;=$AW$1),3,
AND(Tabela1[[#This Row],[STATUS PROCESSO MOBILIZAÇÃO]]="Em andamento",Tabela1[[#This Row],[DATA REAL - CONCL. TREIN.]]&lt;&gt;""),1)</f>
        <v>1</v>
      </c>
      <c r="M169" s="16" cm="1">
        <f t="array" aca="1" ref="M16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CONTRATUAL]]="",$BB169&gt;$AZ$1),2,
AND(Tabela1[[#This Row],[STATUS PROCESSO MOBILIZAÇÃO]]="Em andamento",Tabela1[[#This Row],[DATA FIM - ALTER. CONTRATUAL]]="",$BB169&lt;=$AZ$1),3,
AND(Tabela1[[#This Row],[STATUS PROCESSO MOBILIZAÇÃO]]="Em andamento",Tabela1[[#This Row],[DATA FIM - ALTER. CONTRATUAL]]&lt;&gt;""),1)</f>
        <v>1</v>
      </c>
      <c r="N169" s="16" cm="1">
        <f t="array" aca="1" ref="N16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DOSSIÊ]]="",$BE169&gt;$BC$1),2,
AND(Tabela1[[#This Row],[STATUS PROCESSO MOBILIZAÇÃO]]="Em andamento",Tabela1[[#This Row],[DATA REAL - DOSSIÊ]]="",$BE169&lt;=$BC$1),3,
AND(Tabela1[[#This Row],[STATUS PROCESSO MOBILIZAÇÃO]]="Em andamento",Tabela1[[#This Row],[DATA REAL - DOSSIÊ]]&lt;&gt;""),1)</f>
        <v>1</v>
      </c>
      <c r="O169" s="16" cm="1">
        <f t="array" aca="1" ref="O16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POSTAGEM]]="",$BH169&gt;$BF$1),2,
AND(Tabela1[[#This Row],[STATUS PROCESSO MOBILIZAÇÃO]]="Em andamento",Tabela1[[#This Row],[DATA REAL - POSTAGEM]]="",$BH169&lt;=$BF$1),3,
AND(Tabela1[[#This Row],[STATUS PROCESSO MOBILIZAÇÃO]]="Em andamento",Tabela1[[#This Row],[DATA REAL - POSTAGEM]]&lt;&gt;""),1)</f>
        <v>1</v>
      </c>
      <c r="P169" s="16" cm="1">
        <f t="array" aca="1" ref="P16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FINAL]]="",$BK169&gt;$BI$1),2,
AND(Tabela1[[#This Row],[STATUS PROCESSO MOBILIZAÇÃO]]="Em andamento",Tabela1[[#This Row],[DATA REAL - APROV FINAL]]="",$BK169&lt;=$BI$1),3,
AND(Tabela1[[#This Row],[STATUS PROCESSO MOBILIZAÇÃO]]="Em andamento",Tabela1[[#This Row],[DATA REAL - APROV FINAL]]&lt;&gt;""),1)</f>
        <v>1</v>
      </c>
      <c r="Q169" s="16" cm="1">
        <f t="array" aca="1" ref="Q16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CRACHÁ]]="",$BN169&gt;$BL$1),2,
AND(Tabela1[[#This Row],[STATUS PROCESSO MOBILIZAÇÃO]]="Em andamento",Tabela1[[#This Row],[DATA REAL - CRACHÁ]]="",$BN169&lt;=$BL$1),3,
AND(Tabela1[[#This Row],[STATUS PROCESSO MOBILIZAÇÃO]]="Em andamento",Tabela1[[#This Row],[DATA REAL - CRACHÁ]]&lt;&gt;""),1)</f>
        <v>1</v>
      </c>
      <c r="R169" s="21">
        <f>IF(Tabela1[[#This Row],[DATA REAL - FORMS]]&lt;&gt;"",Tabela1[[#This Row],[DATA REAL - FORMS]]+30,Tabela1[[#This Row],[DATA PREV - FORMS]]+35)</f>
        <v>46015</v>
      </c>
      <c r="S16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46049</v>
      </c>
      <c r="T16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64</v>
      </c>
      <c r="U16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59</v>
      </c>
      <c r="V169" s="49">
        <f>MAX(Tabela1[[#This Row],[DATA REAL - POSTAGEM]],Tabela1[[#This Row],[DATA REAL - APROV FINAL]],Tabela1[[#This Row],[DATA REAL - CRACHÁ]])-MIN(Tabela1[[#This Row],[DATA REAL - POSTAGEM]],Tabela1[[#This Row],[DATA REAL - APROV FINAL]],Tabela1[[#This Row],[DATA REAL - CRACHÁ]])+1</f>
        <v>1</v>
      </c>
      <c r="W16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69" s="15"/>
      <c r="Y169" s="16" t="s">
        <v>84</v>
      </c>
      <c r="Z169" s="18"/>
      <c r="AA169" s="18" t="s">
        <v>86</v>
      </c>
      <c r="AB169" s="16" t="s">
        <v>97</v>
      </c>
      <c r="AC169" s="16" t="s">
        <v>286</v>
      </c>
      <c r="AD169" s="16" t="s">
        <v>89</v>
      </c>
      <c r="AE169" s="16" t="s">
        <v>287</v>
      </c>
      <c r="AF169" s="16" t="s">
        <v>288</v>
      </c>
      <c r="AG169" s="16" t="str">
        <f>_xlfn.XLOOKUP(Tabela1[[#This Row],[CÓD. CT]],Controle_Projetos[COD CT],Controle_Projetos[COD PHD],"")</f>
        <v>CGCO-CT01-PLAN</v>
      </c>
      <c r="AH169" s="21">
        <v>45985</v>
      </c>
      <c r="AI169" s="76">
        <v>45985</v>
      </c>
      <c r="AJ169" s="16" cm="1">
        <f t="array" aca="1" ref="AJ16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69" s="21">
        <v>45985</v>
      </c>
      <c r="AL169" s="74">
        <v>45985</v>
      </c>
      <c r="AM169" s="16" cm="1">
        <f t="array" aca="1" ref="AM16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69" s="21">
        <f>Tabela1[[#This Row],[DATA PREV - FORMS]]+$AN$1</f>
        <v>45992</v>
      </c>
      <c r="AO169" s="74">
        <v>45985</v>
      </c>
      <c r="AP169" s="16" cm="1">
        <f t="array" aca="1" ref="AP16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69" s="21">
        <f>Tabela1[[#This Row],[DATA PREV - EXAMES]]+$AQ$1</f>
        <v>45994</v>
      </c>
      <c r="AR169" s="74">
        <v>45993</v>
      </c>
      <c r="AS169" s="16" cm="1">
        <f t="array" aca="1" ref="AS16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69" s="21">
        <f>Tabela1[[#This Row],[DATA PREV - FORMS]]+$AT$1</f>
        <v>45986</v>
      </c>
      <c r="AU169" s="74">
        <v>45985</v>
      </c>
      <c r="AV169" s="16" cm="1">
        <f t="array" aca="1" ref="AV16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69" s="21">
        <f>Tabela1[[#This Row],[DATA PREV - TREINAMENTOS]]+$AW$1</f>
        <v>45993</v>
      </c>
      <c r="AX169" s="74">
        <v>45985</v>
      </c>
      <c r="AY169" s="16" cm="1">
        <f t="array" aca="1" ref="AY16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69" s="24">
        <v>45985</v>
      </c>
      <c r="BA169" s="74">
        <v>46044</v>
      </c>
      <c r="BB169" s="16" cm="1">
        <f t="array" aca="1" ref="BB16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60</v>
      </c>
      <c r="BC169" s="21">
        <f>Tabela1[[#This Row],[DATA PREV - CONCL. TREIN.]]+$BC$1</f>
        <v>45995</v>
      </c>
      <c r="BD169" s="74">
        <v>46044</v>
      </c>
      <c r="BE169" s="16" cm="1">
        <f t="array" aca="1" ref="BE16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50</v>
      </c>
      <c r="BF169" s="21">
        <f>Tabela1[[#This Row],[DATA PREV - DOSSIÊ]]+$BF$1</f>
        <v>45998</v>
      </c>
      <c r="BG169" s="74">
        <v>46049</v>
      </c>
      <c r="BH169" s="16" cm="1">
        <f t="array" aca="1" ref="BH16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52</v>
      </c>
      <c r="BI169" s="21">
        <f>Tabela1[[#This Row],[DATA PREV - POSTAGEM]]+$BI$1</f>
        <v>46004</v>
      </c>
      <c r="BJ169" s="74">
        <v>46049</v>
      </c>
      <c r="BK169" s="16" cm="1">
        <f t="array" aca="1" ref="BK16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46</v>
      </c>
      <c r="BL169" s="21">
        <f>Tabela1[[#This Row],[DATA PREV - APROV FINAL]]+$BL$1</f>
        <v>46005</v>
      </c>
      <c r="BM169" s="74">
        <v>46049</v>
      </c>
      <c r="BN169" s="16" cm="1">
        <f t="array" aca="1" ref="BN16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45</v>
      </c>
      <c r="BO169" s="81" t="s">
        <v>580</v>
      </c>
    </row>
    <row r="170" spans="2:67" ht="18" hidden="1" customHeight="1" x14ac:dyDescent="0.35">
      <c r="B170" s="14" t="s">
        <v>79</v>
      </c>
      <c r="C170" s="16" t="s">
        <v>136</v>
      </c>
      <c r="D170" s="16" t="s">
        <v>81</v>
      </c>
      <c r="E170" s="16">
        <v>309</v>
      </c>
      <c r="F170" s="16" t="s">
        <v>394</v>
      </c>
      <c r="G170" s="16" cm="1">
        <f t="array" ref="G170">_xlfn.IFS(Tabela1[[#This Row],[STATUS PROCESSO MOBILIZAÇÃO]]="Finalizado",1,Tabela1[[#This Row],[STATUS PROCESSO MOBILIZAÇÃO]]="Cancelado",2,Tabela1[[#This Row],[STATUS PROCESSO MOBILIZAÇÃO]]="Em andamento",3)</f>
        <v>1</v>
      </c>
      <c r="H170" s="16" cm="1">
        <f t="array" aca="1" ref="H17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FORMS]]="",$AM170&gt;$AK$1),2,
AND(Tabela1[[#This Row],[STATUS PROCESSO MOBILIZAÇÃO]]="Em andamento",Tabela1[[#This Row],[DATA REAL - FORMS]]="",$AM170&lt;=$AK$1),3,
AND(Tabela1[[#This Row],[STATUS PROCESSO MOBILIZAÇÃO]]="Em andamento",Tabela1[[#This Row],[DATA REAL - FORMS]]&lt;&gt;""),1)</f>
        <v>1</v>
      </c>
      <c r="I170" s="16" cm="1">
        <f t="array" aca="1" ref="I17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EXAMES]]="",$AP170&gt;$AN$1),2,
AND(Tabela1[[#This Row],[STATUS PROCESSO MOBILIZAÇÃO]]="Em andamento",Tabela1[[#This Row],[DATA REAL - EXAMES]]="",$AP170&lt;=$AN$1),3,
AND(Tabela1[[#This Row],[STATUS PROCESSO MOBILIZAÇÃO]]="Em andamento",Tabela1[[#This Row],[DATA REAL - EXAMES]]&lt;&gt;""),1)</f>
        <v>1</v>
      </c>
      <c r="J170" s="16" cm="1">
        <f t="array" aca="1" ref="J17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ASO]]="",$AS170&gt;$AQ$1),2,
AND(Tabela1[[#This Row],[STATUS PROCESSO MOBILIZAÇÃO]]="Em andamento",Tabela1[[#This Row],[DATA REAL - ASO]]="",$AS170&lt;=$AQ$1),3,
AND(Tabela1[[#This Row],[STATUS PROCESSO MOBILIZAÇÃO]]="Em andamento",Tabela1[[#This Row],[DATA REAL - ASO]]&lt;&gt;""),1)</f>
        <v>1</v>
      </c>
      <c r="K170" s="16" cm="1">
        <f t="array" aca="1" ref="K17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TREINAMENTOS]]="",$AV170&gt;$AT$1),2,
AND(Tabela1[[#This Row],[STATUS PROCESSO MOBILIZAÇÃO]]="Em andamento",Tabela1[[#This Row],[DATA REAL - TREINAMENTOS]]="",$AV170&lt;=$AT$1),3,
AND(Tabela1[[#This Row],[STATUS PROCESSO MOBILIZAÇÃO]]="Em andamento",Tabela1[[#This Row],[DATA REAL - TREINAMENTOS]]&lt;&gt;""),1)</f>
        <v>1</v>
      </c>
      <c r="L170" s="16" cm="1">
        <f t="array" aca="1" ref="L17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TREIN.]]="",$AY170&gt;$AW$1),2,
AND(Tabela1[[#This Row],[STATUS PROCESSO MOBILIZAÇÃO]]="Em andamento",Tabela1[[#This Row],[DATA REAL - CONCL. TREIN.]]="",$AY170&lt;=$AW$1),3,
AND(Tabela1[[#This Row],[STATUS PROCESSO MOBILIZAÇÃO]]="Em andamento",Tabela1[[#This Row],[DATA REAL - CONCL. TREIN.]]&lt;&gt;""),1)</f>
        <v>1</v>
      </c>
      <c r="M170" s="16" cm="1">
        <f t="array" aca="1" ref="M17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CONTRATUAL]]="",$BB170&gt;$AZ$1),2,
AND(Tabela1[[#This Row],[STATUS PROCESSO MOBILIZAÇÃO]]="Em andamento",Tabela1[[#This Row],[DATA FIM - ALTER. CONTRATUAL]]="",$BB170&lt;=$AZ$1),3,
AND(Tabela1[[#This Row],[STATUS PROCESSO MOBILIZAÇÃO]]="Em andamento",Tabela1[[#This Row],[DATA FIM - ALTER. CONTRATUAL]]&lt;&gt;""),1)</f>
        <v>1</v>
      </c>
      <c r="N170" s="16" cm="1">
        <f t="array" aca="1" ref="N17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DOSSIÊ]]="",$BE170&gt;$BC$1),2,
AND(Tabela1[[#This Row],[STATUS PROCESSO MOBILIZAÇÃO]]="Em andamento",Tabela1[[#This Row],[DATA REAL - DOSSIÊ]]="",$BE170&lt;=$BC$1),3,
AND(Tabela1[[#This Row],[STATUS PROCESSO MOBILIZAÇÃO]]="Em andamento",Tabela1[[#This Row],[DATA REAL - DOSSIÊ]]&lt;&gt;""),1)</f>
        <v>1</v>
      </c>
      <c r="O170" s="16" cm="1">
        <f t="array" aca="1" ref="O17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POSTAGEM]]="",$BH170&gt;$BF$1),2,
AND(Tabela1[[#This Row],[STATUS PROCESSO MOBILIZAÇÃO]]="Em andamento",Tabela1[[#This Row],[DATA REAL - POSTAGEM]]="",$BH170&lt;=$BF$1),3,
AND(Tabela1[[#This Row],[STATUS PROCESSO MOBILIZAÇÃO]]="Em andamento",Tabela1[[#This Row],[DATA REAL - POSTAGEM]]&lt;&gt;""),1)</f>
        <v>1</v>
      </c>
      <c r="P170" s="16" cm="1">
        <f t="array" aca="1" ref="P17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FINAL]]="",$BK170&gt;$BI$1),2,
AND(Tabela1[[#This Row],[STATUS PROCESSO MOBILIZAÇÃO]]="Em andamento",Tabela1[[#This Row],[DATA REAL - APROV FINAL]]="",$BK170&lt;=$BI$1),3,
AND(Tabela1[[#This Row],[STATUS PROCESSO MOBILIZAÇÃO]]="Em andamento",Tabela1[[#This Row],[DATA REAL - APROV FINAL]]&lt;&gt;""),1)</f>
        <v>1</v>
      </c>
      <c r="Q170" s="16" cm="1">
        <f t="array" aca="1" ref="Q17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CRACHÁ]]="",$BN170&gt;$BL$1),2,
AND(Tabela1[[#This Row],[STATUS PROCESSO MOBILIZAÇÃO]]="Em andamento",Tabela1[[#This Row],[DATA REAL - CRACHÁ]]="",$BN170&lt;=$BL$1),3,
AND(Tabela1[[#This Row],[STATUS PROCESSO MOBILIZAÇÃO]]="Em andamento",Tabela1[[#This Row],[DATA REAL - CRACHÁ]]&lt;&gt;""),1)</f>
        <v>1</v>
      </c>
      <c r="R170" s="21">
        <f>IF(Tabela1[[#This Row],[DATA REAL - FORMS]]&lt;&gt;"",Tabela1[[#This Row],[DATA REAL - FORMS]]+30,Tabela1[[#This Row],[DATA PREV - FORMS]]+35)</f>
        <v>46015</v>
      </c>
      <c r="S17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46001</v>
      </c>
      <c r="T17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16</v>
      </c>
      <c r="U17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170" s="49">
        <f>MAX(Tabela1[[#This Row],[DATA REAL - POSTAGEM]],Tabela1[[#This Row],[DATA REAL - APROV FINAL]],Tabela1[[#This Row],[DATA REAL - CRACHÁ]])-MIN(Tabela1[[#This Row],[DATA REAL - POSTAGEM]],Tabela1[[#This Row],[DATA REAL - APROV FINAL]],Tabela1[[#This Row],[DATA REAL - CRACHÁ]])+1</f>
        <v>2</v>
      </c>
      <c r="W17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0" s="15"/>
      <c r="Y170" s="16"/>
      <c r="Z170" s="18"/>
      <c r="AA170" s="18" t="s">
        <v>86</v>
      </c>
      <c r="AB170" s="16" t="s">
        <v>97</v>
      </c>
      <c r="AC170" s="16" t="s">
        <v>98</v>
      </c>
      <c r="AD170" s="16" t="s">
        <v>89</v>
      </c>
      <c r="AE170" s="16" t="s">
        <v>581</v>
      </c>
      <c r="AF170" s="16" t="s">
        <v>582</v>
      </c>
      <c r="AG170" s="16" t="str">
        <f>_xlfn.XLOOKUP(Tabela1[[#This Row],[CÓD. CT]],Controle_Projetos[COD CT],Controle_Projetos[COD PHD],"")</f>
        <v>SALU-CT11-DTOR</v>
      </c>
      <c r="AH170" s="21">
        <v>45985</v>
      </c>
      <c r="AI170" s="76">
        <v>45985</v>
      </c>
      <c r="AJ170" s="16" cm="1">
        <f t="array" aca="1" ref="AJ17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0" s="21">
        <v>45985</v>
      </c>
      <c r="AL170" s="74">
        <v>45985</v>
      </c>
      <c r="AM170" s="16" cm="1">
        <f t="array" aca="1" ref="AM17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0" s="21">
        <f>Tabela1[[#This Row],[DATA PREV - FORMS]]+$AN$1</f>
        <v>45992</v>
      </c>
      <c r="AO170" s="74">
        <v>45985</v>
      </c>
      <c r="AP170" s="16" cm="1">
        <f t="array" aca="1" ref="AP17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0" s="21">
        <f>Tabela1[[#This Row],[DATA PREV - EXAMES]]+$AQ$1</f>
        <v>45994</v>
      </c>
      <c r="AR170" s="74">
        <v>46000</v>
      </c>
      <c r="AS170" s="16" cm="1">
        <f t="array" aca="1" ref="AS17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70" s="21">
        <f>Tabela1[[#This Row],[DATA PREV - FORMS]]+$AT$1</f>
        <v>45986</v>
      </c>
      <c r="AU170" s="74">
        <v>45985</v>
      </c>
      <c r="AV170" s="16" cm="1">
        <f t="array" aca="1" ref="AV17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0" s="21">
        <f>Tabela1[[#This Row],[DATA PREV - TREINAMENTOS]]+$AW$1</f>
        <v>45993</v>
      </c>
      <c r="AX170" s="74">
        <v>45989</v>
      </c>
      <c r="AY170" s="16" cm="1">
        <f t="array" aca="1" ref="AY17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70" s="24">
        <v>45963</v>
      </c>
      <c r="BA170" s="74">
        <v>45985</v>
      </c>
      <c r="BB170" s="16" cm="1">
        <f t="array" aca="1" ref="BB17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23</v>
      </c>
      <c r="BC170" s="21">
        <f>Tabela1[[#This Row],[DATA PREV - CONCL. TREIN.]]+$BC$1</f>
        <v>45995</v>
      </c>
      <c r="BD170" s="74">
        <v>46000</v>
      </c>
      <c r="BE170" s="16" cm="1">
        <f t="array" aca="1" ref="BE17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70" s="21">
        <f>Tabela1[[#This Row],[DATA PREV - DOSSIÊ]]+$BF$1</f>
        <v>45998</v>
      </c>
      <c r="BG170" s="74">
        <v>46000</v>
      </c>
      <c r="BH170" s="16" cm="1">
        <f t="array" aca="1" ref="BH17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70" s="21">
        <f>Tabela1[[#This Row],[DATA PREV - POSTAGEM]]+$BI$1</f>
        <v>46004</v>
      </c>
      <c r="BJ170" s="74">
        <v>46001</v>
      </c>
      <c r="BK170" s="16" cm="1">
        <f t="array" aca="1" ref="BK17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70" s="21">
        <f>Tabela1[[#This Row],[DATA PREV - APROV FINAL]]+$BL$1</f>
        <v>46005</v>
      </c>
      <c r="BM170" s="74">
        <v>46001</v>
      </c>
      <c r="BN170" s="16" cm="1">
        <f t="array" aca="1" ref="BN17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70" s="81" t="s">
        <v>583</v>
      </c>
    </row>
    <row r="171" spans="2:67" ht="18" hidden="1" customHeight="1" x14ac:dyDescent="0.35">
      <c r="B171" s="14" t="s">
        <v>79</v>
      </c>
      <c r="C171" s="82" t="s">
        <v>136</v>
      </c>
      <c r="D171" s="16" t="s">
        <v>108</v>
      </c>
      <c r="E171" s="121"/>
      <c r="F171" s="16" t="s">
        <v>234</v>
      </c>
      <c r="G171" s="16" cm="1">
        <f t="array" ref="G171">_xlfn.IFS(Tabela1[[#This Row],[STATUS PROCESSO MOBILIZAÇÃO]]="Finalizado",1,Tabela1[[#This Row],[STATUS PROCESSO MOBILIZAÇÃO]]="Cancelado",2,Tabela1[[#This Row],[STATUS PROCESSO MOBILIZAÇÃO]]="Em andamento",3)</f>
        <v>1</v>
      </c>
      <c r="H171" s="16" cm="1">
        <f t="array" aca="1" ref="H17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FORMS]]="",$AM171&gt;$AK$1),2,
AND(Tabela1[[#This Row],[STATUS PROCESSO MOBILIZAÇÃO]]="Em andamento",Tabela1[[#This Row],[DATA REAL - FORMS]]="",$AM171&lt;=$AK$1),3,
AND(Tabela1[[#This Row],[STATUS PROCESSO MOBILIZAÇÃO]]="Em andamento",Tabela1[[#This Row],[DATA REAL - FORMS]]&lt;&gt;""),1)</f>
        <v>1</v>
      </c>
      <c r="I171" s="16" cm="1">
        <f t="array" aca="1" ref="I17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EXAMES]]="",$AP171&gt;$AN$1),2,
AND(Tabela1[[#This Row],[STATUS PROCESSO MOBILIZAÇÃO]]="Em andamento",Tabela1[[#This Row],[DATA REAL - EXAMES]]="",$AP171&lt;=$AN$1),3,
AND(Tabela1[[#This Row],[STATUS PROCESSO MOBILIZAÇÃO]]="Em andamento",Tabela1[[#This Row],[DATA REAL - EXAMES]]&lt;&gt;""),1)</f>
        <v>1</v>
      </c>
      <c r="J171" s="16" cm="1">
        <f t="array" aca="1" ref="J17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ASO]]="",$AS171&gt;$AQ$1),2,
AND(Tabela1[[#This Row],[STATUS PROCESSO MOBILIZAÇÃO]]="Em andamento",Tabela1[[#This Row],[DATA REAL - ASO]]="",$AS171&lt;=$AQ$1),3,
AND(Tabela1[[#This Row],[STATUS PROCESSO MOBILIZAÇÃO]]="Em andamento",Tabela1[[#This Row],[DATA REAL - ASO]]&lt;&gt;""),1)</f>
        <v>1</v>
      </c>
      <c r="K171" s="16" cm="1">
        <f t="array" aca="1" ref="K17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TREINAMENTOS]]="",$AV171&gt;$AT$1),2,
AND(Tabela1[[#This Row],[STATUS PROCESSO MOBILIZAÇÃO]]="Em andamento",Tabela1[[#This Row],[DATA REAL - TREINAMENTOS]]="",$AV171&lt;=$AT$1),3,
AND(Tabela1[[#This Row],[STATUS PROCESSO MOBILIZAÇÃO]]="Em andamento",Tabela1[[#This Row],[DATA REAL - TREINAMENTOS]]&lt;&gt;""),1)</f>
        <v>1</v>
      </c>
      <c r="L171" s="16" cm="1">
        <f t="array" aca="1" ref="L17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TREIN.]]="",$AY171&gt;$AW$1),2,
AND(Tabela1[[#This Row],[STATUS PROCESSO MOBILIZAÇÃO]]="Em andamento",Tabela1[[#This Row],[DATA REAL - CONCL. TREIN.]]="",$AY171&lt;=$AW$1),3,
AND(Tabela1[[#This Row],[STATUS PROCESSO MOBILIZAÇÃO]]="Em andamento",Tabela1[[#This Row],[DATA REAL - CONCL. TREIN.]]&lt;&gt;""),1)</f>
        <v>1</v>
      </c>
      <c r="M171" s="16" cm="1">
        <f t="array" aca="1" ref="M17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CONTRATUAL]]="",$BB171&gt;$AZ$1),2,
AND(Tabela1[[#This Row],[STATUS PROCESSO MOBILIZAÇÃO]]="Em andamento",Tabela1[[#This Row],[DATA FIM - ALTER. CONTRATUAL]]="",$BB171&lt;=$AZ$1),3,
AND(Tabela1[[#This Row],[STATUS PROCESSO MOBILIZAÇÃO]]="Em andamento",Tabela1[[#This Row],[DATA FIM - ALTER. CONTRATUAL]]&lt;&gt;""),1)</f>
        <v>1</v>
      </c>
      <c r="N171" s="16" cm="1">
        <f t="array" aca="1" ref="N17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DOSSIÊ]]="",$BE171&gt;$BC$1),2,
AND(Tabela1[[#This Row],[STATUS PROCESSO MOBILIZAÇÃO]]="Em andamento",Tabela1[[#This Row],[DATA REAL - DOSSIÊ]]="",$BE171&lt;=$BC$1),3,
AND(Tabela1[[#This Row],[STATUS PROCESSO MOBILIZAÇÃO]]="Em andamento",Tabela1[[#This Row],[DATA REAL - DOSSIÊ]]&lt;&gt;""),1)</f>
        <v>1</v>
      </c>
      <c r="O171" s="16" cm="1">
        <f t="array" aca="1" ref="O17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POSTAGEM]]="",$BH171&gt;$BF$1),2,
AND(Tabela1[[#This Row],[STATUS PROCESSO MOBILIZAÇÃO]]="Em andamento",Tabela1[[#This Row],[DATA REAL - POSTAGEM]]="",$BH171&lt;=$BF$1),3,
AND(Tabela1[[#This Row],[STATUS PROCESSO MOBILIZAÇÃO]]="Em andamento",Tabela1[[#This Row],[DATA REAL - POSTAGEM]]&lt;&gt;""),1)</f>
        <v>1</v>
      </c>
      <c r="P171" s="16" cm="1">
        <f t="array" aca="1" ref="P17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FINAL]]="",$BK171&gt;$BI$1),2,
AND(Tabela1[[#This Row],[STATUS PROCESSO MOBILIZAÇÃO]]="Em andamento",Tabela1[[#This Row],[DATA REAL - APROV FINAL]]="",$BK171&lt;=$BI$1),3,
AND(Tabela1[[#This Row],[STATUS PROCESSO MOBILIZAÇÃO]]="Em andamento",Tabela1[[#This Row],[DATA REAL - APROV FINAL]]&lt;&gt;""),1)</f>
        <v>1</v>
      </c>
      <c r="Q171" s="16" cm="1">
        <f t="array" aca="1" ref="Q17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CRACHÁ]]="",$BN171&gt;$BL$1),2,
AND(Tabela1[[#This Row],[STATUS PROCESSO MOBILIZAÇÃO]]="Em andamento",Tabela1[[#This Row],[DATA REAL - CRACHÁ]]="",$BN171&lt;=$BL$1),3,
AND(Tabela1[[#This Row],[STATUS PROCESSO MOBILIZAÇÃO]]="Em andamento",Tabela1[[#This Row],[DATA REAL - CRACHÁ]]&lt;&gt;""),1)</f>
        <v>1</v>
      </c>
      <c r="R171" s="21">
        <f>IF(Tabela1[[#This Row],[DATA REAL - FORMS]]&lt;&gt;"",Tabela1[[#This Row],[DATA REAL - FORMS]]+30,Tabela1[[#This Row],[DATA PREV - FORMS]]+35)</f>
        <v>46022</v>
      </c>
      <c r="S17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46045</v>
      </c>
      <c r="T17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53</v>
      </c>
      <c r="U17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35</v>
      </c>
      <c r="V171" s="49">
        <f>MAX(Tabela1[[#This Row],[DATA REAL - POSTAGEM]],Tabela1[[#This Row],[DATA REAL - APROV FINAL]],Tabela1[[#This Row],[DATA REAL - CRACHÁ]])-MIN(Tabela1[[#This Row],[DATA REAL - POSTAGEM]],Tabela1[[#This Row],[DATA REAL - APROV FINAL]],Tabela1[[#This Row],[DATA REAL - CRACHÁ]])+1</f>
        <v>9</v>
      </c>
      <c r="W17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X171" s="15"/>
      <c r="Y171" s="16"/>
      <c r="Z171" s="18" t="s">
        <v>123</v>
      </c>
      <c r="AA171" s="18" t="s">
        <v>124</v>
      </c>
      <c r="AB171" s="93" t="s">
        <v>97</v>
      </c>
      <c r="AC171" s="16" t="s">
        <v>584</v>
      </c>
      <c r="AD171" s="16" t="s">
        <v>585</v>
      </c>
      <c r="AE171" s="16" t="s">
        <v>586</v>
      </c>
      <c r="AF171" s="16" t="s">
        <v>587</v>
      </c>
      <c r="AG171" s="16" t="str">
        <f>_xlfn.XLOOKUP(Tabela1[[#This Row],[CÓD. CT]],Controle_Projetos[COD CT],Controle_Projetos[COD PHD],"")</f>
        <v>COTR-CT01-LPSA</v>
      </c>
      <c r="AH171" s="21">
        <v>45986</v>
      </c>
      <c r="AI171" s="76">
        <v>46027</v>
      </c>
      <c r="AJ171" s="49" cm="1">
        <f t="array" aca="1" ref="AJ17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42</v>
      </c>
      <c r="AK171" s="21">
        <v>45992</v>
      </c>
      <c r="AL171" s="74">
        <v>45992</v>
      </c>
      <c r="AM171" s="16" cm="1">
        <f t="array" aca="1" ref="AM17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1" s="21">
        <f>Tabela1[[#This Row],[DATA PREV - FORMS]]+$AN$1</f>
        <v>45999</v>
      </c>
      <c r="AO171" s="74">
        <v>45992</v>
      </c>
      <c r="AP171" s="16" cm="1">
        <f t="array" aca="1" ref="AP17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1" s="21">
        <f>Tabela1[[#This Row],[DATA PREV - EXAMES]]+$AQ$1</f>
        <v>46001</v>
      </c>
      <c r="AR171" s="74">
        <v>45996</v>
      </c>
      <c r="AS171" s="16" cm="1">
        <f t="array" aca="1" ref="AS17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71" s="21">
        <f>Tabela1[[#This Row],[DATA PREV - FORMS]]+$AT$1</f>
        <v>45993</v>
      </c>
      <c r="AU171" s="74">
        <v>45992</v>
      </c>
      <c r="AV171" s="16" cm="1">
        <f t="array" aca="1" ref="AV17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1" s="21">
        <f>Tabela1[[#This Row],[DATA PREV - TREINAMENTOS]]+$AW$1</f>
        <v>46000</v>
      </c>
      <c r="AX171" s="74">
        <v>45992</v>
      </c>
      <c r="AY171" s="16" cm="1">
        <f t="array" aca="1" ref="AY17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71" s="24">
        <v>45967</v>
      </c>
      <c r="BA171" s="74">
        <v>45992</v>
      </c>
      <c r="BB171" s="16" cm="1">
        <f t="array" aca="1" ref="BB17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26</v>
      </c>
      <c r="BC171" s="21">
        <f>Tabela1[[#This Row],[DATA PREV - CONCL. TREIN.]]+$BC$1</f>
        <v>46002</v>
      </c>
      <c r="BD171" s="74">
        <v>46001</v>
      </c>
      <c r="BE171" s="16" cm="1">
        <f t="array" aca="1" ref="BE17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171" s="21">
        <f>Tabela1[[#This Row],[DATA PREV - DOSSIÊ]]+$BF$1</f>
        <v>46005</v>
      </c>
      <c r="BG171" s="74">
        <v>46037</v>
      </c>
      <c r="BH171" s="16" cm="1">
        <f t="array" aca="1" ref="BH17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33</v>
      </c>
      <c r="BI171" s="21">
        <f>Tabela1[[#This Row],[DATA PREV - POSTAGEM]]+$BI$1</f>
        <v>46011</v>
      </c>
      <c r="BJ171" s="74">
        <v>46045</v>
      </c>
      <c r="BK171" s="16" cm="1">
        <f t="array" aca="1" ref="BK17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35</v>
      </c>
      <c r="BL171" s="21">
        <f>Tabela1[[#This Row],[DATA PREV - APROV FINAL]]+$BL$1</f>
        <v>46012</v>
      </c>
      <c r="BM171" s="74">
        <v>46045</v>
      </c>
      <c r="BN171" s="16" cm="1">
        <f t="array" aca="1" ref="BN17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34</v>
      </c>
      <c r="BO171" s="80" t="s">
        <v>588</v>
      </c>
    </row>
    <row r="172" spans="2:67" ht="18" hidden="1" customHeight="1" x14ac:dyDescent="0.35">
      <c r="B172" s="14" t="s">
        <v>79</v>
      </c>
      <c r="C172" s="82" t="s">
        <v>136</v>
      </c>
      <c r="D172" s="16" t="s">
        <v>81</v>
      </c>
      <c r="E172" s="121"/>
      <c r="F172" s="16" t="s">
        <v>361</v>
      </c>
      <c r="G172" s="16" cm="1">
        <f t="array" ref="G172">_xlfn.IFS(Tabela1[[#This Row],[STATUS PROCESSO MOBILIZAÇÃO]]="Finalizado",1,Tabela1[[#This Row],[STATUS PROCESSO MOBILIZAÇÃO]]="Cancelado",2,Tabela1[[#This Row],[STATUS PROCESSO MOBILIZAÇÃO]]="Em andamento",3)</f>
        <v>1</v>
      </c>
      <c r="H172" s="16" cm="1">
        <f t="array" aca="1" ref="H17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FORMS]]="",$AM172&gt;$AK$1),2,
AND(Tabela1[[#This Row],[STATUS PROCESSO MOBILIZAÇÃO]]="Em andamento",Tabela1[[#This Row],[DATA REAL - FORMS]]="",$AM172&lt;=$AK$1),3,
AND(Tabela1[[#This Row],[STATUS PROCESSO MOBILIZAÇÃO]]="Em andamento",Tabela1[[#This Row],[DATA REAL - FORMS]]&lt;&gt;""),1)</f>
        <v>1</v>
      </c>
      <c r="I172" s="16" cm="1">
        <f t="array" aca="1" ref="I17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EXAMES]]="",$AP172&gt;$AN$1),2,
AND(Tabela1[[#This Row],[STATUS PROCESSO MOBILIZAÇÃO]]="Em andamento",Tabela1[[#This Row],[DATA REAL - EXAMES]]="",$AP172&lt;=$AN$1),3,
AND(Tabela1[[#This Row],[STATUS PROCESSO MOBILIZAÇÃO]]="Em andamento",Tabela1[[#This Row],[DATA REAL - EXAMES]]&lt;&gt;""),1)</f>
        <v>1</v>
      </c>
      <c r="J172" s="16" cm="1">
        <f t="array" aca="1" ref="J17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ASO]]="",$AS172&gt;$AQ$1),2,
AND(Tabela1[[#This Row],[STATUS PROCESSO MOBILIZAÇÃO]]="Em andamento",Tabela1[[#This Row],[DATA REAL - ASO]]="",$AS172&lt;=$AQ$1),3,
AND(Tabela1[[#This Row],[STATUS PROCESSO MOBILIZAÇÃO]]="Em andamento",Tabela1[[#This Row],[DATA REAL - ASO]]&lt;&gt;""),1)</f>
        <v>1</v>
      </c>
      <c r="K172" s="16" cm="1">
        <f t="array" aca="1" ref="K17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TREINAMENTOS]]="",$AV172&gt;$AT$1),2,
AND(Tabela1[[#This Row],[STATUS PROCESSO MOBILIZAÇÃO]]="Em andamento",Tabela1[[#This Row],[DATA REAL - TREINAMENTOS]]="",$AV172&lt;=$AT$1),3,
AND(Tabela1[[#This Row],[STATUS PROCESSO MOBILIZAÇÃO]]="Em andamento",Tabela1[[#This Row],[DATA REAL - TREINAMENTOS]]&lt;&gt;""),1)</f>
        <v>1</v>
      </c>
      <c r="L172" s="16" cm="1">
        <f t="array" aca="1" ref="L17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TREIN.]]="",$AY172&gt;$AW$1),2,
AND(Tabela1[[#This Row],[STATUS PROCESSO MOBILIZAÇÃO]]="Em andamento",Tabela1[[#This Row],[DATA REAL - CONCL. TREIN.]]="",$AY172&lt;=$AW$1),3,
AND(Tabela1[[#This Row],[STATUS PROCESSO MOBILIZAÇÃO]]="Em andamento",Tabela1[[#This Row],[DATA REAL - CONCL. TREIN.]]&lt;&gt;""),1)</f>
        <v>1</v>
      </c>
      <c r="M172" s="16" cm="1">
        <f t="array" aca="1" ref="M17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CONTRATUAL]]="",$BB172&gt;$AZ$1),2,
AND(Tabela1[[#This Row],[STATUS PROCESSO MOBILIZAÇÃO]]="Em andamento",Tabela1[[#This Row],[DATA FIM - ALTER. CONTRATUAL]]="",$BB172&lt;=$AZ$1),3,
AND(Tabela1[[#This Row],[STATUS PROCESSO MOBILIZAÇÃO]]="Em andamento",Tabela1[[#This Row],[DATA FIM - ALTER. CONTRATUAL]]&lt;&gt;""),1)</f>
        <v>1</v>
      </c>
      <c r="N172" s="16" cm="1">
        <f t="array" aca="1" ref="N17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DOSSIÊ]]="",$BE172&gt;$BC$1),2,
AND(Tabela1[[#This Row],[STATUS PROCESSO MOBILIZAÇÃO]]="Em andamento",Tabela1[[#This Row],[DATA REAL - DOSSIÊ]]="",$BE172&lt;=$BC$1),3,
AND(Tabela1[[#This Row],[STATUS PROCESSO MOBILIZAÇÃO]]="Em andamento",Tabela1[[#This Row],[DATA REAL - DOSSIÊ]]&lt;&gt;""),1)</f>
        <v>1</v>
      </c>
      <c r="O172" s="16" cm="1">
        <f t="array" aca="1" ref="O17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POSTAGEM]]="",$BH172&gt;$BF$1),2,
AND(Tabela1[[#This Row],[STATUS PROCESSO MOBILIZAÇÃO]]="Em andamento",Tabela1[[#This Row],[DATA REAL - POSTAGEM]]="",$BH172&lt;=$BF$1),3,
AND(Tabela1[[#This Row],[STATUS PROCESSO MOBILIZAÇÃO]]="Em andamento",Tabela1[[#This Row],[DATA REAL - POSTAGEM]]&lt;&gt;""),1)</f>
        <v>1</v>
      </c>
      <c r="P172" s="16" cm="1">
        <f t="array" aca="1" ref="P17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FINAL]]="",$BK172&gt;$BI$1),2,
AND(Tabela1[[#This Row],[STATUS PROCESSO MOBILIZAÇÃO]]="Em andamento",Tabela1[[#This Row],[DATA REAL - APROV FINAL]]="",$BK172&lt;=$BI$1),3,
AND(Tabela1[[#This Row],[STATUS PROCESSO MOBILIZAÇÃO]]="Em andamento",Tabela1[[#This Row],[DATA REAL - APROV FINAL]]&lt;&gt;""),1)</f>
        <v>1</v>
      </c>
      <c r="Q172" s="16" cm="1">
        <f t="array" aca="1" ref="Q17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CRACHÁ]]="",$BN172&gt;$BL$1),2,
AND(Tabela1[[#This Row],[STATUS PROCESSO MOBILIZAÇÃO]]="Em andamento",Tabela1[[#This Row],[DATA REAL - CRACHÁ]]="",$BN172&lt;=$BL$1),3,
AND(Tabela1[[#This Row],[STATUS PROCESSO MOBILIZAÇÃO]]="Em andamento",Tabela1[[#This Row],[DATA REAL - CRACHÁ]]&lt;&gt;""),1)</f>
        <v>1</v>
      </c>
      <c r="R172" s="21">
        <f>IF(Tabela1[[#This Row],[DATA REAL - FORMS]]&lt;&gt;"",Tabela1[[#This Row],[DATA REAL - FORMS]]+30,Tabela1[[#This Row],[DATA PREV - FORMS]]+35)</f>
        <v>46023</v>
      </c>
      <c r="S17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46044</v>
      </c>
      <c r="T17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51</v>
      </c>
      <c r="U17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49</v>
      </c>
      <c r="V172" s="49">
        <f>MAX(Tabela1[[#This Row],[DATA REAL - POSTAGEM]],Tabela1[[#This Row],[DATA REAL - APROV FINAL]],Tabela1[[#This Row],[DATA REAL - CRACHÁ]])-MIN(Tabela1[[#This Row],[DATA REAL - POSTAGEM]],Tabela1[[#This Row],[DATA REAL - APROV FINAL]],Tabela1[[#This Row],[DATA REAL - CRACHÁ]])+1</f>
        <v>3</v>
      </c>
      <c r="W17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2" s="15"/>
      <c r="Y172" s="16"/>
      <c r="Z172" s="18" t="s">
        <v>104</v>
      </c>
      <c r="AA172" s="18"/>
      <c r="AB172" s="93" t="s">
        <v>97</v>
      </c>
      <c r="AC172" s="16" t="s">
        <v>589</v>
      </c>
      <c r="AD172" s="16" t="s">
        <v>589</v>
      </c>
      <c r="AE172" s="16" t="s">
        <v>529</v>
      </c>
      <c r="AF172" s="16" t="s">
        <v>590</v>
      </c>
      <c r="AG172" s="16" t="str">
        <f>_xlfn.XLOOKUP(Tabela1[[#This Row],[CÓD. CT]],Controle_Projetos[COD CT],Controle_Projetos[COD PHD],"")</f>
        <v>VLIM-CT01-GERE</v>
      </c>
      <c r="AH172" s="21">
        <v>45993</v>
      </c>
      <c r="AI172" s="76">
        <v>45993</v>
      </c>
      <c r="AJ172" s="16" cm="1">
        <f t="array" aca="1" ref="AJ17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2" s="21">
        <v>45993</v>
      </c>
      <c r="AL172" s="74">
        <v>45993</v>
      </c>
      <c r="AM172" s="16" cm="1">
        <f t="array" aca="1" ref="AM17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2" s="21">
        <f>Tabela1[[#This Row],[DATA PREV - FORMS]]+$AN$1</f>
        <v>46000</v>
      </c>
      <c r="AO172" s="74">
        <v>45995</v>
      </c>
      <c r="AP172" s="16" cm="1">
        <f t="array" aca="1" ref="AP17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172" s="21">
        <f>Tabela1[[#This Row],[DATA PREV - EXAMES]]+$AQ$1</f>
        <v>46002</v>
      </c>
      <c r="AR172" s="74">
        <v>46000</v>
      </c>
      <c r="AS172" s="16" cm="1">
        <f t="array" aca="1" ref="AS17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72" s="21">
        <f>Tabela1[[#This Row],[DATA PREV - FORMS]]+$AT$1</f>
        <v>45994</v>
      </c>
      <c r="AU172" s="74">
        <v>46002</v>
      </c>
      <c r="AV172" s="16" cm="1">
        <f t="array" aca="1" ref="AV17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9</v>
      </c>
      <c r="AW172" s="21">
        <f>Tabela1[[#This Row],[DATA PREV - TREINAMENTOS]]+$AW$1</f>
        <v>46001</v>
      </c>
      <c r="AX172" s="74">
        <v>46003</v>
      </c>
      <c r="AY172" s="16" cm="1">
        <f t="array" aca="1" ref="AY17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172" s="24">
        <v>45969</v>
      </c>
      <c r="BA172" s="74">
        <v>45993</v>
      </c>
      <c r="BB172" s="16" cm="1">
        <f t="array" aca="1" ref="BB17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25</v>
      </c>
      <c r="BC172" s="21">
        <f>Tabela1[[#This Row],[DATA PREV - CONCL. TREIN.]]+$BC$1</f>
        <v>46003</v>
      </c>
      <c r="BD172" s="74">
        <v>46042</v>
      </c>
      <c r="BE172" s="16" cm="1">
        <f t="array" aca="1" ref="BE17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40</v>
      </c>
      <c r="BF172" s="21">
        <f>Tabela1[[#This Row],[DATA PREV - DOSSIÊ]]+$BF$1</f>
        <v>46006</v>
      </c>
      <c r="BG172" s="74">
        <v>46042</v>
      </c>
      <c r="BH172" s="16" cm="1">
        <f t="array" aca="1" ref="BH17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37</v>
      </c>
      <c r="BI172" s="21">
        <f>Tabela1[[#This Row],[DATA PREV - POSTAGEM]]+$BI$1</f>
        <v>46012</v>
      </c>
      <c r="BJ172" s="74">
        <v>46044</v>
      </c>
      <c r="BK172" s="16" cm="1">
        <f t="array" aca="1" ref="BK17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33</v>
      </c>
      <c r="BL172" s="21">
        <f>Tabela1[[#This Row],[DATA PREV - APROV FINAL]]+$BL$1</f>
        <v>46013</v>
      </c>
      <c r="BM172" s="74">
        <v>46044</v>
      </c>
      <c r="BN172" s="16" cm="1">
        <f t="array" aca="1" ref="BN17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32</v>
      </c>
      <c r="BO172" s="81" t="s">
        <v>591</v>
      </c>
    </row>
    <row r="173" spans="2:67" ht="18" hidden="1" customHeight="1" x14ac:dyDescent="0.35">
      <c r="B173" s="14" t="s">
        <v>79</v>
      </c>
      <c r="C173" s="82" t="s">
        <v>136</v>
      </c>
      <c r="D173" s="16" t="s">
        <v>81</v>
      </c>
      <c r="E173" s="121"/>
      <c r="F173" s="16" t="s">
        <v>280</v>
      </c>
      <c r="G173" s="16" cm="1">
        <f t="array" ref="G173">_xlfn.IFS(Tabela1[[#This Row],[STATUS PROCESSO MOBILIZAÇÃO]]="Finalizado",1,Tabela1[[#This Row],[STATUS PROCESSO MOBILIZAÇÃO]]="Cancelado",2,Tabela1[[#This Row],[STATUS PROCESSO MOBILIZAÇÃO]]="Em andamento",3)</f>
        <v>1</v>
      </c>
      <c r="H173" s="16" cm="1">
        <f t="array" aca="1" ref="H17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FORMS]]="",$AM173&gt;$AK$1),2,
AND(Tabela1[[#This Row],[STATUS PROCESSO MOBILIZAÇÃO]]="Em andamento",Tabela1[[#This Row],[DATA REAL - FORMS]]="",$AM173&lt;=$AK$1),3,
AND(Tabela1[[#This Row],[STATUS PROCESSO MOBILIZAÇÃO]]="Em andamento",Tabela1[[#This Row],[DATA REAL - FORMS]]&lt;&gt;""),1)</f>
        <v>1</v>
      </c>
      <c r="I173" s="16" cm="1">
        <f t="array" aca="1" ref="I17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EXAMES]]="",$AP173&gt;$AN$1),2,
AND(Tabela1[[#This Row],[STATUS PROCESSO MOBILIZAÇÃO]]="Em andamento",Tabela1[[#This Row],[DATA REAL - EXAMES]]="",$AP173&lt;=$AN$1),3,
AND(Tabela1[[#This Row],[STATUS PROCESSO MOBILIZAÇÃO]]="Em andamento",Tabela1[[#This Row],[DATA REAL - EXAMES]]&lt;&gt;""),1)</f>
        <v>1</v>
      </c>
      <c r="J173" s="16" cm="1">
        <f t="array" aca="1" ref="J17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ASO]]="",$AS173&gt;$AQ$1),2,
AND(Tabela1[[#This Row],[STATUS PROCESSO MOBILIZAÇÃO]]="Em andamento",Tabela1[[#This Row],[DATA REAL - ASO]]="",$AS173&lt;=$AQ$1),3,
AND(Tabela1[[#This Row],[STATUS PROCESSO MOBILIZAÇÃO]]="Em andamento",Tabela1[[#This Row],[DATA REAL - ASO]]&lt;&gt;""),1)</f>
        <v>1</v>
      </c>
      <c r="K173" s="16" cm="1">
        <f t="array" aca="1" ref="K17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TREINAMENTOS]]="",$AV173&gt;$AT$1),2,
AND(Tabela1[[#This Row],[STATUS PROCESSO MOBILIZAÇÃO]]="Em andamento",Tabela1[[#This Row],[DATA REAL - TREINAMENTOS]]="",$AV173&lt;=$AT$1),3,
AND(Tabela1[[#This Row],[STATUS PROCESSO MOBILIZAÇÃO]]="Em andamento",Tabela1[[#This Row],[DATA REAL - TREINAMENTOS]]&lt;&gt;""),1)</f>
        <v>1</v>
      </c>
      <c r="L173" s="16" cm="1">
        <f t="array" aca="1" ref="L17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TREIN.]]="",$AY173&gt;$AW$1),2,
AND(Tabela1[[#This Row],[STATUS PROCESSO MOBILIZAÇÃO]]="Em andamento",Tabela1[[#This Row],[DATA REAL - CONCL. TREIN.]]="",$AY173&lt;=$AW$1),3,
AND(Tabela1[[#This Row],[STATUS PROCESSO MOBILIZAÇÃO]]="Em andamento",Tabela1[[#This Row],[DATA REAL - CONCL. TREIN.]]&lt;&gt;""),1)</f>
        <v>1</v>
      </c>
      <c r="M173" s="16" cm="1">
        <f t="array" aca="1" ref="M17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CONTRATUAL]]="",$BB173&gt;$AZ$1),2,
AND(Tabela1[[#This Row],[STATUS PROCESSO MOBILIZAÇÃO]]="Em andamento",Tabela1[[#This Row],[DATA FIM - ALTER. CONTRATUAL]]="",$BB173&lt;=$AZ$1),3,
AND(Tabela1[[#This Row],[STATUS PROCESSO MOBILIZAÇÃO]]="Em andamento",Tabela1[[#This Row],[DATA FIM - ALTER. CONTRATUAL]]&lt;&gt;""),1)</f>
        <v>1</v>
      </c>
      <c r="N173" s="16" cm="1">
        <f t="array" aca="1" ref="N17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DOSSIÊ]]="",$BE173&gt;$BC$1),2,
AND(Tabela1[[#This Row],[STATUS PROCESSO MOBILIZAÇÃO]]="Em andamento",Tabela1[[#This Row],[DATA REAL - DOSSIÊ]]="",$BE173&lt;=$BC$1),3,
AND(Tabela1[[#This Row],[STATUS PROCESSO MOBILIZAÇÃO]]="Em andamento",Tabela1[[#This Row],[DATA REAL - DOSSIÊ]]&lt;&gt;""),1)</f>
        <v>1</v>
      </c>
      <c r="O173" s="16" cm="1">
        <f t="array" aca="1" ref="O17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POSTAGEM]]="",$BH173&gt;$BF$1),2,
AND(Tabela1[[#This Row],[STATUS PROCESSO MOBILIZAÇÃO]]="Em andamento",Tabela1[[#This Row],[DATA REAL - POSTAGEM]]="",$BH173&lt;=$BF$1),3,
AND(Tabela1[[#This Row],[STATUS PROCESSO MOBILIZAÇÃO]]="Em andamento",Tabela1[[#This Row],[DATA REAL - POSTAGEM]]&lt;&gt;""),1)</f>
        <v>1</v>
      </c>
      <c r="P173" s="16" cm="1">
        <f t="array" aca="1" ref="P17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FINAL]]="",$BK173&gt;$BI$1),2,
AND(Tabela1[[#This Row],[STATUS PROCESSO MOBILIZAÇÃO]]="Em andamento",Tabela1[[#This Row],[DATA REAL - APROV FINAL]]="",$BK173&lt;=$BI$1),3,
AND(Tabela1[[#This Row],[STATUS PROCESSO MOBILIZAÇÃO]]="Em andamento",Tabela1[[#This Row],[DATA REAL - APROV FINAL]]&lt;&gt;""),1)</f>
        <v>1</v>
      </c>
      <c r="Q173" s="16" cm="1">
        <f t="array" aca="1" ref="Q17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CRACHÁ]]="",$BN173&gt;$BL$1),2,
AND(Tabela1[[#This Row],[STATUS PROCESSO MOBILIZAÇÃO]]="Em andamento",Tabela1[[#This Row],[DATA REAL - CRACHÁ]]="",$BN173&lt;=$BL$1),3,
AND(Tabela1[[#This Row],[STATUS PROCESSO MOBILIZAÇÃO]]="Em andamento",Tabela1[[#This Row],[DATA REAL - CRACHÁ]]&lt;&gt;""),1)</f>
        <v>1</v>
      </c>
      <c r="R173" s="21">
        <f>IF(Tabela1[[#This Row],[DATA REAL - FORMS]]&lt;&gt;"",Tabela1[[#This Row],[DATA REAL - FORMS]]+30,Tabela1[[#This Row],[DATA PREV - FORMS]]+35)</f>
        <v>46024</v>
      </c>
      <c r="S17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46036</v>
      </c>
      <c r="T17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64</v>
      </c>
      <c r="U17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173" s="49">
        <f>MAX(Tabela1[[#This Row],[DATA REAL - POSTAGEM]],Tabela1[[#This Row],[DATA REAL - APROV FINAL]],Tabela1[[#This Row],[DATA REAL - CRACHÁ]])-MIN(Tabela1[[#This Row],[DATA REAL - POSTAGEM]],Tabela1[[#This Row],[DATA REAL - APROV FINAL]],Tabela1[[#This Row],[DATA REAL - CRACHÁ]])+1</f>
        <v>3</v>
      </c>
      <c r="W17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X173" s="15"/>
      <c r="Y173" s="16"/>
      <c r="Z173" s="18" t="s">
        <v>159</v>
      </c>
      <c r="AA173" s="18"/>
      <c r="AB173" s="93" t="s">
        <v>97</v>
      </c>
      <c r="AC173" s="16" t="s">
        <v>316</v>
      </c>
      <c r="AD173" s="16" t="s">
        <v>89</v>
      </c>
      <c r="AE173" s="16" t="s">
        <v>500</v>
      </c>
      <c r="AF173" s="16" t="s">
        <v>317</v>
      </c>
      <c r="AG173" s="16" t="str">
        <f>_xlfn.XLOOKUP(Tabela1[[#This Row],[CÓD. CT]],Controle_Projetos[COD CT],Controle_Projetos[COD PHD],"")</f>
        <v>ELEV-CT02-PLAN</v>
      </c>
      <c r="AH173" s="21">
        <v>45994</v>
      </c>
      <c r="AI173" s="76">
        <v>45994</v>
      </c>
      <c r="AJ173" s="16" cm="1">
        <f t="array" aca="1" ref="AJ17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3" s="21">
        <v>45994</v>
      </c>
      <c r="AL173" s="74">
        <v>45994</v>
      </c>
      <c r="AM173" s="16" cm="1">
        <f t="array" aca="1" ref="AM17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3" s="21">
        <f>Tabela1[[#This Row],[DATA PREV - FORMS]]+$AN$1</f>
        <v>46001</v>
      </c>
      <c r="AO173" s="74">
        <v>45994</v>
      </c>
      <c r="AP173" s="16" cm="1">
        <f t="array" aca="1" ref="AP17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3" s="21">
        <f>Tabela1[[#This Row],[DATA PREV - EXAMES]]+$AQ$1</f>
        <v>46003</v>
      </c>
      <c r="AR173" s="74">
        <v>46008</v>
      </c>
      <c r="AS173" s="16" cm="1">
        <f t="array" aca="1" ref="AS17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73" s="21">
        <f>Tabela1[[#This Row],[DATA PREV - FORMS]]+$AT$1</f>
        <v>45995</v>
      </c>
      <c r="AU173" s="74">
        <v>46001</v>
      </c>
      <c r="AV173" s="16" cm="1">
        <f t="array" aca="1" ref="AV17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173" s="21">
        <f>Tabela1[[#This Row],[DATA PREV - TREINAMENTOS]]+$AW$1</f>
        <v>46002</v>
      </c>
      <c r="AX173" s="74">
        <v>46008</v>
      </c>
      <c r="AY173" s="16" cm="1">
        <f t="array" aca="1" ref="AY17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73" s="24">
        <v>45972</v>
      </c>
      <c r="BA173" s="74">
        <v>45972</v>
      </c>
      <c r="BB173" s="16" cm="1">
        <f t="array" aca="1" ref="BB17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73" s="21">
        <f>Tabela1[[#This Row],[DATA PREV - CONCL. TREIN.]]+$BC$1</f>
        <v>46004</v>
      </c>
      <c r="BD173" s="74">
        <v>46009</v>
      </c>
      <c r="BE173" s="16" cm="1">
        <f t="array" aca="1" ref="BE17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73" s="21">
        <f>Tabela1[[#This Row],[DATA PREV - DOSSIÊ]]+$BF$1</f>
        <v>46007</v>
      </c>
      <c r="BG173" s="74">
        <v>46034</v>
      </c>
      <c r="BH173" s="16" cm="1">
        <f t="array" aca="1" ref="BH17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28</v>
      </c>
      <c r="BI173" s="21">
        <f>Tabela1[[#This Row],[DATA PREV - POSTAGEM]]+$BI$1</f>
        <v>46013</v>
      </c>
      <c r="BJ173" s="74">
        <v>46036</v>
      </c>
      <c r="BK173" s="16" cm="1">
        <f t="array" aca="1" ref="BK17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24</v>
      </c>
      <c r="BL173" s="21">
        <f>Tabela1[[#This Row],[DATA PREV - APROV FINAL]]+$BL$1</f>
        <v>46014</v>
      </c>
      <c r="BM173" s="74">
        <v>46036</v>
      </c>
      <c r="BN173" s="16" cm="1">
        <f t="array" aca="1" ref="BN17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23</v>
      </c>
      <c r="BO173" s="81" t="s">
        <v>592</v>
      </c>
    </row>
    <row r="174" spans="2:67" ht="18" hidden="1" customHeight="1" x14ac:dyDescent="0.35">
      <c r="B174" s="14" t="s">
        <v>79</v>
      </c>
      <c r="C174" s="82" t="s">
        <v>136</v>
      </c>
      <c r="D174" s="16" t="s">
        <v>108</v>
      </c>
      <c r="E174" s="122">
        <v>413</v>
      </c>
      <c r="F174" s="16" t="s">
        <v>593</v>
      </c>
      <c r="G174" s="16" cm="1">
        <f t="array" ref="G174">_xlfn.IFS(Tabela1[[#This Row],[STATUS PROCESSO MOBILIZAÇÃO]]="Finalizado",1,Tabela1[[#This Row],[STATUS PROCESSO MOBILIZAÇÃO]]="Cancelado",2,Tabela1[[#This Row],[STATUS PROCESSO MOBILIZAÇÃO]]="Em andamento",3)</f>
        <v>1</v>
      </c>
      <c r="H174" s="16" cm="1">
        <f t="array" aca="1" ref="H17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FORMS]]="",$AM174&gt;$AK$1),2,
AND(Tabela1[[#This Row],[STATUS PROCESSO MOBILIZAÇÃO]]="Em andamento",Tabela1[[#This Row],[DATA REAL - FORMS]]="",$AM174&lt;=$AK$1),3,
AND(Tabela1[[#This Row],[STATUS PROCESSO MOBILIZAÇÃO]]="Em andamento",Tabela1[[#This Row],[DATA REAL - FORMS]]&lt;&gt;""),1)</f>
        <v>1</v>
      </c>
      <c r="I174" s="16" cm="1">
        <f t="array" aca="1" ref="I17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EXAMES]]="",$AP174&gt;$AN$1),2,
AND(Tabela1[[#This Row],[STATUS PROCESSO MOBILIZAÇÃO]]="Em andamento",Tabela1[[#This Row],[DATA REAL - EXAMES]]="",$AP174&lt;=$AN$1),3,
AND(Tabela1[[#This Row],[STATUS PROCESSO MOBILIZAÇÃO]]="Em andamento",Tabela1[[#This Row],[DATA REAL - EXAMES]]&lt;&gt;""),1)</f>
        <v>1</v>
      </c>
      <c r="J174" s="16" cm="1">
        <f t="array" aca="1" ref="J17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ASO]]="",$AS174&gt;$AQ$1),2,
AND(Tabela1[[#This Row],[STATUS PROCESSO MOBILIZAÇÃO]]="Em andamento",Tabela1[[#This Row],[DATA REAL - ASO]]="",$AS174&lt;=$AQ$1),3,
AND(Tabela1[[#This Row],[STATUS PROCESSO MOBILIZAÇÃO]]="Em andamento",Tabela1[[#This Row],[DATA REAL - ASO]]&lt;&gt;""),1)</f>
        <v>1</v>
      </c>
      <c r="K174" s="16" cm="1">
        <f t="array" aca="1" ref="K17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TREINAMENTOS]]="",$AV174&gt;$AT$1),2,
AND(Tabela1[[#This Row],[STATUS PROCESSO MOBILIZAÇÃO]]="Em andamento",Tabela1[[#This Row],[DATA REAL - TREINAMENTOS]]="",$AV174&lt;=$AT$1),3,
AND(Tabela1[[#This Row],[STATUS PROCESSO MOBILIZAÇÃO]]="Em andamento",Tabela1[[#This Row],[DATA REAL - TREINAMENTOS]]&lt;&gt;""),1)</f>
        <v>1</v>
      </c>
      <c r="L174" s="16" cm="1">
        <f t="array" aca="1" ref="L17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TREIN.]]="",$AY174&gt;$AW$1),2,
AND(Tabela1[[#This Row],[STATUS PROCESSO MOBILIZAÇÃO]]="Em andamento",Tabela1[[#This Row],[DATA REAL - CONCL. TREIN.]]="",$AY174&lt;=$AW$1),3,
AND(Tabela1[[#This Row],[STATUS PROCESSO MOBILIZAÇÃO]]="Em andamento",Tabela1[[#This Row],[DATA REAL - CONCL. TREIN.]]&lt;&gt;""),1)</f>
        <v>1</v>
      </c>
      <c r="M174" s="16" cm="1">
        <f t="array" aca="1" ref="M17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CONTRATUAL]]="",$BB174&gt;$AZ$1),2,
AND(Tabela1[[#This Row],[STATUS PROCESSO MOBILIZAÇÃO]]="Em andamento",Tabela1[[#This Row],[DATA FIM - ALTER. CONTRATUAL]]="",$BB174&lt;=$AZ$1),3,
AND(Tabela1[[#This Row],[STATUS PROCESSO MOBILIZAÇÃO]]="Em andamento",Tabela1[[#This Row],[DATA FIM - ALTER. CONTRATUAL]]&lt;&gt;""),1)</f>
        <v>1</v>
      </c>
      <c r="N174" s="16" cm="1">
        <f t="array" aca="1" ref="N17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DOSSIÊ]]="",$BE174&gt;$BC$1),2,
AND(Tabela1[[#This Row],[STATUS PROCESSO MOBILIZAÇÃO]]="Em andamento",Tabela1[[#This Row],[DATA REAL - DOSSIÊ]]="",$BE174&lt;=$BC$1),3,
AND(Tabela1[[#This Row],[STATUS PROCESSO MOBILIZAÇÃO]]="Em andamento",Tabela1[[#This Row],[DATA REAL - DOSSIÊ]]&lt;&gt;""),1)</f>
        <v>1</v>
      </c>
      <c r="O174" s="16" cm="1">
        <f t="array" aca="1" ref="O17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POSTAGEM]]="",$BH174&gt;$BF$1),2,
AND(Tabela1[[#This Row],[STATUS PROCESSO MOBILIZAÇÃO]]="Em andamento",Tabela1[[#This Row],[DATA REAL - POSTAGEM]]="",$BH174&lt;=$BF$1),3,
AND(Tabela1[[#This Row],[STATUS PROCESSO MOBILIZAÇÃO]]="Em andamento",Tabela1[[#This Row],[DATA REAL - POSTAGEM]]&lt;&gt;""),1)</f>
        <v>1</v>
      </c>
      <c r="P174" s="16" cm="1">
        <f t="array" aca="1" ref="P17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FINAL]]="",$BK174&gt;$BI$1),2,
AND(Tabela1[[#This Row],[STATUS PROCESSO MOBILIZAÇÃO]]="Em andamento",Tabela1[[#This Row],[DATA REAL - APROV FINAL]]="",$BK174&lt;=$BI$1),3,
AND(Tabela1[[#This Row],[STATUS PROCESSO MOBILIZAÇÃO]]="Em andamento",Tabela1[[#This Row],[DATA REAL - APROV FINAL]]&lt;&gt;""),1)</f>
        <v>1</v>
      </c>
      <c r="Q174" s="16" cm="1">
        <f t="array" aca="1" ref="Q17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CRACHÁ]]="",$BN174&gt;$BL$1),2,
AND(Tabela1[[#This Row],[STATUS PROCESSO MOBILIZAÇÃO]]="Em andamento",Tabela1[[#This Row],[DATA REAL - CRACHÁ]]="",$BN174&lt;=$BL$1),3,
AND(Tabela1[[#This Row],[STATUS PROCESSO MOBILIZAÇÃO]]="Em andamento",Tabela1[[#This Row],[DATA REAL - CRACHÁ]]&lt;&gt;""),1)</f>
        <v>1</v>
      </c>
      <c r="R174" s="21">
        <f>IF(Tabela1[[#This Row],[DATA REAL - FORMS]]&lt;&gt;"",Tabela1[[#This Row],[DATA REAL - FORMS]]+30,Tabela1[[#This Row],[DATA PREV - FORMS]]+35)</f>
        <v>46037</v>
      </c>
      <c r="S17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46057</v>
      </c>
      <c r="T17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57</v>
      </c>
      <c r="U17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44</v>
      </c>
      <c r="V174" s="49">
        <f>MAX(Tabela1[[#This Row],[DATA REAL - POSTAGEM]],Tabela1[[#This Row],[DATA REAL - APROV FINAL]],Tabela1[[#This Row],[DATA REAL - CRACHÁ]])-MIN(Tabela1[[#This Row],[DATA REAL - POSTAGEM]],Tabela1[[#This Row],[DATA REAL - APROV FINAL]],Tabela1[[#This Row],[DATA REAL - CRACHÁ]])+1</f>
        <v>14</v>
      </c>
      <c r="W17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4" s="15"/>
      <c r="Y174" s="16"/>
      <c r="Z174" s="18" t="s">
        <v>123</v>
      </c>
      <c r="AA174" s="18" t="s">
        <v>124</v>
      </c>
      <c r="AB174" s="93" t="s">
        <v>97</v>
      </c>
      <c r="AC174" s="16" t="s">
        <v>153</v>
      </c>
      <c r="AD174" s="16" t="s">
        <v>153</v>
      </c>
      <c r="AE174" s="16" t="s">
        <v>437</v>
      </c>
      <c r="AF174" s="16" t="s">
        <v>438</v>
      </c>
      <c r="AG174" s="16" t="str">
        <f>_xlfn.XLOOKUP(Tabela1[[#This Row],[CÓD. CT]],Controle_Projetos[COD CT],Controle_Projetos[COD PHD],"")</f>
        <v>ADMB-CT10-GRMS</v>
      </c>
      <c r="AH174" s="21">
        <v>46000</v>
      </c>
      <c r="AI174" s="76">
        <v>46000</v>
      </c>
      <c r="AJ174" s="16" cm="1">
        <f t="array" aca="1" ref="AJ17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4" s="21">
        <v>46000</v>
      </c>
      <c r="AL174" s="74">
        <v>46007</v>
      </c>
      <c r="AM174" s="16" cm="1">
        <f t="array" aca="1" ref="AM17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8</v>
      </c>
      <c r="AN174" s="21">
        <f>Tabela1[[#This Row],[DATA PREV - FORMS]]+$AN$1</f>
        <v>46007</v>
      </c>
      <c r="AO174" s="74">
        <v>46000</v>
      </c>
      <c r="AP174" s="16" cm="1">
        <f t="array" aca="1" ref="AP17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4" s="21">
        <f>Tabela1[[#This Row],[DATA PREV - EXAMES]]+$AQ$1</f>
        <v>46009</v>
      </c>
      <c r="AR174" s="74">
        <v>46000</v>
      </c>
      <c r="AS174" s="16" cm="1">
        <f t="array" aca="1" ref="AS17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74" s="21">
        <f>Tabela1[[#This Row],[DATA PREV - FORMS]]+$AT$1</f>
        <v>46001</v>
      </c>
      <c r="AU174" s="74">
        <v>46000</v>
      </c>
      <c r="AV174" s="16" cm="1">
        <f t="array" aca="1" ref="AV17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4" s="21">
        <f>Tabela1[[#This Row],[DATA PREV - TREINAMENTOS]]+$AW$1</f>
        <v>46008</v>
      </c>
      <c r="AX174" s="74">
        <v>46006</v>
      </c>
      <c r="AY174" s="16" cm="1">
        <f t="array" aca="1" ref="AY17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74" s="24">
        <v>46000</v>
      </c>
      <c r="BA174" s="74">
        <v>46044</v>
      </c>
      <c r="BB174" s="16" cm="1">
        <f t="array" aca="1" ref="BB17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45</v>
      </c>
      <c r="BC174" s="21">
        <f>Tabela1[[#This Row],[DATA PREV - CONCL. TREIN.]]+$BC$1</f>
        <v>46010</v>
      </c>
      <c r="BD174" s="74">
        <v>46044</v>
      </c>
      <c r="BE174" s="16" cm="1">
        <f t="array" aca="1" ref="BE17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35</v>
      </c>
      <c r="BF174" s="21">
        <f>Tabela1[[#This Row],[DATA PREV - DOSSIÊ]]+$BF$1</f>
        <v>46013</v>
      </c>
      <c r="BG174" s="74">
        <v>46044</v>
      </c>
      <c r="BH174" s="16" cm="1">
        <f t="array" aca="1" ref="BH17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32</v>
      </c>
      <c r="BI174" s="21">
        <f>Tabela1[[#This Row],[DATA PREV - POSTAGEM]]+$BI$1</f>
        <v>46019</v>
      </c>
      <c r="BJ174" s="74">
        <v>46056</v>
      </c>
      <c r="BK174" s="16" cm="1">
        <f t="array" aca="1" ref="BK17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38</v>
      </c>
      <c r="BL174" s="21">
        <f>Tabela1[[#This Row],[DATA PREV - APROV FINAL]]+$BL$1</f>
        <v>46020</v>
      </c>
      <c r="BM174" s="74">
        <v>46057</v>
      </c>
      <c r="BN174" s="16" cm="1">
        <f t="array" aca="1" ref="BN17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38</v>
      </c>
      <c r="BO174" s="81" t="s">
        <v>594</v>
      </c>
    </row>
    <row r="175" spans="2:67" ht="18" hidden="1" customHeight="1" x14ac:dyDescent="0.35">
      <c r="B175" s="14" t="s">
        <v>79</v>
      </c>
      <c r="C175" s="82" t="s">
        <v>136</v>
      </c>
      <c r="D175" s="16" t="s">
        <v>81</v>
      </c>
      <c r="E175" s="121"/>
      <c r="F175" s="16" t="s">
        <v>595</v>
      </c>
      <c r="G175" s="16" cm="1">
        <f t="array" ref="G175">_xlfn.IFS(Tabela1[[#This Row],[STATUS PROCESSO MOBILIZAÇÃO]]="Finalizado",1,Tabela1[[#This Row],[STATUS PROCESSO MOBILIZAÇÃO]]="Cancelado",2,Tabela1[[#This Row],[STATUS PROCESSO MOBILIZAÇÃO]]="Em andamento",3)</f>
        <v>1</v>
      </c>
      <c r="H175" s="16" cm="1">
        <f t="array" aca="1" ref="H17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FORMS]]="",$AM175&gt;$AK$1),2,
AND(Tabela1[[#This Row],[STATUS PROCESSO MOBILIZAÇÃO]]="Em andamento",Tabela1[[#This Row],[DATA REAL - FORMS]]="",$AM175&lt;=$AK$1),3,
AND(Tabela1[[#This Row],[STATUS PROCESSO MOBILIZAÇÃO]]="Em andamento",Tabela1[[#This Row],[DATA REAL - FORMS]]&lt;&gt;""),1)</f>
        <v>1</v>
      </c>
      <c r="I175" s="16" cm="1">
        <f t="array" aca="1" ref="I17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EXAMES]]="",$AP175&gt;$AN$1),2,
AND(Tabela1[[#This Row],[STATUS PROCESSO MOBILIZAÇÃO]]="Em andamento",Tabela1[[#This Row],[DATA REAL - EXAMES]]="",$AP175&lt;=$AN$1),3,
AND(Tabela1[[#This Row],[STATUS PROCESSO MOBILIZAÇÃO]]="Em andamento",Tabela1[[#This Row],[DATA REAL - EXAMES]]&lt;&gt;""),1)</f>
        <v>1</v>
      </c>
      <c r="J175" s="16" cm="1">
        <f t="array" aca="1" ref="J17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ASO]]="",$AS175&gt;$AQ$1),2,
AND(Tabela1[[#This Row],[STATUS PROCESSO MOBILIZAÇÃO]]="Em andamento",Tabela1[[#This Row],[DATA REAL - ASO]]="",$AS175&lt;=$AQ$1),3,
AND(Tabela1[[#This Row],[STATUS PROCESSO MOBILIZAÇÃO]]="Em andamento",Tabela1[[#This Row],[DATA REAL - ASO]]&lt;&gt;""),1)</f>
        <v>1</v>
      </c>
      <c r="K175" s="16" cm="1">
        <f t="array" aca="1" ref="K17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TREINAMENTOS]]="",$AV175&gt;$AT$1),2,
AND(Tabela1[[#This Row],[STATUS PROCESSO MOBILIZAÇÃO]]="Em andamento",Tabela1[[#This Row],[DATA REAL - TREINAMENTOS]]="",$AV175&lt;=$AT$1),3,
AND(Tabela1[[#This Row],[STATUS PROCESSO MOBILIZAÇÃO]]="Em andamento",Tabela1[[#This Row],[DATA REAL - TREINAMENTOS]]&lt;&gt;""),1)</f>
        <v>1</v>
      </c>
      <c r="L175" s="16" cm="1">
        <f t="array" aca="1" ref="L17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TREIN.]]="",$AY175&gt;$AW$1),2,
AND(Tabela1[[#This Row],[STATUS PROCESSO MOBILIZAÇÃO]]="Em andamento",Tabela1[[#This Row],[DATA REAL - CONCL. TREIN.]]="",$AY175&lt;=$AW$1),3,
AND(Tabela1[[#This Row],[STATUS PROCESSO MOBILIZAÇÃO]]="Em andamento",Tabela1[[#This Row],[DATA REAL - CONCL. TREIN.]]&lt;&gt;""),1)</f>
        <v>1</v>
      </c>
      <c r="M175" s="16" cm="1">
        <f t="array" aca="1" ref="M17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CONTRATUAL]]="",$BB175&gt;$AZ$1),2,
AND(Tabela1[[#This Row],[STATUS PROCESSO MOBILIZAÇÃO]]="Em andamento",Tabela1[[#This Row],[DATA FIM - ALTER. CONTRATUAL]]="",$BB175&lt;=$AZ$1),3,
AND(Tabela1[[#This Row],[STATUS PROCESSO MOBILIZAÇÃO]]="Em andamento",Tabela1[[#This Row],[DATA FIM - ALTER. CONTRATUAL]]&lt;&gt;""),1)</f>
        <v>1</v>
      </c>
      <c r="N175" s="16" cm="1">
        <f t="array" aca="1" ref="N17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DOSSIÊ]]="",$BE175&gt;$BC$1),2,
AND(Tabela1[[#This Row],[STATUS PROCESSO MOBILIZAÇÃO]]="Em andamento",Tabela1[[#This Row],[DATA REAL - DOSSIÊ]]="",$BE175&lt;=$BC$1),3,
AND(Tabela1[[#This Row],[STATUS PROCESSO MOBILIZAÇÃO]]="Em andamento",Tabela1[[#This Row],[DATA REAL - DOSSIÊ]]&lt;&gt;""),1)</f>
        <v>1</v>
      </c>
      <c r="O175" s="16" cm="1">
        <f t="array" aca="1" ref="O17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POSTAGEM]]="",$BH175&gt;$BF$1),2,
AND(Tabela1[[#This Row],[STATUS PROCESSO MOBILIZAÇÃO]]="Em andamento",Tabela1[[#This Row],[DATA REAL - POSTAGEM]]="",$BH175&lt;=$BF$1),3,
AND(Tabela1[[#This Row],[STATUS PROCESSO MOBILIZAÇÃO]]="Em andamento",Tabela1[[#This Row],[DATA REAL - POSTAGEM]]&lt;&gt;""),1)</f>
        <v>1</v>
      </c>
      <c r="P175" s="16" cm="1">
        <f t="array" aca="1" ref="P17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FINAL]]="",$BK175&gt;$BI$1),2,
AND(Tabela1[[#This Row],[STATUS PROCESSO MOBILIZAÇÃO]]="Em andamento",Tabela1[[#This Row],[DATA REAL - APROV FINAL]]="",$BK175&lt;=$BI$1),3,
AND(Tabela1[[#This Row],[STATUS PROCESSO MOBILIZAÇÃO]]="Em andamento",Tabela1[[#This Row],[DATA REAL - APROV FINAL]]&lt;&gt;""),1)</f>
        <v>1</v>
      </c>
      <c r="Q175" s="16" cm="1">
        <f t="array" aca="1" ref="Q17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CRACHÁ]]="",$BN175&gt;$BL$1),2,
AND(Tabela1[[#This Row],[STATUS PROCESSO MOBILIZAÇÃO]]="Em andamento",Tabela1[[#This Row],[DATA REAL - CRACHÁ]]="",$BN175&lt;=$BL$1),3,
AND(Tabela1[[#This Row],[STATUS PROCESSO MOBILIZAÇÃO]]="Em andamento",Tabela1[[#This Row],[DATA REAL - CRACHÁ]]&lt;&gt;""),1)</f>
        <v>1</v>
      </c>
      <c r="R175" s="21">
        <f>IF(Tabela1[[#This Row],[DATA REAL - FORMS]]&lt;&gt;"",Tabela1[[#This Row],[DATA REAL - FORMS]]+30,Tabela1[[#This Row],[DATA PREV - FORMS]]+35)</f>
        <v>46031</v>
      </c>
      <c r="S17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46013</v>
      </c>
      <c r="T17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17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75" s="49">
        <f>MAX(Tabela1[[#This Row],[DATA REAL - POSTAGEM]],Tabela1[[#This Row],[DATA REAL - APROV FINAL]],Tabela1[[#This Row],[DATA REAL - CRACHÁ]])-MIN(Tabela1[[#This Row],[DATA REAL - POSTAGEM]],Tabela1[[#This Row],[DATA REAL - APROV FINAL]],Tabela1[[#This Row],[DATA REAL - CRACHÁ]])+1</f>
        <v>1</v>
      </c>
      <c r="W17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5" s="15"/>
      <c r="Y175" s="16"/>
      <c r="Z175" s="18"/>
      <c r="AA175" s="18" t="s">
        <v>124</v>
      </c>
      <c r="AB175" s="93" t="s">
        <v>97</v>
      </c>
      <c r="AC175" s="16" t="s">
        <v>89</v>
      </c>
      <c r="AD175" s="16" t="s">
        <v>89</v>
      </c>
      <c r="AE175" s="16" t="s">
        <v>596</v>
      </c>
      <c r="AF175" s="16" t="s">
        <v>597</v>
      </c>
      <c r="AG175" s="16" t="str">
        <f>_xlfn.XLOOKUP(Tabela1[[#This Row],[CÓD. CT]],Controle_Projetos[COD CT],Controle_Projetos[COD PHD],"")</f>
        <v>VALE-CT03-TPDT</v>
      </c>
      <c r="AH175" s="21">
        <v>46001</v>
      </c>
      <c r="AI175" s="76">
        <v>46001</v>
      </c>
      <c r="AJ175" s="16" cm="1">
        <f t="array" aca="1" ref="AJ17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5" s="21">
        <v>46001</v>
      </c>
      <c r="AL175" s="74">
        <v>46001</v>
      </c>
      <c r="AM175" s="16" cm="1">
        <f t="array" aca="1" ref="AM17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5" s="21">
        <f>Tabela1[[#This Row],[DATA PREV - FORMS]]+$AN$1</f>
        <v>46008</v>
      </c>
      <c r="AO175" s="74">
        <v>46001</v>
      </c>
      <c r="AP175" s="16" cm="1">
        <f t="array" aca="1" ref="AP17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5" s="21">
        <f>Tabela1[[#This Row],[DATA PREV - EXAMES]]+$AQ$1</f>
        <v>46010</v>
      </c>
      <c r="AR175" s="74">
        <v>46010</v>
      </c>
      <c r="AS175" s="16" cm="1">
        <f t="array" aca="1" ref="AS17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75" s="21">
        <f>Tabela1[[#This Row],[DATA PREV - FORMS]]+$AT$1</f>
        <v>46002</v>
      </c>
      <c r="AU175" s="74">
        <v>46001</v>
      </c>
      <c r="AV175" s="16" cm="1">
        <f t="array" aca="1" ref="AV17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5" s="21">
        <f>Tabela1[[#This Row],[DATA PREV - TREINAMENTOS]]+$AW$1</f>
        <v>46009</v>
      </c>
      <c r="AX175" s="74">
        <v>46007</v>
      </c>
      <c r="AY175" s="16" cm="1">
        <f t="array" aca="1" ref="AY17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75" s="24">
        <v>45964</v>
      </c>
      <c r="BA175" s="74">
        <v>46001</v>
      </c>
      <c r="BB175" s="16" cm="1">
        <f t="array" aca="1" ref="BB17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38</v>
      </c>
      <c r="BC175" s="21">
        <f>Tabela1[[#This Row],[DATA PREV - CONCL. TREIN.]]+$BC$1</f>
        <v>46011</v>
      </c>
      <c r="BD175" s="74">
        <v>46013</v>
      </c>
      <c r="BE175" s="16" cm="1">
        <f t="array" aca="1" ref="BE17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75" s="21">
        <f>Tabela1[[#This Row],[DATA PREV - DOSSIÊ]]+$BF$1</f>
        <v>46014</v>
      </c>
      <c r="BG175" s="74">
        <v>46013</v>
      </c>
      <c r="BH175" s="16" cm="1">
        <f t="array" aca="1" ref="BH17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75" s="21">
        <f>Tabela1[[#This Row],[DATA PREV - POSTAGEM]]+$BI$1</f>
        <v>46020</v>
      </c>
      <c r="BJ175" s="74">
        <v>46013</v>
      </c>
      <c r="BK175" s="16" cm="1">
        <f t="array" aca="1" ref="BK17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175" s="21">
        <f>Tabela1[[#This Row],[DATA PREV - APROV FINAL]]+$BL$1</f>
        <v>46021</v>
      </c>
      <c r="BM175" s="74">
        <v>46013</v>
      </c>
      <c r="BN175" s="16" cm="1">
        <f t="array" aca="1" ref="BN17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175" s="80" t="s">
        <v>598</v>
      </c>
    </row>
    <row r="176" spans="2:67" ht="18" hidden="1" customHeight="1" x14ac:dyDescent="0.35">
      <c r="B176" s="14" t="s">
        <v>79</v>
      </c>
      <c r="C176" s="82" t="s">
        <v>136</v>
      </c>
      <c r="D176" s="16" t="s">
        <v>81</v>
      </c>
      <c r="E176" s="121"/>
      <c r="F176" s="16" t="s">
        <v>445</v>
      </c>
      <c r="G176" s="16" cm="1">
        <f t="array" ref="G176">_xlfn.IFS(Tabela1[[#This Row],[STATUS PROCESSO MOBILIZAÇÃO]]="Finalizado",1,Tabela1[[#This Row],[STATUS PROCESSO MOBILIZAÇÃO]]="Cancelado",2,Tabela1[[#This Row],[STATUS PROCESSO MOBILIZAÇÃO]]="Em andamento",3)</f>
        <v>1</v>
      </c>
      <c r="H176" s="16" cm="1">
        <f t="array" aca="1" ref="H17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FORMS]]="",$AM176&gt;$AK$1),2,
AND(Tabela1[[#This Row],[STATUS PROCESSO MOBILIZAÇÃO]]="Em andamento",Tabela1[[#This Row],[DATA REAL - FORMS]]="",$AM176&lt;=$AK$1),3,
AND(Tabela1[[#This Row],[STATUS PROCESSO MOBILIZAÇÃO]]="Em andamento",Tabela1[[#This Row],[DATA REAL - FORMS]]&lt;&gt;""),1)</f>
        <v>1</v>
      </c>
      <c r="I176" s="16" cm="1">
        <f t="array" aca="1" ref="I17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EXAMES]]="",$AP176&gt;$AN$1),2,
AND(Tabela1[[#This Row],[STATUS PROCESSO MOBILIZAÇÃO]]="Em andamento",Tabela1[[#This Row],[DATA REAL - EXAMES]]="",$AP176&lt;=$AN$1),3,
AND(Tabela1[[#This Row],[STATUS PROCESSO MOBILIZAÇÃO]]="Em andamento",Tabela1[[#This Row],[DATA REAL - EXAMES]]&lt;&gt;""),1)</f>
        <v>1</v>
      </c>
      <c r="J176" s="16" cm="1">
        <f t="array" aca="1" ref="J17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ASO]]="",$AS176&gt;$AQ$1),2,
AND(Tabela1[[#This Row],[STATUS PROCESSO MOBILIZAÇÃO]]="Em andamento",Tabela1[[#This Row],[DATA REAL - ASO]]="",$AS176&lt;=$AQ$1),3,
AND(Tabela1[[#This Row],[STATUS PROCESSO MOBILIZAÇÃO]]="Em andamento",Tabela1[[#This Row],[DATA REAL - ASO]]&lt;&gt;""),1)</f>
        <v>1</v>
      </c>
      <c r="K176" s="16" cm="1">
        <f t="array" aca="1" ref="K17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TREINAMENTOS]]="",$AV176&gt;$AT$1),2,
AND(Tabela1[[#This Row],[STATUS PROCESSO MOBILIZAÇÃO]]="Em andamento",Tabela1[[#This Row],[DATA REAL - TREINAMENTOS]]="",$AV176&lt;=$AT$1),3,
AND(Tabela1[[#This Row],[STATUS PROCESSO MOBILIZAÇÃO]]="Em andamento",Tabela1[[#This Row],[DATA REAL - TREINAMENTOS]]&lt;&gt;""),1)</f>
        <v>1</v>
      </c>
      <c r="L176" s="16" cm="1">
        <f t="array" aca="1" ref="L17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TREIN.]]="",$AY176&gt;$AW$1),2,
AND(Tabela1[[#This Row],[STATUS PROCESSO MOBILIZAÇÃO]]="Em andamento",Tabela1[[#This Row],[DATA REAL - CONCL. TREIN.]]="",$AY176&lt;=$AW$1),3,
AND(Tabela1[[#This Row],[STATUS PROCESSO MOBILIZAÇÃO]]="Em andamento",Tabela1[[#This Row],[DATA REAL - CONCL. TREIN.]]&lt;&gt;""),1)</f>
        <v>1</v>
      </c>
      <c r="M176" s="16" cm="1">
        <f t="array" aca="1" ref="M17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CONTRATUAL]]="",$BB176&gt;$AZ$1),2,
AND(Tabela1[[#This Row],[STATUS PROCESSO MOBILIZAÇÃO]]="Em andamento",Tabela1[[#This Row],[DATA FIM - ALTER. CONTRATUAL]]="",$BB176&lt;=$AZ$1),3,
AND(Tabela1[[#This Row],[STATUS PROCESSO MOBILIZAÇÃO]]="Em andamento",Tabela1[[#This Row],[DATA FIM - ALTER. CONTRATUAL]]&lt;&gt;""),1)</f>
        <v>1</v>
      </c>
      <c r="N176" s="16" cm="1">
        <f t="array" aca="1" ref="N17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DOSSIÊ]]="",$BE176&gt;$BC$1),2,
AND(Tabela1[[#This Row],[STATUS PROCESSO MOBILIZAÇÃO]]="Em andamento",Tabela1[[#This Row],[DATA REAL - DOSSIÊ]]="",$BE176&lt;=$BC$1),3,
AND(Tabela1[[#This Row],[STATUS PROCESSO MOBILIZAÇÃO]]="Em andamento",Tabela1[[#This Row],[DATA REAL - DOSSIÊ]]&lt;&gt;""),1)</f>
        <v>1</v>
      </c>
      <c r="O176" s="16" cm="1">
        <f t="array" aca="1" ref="O17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POSTAGEM]]="",$BH176&gt;$BF$1),2,
AND(Tabela1[[#This Row],[STATUS PROCESSO MOBILIZAÇÃO]]="Em andamento",Tabela1[[#This Row],[DATA REAL - POSTAGEM]]="",$BH176&lt;=$BF$1),3,
AND(Tabela1[[#This Row],[STATUS PROCESSO MOBILIZAÇÃO]]="Em andamento",Tabela1[[#This Row],[DATA REAL - POSTAGEM]]&lt;&gt;""),1)</f>
        <v>1</v>
      </c>
      <c r="P176" s="16" cm="1">
        <f t="array" aca="1" ref="P17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FINAL]]="",$BK176&gt;$BI$1),2,
AND(Tabela1[[#This Row],[STATUS PROCESSO MOBILIZAÇÃO]]="Em andamento",Tabela1[[#This Row],[DATA REAL - APROV FINAL]]="",$BK176&lt;=$BI$1),3,
AND(Tabela1[[#This Row],[STATUS PROCESSO MOBILIZAÇÃO]]="Em andamento",Tabela1[[#This Row],[DATA REAL - APROV FINAL]]&lt;&gt;""),1)</f>
        <v>1</v>
      </c>
      <c r="Q176" s="16" cm="1">
        <f t="array" aca="1" ref="Q17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CRACHÁ]]="",$BN176&gt;$BL$1),2,
AND(Tabela1[[#This Row],[STATUS PROCESSO MOBILIZAÇÃO]]="Em andamento",Tabela1[[#This Row],[DATA REAL - CRACHÁ]]="",$BN176&lt;=$BL$1),3,
AND(Tabela1[[#This Row],[STATUS PROCESSO MOBILIZAÇÃO]]="Em andamento",Tabela1[[#This Row],[DATA REAL - CRACHÁ]]&lt;&gt;""),1)</f>
        <v>1</v>
      </c>
      <c r="R176" s="21">
        <f>IF(Tabela1[[#This Row],[DATA REAL - FORMS]]&lt;&gt;"",Tabela1[[#This Row],[DATA REAL - FORMS]]+30,Tabela1[[#This Row],[DATA PREV - FORMS]]+35)</f>
        <v>46031</v>
      </c>
      <c r="S17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46013</v>
      </c>
      <c r="T17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17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76" s="49">
        <f>MAX(Tabela1[[#This Row],[DATA REAL - POSTAGEM]],Tabela1[[#This Row],[DATA REAL - APROV FINAL]],Tabela1[[#This Row],[DATA REAL - CRACHÁ]])-MIN(Tabela1[[#This Row],[DATA REAL - POSTAGEM]],Tabela1[[#This Row],[DATA REAL - APROV FINAL]],Tabela1[[#This Row],[DATA REAL - CRACHÁ]])+1</f>
        <v>1</v>
      </c>
      <c r="W17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6" s="15"/>
      <c r="Y176" s="16"/>
      <c r="Z176" s="18"/>
      <c r="AA176" s="18" t="s">
        <v>124</v>
      </c>
      <c r="AB176" s="93" t="s">
        <v>97</v>
      </c>
      <c r="AC176" s="16" t="s">
        <v>89</v>
      </c>
      <c r="AD176" s="16" t="s">
        <v>89</v>
      </c>
      <c r="AE176" s="16" t="s">
        <v>596</v>
      </c>
      <c r="AF176" s="16" t="s">
        <v>597</v>
      </c>
      <c r="AG176" s="16" t="str">
        <f>_xlfn.XLOOKUP(Tabela1[[#This Row],[CÓD. CT]],Controle_Projetos[COD CT],Controle_Projetos[COD PHD],"")</f>
        <v>VALE-CT03-TPDT</v>
      </c>
      <c r="AH176" s="21">
        <v>46001</v>
      </c>
      <c r="AI176" s="76">
        <v>46001</v>
      </c>
      <c r="AJ176" s="16" cm="1">
        <f t="array" aca="1" ref="AJ17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6" s="21">
        <v>46001</v>
      </c>
      <c r="AL176" s="74">
        <v>46001</v>
      </c>
      <c r="AM176" s="16" cm="1">
        <f t="array" aca="1" ref="AM17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6" s="21">
        <f>Tabela1[[#This Row],[DATA PREV - FORMS]]+$AN$1</f>
        <v>46008</v>
      </c>
      <c r="AO176" s="74">
        <v>46001</v>
      </c>
      <c r="AP176" s="16" cm="1">
        <f t="array" aca="1" ref="AP17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6" s="21">
        <f>Tabela1[[#This Row],[DATA PREV - EXAMES]]+$AQ$1</f>
        <v>46010</v>
      </c>
      <c r="AR176" s="74">
        <v>46003</v>
      </c>
      <c r="AS176" s="16" cm="1">
        <f t="array" aca="1" ref="AS17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76" s="21">
        <f>Tabela1[[#This Row],[DATA PREV - FORMS]]+$AT$1</f>
        <v>46002</v>
      </c>
      <c r="AU176" s="74">
        <v>46001</v>
      </c>
      <c r="AV176" s="16" cm="1">
        <f t="array" aca="1" ref="AV17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6" s="21">
        <f>Tabela1[[#This Row],[DATA PREV - TREINAMENTOS]]+$AW$1</f>
        <v>46009</v>
      </c>
      <c r="AX176" s="74">
        <v>46006</v>
      </c>
      <c r="AY176" s="16" cm="1">
        <f t="array" aca="1" ref="AY17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76" s="24">
        <v>45965</v>
      </c>
      <c r="BA176" s="74">
        <v>46001</v>
      </c>
      <c r="BB176" s="16" cm="1">
        <f t="array" aca="1" ref="BB17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37</v>
      </c>
      <c r="BC176" s="21">
        <f>Tabela1[[#This Row],[DATA PREV - CONCL. TREIN.]]+$BC$1</f>
        <v>46011</v>
      </c>
      <c r="BD176" s="74">
        <v>46013</v>
      </c>
      <c r="BE176" s="16" cm="1">
        <f t="array" aca="1" ref="BE17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76" s="21">
        <f>Tabela1[[#This Row],[DATA PREV - DOSSIÊ]]+$BF$1</f>
        <v>46014</v>
      </c>
      <c r="BG176" s="74">
        <v>46013</v>
      </c>
      <c r="BH176" s="16" cm="1">
        <f t="array" aca="1" ref="BH17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76" s="21">
        <f>Tabela1[[#This Row],[DATA PREV - POSTAGEM]]+$BI$1</f>
        <v>46020</v>
      </c>
      <c r="BJ176" s="74">
        <v>46013</v>
      </c>
      <c r="BK176" s="16" cm="1">
        <f t="array" aca="1" ref="BK17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176" s="21">
        <f>Tabela1[[#This Row],[DATA PREV - APROV FINAL]]+$BL$1</f>
        <v>46021</v>
      </c>
      <c r="BM176" s="74">
        <v>46013</v>
      </c>
      <c r="BN176" s="16" cm="1">
        <f t="array" aca="1" ref="BN17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176" s="80" t="s">
        <v>599</v>
      </c>
    </row>
    <row r="177" spans="2:67" ht="18" hidden="1" customHeight="1" x14ac:dyDescent="0.35">
      <c r="B177" s="84" t="s">
        <v>79</v>
      </c>
      <c r="C177" s="85" t="s">
        <v>136</v>
      </c>
      <c r="D177" s="86" t="s">
        <v>81</v>
      </c>
      <c r="E177" s="121"/>
      <c r="F177" s="86" t="s">
        <v>600</v>
      </c>
      <c r="G177" s="86" cm="1">
        <f t="array" ref="G177">_xlfn.IFS(Tabela1[[#This Row],[STATUS PROCESSO MOBILIZAÇÃO]]="Finalizado",1,Tabela1[[#This Row],[STATUS PROCESSO MOBILIZAÇÃO]]="Cancelado",2,Tabela1[[#This Row],[STATUS PROCESSO MOBILIZAÇÃO]]="Em andamento",3)</f>
        <v>1</v>
      </c>
      <c r="H177" s="86" cm="1">
        <f t="array" aca="1" ref="H17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FORMS]]="",$AM177&gt;$AK$1),2,
AND(Tabela1[[#This Row],[STATUS PROCESSO MOBILIZAÇÃO]]="Em andamento",Tabela1[[#This Row],[DATA REAL - FORMS]]="",$AM177&lt;=$AK$1),3,
AND(Tabela1[[#This Row],[STATUS PROCESSO MOBILIZAÇÃO]]="Em andamento",Tabela1[[#This Row],[DATA REAL - FORMS]]&lt;&gt;""),1)</f>
        <v>1</v>
      </c>
      <c r="I177" s="86" cm="1">
        <f t="array" aca="1" ref="I17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EXAMES]]="",$AP177&gt;$AN$1),2,
AND(Tabela1[[#This Row],[STATUS PROCESSO MOBILIZAÇÃO]]="Em andamento",Tabela1[[#This Row],[DATA REAL - EXAMES]]="",$AP177&lt;=$AN$1),3,
AND(Tabela1[[#This Row],[STATUS PROCESSO MOBILIZAÇÃO]]="Em andamento",Tabela1[[#This Row],[DATA REAL - EXAMES]]&lt;&gt;""),1)</f>
        <v>1</v>
      </c>
      <c r="J177" s="86" cm="1">
        <f t="array" aca="1" ref="J17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ASO]]="",$AS177&gt;$AQ$1),2,
AND(Tabela1[[#This Row],[STATUS PROCESSO MOBILIZAÇÃO]]="Em andamento",Tabela1[[#This Row],[DATA REAL - ASO]]="",$AS177&lt;=$AQ$1),3,
AND(Tabela1[[#This Row],[STATUS PROCESSO MOBILIZAÇÃO]]="Em andamento",Tabela1[[#This Row],[DATA REAL - ASO]]&lt;&gt;""),1)</f>
        <v>1</v>
      </c>
      <c r="K177" s="86" cm="1">
        <f t="array" aca="1" ref="K17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TREINAMENTOS]]="",$AV177&gt;$AT$1),2,
AND(Tabela1[[#This Row],[STATUS PROCESSO MOBILIZAÇÃO]]="Em andamento",Tabela1[[#This Row],[DATA REAL - TREINAMENTOS]]="",$AV177&lt;=$AT$1),3,
AND(Tabela1[[#This Row],[STATUS PROCESSO MOBILIZAÇÃO]]="Em andamento",Tabela1[[#This Row],[DATA REAL - TREINAMENTOS]]&lt;&gt;""),1)</f>
        <v>1</v>
      </c>
      <c r="L177" s="86" cm="1">
        <f t="array" aca="1" ref="L17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TREIN.]]="",$AY177&gt;$AW$1),2,
AND(Tabela1[[#This Row],[STATUS PROCESSO MOBILIZAÇÃO]]="Em andamento",Tabela1[[#This Row],[DATA REAL - CONCL. TREIN.]]="",$AY177&lt;=$AW$1),3,
AND(Tabela1[[#This Row],[STATUS PROCESSO MOBILIZAÇÃO]]="Em andamento",Tabela1[[#This Row],[DATA REAL - CONCL. TREIN.]]&lt;&gt;""),1)</f>
        <v>1</v>
      </c>
      <c r="M177" s="86" cm="1">
        <f t="array" aca="1" ref="M17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CONTRATUAL]]="",$BB177&gt;$AZ$1),2,
AND(Tabela1[[#This Row],[STATUS PROCESSO MOBILIZAÇÃO]]="Em andamento",Tabela1[[#This Row],[DATA FIM - ALTER. CONTRATUAL]]="",$BB177&lt;=$AZ$1),3,
AND(Tabela1[[#This Row],[STATUS PROCESSO MOBILIZAÇÃO]]="Em andamento",Tabela1[[#This Row],[DATA FIM - ALTER. CONTRATUAL]]&lt;&gt;""),1)</f>
        <v>1</v>
      </c>
      <c r="N177" s="86" cm="1">
        <f t="array" aca="1" ref="N17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DOSSIÊ]]="",$BE177&gt;$BC$1),2,
AND(Tabela1[[#This Row],[STATUS PROCESSO MOBILIZAÇÃO]]="Em andamento",Tabela1[[#This Row],[DATA REAL - DOSSIÊ]]="",$BE177&lt;=$BC$1),3,
AND(Tabela1[[#This Row],[STATUS PROCESSO MOBILIZAÇÃO]]="Em andamento",Tabela1[[#This Row],[DATA REAL - DOSSIÊ]]&lt;&gt;""),1)</f>
        <v>1</v>
      </c>
      <c r="O177" s="86" cm="1">
        <f t="array" aca="1" ref="O17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POSTAGEM]]="",$BH177&gt;$BF$1),2,
AND(Tabela1[[#This Row],[STATUS PROCESSO MOBILIZAÇÃO]]="Em andamento",Tabela1[[#This Row],[DATA REAL - POSTAGEM]]="",$BH177&lt;=$BF$1),3,
AND(Tabela1[[#This Row],[STATUS PROCESSO MOBILIZAÇÃO]]="Em andamento",Tabela1[[#This Row],[DATA REAL - POSTAGEM]]&lt;&gt;""),1)</f>
        <v>1</v>
      </c>
      <c r="P177" s="86" cm="1">
        <f t="array" aca="1" ref="P17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FINAL]]="",$BK177&gt;$BI$1),2,
AND(Tabela1[[#This Row],[STATUS PROCESSO MOBILIZAÇÃO]]="Em andamento",Tabela1[[#This Row],[DATA REAL - APROV FINAL]]="",$BK177&lt;=$BI$1),3,
AND(Tabela1[[#This Row],[STATUS PROCESSO MOBILIZAÇÃO]]="Em andamento",Tabela1[[#This Row],[DATA REAL - APROV FINAL]]&lt;&gt;""),1)</f>
        <v>1</v>
      </c>
      <c r="Q177" s="86" cm="1">
        <f t="array" aca="1" ref="Q17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CRACHÁ]]="",$BN177&gt;$BL$1),2,
AND(Tabela1[[#This Row],[STATUS PROCESSO MOBILIZAÇÃO]]="Em andamento",Tabela1[[#This Row],[DATA REAL - CRACHÁ]]="",$BN177&lt;=$BL$1),3,
AND(Tabela1[[#This Row],[STATUS PROCESSO MOBILIZAÇÃO]]="Em andamento",Tabela1[[#This Row],[DATA REAL - CRACHÁ]]&lt;&gt;""),1)</f>
        <v>1</v>
      </c>
      <c r="R177" s="87">
        <f>IF(Tabela1[[#This Row],[DATA REAL - FORMS]]&lt;&gt;"",Tabela1[[#This Row],[DATA REAL - FORMS]]+30,Tabela1[[#This Row],[DATA PREV - FORMS]]+35)</f>
        <v>46031</v>
      </c>
      <c r="S177"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46013</v>
      </c>
      <c r="T177"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177"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77" s="88">
        <f>MAX(Tabela1[[#This Row],[DATA REAL - POSTAGEM]],Tabela1[[#This Row],[DATA REAL - APROV FINAL]],Tabela1[[#This Row],[DATA REAL - CRACHÁ]])-MIN(Tabela1[[#This Row],[DATA REAL - POSTAGEM]],Tabela1[[#This Row],[DATA REAL - APROV FINAL]],Tabela1[[#This Row],[DATA REAL - CRACHÁ]])+1</f>
        <v>1</v>
      </c>
      <c r="W177"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7" s="15"/>
      <c r="Y177" s="86"/>
      <c r="Z177" s="18"/>
      <c r="AA177" s="18" t="s">
        <v>124</v>
      </c>
      <c r="AB177" s="93" t="s">
        <v>97</v>
      </c>
      <c r="AC177" s="86" t="s">
        <v>89</v>
      </c>
      <c r="AD177" s="86" t="s">
        <v>89</v>
      </c>
      <c r="AE177" s="86" t="s">
        <v>596</v>
      </c>
      <c r="AF177" s="86" t="s">
        <v>597</v>
      </c>
      <c r="AG177" s="86" t="str">
        <f>_xlfn.XLOOKUP(Tabela1[[#This Row],[CÓD. CT]],Controle_Projetos[COD CT],Controle_Projetos[COD PHD],"")</f>
        <v>VALE-CT03-TPDT</v>
      </c>
      <c r="AH177" s="87">
        <v>46001</v>
      </c>
      <c r="AI177" s="89">
        <v>46001</v>
      </c>
      <c r="AJ177" s="86" cm="1">
        <f t="array" aca="1" ref="AJ17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7" s="87">
        <v>46001</v>
      </c>
      <c r="AL177" s="90">
        <v>46001</v>
      </c>
      <c r="AM177" s="86" cm="1">
        <f t="array" aca="1" ref="AM17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7" s="21">
        <f>Tabela1[[#This Row],[DATA PREV - FORMS]]+$AN$1</f>
        <v>46008</v>
      </c>
      <c r="AO177" s="90">
        <v>46001</v>
      </c>
      <c r="AP177" s="86" cm="1">
        <f t="array" aca="1" ref="AP17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7" s="21">
        <f>Tabela1[[#This Row],[DATA PREV - EXAMES]]+$AQ$1</f>
        <v>46010</v>
      </c>
      <c r="AR177" s="90">
        <v>46008</v>
      </c>
      <c r="AS177" s="86" cm="1">
        <f t="array" aca="1" ref="AS17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77" s="21">
        <f>Tabela1[[#This Row],[DATA PREV - FORMS]]+$AT$1</f>
        <v>46002</v>
      </c>
      <c r="AU177" s="90">
        <v>46001</v>
      </c>
      <c r="AV177" s="86" cm="1">
        <f t="array" aca="1" ref="AV17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7" s="21">
        <f>Tabela1[[#This Row],[DATA PREV - TREINAMENTOS]]+$AW$1</f>
        <v>46009</v>
      </c>
      <c r="AX177" s="90">
        <v>46006</v>
      </c>
      <c r="AY177" s="86" cm="1">
        <f t="array" aca="1" ref="AY17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77" s="24">
        <v>45966</v>
      </c>
      <c r="BA177" s="90">
        <v>46001</v>
      </c>
      <c r="BB177" s="86" cm="1">
        <f t="array" aca="1" ref="BB17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36</v>
      </c>
      <c r="BC177" s="21">
        <f>Tabela1[[#This Row],[DATA PREV - CONCL. TREIN.]]+$BC$1</f>
        <v>46011</v>
      </c>
      <c r="BD177" s="90">
        <v>46013</v>
      </c>
      <c r="BE177" s="86" cm="1">
        <f t="array" aca="1" ref="BE17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77" s="21">
        <f>Tabela1[[#This Row],[DATA PREV - DOSSIÊ]]+$BF$1</f>
        <v>46014</v>
      </c>
      <c r="BG177" s="90">
        <v>46013</v>
      </c>
      <c r="BH177" s="86" cm="1">
        <f t="array" aca="1" ref="BH17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77" s="21">
        <f>Tabela1[[#This Row],[DATA PREV - POSTAGEM]]+$BI$1</f>
        <v>46020</v>
      </c>
      <c r="BJ177" s="90">
        <v>46013</v>
      </c>
      <c r="BK177" s="86" cm="1">
        <f t="array" aca="1" ref="BK17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177" s="21">
        <f>Tabela1[[#This Row],[DATA PREV - APROV FINAL]]+$BL$1</f>
        <v>46021</v>
      </c>
      <c r="BM177" s="90">
        <v>46013</v>
      </c>
      <c r="BN177" s="86" cm="1">
        <f t="array" aca="1" ref="BN17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177" s="92" t="s">
        <v>601</v>
      </c>
    </row>
    <row r="178" spans="2:67" ht="18" hidden="1" customHeight="1" x14ac:dyDescent="0.35">
      <c r="B178" s="14" t="s">
        <v>79</v>
      </c>
      <c r="C178" s="82" t="s">
        <v>136</v>
      </c>
      <c r="D178" s="16" t="s">
        <v>81</v>
      </c>
      <c r="E178" s="123"/>
      <c r="F178" s="16" t="s">
        <v>188</v>
      </c>
      <c r="G178" s="16" cm="1">
        <f t="array" ref="G178">_xlfn.IFS(Tabela1[[#This Row],[STATUS PROCESSO MOBILIZAÇÃO]]="Finalizado",1,Tabela1[[#This Row],[STATUS PROCESSO MOBILIZAÇÃO]]="Cancelado",2,Tabela1[[#This Row],[STATUS PROCESSO MOBILIZAÇÃO]]="Em andamento",3)</f>
        <v>1</v>
      </c>
      <c r="H178" s="16" cm="1">
        <f t="array" aca="1" ref="H17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FORMS]]="",$AM178&gt;$AK$1),2,
AND(Tabela1[[#This Row],[STATUS PROCESSO MOBILIZAÇÃO]]="Em andamento",Tabela1[[#This Row],[DATA REAL - FORMS]]="",$AM178&lt;=$AK$1),3,
AND(Tabela1[[#This Row],[STATUS PROCESSO MOBILIZAÇÃO]]="Em andamento",Tabela1[[#This Row],[DATA REAL - FORMS]]&lt;&gt;""),1)</f>
        <v>1</v>
      </c>
      <c r="I178" s="16" cm="1">
        <f t="array" aca="1" ref="I17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EXAMES]]="",$AP178&gt;$AN$1),2,
AND(Tabela1[[#This Row],[STATUS PROCESSO MOBILIZAÇÃO]]="Em andamento",Tabela1[[#This Row],[DATA REAL - EXAMES]]="",$AP178&lt;=$AN$1),3,
AND(Tabela1[[#This Row],[STATUS PROCESSO MOBILIZAÇÃO]]="Em andamento",Tabela1[[#This Row],[DATA REAL - EXAMES]]&lt;&gt;""),1)</f>
        <v>1</v>
      </c>
      <c r="J178" s="16" cm="1">
        <f t="array" aca="1" ref="J17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ASO]]="",$AS178&gt;$AQ$1),2,
AND(Tabela1[[#This Row],[STATUS PROCESSO MOBILIZAÇÃO]]="Em andamento",Tabela1[[#This Row],[DATA REAL - ASO]]="",$AS178&lt;=$AQ$1),3,
AND(Tabela1[[#This Row],[STATUS PROCESSO MOBILIZAÇÃO]]="Em andamento",Tabela1[[#This Row],[DATA REAL - ASO]]&lt;&gt;""),1)</f>
        <v>1</v>
      </c>
      <c r="K178" s="16" cm="1">
        <f t="array" aca="1" ref="K17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TREINAMENTOS]]="",$AV178&gt;$AT$1),2,
AND(Tabela1[[#This Row],[STATUS PROCESSO MOBILIZAÇÃO]]="Em andamento",Tabela1[[#This Row],[DATA REAL - TREINAMENTOS]]="",$AV178&lt;=$AT$1),3,
AND(Tabela1[[#This Row],[STATUS PROCESSO MOBILIZAÇÃO]]="Em andamento",Tabela1[[#This Row],[DATA REAL - TREINAMENTOS]]&lt;&gt;""),1)</f>
        <v>1</v>
      </c>
      <c r="L178" s="16" cm="1">
        <f t="array" aca="1" ref="L17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TREIN.]]="",$AY178&gt;$AW$1),2,
AND(Tabela1[[#This Row],[STATUS PROCESSO MOBILIZAÇÃO]]="Em andamento",Tabela1[[#This Row],[DATA REAL - CONCL. TREIN.]]="",$AY178&lt;=$AW$1),3,
AND(Tabela1[[#This Row],[STATUS PROCESSO MOBILIZAÇÃO]]="Em andamento",Tabela1[[#This Row],[DATA REAL - CONCL. TREIN.]]&lt;&gt;""),1)</f>
        <v>1</v>
      </c>
      <c r="M178" s="16" cm="1">
        <f t="array" aca="1" ref="M17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CONTRATUAL]]="",$BB178&gt;$AZ$1),2,
AND(Tabela1[[#This Row],[STATUS PROCESSO MOBILIZAÇÃO]]="Em andamento",Tabela1[[#This Row],[DATA FIM - ALTER. CONTRATUAL]]="",$BB178&lt;=$AZ$1),3,
AND(Tabela1[[#This Row],[STATUS PROCESSO MOBILIZAÇÃO]]="Em andamento",Tabela1[[#This Row],[DATA FIM - ALTER. CONTRATUAL]]&lt;&gt;""),1)</f>
        <v>1</v>
      </c>
      <c r="N178" s="16" cm="1">
        <f t="array" aca="1" ref="N17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DOSSIÊ]]="",$BE178&gt;$BC$1),2,
AND(Tabela1[[#This Row],[STATUS PROCESSO MOBILIZAÇÃO]]="Em andamento",Tabela1[[#This Row],[DATA REAL - DOSSIÊ]]="",$BE178&lt;=$BC$1),3,
AND(Tabela1[[#This Row],[STATUS PROCESSO MOBILIZAÇÃO]]="Em andamento",Tabela1[[#This Row],[DATA REAL - DOSSIÊ]]&lt;&gt;""),1)</f>
        <v>1</v>
      </c>
      <c r="O178" s="16" cm="1">
        <f t="array" aca="1" ref="O17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POSTAGEM]]="",$BH178&gt;$BF$1),2,
AND(Tabela1[[#This Row],[STATUS PROCESSO MOBILIZAÇÃO]]="Em andamento",Tabela1[[#This Row],[DATA REAL - POSTAGEM]]="",$BH178&lt;=$BF$1),3,
AND(Tabela1[[#This Row],[STATUS PROCESSO MOBILIZAÇÃO]]="Em andamento",Tabela1[[#This Row],[DATA REAL - POSTAGEM]]&lt;&gt;""),1)</f>
        <v>1</v>
      </c>
      <c r="P178" s="16" cm="1">
        <f t="array" aca="1" ref="P17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FINAL]]="",$BK178&gt;$BI$1),2,
AND(Tabela1[[#This Row],[STATUS PROCESSO MOBILIZAÇÃO]]="Em andamento",Tabela1[[#This Row],[DATA REAL - APROV FINAL]]="",$BK178&lt;=$BI$1),3,
AND(Tabela1[[#This Row],[STATUS PROCESSO MOBILIZAÇÃO]]="Em andamento",Tabela1[[#This Row],[DATA REAL - APROV FINAL]]&lt;&gt;""),1)</f>
        <v>1</v>
      </c>
      <c r="Q178" s="16" cm="1">
        <f t="array" aca="1" ref="Q17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CRACHÁ]]="",$BN178&gt;$BL$1),2,
AND(Tabela1[[#This Row],[STATUS PROCESSO MOBILIZAÇÃO]]="Em andamento",Tabela1[[#This Row],[DATA REAL - CRACHÁ]]="",$BN178&lt;=$BL$1),3,
AND(Tabela1[[#This Row],[STATUS PROCESSO MOBILIZAÇÃO]]="Em andamento",Tabela1[[#This Row],[DATA REAL - CRACHÁ]]&lt;&gt;""),1)</f>
        <v>1</v>
      </c>
      <c r="R178" s="21">
        <f>IF(Tabela1[[#This Row],[DATA REAL - FORMS]]&lt;&gt;"",Tabela1[[#This Row],[DATA REAL - FORMS]]+30,Tabela1[[#This Row],[DATA PREV - FORMS]]+35)</f>
        <v>46031</v>
      </c>
      <c r="S17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46030</v>
      </c>
      <c r="T17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59</v>
      </c>
      <c r="U17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78" s="49">
        <f>MAX(Tabela1[[#This Row],[DATA REAL - POSTAGEM]],Tabela1[[#This Row],[DATA REAL - APROV FINAL]],Tabela1[[#This Row],[DATA REAL - CRACHÁ]])-MIN(Tabela1[[#This Row],[DATA REAL - POSTAGEM]],Tabela1[[#This Row],[DATA REAL - APROV FINAL]],Tabela1[[#This Row],[DATA REAL - CRACHÁ]])+1</f>
        <v>18</v>
      </c>
      <c r="W17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X178" s="15"/>
      <c r="Y178" s="16"/>
      <c r="Z178" s="18"/>
      <c r="AA178" s="18" t="s">
        <v>124</v>
      </c>
      <c r="AB178" s="93" t="s">
        <v>87</v>
      </c>
      <c r="AC178" s="16" t="s">
        <v>89</v>
      </c>
      <c r="AD178" s="16" t="s">
        <v>89</v>
      </c>
      <c r="AE178" s="16" t="s">
        <v>596</v>
      </c>
      <c r="AF178" s="16" t="s">
        <v>597</v>
      </c>
      <c r="AG178" s="16" t="str">
        <f>_xlfn.XLOOKUP(Tabela1[[#This Row],[CÓD. CT]],Controle_Projetos[COD CT],Controle_Projetos[COD PHD],"")</f>
        <v>VALE-CT03-TPDT</v>
      </c>
      <c r="AH178" s="21">
        <v>46001</v>
      </c>
      <c r="AI178" s="76">
        <v>46001</v>
      </c>
      <c r="AJ178" s="16" cm="1">
        <f t="array" aca="1" ref="AJ17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8" s="21">
        <v>46001</v>
      </c>
      <c r="AL178" s="74">
        <v>46001</v>
      </c>
      <c r="AM178" s="16" cm="1">
        <f t="array" aca="1" ref="AM17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78" s="21">
        <f>Tabela1[[#This Row],[DATA PREV - FORMS]]+$AN$1</f>
        <v>46008</v>
      </c>
      <c r="AO178" s="74">
        <v>46001</v>
      </c>
      <c r="AP178" s="16" cm="1">
        <f t="array" aca="1" ref="AP17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8" s="21">
        <f>Tabela1[[#This Row],[DATA PREV - EXAMES]]+$AQ$1</f>
        <v>46010</v>
      </c>
      <c r="AR178" s="74">
        <v>46008</v>
      </c>
      <c r="AS178" s="16" cm="1">
        <f t="array" aca="1" ref="AS17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78" s="21">
        <f>Tabela1[[#This Row],[DATA PREV - FORMS]]+$AT$1</f>
        <v>46002</v>
      </c>
      <c r="AU178" s="74">
        <v>46001</v>
      </c>
      <c r="AV178" s="16" cm="1">
        <f t="array" aca="1" ref="AV17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8" s="21">
        <f>Tabela1[[#This Row],[DATA PREV - TREINAMENTOS]]+$AW$1</f>
        <v>46009</v>
      </c>
      <c r="AX178" s="74">
        <v>46007</v>
      </c>
      <c r="AY178" s="16" cm="1">
        <f t="array" aca="1" ref="AY17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78" s="24">
        <v>45971</v>
      </c>
      <c r="BA178" s="74">
        <v>45971</v>
      </c>
      <c r="BB178" s="16" cm="1">
        <f t="array" aca="1" ref="BB17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78" s="21">
        <f>Tabela1[[#This Row],[DATA PREV - CONCL. TREIN.]]+$BC$1</f>
        <v>46011</v>
      </c>
      <c r="BD178" s="74">
        <v>46013</v>
      </c>
      <c r="BE178" s="16" cm="1">
        <f t="array" aca="1" ref="BE17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78" s="21">
        <f>Tabela1[[#This Row],[DATA PREV - DOSSIÊ]]+$BF$1</f>
        <v>46014</v>
      </c>
      <c r="BG178" s="74">
        <v>46013</v>
      </c>
      <c r="BH178" s="16" cm="1">
        <f t="array" aca="1" ref="BH17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78" s="21">
        <f>Tabela1[[#This Row],[DATA PREV - POSTAGEM]]+$BI$1</f>
        <v>46020</v>
      </c>
      <c r="BJ178" s="74">
        <v>46029</v>
      </c>
      <c r="BK178" s="16" cm="1">
        <f t="array" aca="1" ref="BK17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78" s="21">
        <f>Tabela1[[#This Row],[DATA PREV - APROV FINAL]]+$BL$1</f>
        <v>46021</v>
      </c>
      <c r="BM178" s="74">
        <v>46030</v>
      </c>
      <c r="BN178" s="16" cm="1">
        <f t="array" aca="1" ref="BN17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178" s="81" t="s">
        <v>602</v>
      </c>
    </row>
    <row r="179" spans="2:67" ht="18" hidden="1" customHeight="1" x14ac:dyDescent="0.35">
      <c r="B179" s="14" t="s">
        <v>79</v>
      </c>
      <c r="C179" s="82" t="s">
        <v>136</v>
      </c>
      <c r="D179" s="16" t="s">
        <v>81</v>
      </c>
      <c r="E179" s="121"/>
      <c r="F179" s="16" t="s">
        <v>603</v>
      </c>
      <c r="G179" s="16" cm="1">
        <f t="array" ref="G179">_xlfn.IFS(Tabela1[[#This Row],[STATUS PROCESSO MOBILIZAÇÃO]]="Finalizado",1,Tabela1[[#This Row],[STATUS PROCESSO MOBILIZAÇÃO]]="Cancelado",2,Tabela1[[#This Row],[STATUS PROCESSO MOBILIZAÇÃO]]="Em andamento",3)</f>
        <v>1</v>
      </c>
      <c r="H179" s="16" cm="1">
        <f t="array" aca="1" ref="H17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FORMS]]="",$AM179&gt;$AK$1),2,
AND(Tabela1[[#This Row],[STATUS PROCESSO MOBILIZAÇÃO]]="Em andamento",Tabela1[[#This Row],[DATA REAL - FORMS]]="",$AM179&lt;=$AK$1),3,
AND(Tabela1[[#This Row],[STATUS PROCESSO MOBILIZAÇÃO]]="Em andamento",Tabela1[[#This Row],[DATA REAL - FORMS]]&lt;&gt;""),1)</f>
        <v>1</v>
      </c>
      <c r="I179" s="16" cm="1">
        <f t="array" aca="1" ref="I17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EXAMES]]="",$AP179&gt;$AN$1),2,
AND(Tabela1[[#This Row],[STATUS PROCESSO MOBILIZAÇÃO]]="Em andamento",Tabela1[[#This Row],[DATA REAL - EXAMES]]="",$AP179&lt;=$AN$1),3,
AND(Tabela1[[#This Row],[STATUS PROCESSO MOBILIZAÇÃO]]="Em andamento",Tabela1[[#This Row],[DATA REAL - EXAMES]]&lt;&gt;""),1)</f>
        <v>1</v>
      </c>
      <c r="J179" s="16" cm="1">
        <f t="array" aca="1" ref="J17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ASO]]="",$AS179&gt;$AQ$1),2,
AND(Tabela1[[#This Row],[STATUS PROCESSO MOBILIZAÇÃO]]="Em andamento",Tabela1[[#This Row],[DATA REAL - ASO]]="",$AS179&lt;=$AQ$1),3,
AND(Tabela1[[#This Row],[STATUS PROCESSO MOBILIZAÇÃO]]="Em andamento",Tabela1[[#This Row],[DATA REAL - ASO]]&lt;&gt;""),1)</f>
        <v>1</v>
      </c>
      <c r="K179" s="16" cm="1">
        <f t="array" aca="1" ref="K17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TREINAMENTOS]]="",$AV179&gt;$AT$1),2,
AND(Tabela1[[#This Row],[STATUS PROCESSO MOBILIZAÇÃO]]="Em andamento",Tabela1[[#This Row],[DATA REAL - TREINAMENTOS]]="",$AV179&lt;=$AT$1),3,
AND(Tabela1[[#This Row],[STATUS PROCESSO MOBILIZAÇÃO]]="Em andamento",Tabela1[[#This Row],[DATA REAL - TREINAMENTOS]]&lt;&gt;""),1)</f>
        <v>1</v>
      </c>
      <c r="L179" s="16" cm="1">
        <f t="array" aca="1" ref="L17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TREIN.]]="",$AY179&gt;$AW$1),2,
AND(Tabela1[[#This Row],[STATUS PROCESSO MOBILIZAÇÃO]]="Em andamento",Tabela1[[#This Row],[DATA REAL - CONCL. TREIN.]]="",$AY179&lt;=$AW$1),3,
AND(Tabela1[[#This Row],[STATUS PROCESSO MOBILIZAÇÃO]]="Em andamento",Tabela1[[#This Row],[DATA REAL - CONCL. TREIN.]]&lt;&gt;""),1)</f>
        <v>1</v>
      </c>
      <c r="M179" s="16" cm="1">
        <f t="array" aca="1" ref="M17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CONTRATUAL]]="",$BB179&gt;$AZ$1),2,
AND(Tabela1[[#This Row],[STATUS PROCESSO MOBILIZAÇÃO]]="Em andamento",Tabela1[[#This Row],[DATA FIM - ALTER. CONTRATUAL]]="",$BB179&lt;=$AZ$1),3,
AND(Tabela1[[#This Row],[STATUS PROCESSO MOBILIZAÇÃO]]="Em andamento",Tabela1[[#This Row],[DATA FIM - ALTER. CONTRATUAL]]&lt;&gt;""),1)</f>
        <v>1</v>
      </c>
      <c r="N179" s="16" cm="1">
        <f t="array" aca="1" ref="N17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DOSSIÊ]]="",$BE179&gt;$BC$1),2,
AND(Tabela1[[#This Row],[STATUS PROCESSO MOBILIZAÇÃO]]="Em andamento",Tabela1[[#This Row],[DATA REAL - DOSSIÊ]]="",$BE179&lt;=$BC$1),3,
AND(Tabela1[[#This Row],[STATUS PROCESSO MOBILIZAÇÃO]]="Em andamento",Tabela1[[#This Row],[DATA REAL - DOSSIÊ]]&lt;&gt;""),1)</f>
        <v>1</v>
      </c>
      <c r="O179" s="16" cm="1">
        <f t="array" aca="1" ref="O17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POSTAGEM]]="",$BH179&gt;$BF$1),2,
AND(Tabela1[[#This Row],[STATUS PROCESSO MOBILIZAÇÃO]]="Em andamento",Tabela1[[#This Row],[DATA REAL - POSTAGEM]]="",$BH179&lt;=$BF$1),3,
AND(Tabela1[[#This Row],[STATUS PROCESSO MOBILIZAÇÃO]]="Em andamento",Tabela1[[#This Row],[DATA REAL - POSTAGEM]]&lt;&gt;""),1)</f>
        <v>1</v>
      </c>
      <c r="P179" s="16" cm="1">
        <f t="array" aca="1" ref="P17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FINAL]]="",$BK179&gt;$BI$1),2,
AND(Tabela1[[#This Row],[STATUS PROCESSO MOBILIZAÇÃO]]="Em andamento",Tabela1[[#This Row],[DATA REAL - APROV FINAL]]="",$BK179&lt;=$BI$1),3,
AND(Tabela1[[#This Row],[STATUS PROCESSO MOBILIZAÇÃO]]="Em andamento",Tabela1[[#This Row],[DATA REAL - APROV FINAL]]&lt;&gt;""),1)</f>
        <v>1</v>
      </c>
      <c r="Q179" s="16" cm="1">
        <f t="array" aca="1" ref="Q17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CRACHÁ]]="",$BN179&gt;$BL$1),2,
AND(Tabela1[[#This Row],[STATUS PROCESSO MOBILIZAÇÃO]]="Em andamento",Tabela1[[#This Row],[DATA REAL - CRACHÁ]]="",$BN179&lt;=$BL$1),3,
AND(Tabela1[[#This Row],[STATUS PROCESSO MOBILIZAÇÃO]]="Em andamento",Tabela1[[#This Row],[DATA REAL - CRACHÁ]]&lt;&gt;""),1)</f>
        <v>1</v>
      </c>
      <c r="R179" s="21">
        <f>IF(Tabela1[[#This Row],[DATA REAL - FORMS]]&lt;&gt;"",Tabela1[[#This Row],[DATA REAL - FORMS]]+30,Tabela1[[#This Row],[DATA PREV - FORMS]]+35)</f>
        <v>46037</v>
      </c>
      <c r="S17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46036</v>
      </c>
      <c r="T17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U17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28</v>
      </c>
      <c r="V179" s="49">
        <f>MAX(Tabela1[[#This Row],[DATA REAL - POSTAGEM]],Tabela1[[#This Row],[DATA REAL - APROV FINAL]],Tabela1[[#This Row],[DATA REAL - CRACHÁ]])-MIN(Tabela1[[#This Row],[DATA REAL - POSTAGEM]],Tabela1[[#This Row],[DATA REAL - APROV FINAL]],Tabela1[[#This Row],[DATA REAL - CRACHÁ]])+1</f>
        <v>8</v>
      </c>
      <c r="W17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79" s="15"/>
      <c r="Y179" s="16"/>
      <c r="Z179" s="18"/>
      <c r="AA179" s="18" t="s">
        <v>124</v>
      </c>
      <c r="AB179" s="93" t="s">
        <v>97</v>
      </c>
      <c r="AC179" s="16" t="s">
        <v>89</v>
      </c>
      <c r="AD179" s="16" t="s">
        <v>89</v>
      </c>
      <c r="AE179" s="16" t="s">
        <v>596</v>
      </c>
      <c r="AF179" s="16" t="s">
        <v>597</v>
      </c>
      <c r="AG179" s="16" t="str">
        <f>_xlfn.XLOOKUP(Tabela1[[#This Row],[CÓD. CT]],Controle_Projetos[COD CT],Controle_Projetos[COD PHD],"")</f>
        <v>VALE-CT03-TPDT</v>
      </c>
      <c r="AH179" s="21">
        <v>46001</v>
      </c>
      <c r="AI179" s="76">
        <v>46001</v>
      </c>
      <c r="AJ179" s="16" cm="1">
        <f t="array" aca="1" ref="AJ17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79" s="21">
        <v>46001</v>
      </c>
      <c r="AL179" s="74">
        <v>46007</v>
      </c>
      <c r="AM179" s="16" cm="1">
        <f t="array" aca="1" ref="AM17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7</v>
      </c>
      <c r="AN179" s="21">
        <f>Tabela1[[#This Row],[DATA PREV - FORMS]]+$AN$1</f>
        <v>46008</v>
      </c>
      <c r="AO179" s="74">
        <v>46001</v>
      </c>
      <c r="AP179" s="16" cm="1">
        <f t="array" aca="1" ref="AP17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79" s="21">
        <f>Tabela1[[#This Row],[DATA PREV - EXAMES]]+$AQ$1</f>
        <v>46010</v>
      </c>
      <c r="AR179" s="74">
        <v>46008</v>
      </c>
      <c r="AS179" s="16" cm="1">
        <f t="array" aca="1" ref="AS17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79" s="21">
        <f>Tabela1[[#This Row],[DATA PREV - FORMS]]+$AT$1</f>
        <v>46002</v>
      </c>
      <c r="AU179" s="74">
        <v>46001</v>
      </c>
      <c r="AV179" s="16" cm="1">
        <f t="array" aca="1" ref="AV17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79" s="21">
        <f>Tabela1[[#This Row],[DATA PREV - TREINAMENTOS]]+$AW$1</f>
        <v>46009</v>
      </c>
      <c r="AX179" s="74">
        <v>46021</v>
      </c>
      <c r="AY179" s="16" cm="1">
        <f t="array" aca="1" ref="AY17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13</v>
      </c>
      <c r="AZ179" s="24">
        <v>45974</v>
      </c>
      <c r="BA179" s="74">
        <v>46001</v>
      </c>
      <c r="BB179" s="16" cm="1">
        <f t="array" aca="1" ref="BB17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28</v>
      </c>
      <c r="BC179" s="21">
        <f>Tabela1[[#This Row],[DATA PREV - CONCL. TREIN.]]+$BC$1</f>
        <v>46011</v>
      </c>
      <c r="BD179" s="74">
        <v>46029</v>
      </c>
      <c r="BE179" s="16" cm="1">
        <f t="array" aca="1" ref="BE17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19</v>
      </c>
      <c r="BF179" s="21">
        <f>Tabela1[[#This Row],[DATA PREV - DOSSIÊ]]+$BF$1</f>
        <v>46014</v>
      </c>
      <c r="BG179" s="74">
        <v>46029</v>
      </c>
      <c r="BH179" s="16" cm="1">
        <f t="array" aca="1" ref="BH17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16</v>
      </c>
      <c r="BI179" s="21">
        <f>Tabela1[[#This Row],[DATA PREV - POSTAGEM]]+$BI$1</f>
        <v>46020</v>
      </c>
      <c r="BJ179" s="74">
        <v>46036</v>
      </c>
      <c r="BK179" s="16" cm="1">
        <f t="array" aca="1" ref="BK17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179" s="21">
        <f>Tabela1[[#This Row],[DATA PREV - APROV FINAL]]+$BL$1</f>
        <v>46021</v>
      </c>
      <c r="BM179" s="74">
        <v>46036</v>
      </c>
      <c r="BN179" s="16" cm="1">
        <f t="array" aca="1" ref="BN17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179" s="81" t="s">
        <v>604</v>
      </c>
    </row>
    <row r="180" spans="2:67" ht="18" hidden="1" customHeight="1" x14ac:dyDescent="0.35">
      <c r="B180" s="14" t="s">
        <v>79</v>
      </c>
      <c r="C180" s="82" t="s">
        <v>136</v>
      </c>
      <c r="D180" s="16" t="s">
        <v>108</v>
      </c>
      <c r="E180" s="121"/>
      <c r="F180" s="16" t="s">
        <v>223</v>
      </c>
      <c r="G180" s="16" cm="1">
        <f t="array" ref="G180">_xlfn.IFS(Tabela1[[#This Row],[STATUS PROCESSO MOBILIZAÇÃO]]="Finalizado",1,Tabela1[[#This Row],[STATUS PROCESSO MOBILIZAÇÃO]]="Cancelado",2,Tabela1[[#This Row],[STATUS PROCESSO MOBILIZAÇÃO]]="Em andamento",3)</f>
        <v>1</v>
      </c>
      <c r="H180" s="16" cm="1">
        <f t="array" aca="1" ref="H18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FORMS]]="",$AM180&gt;$AK$1),2,
AND(Tabela1[[#This Row],[STATUS PROCESSO MOBILIZAÇÃO]]="Em andamento",Tabela1[[#This Row],[DATA REAL - FORMS]]="",$AM180&lt;=$AK$1),3,
AND(Tabela1[[#This Row],[STATUS PROCESSO MOBILIZAÇÃO]]="Em andamento",Tabela1[[#This Row],[DATA REAL - FORMS]]&lt;&gt;""),1)</f>
        <v>1</v>
      </c>
      <c r="I180" s="16" cm="1">
        <f t="array" aca="1" ref="I18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EXAMES]]="",$AP180&gt;$AN$1),2,
AND(Tabela1[[#This Row],[STATUS PROCESSO MOBILIZAÇÃO]]="Em andamento",Tabela1[[#This Row],[DATA REAL - EXAMES]]="",$AP180&lt;=$AN$1),3,
AND(Tabela1[[#This Row],[STATUS PROCESSO MOBILIZAÇÃO]]="Em andamento",Tabela1[[#This Row],[DATA REAL - EXAMES]]&lt;&gt;""),1)</f>
        <v>1</v>
      </c>
      <c r="J180" s="16" cm="1">
        <f t="array" aca="1" ref="J18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ASO]]="",$AS180&gt;$AQ$1),2,
AND(Tabela1[[#This Row],[STATUS PROCESSO MOBILIZAÇÃO]]="Em andamento",Tabela1[[#This Row],[DATA REAL - ASO]]="",$AS180&lt;=$AQ$1),3,
AND(Tabela1[[#This Row],[STATUS PROCESSO MOBILIZAÇÃO]]="Em andamento",Tabela1[[#This Row],[DATA REAL - ASO]]&lt;&gt;""),1)</f>
        <v>1</v>
      </c>
      <c r="K180" s="16" cm="1">
        <f t="array" aca="1" ref="K18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TREINAMENTOS]]="",$AV180&gt;$AT$1),2,
AND(Tabela1[[#This Row],[STATUS PROCESSO MOBILIZAÇÃO]]="Em andamento",Tabela1[[#This Row],[DATA REAL - TREINAMENTOS]]="",$AV180&lt;=$AT$1),3,
AND(Tabela1[[#This Row],[STATUS PROCESSO MOBILIZAÇÃO]]="Em andamento",Tabela1[[#This Row],[DATA REAL - TREINAMENTOS]]&lt;&gt;""),1)</f>
        <v>1</v>
      </c>
      <c r="L180" s="16" cm="1">
        <f t="array" aca="1" ref="L18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TREIN.]]="",$AY180&gt;$AW$1),2,
AND(Tabela1[[#This Row],[STATUS PROCESSO MOBILIZAÇÃO]]="Em andamento",Tabela1[[#This Row],[DATA REAL - CONCL. TREIN.]]="",$AY180&lt;=$AW$1),3,
AND(Tabela1[[#This Row],[STATUS PROCESSO MOBILIZAÇÃO]]="Em andamento",Tabela1[[#This Row],[DATA REAL - CONCL. TREIN.]]&lt;&gt;""),1)</f>
        <v>1</v>
      </c>
      <c r="M180" s="16" cm="1">
        <f t="array" aca="1" ref="M18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CONTRATUAL]]="",$BB180&gt;$AZ$1),2,
AND(Tabela1[[#This Row],[STATUS PROCESSO MOBILIZAÇÃO]]="Em andamento",Tabela1[[#This Row],[DATA FIM - ALTER. CONTRATUAL]]="",$BB180&lt;=$AZ$1),3,
AND(Tabela1[[#This Row],[STATUS PROCESSO MOBILIZAÇÃO]]="Em andamento",Tabela1[[#This Row],[DATA FIM - ALTER. CONTRATUAL]]&lt;&gt;""),1)</f>
        <v>1</v>
      </c>
      <c r="N180" s="16" cm="1">
        <f t="array" aca="1" ref="N18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DOSSIÊ]]="",$BE180&gt;$BC$1),2,
AND(Tabela1[[#This Row],[STATUS PROCESSO MOBILIZAÇÃO]]="Em andamento",Tabela1[[#This Row],[DATA REAL - DOSSIÊ]]="",$BE180&lt;=$BC$1),3,
AND(Tabela1[[#This Row],[STATUS PROCESSO MOBILIZAÇÃO]]="Em andamento",Tabela1[[#This Row],[DATA REAL - DOSSIÊ]]&lt;&gt;""),1)</f>
        <v>1</v>
      </c>
      <c r="O180" s="16" cm="1">
        <f t="array" aca="1" ref="O18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POSTAGEM]]="",$BH180&gt;$BF$1),2,
AND(Tabela1[[#This Row],[STATUS PROCESSO MOBILIZAÇÃO]]="Em andamento",Tabela1[[#This Row],[DATA REAL - POSTAGEM]]="",$BH180&lt;=$BF$1),3,
AND(Tabela1[[#This Row],[STATUS PROCESSO MOBILIZAÇÃO]]="Em andamento",Tabela1[[#This Row],[DATA REAL - POSTAGEM]]&lt;&gt;""),1)</f>
        <v>1</v>
      </c>
      <c r="P180" s="16" cm="1">
        <f t="array" aca="1" ref="P18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FINAL]]="",$BK180&gt;$BI$1),2,
AND(Tabela1[[#This Row],[STATUS PROCESSO MOBILIZAÇÃO]]="Em andamento",Tabela1[[#This Row],[DATA REAL - APROV FINAL]]="",$BK180&lt;=$BI$1),3,
AND(Tabela1[[#This Row],[STATUS PROCESSO MOBILIZAÇÃO]]="Em andamento",Tabela1[[#This Row],[DATA REAL - APROV FINAL]]&lt;&gt;""),1)</f>
        <v>1</v>
      </c>
      <c r="Q180" s="16" cm="1">
        <f t="array" aca="1" ref="Q18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CRACHÁ]]="",$BN180&gt;$BL$1),2,
AND(Tabela1[[#This Row],[STATUS PROCESSO MOBILIZAÇÃO]]="Em andamento",Tabela1[[#This Row],[DATA REAL - CRACHÁ]]="",$BN180&lt;=$BL$1),3,
AND(Tabela1[[#This Row],[STATUS PROCESSO MOBILIZAÇÃO]]="Em andamento",Tabela1[[#This Row],[DATA REAL - CRACHÁ]]&lt;&gt;""),1)</f>
        <v>1</v>
      </c>
      <c r="R180" s="21">
        <f>IF(Tabela1[[#This Row],[DATA REAL - FORMS]]&lt;&gt;"",Tabela1[[#This Row],[DATA REAL - FORMS]]+30,Tabela1[[#This Row],[DATA PREV - FORMS]]+35)</f>
        <v>46037</v>
      </c>
      <c r="S18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46050</v>
      </c>
      <c r="T18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U18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41</v>
      </c>
      <c r="V180" s="49">
        <f>MAX(Tabela1[[#This Row],[DATA REAL - POSTAGEM]],Tabela1[[#This Row],[DATA REAL - APROV FINAL]],Tabela1[[#This Row],[DATA REAL - CRACHÁ]])-MIN(Tabela1[[#This Row],[DATA REAL - POSTAGEM]],Tabela1[[#This Row],[DATA REAL - APROV FINAL]],Tabela1[[#This Row],[DATA REAL - CRACHÁ]])+1</f>
        <v>44</v>
      </c>
      <c r="W18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X180" s="15"/>
      <c r="Y180" s="16"/>
      <c r="Z180" s="18" t="s">
        <v>204</v>
      </c>
      <c r="AA180" s="18" t="s">
        <v>86</v>
      </c>
      <c r="AB180" s="93" t="s">
        <v>97</v>
      </c>
      <c r="AC180" s="16" t="s">
        <v>235</v>
      </c>
      <c r="AD180" s="16" t="s">
        <v>468</v>
      </c>
      <c r="AE180" s="16" t="s">
        <v>469</v>
      </c>
      <c r="AF180" s="16" t="s">
        <v>605</v>
      </c>
      <c r="AG180" s="16" t="str">
        <f>_xlfn.XLOOKUP(Tabela1[[#This Row],[CÓD. CT]],Controle_Projetos[COD CT],Controle_Projetos[COD PHD],"")</f>
        <v>CCAP-CT15-PLAN</v>
      </c>
      <c r="AH180" s="21">
        <v>46007</v>
      </c>
      <c r="AI180" s="76">
        <v>46048</v>
      </c>
      <c r="AJ180" s="49" cm="1">
        <f t="array" aca="1" ref="AJ18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42</v>
      </c>
      <c r="AK180" s="21">
        <v>46007</v>
      </c>
      <c r="AL180" s="74">
        <v>46007</v>
      </c>
      <c r="AM180" s="16" cm="1">
        <f t="array" aca="1" ref="AM18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0" s="21">
        <f>Tabela1[[#This Row],[DATA PREV - FORMS]]+$AN$1</f>
        <v>46014</v>
      </c>
      <c r="AO180" s="74">
        <v>46007</v>
      </c>
      <c r="AP180" s="16" cm="1">
        <f t="array" aca="1" ref="AP18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0" s="21">
        <f>Tabela1[[#This Row],[DATA PREV - EXAMES]]+$AQ$1</f>
        <v>46016</v>
      </c>
      <c r="AR180" s="74">
        <v>46007</v>
      </c>
      <c r="AS180" s="16" cm="1">
        <f t="array" aca="1" ref="AS18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80" s="21">
        <f>Tabela1[[#This Row],[DATA PREV - FORMS]]+$AT$1</f>
        <v>46008</v>
      </c>
      <c r="AU180" s="74">
        <v>46007</v>
      </c>
      <c r="AV180" s="16" cm="1">
        <f t="array" aca="1" ref="AV18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0" s="21">
        <f>Tabela1[[#This Row],[DATA PREV - TREINAMENTOS]]+$AW$1</f>
        <v>46015</v>
      </c>
      <c r="AX180" s="74">
        <v>46007</v>
      </c>
      <c r="AY180" s="16" cm="1">
        <f t="array" aca="1" ref="AY18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80" s="24">
        <v>45968</v>
      </c>
      <c r="BA180" s="74">
        <v>46007</v>
      </c>
      <c r="BB180" s="16" cm="1">
        <f t="array" aca="1" ref="BB18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40</v>
      </c>
      <c r="BC180" s="21">
        <f>Tabela1[[#This Row],[DATA PREV - CONCL. TREIN.]]+$BC$1</f>
        <v>46017</v>
      </c>
      <c r="BD180" s="74">
        <v>46007</v>
      </c>
      <c r="BE180" s="16" cm="1">
        <f t="array" aca="1" ref="BE18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180" s="21">
        <f>Tabela1[[#This Row],[DATA PREV - DOSSIÊ]]+$BF$1</f>
        <v>46020</v>
      </c>
      <c r="BG180" s="74">
        <v>46007</v>
      </c>
      <c r="BH180" s="16" cm="1">
        <f t="array" aca="1" ref="BH18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180" s="21">
        <f>Tabela1[[#This Row],[DATA PREV - POSTAGEM]]+$BI$1</f>
        <v>46026</v>
      </c>
      <c r="BJ180" s="74">
        <v>46050</v>
      </c>
      <c r="BK180" s="16" cm="1">
        <f t="array" aca="1" ref="BK18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25</v>
      </c>
      <c r="BL180" s="21">
        <f>Tabela1[[#This Row],[DATA PREV - APROV FINAL]]+$BL$1</f>
        <v>46027</v>
      </c>
      <c r="BM180" s="74">
        <v>46050</v>
      </c>
      <c r="BN180" s="16" cm="1">
        <f t="array" aca="1" ref="BN18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24</v>
      </c>
      <c r="BO180" s="80" t="s">
        <v>606</v>
      </c>
    </row>
    <row r="181" spans="2:67" ht="18" hidden="1" customHeight="1" x14ac:dyDescent="0.35">
      <c r="B181" s="84" t="s">
        <v>79</v>
      </c>
      <c r="C181" s="85" t="s">
        <v>136</v>
      </c>
      <c r="D181" s="86" t="s">
        <v>108</v>
      </c>
      <c r="E181" s="122">
        <v>416</v>
      </c>
      <c r="F181" s="86" t="s">
        <v>342</v>
      </c>
      <c r="G181" s="86" cm="1">
        <f t="array" ref="G181">_xlfn.IFS(Tabela1[[#This Row],[STATUS PROCESSO MOBILIZAÇÃO]]="Finalizado",1,Tabela1[[#This Row],[STATUS PROCESSO MOBILIZAÇÃO]]="Cancelado",2,Tabela1[[#This Row],[STATUS PROCESSO MOBILIZAÇÃO]]="Em andamento",3)</f>
        <v>1</v>
      </c>
      <c r="H181" s="86" cm="1">
        <f t="array" aca="1" ref="H18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FORMS]]="",$AM181&gt;$AK$1),2,
AND(Tabela1[[#This Row],[STATUS PROCESSO MOBILIZAÇÃO]]="Em andamento",Tabela1[[#This Row],[DATA REAL - FORMS]]="",$AM181&lt;=$AK$1),3,
AND(Tabela1[[#This Row],[STATUS PROCESSO MOBILIZAÇÃO]]="Em andamento",Tabela1[[#This Row],[DATA REAL - FORMS]]&lt;&gt;""),1)</f>
        <v>1</v>
      </c>
      <c r="I181" s="86" cm="1">
        <f t="array" aca="1" ref="I18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EXAMES]]="",$AP181&gt;$AN$1),2,
AND(Tabela1[[#This Row],[STATUS PROCESSO MOBILIZAÇÃO]]="Em andamento",Tabela1[[#This Row],[DATA REAL - EXAMES]]="",$AP181&lt;=$AN$1),3,
AND(Tabela1[[#This Row],[STATUS PROCESSO MOBILIZAÇÃO]]="Em andamento",Tabela1[[#This Row],[DATA REAL - EXAMES]]&lt;&gt;""),1)</f>
        <v>1</v>
      </c>
      <c r="J181" s="86" cm="1">
        <f t="array" aca="1" ref="J18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ASO]]="",$AS181&gt;$AQ$1),2,
AND(Tabela1[[#This Row],[STATUS PROCESSO MOBILIZAÇÃO]]="Em andamento",Tabela1[[#This Row],[DATA REAL - ASO]]="",$AS181&lt;=$AQ$1),3,
AND(Tabela1[[#This Row],[STATUS PROCESSO MOBILIZAÇÃO]]="Em andamento",Tabela1[[#This Row],[DATA REAL - ASO]]&lt;&gt;""),1)</f>
        <v>1</v>
      </c>
      <c r="K181" s="86" cm="1">
        <f t="array" aca="1" ref="K18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TREINAMENTOS]]="",$AV181&gt;$AT$1),2,
AND(Tabela1[[#This Row],[STATUS PROCESSO MOBILIZAÇÃO]]="Em andamento",Tabela1[[#This Row],[DATA REAL - TREINAMENTOS]]="",$AV181&lt;=$AT$1),3,
AND(Tabela1[[#This Row],[STATUS PROCESSO MOBILIZAÇÃO]]="Em andamento",Tabela1[[#This Row],[DATA REAL - TREINAMENTOS]]&lt;&gt;""),1)</f>
        <v>1</v>
      </c>
      <c r="L181" s="86" cm="1">
        <f t="array" aca="1" ref="L18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TREIN.]]="",$AY181&gt;$AW$1),2,
AND(Tabela1[[#This Row],[STATUS PROCESSO MOBILIZAÇÃO]]="Em andamento",Tabela1[[#This Row],[DATA REAL - CONCL. TREIN.]]="",$AY181&lt;=$AW$1),3,
AND(Tabela1[[#This Row],[STATUS PROCESSO MOBILIZAÇÃO]]="Em andamento",Tabela1[[#This Row],[DATA REAL - CONCL. TREIN.]]&lt;&gt;""),1)</f>
        <v>1</v>
      </c>
      <c r="M181" s="86" cm="1">
        <f t="array" aca="1" ref="M18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CONTRATUAL]]="",$BB181&gt;$AZ$1),2,
AND(Tabela1[[#This Row],[STATUS PROCESSO MOBILIZAÇÃO]]="Em andamento",Tabela1[[#This Row],[DATA FIM - ALTER. CONTRATUAL]]="",$BB181&lt;=$AZ$1),3,
AND(Tabela1[[#This Row],[STATUS PROCESSO MOBILIZAÇÃO]]="Em andamento",Tabela1[[#This Row],[DATA FIM - ALTER. CONTRATUAL]]&lt;&gt;""),1)</f>
        <v>1</v>
      </c>
      <c r="N181" s="86" cm="1">
        <f t="array" aca="1" ref="N18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DOSSIÊ]]="",$BE181&gt;$BC$1),2,
AND(Tabela1[[#This Row],[STATUS PROCESSO MOBILIZAÇÃO]]="Em andamento",Tabela1[[#This Row],[DATA REAL - DOSSIÊ]]="",$BE181&lt;=$BC$1),3,
AND(Tabela1[[#This Row],[STATUS PROCESSO MOBILIZAÇÃO]]="Em andamento",Tabela1[[#This Row],[DATA REAL - DOSSIÊ]]&lt;&gt;""),1)</f>
        <v>1</v>
      </c>
      <c r="O181" s="86" cm="1">
        <f t="array" aca="1" ref="O18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POSTAGEM]]="",$BH181&gt;$BF$1),2,
AND(Tabela1[[#This Row],[STATUS PROCESSO MOBILIZAÇÃO]]="Em andamento",Tabela1[[#This Row],[DATA REAL - POSTAGEM]]="",$BH181&lt;=$BF$1),3,
AND(Tabela1[[#This Row],[STATUS PROCESSO MOBILIZAÇÃO]]="Em andamento",Tabela1[[#This Row],[DATA REAL - POSTAGEM]]&lt;&gt;""),1)</f>
        <v>1</v>
      </c>
      <c r="P181" s="86" cm="1">
        <f t="array" aca="1" ref="P18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FINAL]]="",$BK181&gt;$BI$1),2,
AND(Tabela1[[#This Row],[STATUS PROCESSO MOBILIZAÇÃO]]="Em andamento",Tabela1[[#This Row],[DATA REAL - APROV FINAL]]="",$BK181&lt;=$BI$1),3,
AND(Tabela1[[#This Row],[STATUS PROCESSO MOBILIZAÇÃO]]="Em andamento",Tabela1[[#This Row],[DATA REAL - APROV FINAL]]&lt;&gt;""),1)</f>
        <v>1</v>
      </c>
      <c r="Q181" s="86" cm="1">
        <f t="array" aca="1" ref="Q18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CRACHÁ]]="",$BN181&gt;$BL$1),2,
AND(Tabela1[[#This Row],[STATUS PROCESSO MOBILIZAÇÃO]]="Em andamento",Tabela1[[#This Row],[DATA REAL - CRACHÁ]]="",$BN181&lt;=$BL$1),3,
AND(Tabela1[[#This Row],[STATUS PROCESSO MOBILIZAÇÃO]]="Em andamento",Tabela1[[#This Row],[DATA REAL - CRACHÁ]]&lt;&gt;""),1)</f>
        <v>1</v>
      </c>
      <c r="R181" s="87">
        <f>IF(Tabela1[[#This Row],[DATA REAL - FORMS]]&lt;&gt;"",Tabela1[[#This Row],[DATA REAL - FORMS]]+30,Tabela1[[#This Row],[DATA PREV - FORMS]]+35)</f>
        <v>46037</v>
      </c>
      <c r="S181"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46042</v>
      </c>
      <c r="T181"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U181"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29</v>
      </c>
      <c r="V181" s="88">
        <f>MAX(Tabela1[[#This Row],[DATA REAL - POSTAGEM]],Tabela1[[#This Row],[DATA REAL - APROV FINAL]],Tabela1[[#This Row],[DATA REAL - CRACHÁ]])-MIN(Tabela1[[#This Row],[DATA REAL - POSTAGEM]],Tabela1[[#This Row],[DATA REAL - APROV FINAL]],Tabela1[[#This Row],[DATA REAL - CRACHÁ]])+1</f>
        <v>7</v>
      </c>
      <c r="W181"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X181" s="15" t="s">
        <v>515</v>
      </c>
      <c r="Y181" s="86" t="s">
        <v>130</v>
      </c>
      <c r="Z181" s="18" t="s">
        <v>607</v>
      </c>
      <c r="AA181" s="18" t="s">
        <v>131</v>
      </c>
      <c r="AB181" s="93" t="s">
        <v>97</v>
      </c>
      <c r="AC181" s="86" t="s">
        <v>89</v>
      </c>
      <c r="AD181" s="86" t="s">
        <v>89</v>
      </c>
      <c r="AE181" s="86" t="s">
        <v>596</v>
      </c>
      <c r="AF181" s="86" t="s">
        <v>406</v>
      </c>
      <c r="AG181" s="86" t="str">
        <f>_xlfn.XLOOKUP(Tabela1[[#This Row],[CÓD. CT]],Controle_Projetos[COD CT],Controle_Projetos[COD PHD],"")</f>
        <v>VALE-CT01-OC01</v>
      </c>
      <c r="AH181" s="87">
        <v>46007</v>
      </c>
      <c r="AI181" s="89">
        <v>46009</v>
      </c>
      <c r="AJ181" s="88" cm="1">
        <f t="array" aca="1" ref="AJ18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v>
      </c>
      <c r="AK181" s="87">
        <v>46007</v>
      </c>
      <c r="AL181" s="90">
        <v>46007</v>
      </c>
      <c r="AM181" s="86" cm="1">
        <f t="array" aca="1" ref="AM18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1" s="21">
        <f>Tabela1[[#This Row],[DATA PREV - FORMS]]+$AN$1</f>
        <v>46014</v>
      </c>
      <c r="AO181" s="90">
        <v>46007</v>
      </c>
      <c r="AP181" s="86" cm="1">
        <f t="array" aca="1" ref="AP18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1" s="21">
        <f>Tabela1[[#This Row],[DATA PREV - EXAMES]]+$AQ$1</f>
        <v>46016</v>
      </c>
      <c r="AR181" s="90">
        <v>46007</v>
      </c>
      <c r="AS181" s="86" cm="1">
        <f t="array" aca="1" ref="AS18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81" s="21">
        <f>Tabela1[[#This Row],[DATA PREV - FORMS]]+$AT$1</f>
        <v>46008</v>
      </c>
      <c r="AU181" s="90">
        <v>46007</v>
      </c>
      <c r="AV181" s="86" cm="1">
        <f t="array" aca="1" ref="AV18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1" s="21">
        <f>Tabela1[[#This Row],[DATA PREV - TREINAMENTOS]]+$AW$1</f>
        <v>46015</v>
      </c>
      <c r="AX181" s="90">
        <v>46007</v>
      </c>
      <c r="AY181" s="86" cm="1">
        <f t="array" aca="1" ref="AY18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81" s="24">
        <v>45975</v>
      </c>
      <c r="BA181" s="90">
        <v>46007</v>
      </c>
      <c r="BB181" s="86" cm="1">
        <f t="array" aca="1" ref="BB18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33</v>
      </c>
      <c r="BC181" s="21">
        <f>Tabela1[[#This Row],[DATA PREV - CONCL. TREIN.]]+$BC$1</f>
        <v>46017</v>
      </c>
      <c r="BD181" s="90">
        <v>46036</v>
      </c>
      <c r="BE181" s="86" cm="1">
        <f t="array" aca="1" ref="BE18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20</v>
      </c>
      <c r="BF181" s="21">
        <f>Tabela1[[#This Row],[DATA PREV - DOSSIÊ]]+$BF$1</f>
        <v>46020</v>
      </c>
      <c r="BG181" s="90">
        <v>46036</v>
      </c>
      <c r="BH181" s="86" cm="1">
        <f t="array" aca="1" ref="BH18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17</v>
      </c>
      <c r="BI181" s="21">
        <f>Tabela1[[#This Row],[DATA PREV - POSTAGEM]]+$BI$1</f>
        <v>46026</v>
      </c>
      <c r="BJ181" s="90">
        <v>46042</v>
      </c>
      <c r="BK181" s="86" cm="1">
        <f t="array" aca="1" ref="BK18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181" s="21">
        <f>Tabela1[[#This Row],[DATA PREV - APROV FINAL]]+$BL$1</f>
        <v>46027</v>
      </c>
      <c r="BM181" s="90">
        <v>46042</v>
      </c>
      <c r="BN181" s="86" cm="1">
        <f t="array" aca="1" ref="BN18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181" s="92" t="s">
        <v>608</v>
      </c>
    </row>
    <row r="182" spans="2:67" ht="18" hidden="1" customHeight="1" x14ac:dyDescent="0.35">
      <c r="B182" s="14" t="s">
        <v>79</v>
      </c>
      <c r="C182" s="82" t="s">
        <v>136</v>
      </c>
      <c r="D182" s="16" t="s">
        <v>108</v>
      </c>
      <c r="E182" s="122">
        <v>415</v>
      </c>
      <c r="F182" s="16" t="s">
        <v>404</v>
      </c>
      <c r="G182" s="16" cm="1">
        <f t="array" ref="G182">_xlfn.IFS(Tabela1[[#This Row],[STATUS PROCESSO MOBILIZAÇÃO]]="Finalizado",1,Tabela1[[#This Row],[STATUS PROCESSO MOBILIZAÇÃO]]="Cancelado",2,Tabela1[[#This Row],[STATUS PROCESSO MOBILIZAÇÃO]]="Em andamento",3)</f>
        <v>1</v>
      </c>
      <c r="H182" s="16" cm="1">
        <f t="array" aca="1" ref="H18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FORMS]]="",$AM182&gt;$AK$1),2,
AND(Tabela1[[#This Row],[STATUS PROCESSO MOBILIZAÇÃO]]="Em andamento",Tabela1[[#This Row],[DATA REAL - FORMS]]="",$AM182&lt;=$AK$1),3,
AND(Tabela1[[#This Row],[STATUS PROCESSO MOBILIZAÇÃO]]="Em andamento",Tabela1[[#This Row],[DATA REAL - FORMS]]&lt;&gt;""),1)</f>
        <v>1</v>
      </c>
      <c r="I182" s="16" cm="1">
        <f t="array" aca="1" ref="I18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EXAMES]]="",$AP182&gt;$AN$1),2,
AND(Tabela1[[#This Row],[STATUS PROCESSO MOBILIZAÇÃO]]="Em andamento",Tabela1[[#This Row],[DATA REAL - EXAMES]]="",$AP182&lt;=$AN$1),3,
AND(Tabela1[[#This Row],[STATUS PROCESSO MOBILIZAÇÃO]]="Em andamento",Tabela1[[#This Row],[DATA REAL - EXAMES]]&lt;&gt;""),1)</f>
        <v>1</v>
      </c>
      <c r="J182" s="16" cm="1">
        <f t="array" aca="1" ref="J18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ASO]]="",$AS182&gt;$AQ$1),2,
AND(Tabela1[[#This Row],[STATUS PROCESSO MOBILIZAÇÃO]]="Em andamento",Tabela1[[#This Row],[DATA REAL - ASO]]="",$AS182&lt;=$AQ$1),3,
AND(Tabela1[[#This Row],[STATUS PROCESSO MOBILIZAÇÃO]]="Em andamento",Tabela1[[#This Row],[DATA REAL - ASO]]&lt;&gt;""),1)</f>
        <v>1</v>
      </c>
      <c r="K182" s="16" cm="1">
        <f t="array" aca="1" ref="K18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TREINAMENTOS]]="",$AV182&gt;$AT$1),2,
AND(Tabela1[[#This Row],[STATUS PROCESSO MOBILIZAÇÃO]]="Em andamento",Tabela1[[#This Row],[DATA REAL - TREINAMENTOS]]="",$AV182&lt;=$AT$1),3,
AND(Tabela1[[#This Row],[STATUS PROCESSO MOBILIZAÇÃO]]="Em andamento",Tabela1[[#This Row],[DATA REAL - TREINAMENTOS]]&lt;&gt;""),1)</f>
        <v>1</v>
      </c>
      <c r="L182" s="16" cm="1">
        <f t="array" aca="1" ref="L18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TREIN.]]="",$AY182&gt;$AW$1),2,
AND(Tabela1[[#This Row],[STATUS PROCESSO MOBILIZAÇÃO]]="Em andamento",Tabela1[[#This Row],[DATA REAL - CONCL. TREIN.]]="",$AY182&lt;=$AW$1),3,
AND(Tabela1[[#This Row],[STATUS PROCESSO MOBILIZAÇÃO]]="Em andamento",Tabela1[[#This Row],[DATA REAL - CONCL. TREIN.]]&lt;&gt;""),1)</f>
        <v>1</v>
      </c>
      <c r="M182" s="16" cm="1">
        <f t="array" aca="1" ref="M18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CONTRATUAL]]="",$BB182&gt;$AZ$1),2,
AND(Tabela1[[#This Row],[STATUS PROCESSO MOBILIZAÇÃO]]="Em andamento",Tabela1[[#This Row],[DATA FIM - ALTER. CONTRATUAL]]="",$BB182&lt;=$AZ$1),3,
AND(Tabela1[[#This Row],[STATUS PROCESSO MOBILIZAÇÃO]]="Em andamento",Tabela1[[#This Row],[DATA FIM - ALTER. CONTRATUAL]]&lt;&gt;""),1)</f>
        <v>1</v>
      </c>
      <c r="N182" s="16" cm="1">
        <f t="array" aca="1" ref="N18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DOSSIÊ]]="",$BE182&gt;$BC$1),2,
AND(Tabela1[[#This Row],[STATUS PROCESSO MOBILIZAÇÃO]]="Em andamento",Tabela1[[#This Row],[DATA REAL - DOSSIÊ]]="",$BE182&lt;=$BC$1),3,
AND(Tabela1[[#This Row],[STATUS PROCESSO MOBILIZAÇÃO]]="Em andamento",Tabela1[[#This Row],[DATA REAL - DOSSIÊ]]&lt;&gt;""),1)</f>
        <v>1</v>
      </c>
      <c r="O182" s="16" cm="1">
        <f t="array" aca="1" ref="O18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POSTAGEM]]="",$BH182&gt;$BF$1),2,
AND(Tabela1[[#This Row],[STATUS PROCESSO MOBILIZAÇÃO]]="Em andamento",Tabela1[[#This Row],[DATA REAL - POSTAGEM]]="",$BH182&lt;=$BF$1),3,
AND(Tabela1[[#This Row],[STATUS PROCESSO MOBILIZAÇÃO]]="Em andamento",Tabela1[[#This Row],[DATA REAL - POSTAGEM]]&lt;&gt;""),1)</f>
        <v>1</v>
      </c>
      <c r="P182" s="16" cm="1">
        <f t="array" aca="1" ref="P18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FINAL]]="",$BK182&gt;$BI$1),2,
AND(Tabela1[[#This Row],[STATUS PROCESSO MOBILIZAÇÃO]]="Em andamento",Tabela1[[#This Row],[DATA REAL - APROV FINAL]]="",$BK182&lt;=$BI$1),3,
AND(Tabela1[[#This Row],[STATUS PROCESSO MOBILIZAÇÃO]]="Em andamento",Tabela1[[#This Row],[DATA REAL - APROV FINAL]]&lt;&gt;""),1)</f>
        <v>1</v>
      </c>
      <c r="Q182" s="16" cm="1">
        <f t="array" aca="1" ref="Q18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CRACHÁ]]="",$BN182&gt;$BL$1),2,
AND(Tabela1[[#This Row],[STATUS PROCESSO MOBILIZAÇÃO]]="Em andamento",Tabela1[[#This Row],[DATA REAL - CRACHÁ]]="",$BN182&lt;=$BL$1),3,
AND(Tabela1[[#This Row],[STATUS PROCESSO MOBILIZAÇÃO]]="Em andamento",Tabela1[[#This Row],[DATA REAL - CRACHÁ]]&lt;&gt;""),1)</f>
        <v>1</v>
      </c>
      <c r="R182" s="21">
        <f>IF(Tabela1[[#This Row],[DATA REAL - FORMS]]&lt;&gt;"",Tabela1[[#This Row],[DATA REAL - FORMS]]+30,Tabela1[[#This Row],[DATA PREV - FORMS]]+35)</f>
        <v>46037</v>
      </c>
      <c r="S18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46042</v>
      </c>
      <c r="T18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U18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29</v>
      </c>
      <c r="V182" s="49">
        <f>MAX(Tabela1[[#This Row],[DATA REAL - POSTAGEM]],Tabela1[[#This Row],[DATA REAL - APROV FINAL]],Tabela1[[#This Row],[DATA REAL - CRACHÁ]])-MIN(Tabela1[[#This Row],[DATA REAL - POSTAGEM]],Tabela1[[#This Row],[DATA REAL - APROV FINAL]],Tabela1[[#This Row],[DATA REAL - CRACHÁ]])+1</f>
        <v>7</v>
      </c>
      <c r="W18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X182" s="15" t="s">
        <v>515</v>
      </c>
      <c r="Y182" s="16" t="s">
        <v>130</v>
      </c>
      <c r="Z182" s="18" t="s">
        <v>607</v>
      </c>
      <c r="AA182" s="18" t="s">
        <v>131</v>
      </c>
      <c r="AB182" s="93" t="s">
        <v>97</v>
      </c>
      <c r="AC182" s="16" t="s">
        <v>89</v>
      </c>
      <c r="AD182" s="16" t="s">
        <v>89</v>
      </c>
      <c r="AE182" s="16" t="s">
        <v>596</v>
      </c>
      <c r="AF182" s="16" t="s">
        <v>406</v>
      </c>
      <c r="AG182" s="16" t="str">
        <f>_xlfn.XLOOKUP(Tabela1[[#This Row],[CÓD. CT]],Controle_Projetos[COD CT],Controle_Projetos[COD PHD],"")</f>
        <v>VALE-CT01-OC01</v>
      </c>
      <c r="AH182" s="21">
        <v>46007</v>
      </c>
      <c r="AI182" s="76">
        <v>46009</v>
      </c>
      <c r="AJ182" s="49" cm="1">
        <f t="array" aca="1" ref="AJ18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v>
      </c>
      <c r="AK182" s="21">
        <v>46007</v>
      </c>
      <c r="AL182" s="74">
        <v>46007</v>
      </c>
      <c r="AM182" s="16" cm="1">
        <f t="array" aca="1" ref="AM18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2" s="21">
        <f>Tabela1[[#This Row],[DATA PREV - FORMS]]+$AN$1</f>
        <v>46014</v>
      </c>
      <c r="AO182" s="74">
        <v>46007</v>
      </c>
      <c r="AP182" s="16" cm="1">
        <f t="array" aca="1" ref="AP18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2" s="21">
        <f>Tabela1[[#This Row],[DATA PREV - EXAMES]]+$AQ$1</f>
        <v>46016</v>
      </c>
      <c r="AR182" s="74">
        <v>46007</v>
      </c>
      <c r="AS182" s="16" cm="1">
        <f t="array" aca="1" ref="AS18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82" s="21">
        <f>Tabela1[[#This Row],[DATA PREV - FORMS]]+$AT$1</f>
        <v>46008</v>
      </c>
      <c r="AU182" s="74">
        <v>46007</v>
      </c>
      <c r="AV182" s="16" cm="1">
        <f t="array" aca="1" ref="AV18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2" s="21">
        <f>Tabela1[[#This Row],[DATA PREV - TREINAMENTOS]]+$AW$1</f>
        <v>46015</v>
      </c>
      <c r="AX182" s="74">
        <v>46007</v>
      </c>
      <c r="AY182" s="16" cm="1">
        <f t="array" aca="1" ref="AY18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82" s="24">
        <v>45976</v>
      </c>
      <c r="BA182" s="74">
        <v>46007</v>
      </c>
      <c r="BB182" s="16" cm="1">
        <f t="array" aca="1" ref="BB18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32</v>
      </c>
      <c r="BC182" s="21">
        <f>Tabela1[[#This Row],[DATA PREV - CONCL. TREIN.]]+$BC$1</f>
        <v>46017</v>
      </c>
      <c r="BD182" s="74">
        <v>46036</v>
      </c>
      <c r="BE182" s="16" cm="1">
        <f t="array" aca="1" ref="BE18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20</v>
      </c>
      <c r="BF182" s="21">
        <f>Tabela1[[#This Row],[DATA PREV - DOSSIÊ]]+$BF$1</f>
        <v>46020</v>
      </c>
      <c r="BG182" s="74">
        <v>46036</v>
      </c>
      <c r="BH182" s="16" cm="1">
        <f t="array" aca="1" ref="BH18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17</v>
      </c>
      <c r="BI182" s="21">
        <f>Tabela1[[#This Row],[DATA PREV - POSTAGEM]]+$BI$1</f>
        <v>46026</v>
      </c>
      <c r="BJ182" s="74">
        <v>46042</v>
      </c>
      <c r="BK182" s="16" cm="1">
        <f t="array" aca="1" ref="BK18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182" s="21">
        <f>Tabela1[[#This Row],[DATA PREV - APROV FINAL]]+$BL$1</f>
        <v>46027</v>
      </c>
      <c r="BM182" s="74">
        <v>46042</v>
      </c>
      <c r="BN182" s="16" cm="1">
        <f t="array" aca="1" ref="BN18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182" s="80" t="s">
        <v>609</v>
      </c>
    </row>
    <row r="183" spans="2:67" ht="18" hidden="1" customHeight="1" x14ac:dyDescent="0.35">
      <c r="B183" s="14" t="s">
        <v>79</v>
      </c>
      <c r="C183" s="82" t="s">
        <v>136</v>
      </c>
      <c r="D183" s="16" t="s">
        <v>108</v>
      </c>
      <c r="E183" s="122">
        <v>417</v>
      </c>
      <c r="F183" s="16" t="s">
        <v>336</v>
      </c>
      <c r="G183" s="16" cm="1">
        <f t="array" ref="G183">_xlfn.IFS(Tabela1[[#This Row],[STATUS PROCESSO MOBILIZAÇÃO]]="Finalizado",1,Tabela1[[#This Row],[STATUS PROCESSO MOBILIZAÇÃO]]="Cancelado",2,Tabela1[[#This Row],[STATUS PROCESSO MOBILIZAÇÃO]]="Em andamento",3)</f>
        <v>1</v>
      </c>
      <c r="H183" s="16" cm="1">
        <f t="array" aca="1" ref="H18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FORMS]]="",$AM183&gt;$AK$1),2,
AND(Tabela1[[#This Row],[STATUS PROCESSO MOBILIZAÇÃO]]="Em andamento",Tabela1[[#This Row],[DATA REAL - FORMS]]="",$AM183&lt;=$AK$1),3,
AND(Tabela1[[#This Row],[STATUS PROCESSO MOBILIZAÇÃO]]="Em andamento",Tabela1[[#This Row],[DATA REAL - FORMS]]&lt;&gt;""),1)</f>
        <v>1</v>
      </c>
      <c r="I183" s="16" cm="1">
        <f t="array" aca="1" ref="I18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EXAMES]]="",$AP183&gt;$AN$1),2,
AND(Tabela1[[#This Row],[STATUS PROCESSO MOBILIZAÇÃO]]="Em andamento",Tabela1[[#This Row],[DATA REAL - EXAMES]]="",$AP183&lt;=$AN$1),3,
AND(Tabela1[[#This Row],[STATUS PROCESSO MOBILIZAÇÃO]]="Em andamento",Tabela1[[#This Row],[DATA REAL - EXAMES]]&lt;&gt;""),1)</f>
        <v>1</v>
      </c>
      <c r="J183" s="16" cm="1">
        <f t="array" aca="1" ref="J18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ASO]]="",$AS183&gt;$AQ$1),2,
AND(Tabela1[[#This Row],[STATUS PROCESSO MOBILIZAÇÃO]]="Em andamento",Tabela1[[#This Row],[DATA REAL - ASO]]="",$AS183&lt;=$AQ$1),3,
AND(Tabela1[[#This Row],[STATUS PROCESSO MOBILIZAÇÃO]]="Em andamento",Tabela1[[#This Row],[DATA REAL - ASO]]&lt;&gt;""),1)</f>
        <v>1</v>
      </c>
      <c r="K183" s="16" cm="1">
        <f t="array" aca="1" ref="K18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TREINAMENTOS]]="",$AV183&gt;$AT$1),2,
AND(Tabela1[[#This Row],[STATUS PROCESSO MOBILIZAÇÃO]]="Em andamento",Tabela1[[#This Row],[DATA REAL - TREINAMENTOS]]="",$AV183&lt;=$AT$1),3,
AND(Tabela1[[#This Row],[STATUS PROCESSO MOBILIZAÇÃO]]="Em andamento",Tabela1[[#This Row],[DATA REAL - TREINAMENTOS]]&lt;&gt;""),1)</f>
        <v>1</v>
      </c>
      <c r="L183" s="16" cm="1">
        <f t="array" aca="1" ref="L18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TREIN.]]="",$AY183&gt;$AW$1),2,
AND(Tabela1[[#This Row],[STATUS PROCESSO MOBILIZAÇÃO]]="Em andamento",Tabela1[[#This Row],[DATA REAL - CONCL. TREIN.]]="",$AY183&lt;=$AW$1),3,
AND(Tabela1[[#This Row],[STATUS PROCESSO MOBILIZAÇÃO]]="Em andamento",Tabela1[[#This Row],[DATA REAL - CONCL. TREIN.]]&lt;&gt;""),1)</f>
        <v>1</v>
      </c>
      <c r="M183" s="16" cm="1">
        <f t="array" aca="1" ref="M18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CONTRATUAL]]="",$BB183&gt;$AZ$1),2,
AND(Tabela1[[#This Row],[STATUS PROCESSO MOBILIZAÇÃO]]="Em andamento",Tabela1[[#This Row],[DATA FIM - ALTER. CONTRATUAL]]="",$BB183&lt;=$AZ$1),3,
AND(Tabela1[[#This Row],[STATUS PROCESSO MOBILIZAÇÃO]]="Em andamento",Tabela1[[#This Row],[DATA FIM - ALTER. CONTRATUAL]]&lt;&gt;""),1)</f>
        <v>1</v>
      </c>
      <c r="N183" s="16" cm="1">
        <f t="array" aca="1" ref="N18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DOSSIÊ]]="",$BE183&gt;$BC$1),2,
AND(Tabela1[[#This Row],[STATUS PROCESSO MOBILIZAÇÃO]]="Em andamento",Tabela1[[#This Row],[DATA REAL - DOSSIÊ]]="",$BE183&lt;=$BC$1),3,
AND(Tabela1[[#This Row],[STATUS PROCESSO MOBILIZAÇÃO]]="Em andamento",Tabela1[[#This Row],[DATA REAL - DOSSIÊ]]&lt;&gt;""),1)</f>
        <v>1</v>
      </c>
      <c r="O183" s="16" cm="1">
        <f t="array" aca="1" ref="O18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POSTAGEM]]="",$BH183&gt;$BF$1),2,
AND(Tabela1[[#This Row],[STATUS PROCESSO MOBILIZAÇÃO]]="Em andamento",Tabela1[[#This Row],[DATA REAL - POSTAGEM]]="",$BH183&lt;=$BF$1),3,
AND(Tabela1[[#This Row],[STATUS PROCESSO MOBILIZAÇÃO]]="Em andamento",Tabela1[[#This Row],[DATA REAL - POSTAGEM]]&lt;&gt;""),1)</f>
        <v>1</v>
      </c>
      <c r="P183" s="16" cm="1">
        <f t="array" aca="1" ref="P18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FINAL]]="",$BK183&gt;$BI$1),2,
AND(Tabela1[[#This Row],[STATUS PROCESSO MOBILIZAÇÃO]]="Em andamento",Tabela1[[#This Row],[DATA REAL - APROV FINAL]]="",$BK183&lt;=$BI$1),3,
AND(Tabela1[[#This Row],[STATUS PROCESSO MOBILIZAÇÃO]]="Em andamento",Tabela1[[#This Row],[DATA REAL - APROV FINAL]]&lt;&gt;""),1)</f>
        <v>1</v>
      </c>
      <c r="Q183" s="16" cm="1">
        <f t="array" aca="1" ref="Q18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CRACHÁ]]="",$BN183&gt;$BL$1),2,
AND(Tabela1[[#This Row],[STATUS PROCESSO MOBILIZAÇÃO]]="Em andamento",Tabela1[[#This Row],[DATA REAL - CRACHÁ]]="",$BN183&lt;=$BL$1),3,
AND(Tabela1[[#This Row],[STATUS PROCESSO MOBILIZAÇÃO]]="Em andamento",Tabela1[[#This Row],[DATA REAL - CRACHÁ]]&lt;&gt;""),1)</f>
        <v>1</v>
      </c>
      <c r="R183" s="21">
        <f>IF(Tabela1[[#This Row],[DATA REAL - FORMS]]&lt;&gt;"",Tabela1[[#This Row],[DATA REAL - FORMS]]+30,Tabela1[[#This Row],[DATA PREV - FORMS]]+35)</f>
        <v>46037</v>
      </c>
      <c r="S18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46042</v>
      </c>
      <c r="T18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35</v>
      </c>
      <c r="U18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29</v>
      </c>
      <c r="V183" s="49">
        <f>MAX(Tabela1[[#This Row],[DATA REAL - POSTAGEM]],Tabela1[[#This Row],[DATA REAL - APROV FINAL]],Tabela1[[#This Row],[DATA REAL - CRACHÁ]])-MIN(Tabela1[[#This Row],[DATA REAL - POSTAGEM]],Tabela1[[#This Row],[DATA REAL - APROV FINAL]],Tabela1[[#This Row],[DATA REAL - CRACHÁ]])+1</f>
        <v>7</v>
      </c>
      <c r="W18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X183" s="15" t="s">
        <v>515</v>
      </c>
      <c r="Y183" s="16" t="s">
        <v>130</v>
      </c>
      <c r="Z183" s="18" t="s">
        <v>607</v>
      </c>
      <c r="AA183" s="18" t="s">
        <v>131</v>
      </c>
      <c r="AB183" s="93" t="s">
        <v>97</v>
      </c>
      <c r="AC183" s="16" t="s">
        <v>89</v>
      </c>
      <c r="AD183" s="16" t="s">
        <v>89</v>
      </c>
      <c r="AE183" s="16" t="s">
        <v>596</v>
      </c>
      <c r="AF183" s="16" t="s">
        <v>406</v>
      </c>
      <c r="AG183" s="16" t="str">
        <f>_xlfn.XLOOKUP(Tabela1[[#This Row],[CÓD. CT]],Controle_Projetos[COD CT],Controle_Projetos[COD PHD],"")</f>
        <v>VALE-CT01-OC01</v>
      </c>
      <c r="AH183" s="21">
        <v>46007</v>
      </c>
      <c r="AI183" s="76">
        <v>46009</v>
      </c>
      <c r="AJ183" s="49" cm="1">
        <f t="array" aca="1" ref="AJ18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3</v>
      </c>
      <c r="AK183" s="21">
        <v>46007</v>
      </c>
      <c r="AL183" s="74">
        <v>46007</v>
      </c>
      <c r="AM183" s="16" cm="1">
        <f t="array" aca="1" ref="AM18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3" s="21">
        <f>Tabela1[[#This Row],[DATA PREV - FORMS]]+$AN$1</f>
        <v>46014</v>
      </c>
      <c r="AO183" s="74">
        <v>46009</v>
      </c>
      <c r="AP183" s="16" cm="1">
        <f t="array" aca="1" ref="AP18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183" s="21">
        <f>Tabela1[[#This Row],[DATA PREV - EXAMES]]+$AQ$1</f>
        <v>46016</v>
      </c>
      <c r="AR183" s="74">
        <v>46014</v>
      </c>
      <c r="AS183" s="16" cm="1">
        <f t="array" aca="1" ref="AS18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83" s="21">
        <f>Tabela1[[#This Row],[DATA PREV - FORMS]]+$AT$1</f>
        <v>46008</v>
      </c>
      <c r="AU183" s="74">
        <v>46007</v>
      </c>
      <c r="AV183" s="16" cm="1">
        <f t="array" aca="1" ref="AV18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3" s="21">
        <f>Tabela1[[#This Row],[DATA PREV - TREINAMENTOS]]+$AW$1</f>
        <v>46015</v>
      </c>
      <c r="AX183" s="74">
        <v>46013</v>
      </c>
      <c r="AY183" s="16" cm="1">
        <f t="array" aca="1" ref="AY18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83" s="24">
        <v>45977</v>
      </c>
      <c r="BA183" s="74">
        <v>46007</v>
      </c>
      <c r="BB183" s="16" cm="1">
        <f t="array" aca="1" ref="BB18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31</v>
      </c>
      <c r="BC183" s="21">
        <f>Tabela1[[#This Row],[DATA PREV - CONCL. TREIN.]]+$BC$1</f>
        <v>46017</v>
      </c>
      <c r="BD183" s="74">
        <v>46036</v>
      </c>
      <c r="BE183" s="16" cm="1">
        <f t="array" aca="1" ref="BE18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20</v>
      </c>
      <c r="BF183" s="21">
        <f>Tabela1[[#This Row],[DATA PREV - DOSSIÊ]]+$BF$1</f>
        <v>46020</v>
      </c>
      <c r="BG183" s="74">
        <v>46036</v>
      </c>
      <c r="BH183" s="16" cm="1">
        <f t="array" aca="1" ref="BH18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17</v>
      </c>
      <c r="BI183" s="21">
        <f>Tabela1[[#This Row],[DATA PREV - POSTAGEM]]+$BI$1</f>
        <v>46026</v>
      </c>
      <c r="BJ183" s="74">
        <v>46042</v>
      </c>
      <c r="BK183" s="16" cm="1">
        <f t="array" aca="1" ref="BK18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183" s="21">
        <f>Tabela1[[#This Row],[DATA PREV - APROV FINAL]]+$BL$1</f>
        <v>46027</v>
      </c>
      <c r="BM183" s="74">
        <v>46042</v>
      </c>
      <c r="BN183" s="16" cm="1">
        <f t="array" aca="1" ref="BN18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183" s="80" t="s">
        <v>610</v>
      </c>
    </row>
    <row r="184" spans="2:67" ht="18" hidden="1" customHeight="1" x14ac:dyDescent="0.35">
      <c r="B184" s="84" t="s">
        <v>79</v>
      </c>
      <c r="C184" s="85" t="s">
        <v>136</v>
      </c>
      <c r="D184" s="86" t="s">
        <v>81</v>
      </c>
      <c r="E184" s="121"/>
      <c r="F184" s="86" t="s">
        <v>451</v>
      </c>
      <c r="G184" s="86" cm="1">
        <f t="array" ref="G184">_xlfn.IFS(Tabela1[[#This Row],[STATUS PROCESSO MOBILIZAÇÃO]]="Finalizado",1,Tabela1[[#This Row],[STATUS PROCESSO MOBILIZAÇÃO]]="Cancelado",2,Tabela1[[#This Row],[STATUS PROCESSO MOBILIZAÇÃO]]="Em andamento",3)</f>
        <v>1</v>
      </c>
      <c r="H184" s="86" cm="1">
        <f t="array" aca="1" ref="H18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FORMS]]="",$AM184&gt;$AK$1),2,
AND(Tabela1[[#This Row],[STATUS PROCESSO MOBILIZAÇÃO]]="Em andamento",Tabela1[[#This Row],[DATA REAL - FORMS]]="",$AM184&lt;=$AK$1),3,
AND(Tabela1[[#This Row],[STATUS PROCESSO MOBILIZAÇÃO]]="Em andamento",Tabela1[[#This Row],[DATA REAL - FORMS]]&lt;&gt;""),1)</f>
        <v>1</v>
      </c>
      <c r="I184" s="86" cm="1">
        <f t="array" aca="1" ref="I18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EXAMES]]="",$AP184&gt;$AN$1),2,
AND(Tabela1[[#This Row],[STATUS PROCESSO MOBILIZAÇÃO]]="Em andamento",Tabela1[[#This Row],[DATA REAL - EXAMES]]="",$AP184&lt;=$AN$1),3,
AND(Tabela1[[#This Row],[STATUS PROCESSO MOBILIZAÇÃO]]="Em andamento",Tabela1[[#This Row],[DATA REAL - EXAMES]]&lt;&gt;""),1)</f>
        <v>1</v>
      </c>
      <c r="J184" s="86" cm="1">
        <f t="array" aca="1" ref="J18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ASO]]="",$AS184&gt;$AQ$1),2,
AND(Tabela1[[#This Row],[STATUS PROCESSO MOBILIZAÇÃO]]="Em andamento",Tabela1[[#This Row],[DATA REAL - ASO]]="",$AS184&lt;=$AQ$1),3,
AND(Tabela1[[#This Row],[STATUS PROCESSO MOBILIZAÇÃO]]="Em andamento",Tabela1[[#This Row],[DATA REAL - ASO]]&lt;&gt;""),1)</f>
        <v>1</v>
      </c>
      <c r="K184" s="86" cm="1">
        <f t="array" aca="1" ref="K18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TREINAMENTOS]]="",$AV184&gt;$AT$1),2,
AND(Tabela1[[#This Row],[STATUS PROCESSO MOBILIZAÇÃO]]="Em andamento",Tabela1[[#This Row],[DATA REAL - TREINAMENTOS]]="",$AV184&lt;=$AT$1),3,
AND(Tabela1[[#This Row],[STATUS PROCESSO MOBILIZAÇÃO]]="Em andamento",Tabela1[[#This Row],[DATA REAL - TREINAMENTOS]]&lt;&gt;""),1)</f>
        <v>1</v>
      </c>
      <c r="L184" s="86" cm="1">
        <f t="array" aca="1" ref="L18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TREIN.]]="",$AY184&gt;$AW$1),2,
AND(Tabela1[[#This Row],[STATUS PROCESSO MOBILIZAÇÃO]]="Em andamento",Tabela1[[#This Row],[DATA REAL - CONCL. TREIN.]]="",$AY184&lt;=$AW$1),3,
AND(Tabela1[[#This Row],[STATUS PROCESSO MOBILIZAÇÃO]]="Em andamento",Tabela1[[#This Row],[DATA REAL - CONCL. TREIN.]]&lt;&gt;""),1)</f>
        <v>1</v>
      </c>
      <c r="M184" s="86" cm="1">
        <f t="array" aca="1" ref="M18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CONTRATUAL]]="",$BB184&gt;$AZ$1),2,
AND(Tabela1[[#This Row],[STATUS PROCESSO MOBILIZAÇÃO]]="Em andamento",Tabela1[[#This Row],[DATA FIM - ALTER. CONTRATUAL]]="",$BB184&lt;=$AZ$1),3,
AND(Tabela1[[#This Row],[STATUS PROCESSO MOBILIZAÇÃO]]="Em andamento",Tabela1[[#This Row],[DATA FIM - ALTER. CONTRATUAL]]&lt;&gt;""),1)</f>
        <v>1</v>
      </c>
      <c r="N184" s="86" cm="1">
        <f t="array" aca="1" ref="N18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DOSSIÊ]]="",$BE184&gt;$BC$1),2,
AND(Tabela1[[#This Row],[STATUS PROCESSO MOBILIZAÇÃO]]="Em andamento",Tabela1[[#This Row],[DATA REAL - DOSSIÊ]]="",$BE184&lt;=$BC$1),3,
AND(Tabela1[[#This Row],[STATUS PROCESSO MOBILIZAÇÃO]]="Em andamento",Tabela1[[#This Row],[DATA REAL - DOSSIÊ]]&lt;&gt;""),1)</f>
        <v>1</v>
      </c>
      <c r="O184" s="86" cm="1">
        <f t="array" aca="1" ref="O18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POSTAGEM]]="",$BH184&gt;$BF$1),2,
AND(Tabela1[[#This Row],[STATUS PROCESSO MOBILIZAÇÃO]]="Em andamento",Tabela1[[#This Row],[DATA REAL - POSTAGEM]]="",$BH184&lt;=$BF$1),3,
AND(Tabela1[[#This Row],[STATUS PROCESSO MOBILIZAÇÃO]]="Em andamento",Tabela1[[#This Row],[DATA REAL - POSTAGEM]]&lt;&gt;""),1)</f>
        <v>1</v>
      </c>
      <c r="P184" s="86" cm="1">
        <f t="array" aca="1" ref="P18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FINAL]]="",$BK184&gt;$BI$1),2,
AND(Tabela1[[#This Row],[STATUS PROCESSO MOBILIZAÇÃO]]="Em andamento",Tabela1[[#This Row],[DATA REAL - APROV FINAL]]="",$BK184&lt;=$BI$1),3,
AND(Tabela1[[#This Row],[STATUS PROCESSO MOBILIZAÇÃO]]="Em andamento",Tabela1[[#This Row],[DATA REAL - APROV FINAL]]&lt;&gt;""),1)</f>
        <v>1</v>
      </c>
      <c r="Q184" s="86" cm="1">
        <f t="array" aca="1" ref="Q18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CRACHÁ]]="",$BN184&gt;$BL$1),2,
AND(Tabela1[[#This Row],[STATUS PROCESSO MOBILIZAÇÃO]]="Em andamento",Tabela1[[#This Row],[DATA REAL - CRACHÁ]]="",$BN184&lt;=$BL$1),3,
AND(Tabela1[[#This Row],[STATUS PROCESSO MOBILIZAÇÃO]]="Em andamento",Tabela1[[#This Row],[DATA REAL - CRACHÁ]]&lt;&gt;""),1)</f>
        <v>1</v>
      </c>
      <c r="R184" s="87">
        <f>IF(Tabela1[[#This Row],[DATA REAL - FORMS]]&lt;&gt;"",Tabela1[[#This Row],[DATA REAL - FORMS]]+30,Tabela1[[#This Row],[DATA PREV - FORMS]]+35)</f>
        <v>46057</v>
      </c>
      <c r="S184"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46036</v>
      </c>
      <c r="T184"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184"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184" s="88">
        <f>MAX(Tabela1[[#This Row],[DATA REAL - POSTAGEM]],Tabela1[[#This Row],[DATA REAL - APROV FINAL]],Tabela1[[#This Row],[DATA REAL - CRACHÁ]])-MIN(Tabela1[[#This Row],[DATA REAL - POSTAGEM]],Tabela1[[#This Row],[DATA REAL - APROV FINAL]],Tabela1[[#This Row],[DATA REAL - CRACHÁ]])+1</f>
        <v>3</v>
      </c>
      <c r="W184"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84" s="15"/>
      <c r="Y184" s="16"/>
      <c r="Z184" s="18" t="s">
        <v>159</v>
      </c>
      <c r="AA184" s="18"/>
      <c r="AB184" s="93" t="s">
        <v>97</v>
      </c>
      <c r="AC184" s="86" t="s">
        <v>316</v>
      </c>
      <c r="AD184" s="86" t="s">
        <v>89</v>
      </c>
      <c r="AE184" s="86" t="s">
        <v>500</v>
      </c>
      <c r="AF184" s="86" t="s">
        <v>317</v>
      </c>
      <c r="AG184" s="86" t="str">
        <f>_xlfn.XLOOKUP(Tabela1[[#This Row],[CÓD. CT]],Controle_Projetos[COD CT],Controle_Projetos[COD PHD],"")</f>
        <v>ELEV-CT02-PLAN</v>
      </c>
      <c r="AH184" s="87">
        <v>46027</v>
      </c>
      <c r="AI184" s="89">
        <v>46027</v>
      </c>
      <c r="AJ184" s="86" cm="1">
        <f t="array" aca="1" ref="AJ18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84" s="87">
        <v>46027</v>
      </c>
      <c r="AL184" s="90">
        <v>46027</v>
      </c>
      <c r="AM184" s="86" cm="1">
        <f t="array" aca="1" ref="AM18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4" s="21">
        <f>Tabela1[[#This Row],[DATA PREV - FORMS]]+$AN$1</f>
        <v>46034</v>
      </c>
      <c r="AO184" s="90">
        <v>46027</v>
      </c>
      <c r="AP184" s="86" cm="1">
        <f t="array" aca="1" ref="AP18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4" s="21">
        <f>Tabela1[[#This Row],[DATA PREV - EXAMES]]+$AQ$1</f>
        <v>46036</v>
      </c>
      <c r="AR184" s="90">
        <v>46028</v>
      </c>
      <c r="AS184" s="86" cm="1">
        <f t="array" aca="1" ref="AS18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84" s="21">
        <f>Tabela1[[#This Row],[DATA PREV - FORMS]]+$AT$1</f>
        <v>46028</v>
      </c>
      <c r="AU184" s="90">
        <v>46027</v>
      </c>
      <c r="AV184" s="86" cm="1">
        <f t="array" aca="1" ref="AV18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4" s="21">
        <f>Tabela1[[#This Row],[DATA PREV - TREINAMENTOS]]+$AW$1</f>
        <v>46035</v>
      </c>
      <c r="AX184" s="90">
        <v>46030</v>
      </c>
      <c r="AY184" s="86" cm="1">
        <f t="array" aca="1" ref="AY18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184" s="24">
        <v>46027</v>
      </c>
      <c r="BA184" s="90">
        <v>46027</v>
      </c>
      <c r="BB184" s="86" cm="1">
        <f t="array" aca="1" ref="BB18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4" s="21">
        <f>Tabela1[[#This Row],[DATA PREV - CONCL. TREIN.]]+$BC$1</f>
        <v>46037</v>
      </c>
      <c r="BD184" s="90">
        <v>46031</v>
      </c>
      <c r="BE184" s="86" cm="1">
        <f t="array" aca="1" ref="BE18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184" s="21">
        <f>Tabela1[[#This Row],[DATA PREV - DOSSIÊ]]+$BF$1</f>
        <v>46040</v>
      </c>
      <c r="BG184" s="90">
        <v>46034</v>
      </c>
      <c r="BH184" s="86" cm="1">
        <f t="array" aca="1" ref="BH18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184" s="21">
        <f>Tabela1[[#This Row],[DATA PREV - POSTAGEM]]+$BI$1</f>
        <v>46046</v>
      </c>
      <c r="BJ184" s="90">
        <v>46036</v>
      </c>
      <c r="BK184" s="86" cm="1">
        <f t="array" aca="1" ref="BK18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184" s="21">
        <f>Tabela1[[#This Row],[DATA PREV - APROV FINAL]]+$BL$1</f>
        <v>46047</v>
      </c>
      <c r="BM184" s="90">
        <v>46036</v>
      </c>
      <c r="BN184" s="86" cm="1">
        <f t="array" aca="1" ref="BN18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184" s="92" t="s">
        <v>611</v>
      </c>
    </row>
    <row r="185" spans="2:67" ht="18" hidden="1" customHeight="1" x14ac:dyDescent="0.35">
      <c r="B185" s="14" t="s">
        <v>79</v>
      </c>
      <c r="C185" s="85" t="s">
        <v>136</v>
      </c>
      <c r="D185" s="16" t="s">
        <v>81</v>
      </c>
      <c r="E185" s="82">
        <v>482</v>
      </c>
      <c r="F185" s="16" t="s">
        <v>612</v>
      </c>
      <c r="G185" s="16" cm="1">
        <f t="array" ref="G185">_xlfn.IFS(Tabela1[[#This Row],[STATUS PROCESSO MOBILIZAÇÃO]]="Finalizado",1,Tabela1[[#This Row],[STATUS PROCESSO MOBILIZAÇÃO]]="Cancelado",2,Tabela1[[#This Row],[STATUS PROCESSO MOBILIZAÇÃO]]="Em andamento",3)</f>
        <v>1</v>
      </c>
      <c r="H185" s="16" cm="1">
        <f t="array" aca="1" ref="H18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FORMS]]="",$AM185&gt;$AK$1),2,
AND(Tabela1[[#This Row],[STATUS PROCESSO MOBILIZAÇÃO]]="Em andamento",Tabela1[[#This Row],[DATA REAL - FORMS]]="",$AM185&lt;=$AK$1),3,
AND(Tabela1[[#This Row],[STATUS PROCESSO MOBILIZAÇÃO]]="Em andamento",Tabela1[[#This Row],[DATA REAL - FORMS]]&lt;&gt;""),1)</f>
        <v>1</v>
      </c>
      <c r="I185" s="16" cm="1">
        <f t="array" aca="1" ref="I18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EXAMES]]="",$AP185&gt;$AN$1),2,
AND(Tabela1[[#This Row],[STATUS PROCESSO MOBILIZAÇÃO]]="Em andamento",Tabela1[[#This Row],[DATA REAL - EXAMES]]="",$AP185&lt;=$AN$1),3,
AND(Tabela1[[#This Row],[STATUS PROCESSO MOBILIZAÇÃO]]="Em andamento",Tabela1[[#This Row],[DATA REAL - EXAMES]]&lt;&gt;""),1)</f>
        <v>1</v>
      </c>
      <c r="J185" s="16" cm="1">
        <f t="array" aca="1" ref="J18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ASO]]="",$AS185&gt;$AQ$1),2,
AND(Tabela1[[#This Row],[STATUS PROCESSO MOBILIZAÇÃO]]="Em andamento",Tabela1[[#This Row],[DATA REAL - ASO]]="",$AS185&lt;=$AQ$1),3,
AND(Tabela1[[#This Row],[STATUS PROCESSO MOBILIZAÇÃO]]="Em andamento",Tabela1[[#This Row],[DATA REAL - ASO]]&lt;&gt;""),1)</f>
        <v>1</v>
      </c>
      <c r="K185" s="16" cm="1">
        <f t="array" aca="1" ref="K18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TREINAMENTOS]]="",$AV185&gt;$AT$1),2,
AND(Tabela1[[#This Row],[STATUS PROCESSO MOBILIZAÇÃO]]="Em andamento",Tabela1[[#This Row],[DATA REAL - TREINAMENTOS]]="",$AV185&lt;=$AT$1),3,
AND(Tabela1[[#This Row],[STATUS PROCESSO MOBILIZAÇÃO]]="Em andamento",Tabela1[[#This Row],[DATA REAL - TREINAMENTOS]]&lt;&gt;""),1)</f>
        <v>1</v>
      </c>
      <c r="L185" s="16" cm="1">
        <f t="array" aca="1" ref="L18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TREIN.]]="",$AY185&gt;$AW$1),2,
AND(Tabela1[[#This Row],[STATUS PROCESSO MOBILIZAÇÃO]]="Em andamento",Tabela1[[#This Row],[DATA REAL - CONCL. TREIN.]]="",$AY185&lt;=$AW$1),3,
AND(Tabela1[[#This Row],[STATUS PROCESSO MOBILIZAÇÃO]]="Em andamento",Tabela1[[#This Row],[DATA REAL - CONCL. TREIN.]]&lt;&gt;""),1)</f>
        <v>1</v>
      </c>
      <c r="M185" s="16" cm="1">
        <f t="array" aca="1" ref="M18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CONTRATUAL]]="",$BB185&gt;$AZ$1),2,
AND(Tabela1[[#This Row],[STATUS PROCESSO MOBILIZAÇÃO]]="Em andamento",Tabela1[[#This Row],[DATA FIM - ALTER. CONTRATUAL]]="",$BB185&lt;=$AZ$1),3,
AND(Tabela1[[#This Row],[STATUS PROCESSO MOBILIZAÇÃO]]="Em andamento",Tabela1[[#This Row],[DATA FIM - ALTER. CONTRATUAL]]&lt;&gt;""),1)</f>
        <v>1</v>
      </c>
      <c r="N185" s="16" cm="1">
        <f t="array" aca="1" ref="N18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DOSSIÊ]]="",$BE185&gt;$BC$1),2,
AND(Tabela1[[#This Row],[STATUS PROCESSO MOBILIZAÇÃO]]="Em andamento",Tabela1[[#This Row],[DATA REAL - DOSSIÊ]]="",$BE185&lt;=$BC$1),3,
AND(Tabela1[[#This Row],[STATUS PROCESSO MOBILIZAÇÃO]]="Em andamento",Tabela1[[#This Row],[DATA REAL - DOSSIÊ]]&lt;&gt;""),1)</f>
        <v>1</v>
      </c>
      <c r="O185" s="16" cm="1">
        <f t="array" aca="1" ref="O18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POSTAGEM]]="",$BH185&gt;$BF$1),2,
AND(Tabela1[[#This Row],[STATUS PROCESSO MOBILIZAÇÃO]]="Em andamento",Tabela1[[#This Row],[DATA REAL - POSTAGEM]]="",$BH185&lt;=$BF$1),3,
AND(Tabela1[[#This Row],[STATUS PROCESSO MOBILIZAÇÃO]]="Em andamento",Tabela1[[#This Row],[DATA REAL - POSTAGEM]]&lt;&gt;""),1)</f>
        <v>1</v>
      </c>
      <c r="P185" s="16" cm="1">
        <f t="array" aca="1" ref="P18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FINAL]]="",$BK185&gt;$BI$1),2,
AND(Tabela1[[#This Row],[STATUS PROCESSO MOBILIZAÇÃO]]="Em andamento",Tabela1[[#This Row],[DATA REAL - APROV FINAL]]="",$BK185&lt;=$BI$1),3,
AND(Tabela1[[#This Row],[STATUS PROCESSO MOBILIZAÇÃO]]="Em andamento",Tabela1[[#This Row],[DATA REAL - APROV FINAL]]&lt;&gt;""),1)</f>
        <v>1</v>
      </c>
      <c r="Q185" s="16" cm="1">
        <f t="array" aca="1" ref="Q18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CRACHÁ]]="",$BN185&gt;$BL$1),2,
AND(Tabela1[[#This Row],[STATUS PROCESSO MOBILIZAÇÃO]]="Em andamento",Tabela1[[#This Row],[DATA REAL - CRACHÁ]]="",$BN185&lt;=$BL$1),3,
AND(Tabela1[[#This Row],[STATUS PROCESSO MOBILIZAÇÃO]]="Em andamento",Tabela1[[#This Row],[DATA REAL - CRACHÁ]]&lt;&gt;""),1)</f>
        <v>1</v>
      </c>
      <c r="R185" s="21">
        <f>IF(Tabela1[[#This Row],[DATA REAL - FORMS]]&lt;&gt;"",Tabela1[[#This Row],[DATA REAL - FORMS]]+30,Tabela1[[#This Row],[DATA PREV - FORMS]]+35)</f>
        <v>46064</v>
      </c>
      <c r="S18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46065</v>
      </c>
      <c r="T18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31</v>
      </c>
      <c r="U18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185" s="49">
        <f>MAX(Tabela1[[#This Row],[DATA REAL - POSTAGEM]],Tabela1[[#This Row],[DATA REAL - APROV FINAL]],Tabela1[[#This Row],[DATA REAL - CRACHÁ]])-MIN(Tabela1[[#This Row],[DATA REAL - POSTAGEM]],Tabela1[[#This Row],[DATA REAL - APROV FINAL]],Tabela1[[#This Row],[DATA REAL - CRACHÁ]])+1</f>
        <v>14</v>
      </c>
      <c r="W18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85" s="15" t="s">
        <v>172</v>
      </c>
      <c r="Y185" s="16"/>
      <c r="Z185" s="103" t="str">
        <f>_xlfn.XLOOKUP(Tabela1[[#This Row],[COO PHD]],TabControleEfetivo[NOME],TabControleEfetivo[email (PHD)],"")</f>
        <v>nilton.netto@phdengenharia.eng.br</v>
      </c>
      <c r="AA185" s="96" t="s">
        <v>152</v>
      </c>
      <c r="AB185" s="86" t="s">
        <v>97</v>
      </c>
      <c r="AC185" s="16" t="s">
        <v>357</v>
      </c>
      <c r="AD185" s="16" t="s">
        <v>357</v>
      </c>
      <c r="AE185" s="16" t="s">
        <v>358</v>
      </c>
      <c r="AF185" s="16" t="s">
        <v>359</v>
      </c>
      <c r="AG185" s="16" t="str">
        <f>_xlfn.XLOOKUP(Tabela1[[#This Row],[CÓD. CT]],Controle_Projetos[COD CT],Controle_Projetos[COD PHD],"")</f>
        <v>BEMI-CT02-GERE</v>
      </c>
      <c r="AH185" s="21">
        <v>46034</v>
      </c>
      <c r="AI185" s="76">
        <v>46034</v>
      </c>
      <c r="AJ185" s="16" cm="1">
        <f t="array" aca="1" ref="AJ18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85" s="21">
        <v>46034</v>
      </c>
      <c r="AL185" s="74">
        <v>46034</v>
      </c>
      <c r="AM185" s="16" cm="1">
        <f t="array" aca="1" ref="AM18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5" s="21">
        <f>Tabela1[[#This Row],[DATA PREV - FORMS]]+$AN$1</f>
        <v>46041</v>
      </c>
      <c r="AO185" s="74">
        <v>46035</v>
      </c>
      <c r="AP185" s="16" cm="1">
        <f t="array" aca="1" ref="AP18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85" s="21">
        <f>Tabela1[[#This Row],[DATA PREV - EXAMES]]+$AQ$1</f>
        <v>46043</v>
      </c>
      <c r="AR185" s="74">
        <v>46036</v>
      </c>
      <c r="AS185" s="16" cm="1">
        <f t="array" aca="1" ref="AS18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185" s="21">
        <f>Tabela1[[#This Row],[DATA PREV - FORMS]]+$AT$1</f>
        <v>46035</v>
      </c>
      <c r="AU185" s="74">
        <v>46035</v>
      </c>
      <c r="AV185" s="16" cm="1">
        <f t="array" aca="1" ref="AV18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85" s="21">
        <f>Tabela1[[#This Row],[DATA PREV - TREINAMENTOS]]+$AW$1</f>
        <v>46042</v>
      </c>
      <c r="AX185" s="74">
        <v>46035</v>
      </c>
      <c r="AY185" s="16" cm="1">
        <f t="array" aca="1" ref="AY18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85" s="24">
        <v>46034</v>
      </c>
      <c r="BA185" s="74">
        <v>46034</v>
      </c>
      <c r="BB185" s="16" cm="1">
        <f t="array" aca="1" ref="BB18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5" s="21">
        <f>Tabela1[[#This Row],[DATA PREV - CONCL. TREIN.]]+$BC$1</f>
        <v>46044</v>
      </c>
      <c r="BD185" s="74">
        <v>46036</v>
      </c>
      <c r="BE185" s="16" cm="1">
        <f t="array" aca="1" ref="BE18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85" s="21">
        <f>Tabela1[[#This Row],[DATA PREV - DOSSIÊ]]+$BF$1</f>
        <v>46047</v>
      </c>
      <c r="BG185" s="74">
        <v>46052</v>
      </c>
      <c r="BH185" s="16" cm="1">
        <f t="array" aca="1" ref="BH18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185" s="21">
        <f>Tabela1[[#This Row],[DATA PREV - POSTAGEM]]+$BI$1</f>
        <v>46053</v>
      </c>
      <c r="BJ185" s="74">
        <v>46065</v>
      </c>
      <c r="BK185" s="16" cm="1">
        <f t="array" aca="1" ref="BK18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185" s="21">
        <f>Tabela1[[#This Row],[DATA PREV - APROV FINAL]]+$BL$1</f>
        <v>46054</v>
      </c>
      <c r="BM185" s="74">
        <v>46065</v>
      </c>
      <c r="BN185" s="16" cm="1">
        <f t="array" aca="1" ref="BN18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185" s="81" t="s">
        <v>613</v>
      </c>
    </row>
    <row r="186" spans="2:67" ht="18" hidden="1" customHeight="1" x14ac:dyDescent="0.35">
      <c r="B186" s="14" t="s">
        <v>79</v>
      </c>
      <c r="C186" s="85" t="s">
        <v>136</v>
      </c>
      <c r="D186" s="16" t="s">
        <v>81</v>
      </c>
      <c r="E186" s="82">
        <v>481</v>
      </c>
      <c r="F186" s="16" t="s">
        <v>232</v>
      </c>
      <c r="G186" s="16" cm="1">
        <f t="array" ref="G186">_xlfn.IFS(Tabela1[[#This Row],[STATUS PROCESSO MOBILIZAÇÃO]]="Finalizado",1,Tabela1[[#This Row],[STATUS PROCESSO MOBILIZAÇÃO]]="Cancelado",2,Tabela1[[#This Row],[STATUS PROCESSO MOBILIZAÇÃO]]="Em andamento",3)</f>
        <v>1</v>
      </c>
      <c r="H186" s="16" cm="1">
        <f t="array" aca="1" ref="H18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FORMS]]="",$AM186&gt;$AK$1),2,
AND(Tabela1[[#This Row],[STATUS PROCESSO MOBILIZAÇÃO]]="Em andamento",Tabela1[[#This Row],[DATA REAL - FORMS]]="",$AM186&lt;=$AK$1),3,
AND(Tabela1[[#This Row],[STATUS PROCESSO MOBILIZAÇÃO]]="Em andamento",Tabela1[[#This Row],[DATA REAL - FORMS]]&lt;&gt;""),1)</f>
        <v>1</v>
      </c>
      <c r="I186" s="16" cm="1">
        <f t="array" aca="1" ref="I18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EXAMES]]="",$AP186&gt;$AN$1),2,
AND(Tabela1[[#This Row],[STATUS PROCESSO MOBILIZAÇÃO]]="Em andamento",Tabela1[[#This Row],[DATA REAL - EXAMES]]="",$AP186&lt;=$AN$1),3,
AND(Tabela1[[#This Row],[STATUS PROCESSO MOBILIZAÇÃO]]="Em andamento",Tabela1[[#This Row],[DATA REAL - EXAMES]]&lt;&gt;""),1)</f>
        <v>1</v>
      </c>
      <c r="J186" s="16" cm="1">
        <f t="array" aca="1" ref="J18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ASO]]="",$AS186&gt;$AQ$1),2,
AND(Tabela1[[#This Row],[STATUS PROCESSO MOBILIZAÇÃO]]="Em andamento",Tabela1[[#This Row],[DATA REAL - ASO]]="",$AS186&lt;=$AQ$1),3,
AND(Tabela1[[#This Row],[STATUS PROCESSO MOBILIZAÇÃO]]="Em andamento",Tabela1[[#This Row],[DATA REAL - ASO]]&lt;&gt;""),1)</f>
        <v>1</v>
      </c>
      <c r="K186" s="16" cm="1">
        <f t="array" aca="1" ref="K18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TREINAMENTOS]]="",$AV186&gt;$AT$1),2,
AND(Tabela1[[#This Row],[STATUS PROCESSO MOBILIZAÇÃO]]="Em andamento",Tabela1[[#This Row],[DATA REAL - TREINAMENTOS]]="",$AV186&lt;=$AT$1),3,
AND(Tabela1[[#This Row],[STATUS PROCESSO MOBILIZAÇÃO]]="Em andamento",Tabela1[[#This Row],[DATA REAL - TREINAMENTOS]]&lt;&gt;""),1)</f>
        <v>1</v>
      </c>
      <c r="L186" s="16" cm="1">
        <f t="array" aca="1" ref="L18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TREIN.]]="",$AY186&gt;$AW$1),2,
AND(Tabela1[[#This Row],[STATUS PROCESSO MOBILIZAÇÃO]]="Em andamento",Tabela1[[#This Row],[DATA REAL - CONCL. TREIN.]]="",$AY186&lt;=$AW$1),3,
AND(Tabela1[[#This Row],[STATUS PROCESSO MOBILIZAÇÃO]]="Em andamento",Tabela1[[#This Row],[DATA REAL - CONCL. TREIN.]]&lt;&gt;""),1)</f>
        <v>1</v>
      </c>
      <c r="M186" s="16" cm="1">
        <f t="array" aca="1" ref="M18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CONTRATUAL]]="",$BB186&gt;$AZ$1),2,
AND(Tabela1[[#This Row],[STATUS PROCESSO MOBILIZAÇÃO]]="Em andamento",Tabela1[[#This Row],[DATA FIM - ALTER. CONTRATUAL]]="",$BB186&lt;=$AZ$1),3,
AND(Tabela1[[#This Row],[STATUS PROCESSO MOBILIZAÇÃO]]="Em andamento",Tabela1[[#This Row],[DATA FIM - ALTER. CONTRATUAL]]&lt;&gt;""),1)</f>
        <v>1</v>
      </c>
      <c r="N186" s="16" cm="1">
        <f t="array" aca="1" ref="N18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DOSSIÊ]]="",$BE186&gt;$BC$1),2,
AND(Tabela1[[#This Row],[STATUS PROCESSO MOBILIZAÇÃO]]="Em andamento",Tabela1[[#This Row],[DATA REAL - DOSSIÊ]]="",$BE186&lt;=$BC$1),3,
AND(Tabela1[[#This Row],[STATUS PROCESSO MOBILIZAÇÃO]]="Em andamento",Tabela1[[#This Row],[DATA REAL - DOSSIÊ]]&lt;&gt;""),1)</f>
        <v>1</v>
      </c>
      <c r="O186" s="16" cm="1">
        <f t="array" aca="1" ref="O18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POSTAGEM]]="",$BH186&gt;$BF$1),2,
AND(Tabela1[[#This Row],[STATUS PROCESSO MOBILIZAÇÃO]]="Em andamento",Tabela1[[#This Row],[DATA REAL - POSTAGEM]]="",$BH186&lt;=$BF$1),3,
AND(Tabela1[[#This Row],[STATUS PROCESSO MOBILIZAÇÃO]]="Em andamento",Tabela1[[#This Row],[DATA REAL - POSTAGEM]]&lt;&gt;""),1)</f>
        <v>1</v>
      </c>
      <c r="P186" s="16" cm="1">
        <f t="array" aca="1" ref="P18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FINAL]]="",$BK186&gt;$BI$1),2,
AND(Tabela1[[#This Row],[STATUS PROCESSO MOBILIZAÇÃO]]="Em andamento",Tabela1[[#This Row],[DATA REAL - APROV FINAL]]="",$BK186&lt;=$BI$1),3,
AND(Tabela1[[#This Row],[STATUS PROCESSO MOBILIZAÇÃO]]="Em andamento",Tabela1[[#This Row],[DATA REAL - APROV FINAL]]&lt;&gt;""),1)</f>
        <v>1</v>
      </c>
      <c r="Q186" s="16" cm="1">
        <f t="array" aca="1" ref="Q18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CRACHÁ]]="",$BN186&gt;$BL$1),2,
AND(Tabela1[[#This Row],[STATUS PROCESSO MOBILIZAÇÃO]]="Em andamento",Tabela1[[#This Row],[DATA REAL - CRACHÁ]]="",$BN186&lt;=$BL$1),3,
AND(Tabela1[[#This Row],[STATUS PROCESSO MOBILIZAÇÃO]]="Em andamento",Tabela1[[#This Row],[DATA REAL - CRACHÁ]]&lt;&gt;""),1)</f>
        <v>1</v>
      </c>
      <c r="R186" s="21">
        <f>IF(Tabela1[[#This Row],[DATA REAL - FORMS]]&lt;&gt;"",Tabela1[[#This Row],[DATA REAL - FORMS]]+30,Tabela1[[#This Row],[DATA PREV - FORMS]]+35)</f>
        <v>46064</v>
      </c>
      <c r="S18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46065</v>
      </c>
      <c r="T18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31</v>
      </c>
      <c r="U18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186" s="49">
        <f>MAX(Tabela1[[#This Row],[DATA REAL - POSTAGEM]],Tabela1[[#This Row],[DATA REAL - APROV FINAL]],Tabela1[[#This Row],[DATA REAL - CRACHÁ]])-MIN(Tabela1[[#This Row],[DATA REAL - POSTAGEM]],Tabela1[[#This Row],[DATA REAL - APROV FINAL]],Tabela1[[#This Row],[DATA REAL - CRACHÁ]])+1</f>
        <v>9</v>
      </c>
      <c r="W18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86" s="15" t="s">
        <v>172</v>
      </c>
      <c r="Y186" s="16"/>
      <c r="Z186" s="103" t="str">
        <f>_xlfn.XLOOKUP(Tabela1[[#This Row],[COO PHD]],TabControleEfetivo[NOME],TabControleEfetivo[email (PHD)],"")</f>
        <v>nilton.netto@phdengenharia.eng.br</v>
      </c>
      <c r="AA186" s="96" t="s">
        <v>152</v>
      </c>
      <c r="AB186" s="86" t="s">
        <v>97</v>
      </c>
      <c r="AC186" s="16" t="s">
        <v>357</v>
      </c>
      <c r="AD186" s="16" t="s">
        <v>357</v>
      </c>
      <c r="AE186" s="16" t="s">
        <v>358</v>
      </c>
      <c r="AF186" s="16" t="s">
        <v>359</v>
      </c>
      <c r="AG186" s="16" t="str">
        <f>_xlfn.XLOOKUP(Tabela1[[#This Row],[CÓD. CT]],Controle_Projetos[COD CT],Controle_Projetos[COD PHD],"")</f>
        <v>BEMI-CT02-GERE</v>
      </c>
      <c r="AH186" s="21">
        <v>46034</v>
      </c>
      <c r="AI186" s="76">
        <v>46034</v>
      </c>
      <c r="AJ186" s="16" cm="1">
        <f t="array" aca="1" ref="AJ18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86" s="21">
        <v>46034</v>
      </c>
      <c r="AL186" s="74">
        <v>46034</v>
      </c>
      <c r="AM186" s="16" cm="1">
        <f t="array" aca="1" ref="AM18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6" s="21">
        <f>Tabela1[[#This Row],[DATA PREV - FORMS]]+$AN$1</f>
        <v>46041</v>
      </c>
      <c r="AO186" s="74">
        <v>46035</v>
      </c>
      <c r="AP186" s="16" cm="1">
        <f t="array" aca="1" ref="AP18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186" s="21">
        <f>Tabela1[[#This Row],[DATA PREV - EXAMES]]+$AQ$1</f>
        <v>46043</v>
      </c>
      <c r="AR186" s="74">
        <v>46044</v>
      </c>
      <c r="AS186" s="16" cm="1">
        <f t="array" aca="1" ref="AS18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186" s="21">
        <f>Tabela1[[#This Row],[DATA PREV - FORMS]]+$AT$1</f>
        <v>46035</v>
      </c>
      <c r="AU186" s="74">
        <v>46035</v>
      </c>
      <c r="AV186" s="16" cm="1">
        <f t="array" aca="1" ref="AV18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86" s="21">
        <f>Tabela1[[#This Row],[DATA PREV - TREINAMENTOS]]+$AW$1</f>
        <v>46042</v>
      </c>
      <c r="AX186" s="74">
        <v>46057</v>
      </c>
      <c r="AY186" s="16" cm="1">
        <f t="array" aca="1" ref="AY18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16</v>
      </c>
      <c r="AZ186" s="24">
        <v>46034</v>
      </c>
      <c r="BA186" s="74">
        <v>46034</v>
      </c>
      <c r="BB186" s="16" cm="1">
        <f t="array" aca="1" ref="BB18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6" s="21">
        <f>Tabela1[[#This Row],[DATA PREV - CONCL. TREIN.]]+$BC$1</f>
        <v>46044</v>
      </c>
      <c r="BD186" s="74">
        <v>46057</v>
      </c>
      <c r="BE186" s="16" cm="1">
        <f t="array" aca="1" ref="BE18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186" s="21">
        <f>Tabela1[[#This Row],[DATA PREV - DOSSIÊ]]+$BF$1</f>
        <v>46047</v>
      </c>
      <c r="BG186" s="74">
        <v>46057</v>
      </c>
      <c r="BH186" s="16" cm="1">
        <f t="array" aca="1" ref="BH18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186" s="21">
        <f>Tabela1[[#This Row],[DATA PREV - POSTAGEM]]+$BI$1</f>
        <v>46053</v>
      </c>
      <c r="BJ186" s="74">
        <v>46065</v>
      </c>
      <c r="BK186" s="16" cm="1">
        <f t="array" aca="1" ref="BK18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186" s="21">
        <f>Tabela1[[#This Row],[DATA PREV - APROV FINAL]]+$BL$1</f>
        <v>46054</v>
      </c>
      <c r="BM186" s="74">
        <v>46065</v>
      </c>
      <c r="BN186" s="16" cm="1">
        <f t="array" aca="1" ref="BN18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186" s="81" t="s">
        <v>614</v>
      </c>
    </row>
    <row r="187" spans="2:67" ht="18" hidden="1" customHeight="1" x14ac:dyDescent="0.35">
      <c r="B187" s="14" t="s">
        <v>79</v>
      </c>
      <c r="C187" s="85" t="s">
        <v>136</v>
      </c>
      <c r="D187" s="16" t="s">
        <v>108</v>
      </c>
      <c r="E187" s="16">
        <v>478</v>
      </c>
      <c r="F187" s="16" t="s">
        <v>419</v>
      </c>
      <c r="G187" s="16" cm="1">
        <f t="array" ref="G187">_xlfn.IFS(Tabela1[[#This Row],[STATUS PROCESSO MOBILIZAÇÃO]]="Finalizado",1,Tabela1[[#This Row],[STATUS PROCESSO MOBILIZAÇÃO]]="Cancelado",2,Tabela1[[#This Row],[STATUS PROCESSO MOBILIZAÇÃO]]="Em andamento",3)</f>
        <v>1</v>
      </c>
      <c r="H187" s="16" cm="1">
        <f t="array" aca="1" ref="H18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FORMS]]="",$AM187&gt;$AK$1),2,
AND(Tabela1[[#This Row],[STATUS PROCESSO MOBILIZAÇÃO]]="Em andamento",Tabela1[[#This Row],[DATA REAL - FORMS]]="",$AM187&lt;=$AK$1),3,
AND(Tabela1[[#This Row],[STATUS PROCESSO MOBILIZAÇÃO]]="Em andamento",Tabela1[[#This Row],[DATA REAL - FORMS]]&lt;&gt;""),1)</f>
        <v>1</v>
      </c>
      <c r="I187" s="16" cm="1">
        <f t="array" aca="1" ref="I18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EXAMES]]="",$AP187&gt;$AN$1),2,
AND(Tabela1[[#This Row],[STATUS PROCESSO MOBILIZAÇÃO]]="Em andamento",Tabela1[[#This Row],[DATA REAL - EXAMES]]="",$AP187&lt;=$AN$1),3,
AND(Tabela1[[#This Row],[STATUS PROCESSO MOBILIZAÇÃO]]="Em andamento",Tabela1[[#This Row],[DATA REAL - EXAMES]]&lt;&gt;""),1)</f>
        <v>1</v>
      </c>
      <c r="J187" s="16" cm="1">
        <f t="array" aca="1" ref="J18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ASO]]="",$AS187&gt;$AQ$1),2,
AND(Tabela1[[#This Row],[STATUS PROCESSO MOBILIZAÇÃO]]="Em andamento",Tabela1[[#This Row],[DATA REAL - ASO]]="",$AS187&lt;=$AQ$1),3,
AND(Tabela1[[#This Row],[STATUS PROCESSO MOBILIZAÇÃO]]="Em andamento",Tabela1[[#This Row],[DATA REAL - ASO]]&lt;&gt;""),1)</f>
        <v>1</v>
      </c>
      <c r="K187" s="16" cm="1">
        <f t="array" aca="1" ref="K18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TREINAMENTOS]]="",$AV187&gt;$AT$1),2,
AND(Tabela1[[#This Row],[STATUS PROCESSO MOBILIZAÇÃO]]="Em andamento",Tabela1[[#This Row],[DATA REAL - TREINAMENTOS]]="",$AV187&lt;=$AT$1),3,
AND(Tabela1[[#This Row],[STATUS PROCESSO MOBILIZAÇÃO]]="Em andamento",Tabela1[[#This Row],[DATA REAL - TREINAMENTOS]]&lt;&gt;""),1)</f>
        <v>1</v>
      </c>
      <c r="L187" s="16" cm="1">
        <f t="array" aca="1" ref="L18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TREIN.]]="",$AY187&gt;$AW$1),2,
AND(Tabela1[[#This Row],[STATUS PROCESSO MOBILIZAÇÃO]]="Em andamento",Tabela1[[#This Row],[DATA REAL - CONCL. TREIN.]]="",$AY187&lt;=$AW$1),3,
AND(Tabela1[[#This Row],[STATUS PROCESSO MOBILIZAÇÃO]]="Em andamento",Tabela1[[#This Row],[DATA REAL - CONCL. TREIN.]]&lt;&gt;""),1)</f>
        <v>1</v>
      </c>
      <c r="M187" s="16" cm="1">
        <f t="array" aca="1" ref="M18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CONTRATUAL]]="",$BB187&gt;$AZ$1),2,
AND(Tabela1[[#This Row],[STATUS PROCESSO MOBILIZAÇÃO]]="Em andamento",Tabela1[[#This Row],[DATA FIM - ALTER. CONTRATUAL]]="",$BB187&lt;=$AZ$1),3,
AND(Tabela1[[#This Row],[STATUS PROCESSO MOBILIZAÇÃO]]="Em andamento",Tabela1[[#This Row],[DATA FIM - ALTER. CONTRATUAL]]&lt;&gt;""),1)</f>
        <v>1</v>
      </c>
      <c r="N187" s="16" cm="1">
        <f t="array" aca="1" ref="N18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DOSSIÊ]]="",$BE187&gt;$BC$1),2,
AND(Tabela1[[#This Row],[STATUS PROCESSO MOBILIZAÇÃO]]="Em andamento",Tabela1[[#This Row],[DATA REAL - DOSSIÊ]]="",$BE187&lt;=$BC$1),3,
AND(Tabela1[[#This Row],[STATUS PROCESSO MOBILIZAÇÃO]]="Em andamento",Tabela1[[#This Row],[DATA REAL - DOSSIÊ]]&lt;&gt;""),1)</f>
        <v>1</v>
      </c>
      <c r="O187" s="16" cm="1">
        <f t="array" aca="1" ref="O18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POSTAGEM]]="",$BH187&gt;$BF$1),2,
AND(Tabela1[[#This Row],[STATUS PROCESSO MOBILIZAÇÃO]]="Em andamento",Tabela1[[#This Row],[DATA REAL - POSTAGEM]]="",$BH187&lt;=$BF$1),3,
AND(Tabela1[[#This Row],[STATUS PROCESSO MOBILIZAÇÃO]]="Em andamento",Tabela1[[#This Row],[DATA REAL - POSTAGEM]]&lt;&gt;""),1)</f>
        <v>1</v>
      </c>
      <c r="P187" s="16" cm="1">
        <f t="array" aca="1" ref="P18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FINAL]]="",$BK187&gt;$BI$1),2,
AND(Tabela1[[#This Row],[STATUS PROCESSO MOBILIZAÇÃO]]="Em andamento",Tabela1[[#This Row],[DATA REAL - APROV FINAL]]="",$BK187&lt;=$BI$1),3,
AND(Tabela1[[#This Row],[STATUS PROCESSO MOBILIZAÇÃO]]="Em andamento",Tabela1[[#This Row],[DATA REAL - APROV FINAL]]&lt;&gt;""),1)</f>
        <v>1</v>
      </c>
      <c r="Q187" s="16" cm="1">
        <f t="array" aca="1" ref="Q18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CRACHÁ]]="",$BN187&gt;$BL$1),2,
AND(Tabela1[[#This Row],[STATUS PROCESSO MOBILIZAÇÃO]]="Em andamento",Tabela1[[#This Row],[DATA REAL - CRACHÁ]]="",$BN187&lt;=$BL$1),3,
AND(Tabela1[[#This Row],[STATUS PROCESSO MOBILIZAÇÃO]]="Em andamento",Tabela1[[#This Row],[DATA REAL - CRACHÁ]]&lt;&gt;""),1)</f>
        <v>1</v>
      </c>
      <c r="R187" s="21">
        <f>IF(Tabela1[[#This Row],[DATA REAL - FORMS]]&lt;&gt;"",Tabela1[[#This Row],[DATA REAL - FORMS]]+30,Tabela1[[#This Row],[DATA PREV - FORMS]]+35)</f>
        <v>46064</v>
      </c>
      <c r="S18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46063</v>
      </c>
      <c r="T18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18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187" s="49">
        <f>MAX(Tabela1[[#This Row],[DATA REAL - POSTAGEM]],Tabela1[[#This Row],[DATA REAL - APROV FINAL]],Tabela1[[#This Row],[DATA REAL - CRACHÁ]])-MIN(Tabela1[[#This Row],[DATA REAL - POSTAGEM]],Tabela1[[#This Row],[DATA REAL - APROV FINAL]],Tabela1[[#This Row],[DATA REAL - CRACHÁ]])+1</f>
        <v>15</v>
      </c>
      <c r="W18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v>
      </c>
      <c r="X187" s="15" t="s">
        <v>84</v>
      </c>
      <c r="Y187" s="16"/>
      <c r="Z187" s="124" t="str">
        <f>_xlfn.XLOOKUP(Tabela1[[#This Row],[COO PHD]],TabControleEfetivo[NOME],TabControleEfetivo[email (PHD)],"")</f>
        <v>paulo.paiva@phdengenharia.eng.br</v>
      </c>
      <c r="AA187" s="96" t="s">
        <v>86</v>
      </c>
      <c r="AB187" s="86" t="s">
        <v>97</v>
      </c>
      <c r="AC187" s="16" t="s">
        <v>615</v>
      </c>
      <c r="AD187" s="16" t="s">
        <v>615</v>
      </c>
      <c r="AE187" s="16" t="s">
        <v>262</v>
      </c>
      <c r="AF187" s="16" t="s">
        <v>616</v>
      </c>
      <c r="AG187" s="16" t="str">
        <f>_xlfn.XLOOKUP(Tabela1[[#This Row],[CÓD. CT]],Controle_Projetos[COD CT],Controle_Projetos[COD PHD],"")</f>
        <v>HERC-CT01-GERE</v>
      </c>
      <c r="AH187" s="21">
        <v>46034</v>
      </c>
      <c r="AI187" s="76">
        <v>46037</v>
      </c>
      <c r="AJ187" s="49" cm="1">
        <f t="array" aca="1" ref="AJ18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v>
      </c>
      <c r="AK187" s="21">
        <v>46034</v>
      </c>
      <c r="AL187" s="74">
        <v>46034</v>
      </c>
      <c r="AM187" s="16" cm="1">
        <f t="array" aca="1" ref="AM18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7" s="21">
        <f>Tabela1[[#This Row],[DATA PREV - FORMS]]+$AN$1</f>
        <v>46041</v>
      </c>
      <c r="AO187" s="74">
        <v>46041</v>
      </c>
      <c r="AP187" s="16" cm="1">
        <f t="array" aca="1" ref="AP18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87" s="21">
        <f>Tabela1[[#This Row],[DATA PREV - EXAMES]]+$AQ$1</f>
        <v>46043</v>
      </c>
      <c r="AR187" s="74">
        <v>46043</v>
      </c>
      <c r="AS187" s="16" cm="1">
        <f t="array" aca="1" ref="AS18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87" s="21">
        <f>Tabela1[[#This Row],[DATA PREV - FORMS]]+$AT$1</f>
        <v>46035</v>
      </c>
      <c r="AU187" s="74">
        <v>46041</v>
      </c>
      <c r="AV187" s="16" cm="1">
        <f t="array" aca="1" ref="AV18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187" s="21">
        <f>Tabela1[[#This Row],[DATA PREV - TREINAMENTOS]]+$AW$1</f>
        <v>46042</v>
      </c>
      <c r="AX187" s="74">
        <v>46043</v>
      </c>
      <c r="AY187" s="16" cm="1">
        <f t="array" aca="1" ref="AY18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187" s="24">
        <v>46034</v>
      </c>
      <c r="BA187" s="74">
        <v>46034</v>
      </c>
      <c r="BB187" s="16" cm="1">
        <f t="array" aca="1" ref="BB18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7" s="21">
        <f>Tabela1[[#This Row],[DATA PREV - CONCL. TREIN.]]+$BC$1</f>
        <v>46044</v>
      </c>
      <c r="BD187" s="74">
        <v>46049</v>
      </c>
      <c r="BE187" s="16" cm="1">
        <f t="array" aca="1" ref="BE18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87" s="21">
        <f>Tabela1[[#This Row],[DATA PREV - DOSSIÊ]]+$BF$1</f>
        <v>46047</v>
      </c>
      <c r="BG187" s="74">
        <v>46049</v>
      </c>
      <c r="BH187" s="16" cm="1">
        <f t="array" aca="1" ref="BH18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87" s="21">
        <f>Tabela1[[#This Row],[DATA PREV - POSTAGEM]]+$BI$1</f>
        <v>46053</v>
      </c>
      <c r="BJ187" s="74">
        <v>46052</v>
      </c>
      <c r="BK187" s="16" cm="1">
        <f t="array" aca="1" ref="BK18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0</v>
      </c>
      <c r="BL187" s="21">
        <f>Tabela1[[#This Row],[DATA PREV - APROV FINAL]]+$BL$1</f>
        <v>46054</v>
      </c>
      <c r="BM187" s="74">
        <v>46063</v>
      </c>
      <c r="BN187" s="16" cm="1">
        <f t="array" aca="1" ref="BN18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187" s="81" t="s">
        <v>617</v>
      </c>
    </row>
    <row r="188" spans="2:67" ht="18" hidden="1" customHeight="1" x14ac:dyDescent="0.35">
      <c r="B188" s="14" t="s">
        <v>79</v>
      </c>
      <c r="C188" s="85" t="s">
        <v>136</v>
      </c>
      <c r="D188" s="16" t="s">
        <v>81</v>
      </c>
      <c r="E188" s="16">
        <v>477</v>
      </c>
      <c r="F188" s="16" t="s">
        <v>618</v>
      </c>
      <c r="G188" s="16" cm="1">
        <f t="array" ref="G188">_xlfn.IFS(Tabela1[[#This Row],[STATUS PROCESSO MOBILIZAÇÃO]]="Finalizado",1,Tabela1[[#This Row],[STATUS PROCESSO MOBILIZAÇÃO]]="Cancelado",2,Tabela1[[#This Row],[STATUS PROCESSO MOBILIZAÇÃO]]="Em andamento",3)</f>
        <v>1</v>
      </c>
      <c r="H188" s="16" cm="1">
        <f t="array" aca="1" ref="H18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FORMS]]="",$AM188&gt;$AK$1),2,
AND(Tabela1[[#This Row],[STATUS PROCESSO MOBILIZAÇÃO]]="Em andamento",Tabela1[[#This Row],[DATA REAL - FORMS]]="",$AM188&lt;=$AK$1),3,
AND(Tabela1[[#This Row],[STATUS PROCESSO MOBILIZAÇÃO]]="Em andamento",Tabela1[[#This Row],[DATA REAL - FORMS]]&lt;&gt;""),1)</f>
        <v>1</v>
      </c>
      <c r="I188" s="16" cm="1">
        <f t="array" aca="1" ref="I18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EXAMES]]="",$AP188&gt;$AN$1),2,
AND(Tabela1[[#This Row],[STATUS PROCESSO MOBILIZAÇÃO]]="Em andamento",Tabela1[[#This Row],[DATA REAL - EXAMES]]="",$AP188&lt;=$AN$1),3,
AND(Tabela1[[#This Row],[STATUS PROCESSO MOBILIZAÇÃO]]="Em andamento",Tabela1[[#This Row],[DATA REAL - EXAMES]]&lt;&gt;""),1)</f>
        <v>1</v>
      </c>
      <c r="J188" s="16" cm="1">
        <f t="array" aca="1" ref="J18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ASO]]="",$AS188&gt;$AQ$1),2,
AND(Tabela1[[#This Row],[STATUS PROCESSO MOBILIZAÇÃO]]="Em andamento",Tabela1[[#This Row],[DATA REAL - ASO]]="",$AS188&lt;=$AQ$1),3,
AND(Tabela1[[#This Row],[STATUS PROCESSO MOBILIZAÇÃO]]="Em andamento",Tabela1[[#This Row],[DATA REAL - ASO]]&lt;&gt;""),1)</f>
        <v>1</v>
      </c>
      <c r="K188" s="16" cm="1">
        <f t="array" aca="1" ref="K18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TREINAMENTOS]]="",$AV188&gt;$AT$1),2,
AND(Tabela1[[#This Row],[STATUS PROCESSO MOBILIZAÇÃO]]="Em andamento",Tabela1[[#This Row],[DATA REAL - TREINAMENTOS]]="",$AV188&lt;=$AT$1),3,
AND(Tabela1[[#This Row],[STATUS PROCESSO MOBILIZAÇÃO]]="Em andamento",Tabela1[[#This Row],[DATA REAL - TREINAMENTOS]]&lt;&gt;""),1)</f>
        <v>1</v>
      </c>
      <c r="L188" s="16" cm="1">
        <f t="array" aca="1" ref="L18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TREIN.]]="",$AY188&gt;$AW$1),2,
AND(Tabela1[[#This Row],[STATUS PROCESSO MOBILIZAÇÃO]]="Em andamento",Tabela1[[#This Row],[DATA REAL - CONCL. TREIN.]]="",$AY188&lt;=$AW$1),3,
AND(Tabela1[[#This Row],[STATUS PROCESSO MOBILIZAÇÃO]]="Em andamento",Tabela1[[#This Row],[DATA REAL - CONCL. TREIN.]]&lt;&gt;""),1)</f>
        <v>1</v>
      </c>
      <c r="M188" s="16" cm="1">
        <f t="array" aca="1" ref="M18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CONTRATUAL]]="",$BB188&gt;$AZ$1),2,
AND(Tabela1[[#This Row],[STATUS PROCESSO MOBILIZAÇÃO]]="Em andamento",Tabela1[[#This Row],[DATA FIM - ALTER. CONTRATUAL]]="",$BB188&lt;=$AZ$1),3,
AND(Tabela1[[#This Row],[STATUS PROCESSO MOBILIZAÇÃO]]="Em andamento",Tabela1[[#This Row],[DATA FIM - ALTER. CONTRATUAL]]&lt;&gt;""),1)</f>
        <v>1</v>
      </c>
      <c r="N188" s="16" cm="1">
        <f t="array" aca="1" ref="N18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DOSSIÊ]]="",$BE188&gt;$BC$1),2,
AND(Tabela1[[#This Row],[STATUS PROCESSO MOBILIZAÇÃO]]="Em andamento",Tabela1[[#This Row],[DATA REAL - DOSSIÊ]]="",$BE188&lt;=$BC$1),3,
AND(Tabela1[[#This Row],[STATUS PROCESSO MOBILIZAÇÃO]]="Em andamento",Tabela1[[#This Row],[DATA REAL - DOSSIÊ]]&lt;&gt;""),1)</f>
        <v>1</v>
      </c>
      <c r="O188" s="16" cm="1">
        <f t="array" aca="1" ref="O18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POSTAGEM]]="",$BH188&gt;$BF$1),2,
AND(Tabela1[[#This Row],[STATUS PROCESSO MOBILIZAÇÃO]]="Em andamento",Tabela1[[#This Row],[DATA REAL - POSTAGEM]]="",$BH188&lt;=$BF$1),3,
AND(Tabela1[[#This Row],[STATUS PROCESSO MOBILIZAÇÃO]]="Em andamento",Tabela1[[#This Row],[DATA REAL - POSTAGEM]]&lt;&gt;""),1)</f>
        <v>1</v>
      </c>
      <c r="P188" s="16" cm="1">
        <f t="array" aca="1" ref="P18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FINAL]]="",$BK188&gt;$BI$1),2,
AND(Tabela1[[#This Row],[STATUS PROCESSO MOBILIZAÇÃO]]="Em andamento",Tabela1[[#This Row],[DATA REAL - APROV FINAL]]="",$BK188&lt;=$BI$1),3,
AND(Tabela1[[#This Row],[STATUS PROCESSO MOBILIZAÇÃO]]="Em andamento",Tabela1[[#This Row],[DATA REAL - APROV FINAL]]&lt;&gt;""),1)</f>
        <v>1</v>
      </c>
      <c r="Q188" s="16" cm="1">
        <f t="array" aca="1" ref="Q18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CRACHÁ]]="",$BN188&gt;$BL$1),2,
AND(Tabela1[[#This Row],[STATUS PROCESSO MOBILIZAÇÃO]]="Em andamento",Tabela1[[#This Row],[DATA REAL - CRACHÁ]]="",$BN188&lt;=$BL$1),3,
AND(Tabela1[[#This Row],[STATUS PROCESSO MOBILIZAÇÃO]]="Em andamento",Tabela1[[#This Row],[DATA REAL - CRACHÁ]]&lt;&gt;""),1)</f>
        <v>1</v>
      </c>
      <c r="R188" s="21">
        <f>IF(Tabela1[[#This Row],[DATA REAL - FORMS]]&lt;&gt;"",Tabela1[[#This Row],[DATA REAL - FORMS]]+30,Tabela1[[#This Row],[DATA PREV - FORMS]]+35)</f>
        <v>46064</v>
      </c>
      <c r="S18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46056</v>
      </c>
      <c r="T18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18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188" s="49">
        <f>MAX(Tabela1[[#This Row],[DATA REAL - POSTAGEM]],Tabela1[[#This Row],[DATA REAL - APROV FINAL]],Tabela1[[#This Row],[DATA REAL - CRACHÁ]])-MIN(Tabela1[[#This Row],[DATA REAL - POSTAGEM]],Tabela1[[#This Row],[DATA REAL - APROV FINAL]],Tabela1[[#This Row],[DATA REAL - CRACHÁ]])+1</f>
        <v>8</v>
      </c>
      <c r="W18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v>
      </c>
      <c r="X188" s="15"/>
      <c r="Y188" s="16" t="s">
        <v>84</v>
      </c>
      <c r="Z188" s="103" t="str">
        <f>_xlfn.XLOOKUP(Tabela1[[#This Row],[COO PHD]],TabControleEfetivo[NOME],TabControleEfetivo[email (PHD)],"")</f>
        <v/>
      </c>
      <c r="AA188" s="96" t="s">
        <v>86</v>
      </c>
      <c r="AB188" s="86" t="s">
        <v>97</v>
      </c>
      <c r="AC188" s="16" t="s">
        <v>615</v>
      </c>
      <c r="AD188" s="16" t="s">
        <v>615</v>
      </c>
      <c r="AE188" s="16" t="s">
        <v>262</v>
      </c>
      <c r="AF188" s="16" t="s">
        <v>616</v>
      </c>
      <c r="AG188" s="16" t="str">
        <f>_xlfn.XLOOKUP(Tabela1[[#This Row],[CÓD. CT]],Controle_Projetos[COD CT],Controle_Projetos[COD PHD],"")</f>
        <v>HERC-CT01-GERE</v>
      </c>
      <c r="AH188" s="21">
        <v>46034</v>
      </c>
      <c r="AI188" s="76">
        <v>46037</v>
      </c>
      <c r="AJ188" s="49" cm="1">
        <f t="array" aca="1" ref="AJ18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4</v>
      </c>
      <c r="AK188" s="21">
        <v>46034</v>
      </c>
      <c r="AL188" s="74">
        <v>46034</v>
      </c>
      <c r="AM188" s="16" cm="1">
        <f t="array" aca="1" ref="AM18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8" s="21">
        <f>Tabela1[[#This Row],[DATA PREV - FORMS]]+$AN$1</f>
        <v>46041</v>
      </c>
      <c r="AO188" s="74">
        <v>46041</v>
      </c>
      <c r="AP188" s="16" cm="1">
        <f t="array" aca="1" ref="AP18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88" s="21">
        <f>Tabela1[[#This Row],[DATA PREV - EXAMES]]+$AQ$1</f>
        <v>46043</v>
      </c>
      <c r="AR188" s="74">
        <v>46049</v>
      </c>
      <c r="AS188" s="16" cm="1">
        <f t="array" aca="1" ref="AS18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188" s="21">
        <f>Tabela1[[#This Row],[DATA PREV - FORMS]]+$AT$1</f>
        <v>46035</v>
      </c>
      <c r="AU188" s="74">
        <v>46041</v>
      </c>
      <c r="AV188" s="16" cm="1">
        <f t="array" aca="1" ref="AV18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7</v>
      </c>
      <c r="AW188" s="21">
        <f>Tabela1[[#This Row],[DATA PREV - TREINAMENTOS]]+$AW$1</f>
        <v>46042</v>
      </c>
      <c r="AX188" s="74">
        <v>46042</v>
      </c>
      <c r="AY188" s="16" cm="1">
        <f t="array" aca="1" ref="AY18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88" s="24">
        <v>46034</v>
      </c>
      <c r="BA188" s="74">
        <v>46034</v>
      </c>
      <c r="BB188" s="16" cm="1">
        <f t="array" aca="1" ref="BB18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8" s="21">
        <f>Tabela1[[#This Row],[DATA PREV - CONCL. TREIN.]]+$BC$1</f>
        <v>46044</v>
      </c>
      <c r="BD188" s="74">
        <v>46049</v>
      </c>
      <c r="BE188" s="16" cm="1">
        <f t="array" aca="1" ref="BE18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188" s="21">
        <f>Tabela1[[#This Row],[DATA PREV - DOSSIÊ]]+$BF$1</f>
        <v>46047</v>
      </c>
      <c r="BG188" s="74">
        <v>46049</v>
      </c>
      <c r="BH188" s="16" cm="1">
        <f t="array" aca="1" ref="BH18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188" s="21">
        <f>Tabela1[[#This Row],[DATA PREV - POSTAGEM]]+$BI$1</f>
        <v>46053</v>
      </c>
      <c r="BJ188" s="74">
        <v>46050</v>
      </c>
      <c r="BK188" s="16" cm="1">
        <f t="array" aca="1" ref="BK18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88" s="21">
        <f>Tabela1[[#This Row],[DATA PREV - APROV FINAL]]+$BL$1</f>
        <v>46054</v>
      </c>
      <c r="BM188" s="74">
        <v>46056</v>
      </c>
      <c r="BN188" s="16" cm="1">
        <f t="array" aca="1" ref="BN18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188" s="81" t="s">
        <v>619</v>
      </c>
    </row>
    <row r="189" spans="2:67" ht="18" hidden="1" customHeight="1" x14ac:dyDescent="0.35">
      <c r="B189" s="14" t="s">
        <v>119</v>
      </c>
      <c r="C189" s="85" t="s">
        <v>136</v>
      </c>
      <c r="D189" s="16" t="s">
        <v>119</v>
      </c>
      <c r="E189" s="16">
        <v>536</v>
      </c>
      <c r="F189" s="16" t="s">
        <v>565</v>
      </c>
      <c r="G189" s="16" cm="1">
        <f t="array" ref="G189">_xlfn.IFS(Tabela1[[#This Row],[STATUS PROCESSO MOBILIZAÇÃO]]="Finalizado",1,Tabela1[[#This Row],[STATUS PROCESSO MOBILIZAÇÃO]]="Cancelado",2,Tabela1[[#This Row],[STATUS PROCESSO MOBILIZAÇÃO]]="Em andamento",3)</f>
        <v>2</v>
      </c>
      <c r="H189" s="16" cm="1">
        <f t="array" aca="1" ref="H18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FORMS]]="",$AM189&gt;$AK$1),2,
AND(Tabela1[[#This Row],[STATUS PROCESSO MOBILIZAÇÃO]]="Em andamento",Tabela1[[#This Row],[DATA REAL - FORMS]]="",$AM189&lt;=$AK$1),3,
AND(Tabela1[[#This Row],[STATUS PROCESSO MOBILIZAÇÃO]]="Em andamento",Tabela1[[#This Row],[DATA REAL - FORMS]]&lt;&gt;""),1)</f>
        <v>1</v>
      </c>
      <c r="I189" s="16" cm="1">
        <f t="array" aca="1" ref="I18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EXAMES]]="",$AP189&gt;$AN$1),2,
AND(Tabela1[[#This Row],[STATUS PROCESSO MOBILIZAÇÃO]]="Em andamento",Tabela1[[#This Row],[DATA REAL - EXAMES]]="",$AP189&lt;=$AN$1),3,
AND(Tabela1[[#This Row],[STATUS PROCESSO MOBILIZAÇÃO]]="Em andamento",Tabela1[[#This Row],[DATA REAL - EXAMES]]&lt;&gt;""),1)</f>
        <v>1</v>
      </c>
      <c r="J189" s="16" cm="1">
        <f t="array" aca="1" ref="J18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ASO]]="",$AS189&gt;$AQ$1),2,
AND(Tabela1[[#This Row],[STATUS PROCESSO MOBILIZAÇÃO]]="Em andamento",Tabela1[[#This Row],[DATA REAL - ASO]]="",$AS189&lt;=$AQ$1),3,
AND(Tabela1[[#This Row],[STATUS PROCESSO MOBILIZAÇÃO]]="Em andamento",Tabela1[[#This Row],[DATA REAL - ASO]]&lt;&gt;""),1)</f>
        <v>0</v>
      </c>
      <c r="K189" s="16" cm="1">
        <f t="array" aca="1" ref="K18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TREINAMENTOS]]="",$AV189&gt;$AT$1),2,
AND(Tabela1[[#This Row],[STATUS PROCESSO MOBILIZAÇÃO]]="Em andamento",Tabela1[[#This Row],[DATA REAL - TREINAMENTOS]]="",$AV189&lt;=$AT$1),3,
AND(Tabela1[[#This Row],[STATUS PROCESSO MOBILIZAÇÃO]]="Em andamento",Tabela1[[#This Row],[DATA REAL - TREINAMENTOS]]&lt;&gt;""),1)</f>
        <v>1</v>
      </c>
      <c r="L189" s="16" cm="1">
        <f t="array" aca="1" ref="L18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TREIN.]]="",$AY189&gt;$AW$1),2,
AND(Tabela1[[#This Row],[STATUS PROCESSO MOBILIZAÇÃO]]="Em andamento",Tabela1[[#This Row],[DATA REAL - CONCL. TREIN.]]="",$AY189&lt;=$AW$1),3,
AND(Tabela1[[#This Row],[STATUS PROCESSO MOBILIZAÇÃO]]="Em andamento",Tabela1[[#This Row],[DATA REAL - CONCL. TREIN.]]&lt;&gt;""),1)</f>
        <v>1</v>
      </c>
      <c r="M189" s="16" cm="1">
        <f t="array" aca="1" ref="M18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CONTRATUAL]]="",$BB189&gt;$AZ$1),2,
AND(Tabela1[[#This Row],[STATUS PROCESSO MOBILIZAÇÃO]]="Em andamento",Tabela1[[#This Row],[DATA FIM - ALTER. CONTRATUAL]]="",$BB189&lt;=$AZ$1),3,
AND(Tabela1[[#This Row],[STATUS PROCESSO MOBILIZAÇÃO]]="Em andamento",Tabela1[[#This Row],[DATA FIM - ALTER. CONTRATUAL]]&lt;&gt;""),1)</f>
        <v>1</v>
      </c>
      <c r="N189" s="16" cm="1">
        <f t="array" aca="1" ref="N18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DOSSIÊ]]="",$BE189&gt;$BC$1),2,
AND(Tabela1[[#This Row],[STATUS PROCESSO MOBILIZAÇÃO]]="Em andamento",Tabela1[[#This Row],[DATA REAL - DOSSIÊ]]="",$BE189&lt;=$BC$1),3,
AND(Tabela1[[#This Row],[STATUS PROCESSO MOBILIZAÇÃO]]="Em andamento",Tabela1[[#This Row],[DATA REAL - DOSSIÊ]]&lt;&gt;""),1)</f>
        <v>1</v>
      </c>
      <c r="O189" s="16" cm="1">
        <f t="array" aca="1" ref="O18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POSTAGEM]]="",$BH189&gt;$BF$1),2,
AND(Tabela1[[#This Row],[STATUS PROCESSO MOBILIZAÇÃO]]="Em andamento",Tabela1[[#This Row],[DATA REAL - POSTAGEM]]="",$BH189&lt;=$BF$1),3,
AND(Tabela1[[#This Row],[STATUS PROCESSO MOBILIZAÇÃO]]="Em andamento",Tabela1[[#This Row],[DATA REAL - POSTAGEM]]&lt;&gt;""),1)</f>
        <v>1</v>
      </c>
      <c r="P189" s="16" cm="1">
        <f t="array" aca="1" ref="P18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FINAL]]="",$BK189&gt;$BI$1),2,
AND(Tabela1[[#This Row],[STATUS PROCESSO MOBILIZAÇÃO]]="Em andamento",Tabela1[[#This Row],[DATA REAL - APROV FINAL]]="",$BK189&lt;=$BI$1),3,
AND(Tabela1[[#This Row],[STATUS PROCESSO MOBILIZAÇÃO]]="Em andamento",Tabela1[[#This Row],[DATA REAL - APROV FINAL]]&lt;&gt;""),1)</f>
        <v>1</v>
      </c>
      <c r="Q189" s="16" cm="1">
        <f t="array" aca="1" ref="Q18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CRACHÁ]]="",$BN189&gt;$BL$1),2,
AND(Tabela1[[#This Row],[STATUS PROCESSO MOBILIZAÇÃO]]="Em andamento",Tabela1[[#This Row],[DATA REAL - CRACHÁ]]="",$BN189&lt;=$BL$1),3,
AND(Tabela1[[#This Row],[STATUS PROCESSO MOBILIZAÇÃO]]="Em andamento",Tabela1[[#This Row],[DATA REAL - CRACHÁ]]&lt;&gt;""),1)</f>
        <v>1</v>
      </c>
      <c r="R189" s="21">
        <f>IF(Tabela1[[#This Row],[DATA REAL - FORMS]]&lt;&gt;"",Tabela1[[#This Row],[DATA REAL - FORMS]]+30,Tabela1[[#This Row],[DATA PREV - FORMS]]+35)</f>
        <v>46080</v>
      </c>
      <c r="S18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46052</v>
      </c>
      <c r="T18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U18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189" s="49">
        <f>MAX(Tabela1[[#This Row],[DATA REAL - POSTAGEM]],Tabela1[[#This Row],[DATA REAL - APROV FINAL]],Tabela1[[#This Row],[DATA REAL - CRACHÁ]])-MIN(Tabela1[[#This Row],[DATA REAL - POSTAGEM]],Tabela1[[#This Row],[DATA REAL - APROV FINAL]],Tabela1[[#This Row],[DATA REAL - CRACHÁ]])+1</f>
        <v>1</v>
      </c>
      <c r="W18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89" s="15"/>
      <c r="Y189" s="16" t="s">
        <v>84</v>
      </c>
      <c r="Z189" s="103" t="str">
        <f>_xlfn.XLOOKUP(Tabela1[[#This Row],[COO PHD]],TabControleEfetivo[NOME],TabControleEfetivo[email (PHD)],"")</f>
        <v/>
      </c>
      <c r="AA189" s="96" t="s">
        <v>86</v>
      </c>
      <c r="AB189" s="86" t="s">
        <v>97</v>
      </c>
      <c r="AC189" s="16" t="s">
        <v>615</v>
      </c>
      <c r="AD189" s="16" t="s">
        <v>615</v>
      </c>
      <c r="AE189" s="16" t="s">
        <v>262</v>
      </c>
      <c r="AF189" s="16" t="s">
        <v>616</v>
      </c>
      <c r="AG189" s="16" t="str">
        <f>_xlfn.XLOOKUP(Tabela1[[#This Row],[CÓD. CT]],Controle_Projetos[COD CT],Controle_Projetos[COD PHD],"")</f>
        <v>HERC-CT01-GERE</v>
      </c>
      <c r="AH189" s="21">
        <v>46050</v>
      </c>
      <c r="AI189" s="76">
        <v>46050</v>
      </c>
      <c r="AJ189" s="16" cm="1">
        <f t="array" aca="1" ref="AJ18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89" s="21">
        <v>46050</v>
      </c>
      <c r="AL189" s="74">
        <v>46050</v>
      </c>
      <c r="AM189" s="16" cm="1">
        <f t="array" aca="1" ref="AM18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89" s="21">
        <f>Tabela1[[#This Row],[DATA PREV - FORMS]]+$AN$1</f>
        <v>46057</v>
      </c>
      <c r="AO189" s="74">
        <v>46050</v>
      </c>
      <c r="AP189" s="16" cm="1">
        <f t="array" aca="1" ref="AP18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89" s="21">
        <f>Tabela1[[#This Row],[DATA PREV - EXAMES]]+$AQ$1</f>
        <v>46059</v>
      </c>
      <c r="AR189" s="74"/>
      <c r="AS189" s="16" cm="1">
        <f t="array" aca="1" ref="AS18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189" s="21">
        <f>Tabela1[[#This Row],[DATA PREV - FORMS]]+$AT$1</f>
        <v>46051</v>
      </c>
      <c r="AU189" s="74">
        <v>46050</v>
      </c>
      <c r="AV189" s="16" cm="1">
        <f t="array" aca="1" ref="AV18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89" s="21">
        <f>Tabela1[[#This Row],[DATA PREV - TREINAMENTOS]]+$AW$1</f>
        <v>46058</v>
      </c>
      <c r="AX189" s="74">
        <v>46050</v>
      </c>
      <c r="AY189" s="16" cm="1">
        <f t="array" aca="1" ref="AY18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89" s="24">
        <v>46050</v>
      </c>
      <c r="BA189" s="74">
        <v>46050</v>
      </c>
      <c r="BB189" s="16" cm="1">
        <f t="array" aca="1" ref="BB18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89" s="21">
        <f>Tabela1[[#This Row],[DATA PREV - CONCL. TREIN.]]+$BC$1</f>
        <v>46060</v>
      </c>
      <c r="BD189" s="74">
        <v>46052</v>
      </c>
      <c r="BE189" s="16" cm="1">
        <f t="array" aca="1" ref="BE18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89" s="21">
        <f>Tabela1[[#This Row],[DATA PREV - DOSSIÊ]]+$BF$1</f>
        <v>46063</v>
      </c>
      <c r="BG189" s="74">
        <v>46052</v>
      </c>
      <c r="BH189" s="16" cm="1">
        <f t="array" aca="1" ref="BH18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189" s="21">
        <f>Tabela1[[#This Row],[DATA PREV - POSTAGEM]]+$BI$1</f>
        <v>46069</v>
      </c>
      <c r="BJ189" s="74">
        <v>46052</v>
      </c>
      <c r="BK189" s="16" cm="1">
        <f t="array" aca="1" ref="BK18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189" s="21">
        <f>Tabela1[[#This Row],[DATA PREV - APROV FINAL]]+$BL$1</f>
        <v>46070</v>
      </c>
      <c r="BM189" s="74">
        <v>46052</v>
      </c>
      <c r="BN189" s="16" cm="1">
        <f t="array" aca="1" ref="BN18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-17</v>
      </c>
      <c r="BO189" s="81" t="s">
        <v>620</v>
      </c>
    </row>
    <row r="190" spans="2:67" ht="18" hidden="1" customHeight="1" x14ac:dyDescent="0.35">
      <c r="B190" s="84" t="s">
        <v>119</v>
      </c>
      <c r="C190" s="85" t="s">
        <v>136</v>
      </c>
      <c r="D190" s="86" t="s">
        <v>119</v>
      </c>
      <c r="E190" s="86">
        <v>548</v>
      </c>
      <c r="F190" s="86" t="s">
        <v>331</v>
      </c>
      <c r="G190" s="86" cm="1">
        <f t="array" ref="G190">_xlfn.IFS(Tabela1[[#This Row],[STATUS PROCESSO MOBILIZAÇÃO]]="Finalizado",1,Tabela1[[#This Row],[STATUS PROCESSO MOBILIZAÇÃO]]="Cancelado",2,Tabela1[[#This Row],[STATUS PROCESSO MOBILIZAÇÃO]]="Em andamento",3)</f>
        <v>2</v>
      </c>
      <c r="H190" s="86" cm="1">
        <f t="array" aca="1" ref="H19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FORMS]]="",$AM190&gt;$AK$1),2,
AND(Tabela1[[#This Row],[STATUS PROCESSO MOBILIZAÇÃO]]="Em andamento",Tabela1[[#This Row],[DATA REAL - FORMS]]="",$AM190&lt;=$AK$1),3,
AND(Tabela1[[#This Row],[STATUS PROCESSO MOBILIZAÇÃO]]="Em andamento",Tabela1[[#This Row],[DATA REAL - FORMS]]&lt;&gt;""),1)</f>
        <v>1</v>
      </c>
      <c r="I190" s="86" cm="1">
        <f t="array" aca="1" ref="I19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EXAMES]]="",$AP190&gt;$AN$1),2,
AND(Tabela1[[#This Row],[STATUS PROCESSO MOBILIZAÇÃO]]="Em andamento",Tabela1[[#This Row],[DATA REAL - EXAMES]]="",$AP190&lt;=$AN$1),3,
AND(Tabela1[[#This Row],[STATUS PROCESSO MOBILIZAÇÃO]]="Em andamento",Tabela1[[#This Row],[DATA REAL - EXAMES]]&lt;&gt;""),1)</f>
        <v>1</v>
      </c>
      <c r="J190" s="86" cm="1">
        <f t="array" aca="1" ref="J19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ASO]]="",$AS190&gt;$AQ$1),2,
AND(Tabela1[[#This Row],[STATUS PROCESSO MOBILIZAÇÃO]]="Em andamento",Tabela1[[#This Row],[DATA REAL - ASO]]="",$AS190&lt;=$AQ$1),3,
AND(Tabela1[[#This Row],[STATUS PROCESSO MOBILIZAÇÃO]]="Em andamento",Tabela1[[#This Row],[DATA REAL - ASO]]&lt;&gt;""),1)</f>
        <v>1</v>
      </c>
      <c r="K190" s="86" cm="1">
        <f t="array" aca="1" ref="K19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TREINAMENTOS]]="",$AV190&gt;$AT$1),2,
AND(Tabela1[[#This Row],[STATUS PROCESSO MOBILIZAÇÃO]]="Em andamento",Tabela1[[#This Row],[DATA REAL - TREINAMENTOS]]="",$AV190&lt;=$AT$1),3,
AND(Tabela1[[#This Row],[STATUS PROCESSO MOBILIZAÇÃO]]="Em andamento",Tabela1[[#This Row],[DATA REAL - TREINAMENTOS]]&lt;&gt;""),1)</f>
        <v>1</v>
      </c>
      <c r="L190" s="86" cm="1">
        <f t="array" aca="1" ref="L19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TREIN.]]="",$AY190&gt;$AW$1),2,
AND(Tabela1[[#This Row],[STATUS PROCESSO MOBILIZAÇÃO]]="Em andamento",Tabela1[[#This Row],[DATA REAL - CONCL. TREIN.]]="",$AY190&lt;=$AW$1),3,
AND(Tabela1[[#This Row],[STATUS PROCESSO MOBILIZAÇÃO]]="Em andamento",Tabela1[[#This Row],[DATA REAL - CONCL. TREIN.]]&lt;&gt;""),1)</f>
        <v>0</v>
      </c>
      <c r="M190" s="86" cm="1">
        <f t="array" aca="1" ref="M19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CONTRATUAL]]="",$BB190&gt;$AZ$1),2,
AND(Tabela1[[#This Row],[STATUS PROCESSO MOBILIZAÇÃO]]="Em andamento",Tabela1[[#This Row],[DATA FIM - ALTER. CONTRATUAL]]="",$BB190&lt;=$AZ$1),3,
AND(Tabela1[[#This Row],[STATUS PROCESSO MOBILIZAÇÃO]]="Em andamento",Tabela1[[#This Row],[DATA FIM - ALTER. CONTRATUAL]]&lt;&gt;""),1)</f>
        <v>1</v>
      </c>
      <c r="N190" s="86" cm="1">
        <f t="array" aca="1" ref="N19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DOSSIÊ]]="",$BE190&gt;$BC$1),2,
AND(Tabela1[[#This Row],[STATUS PROCESSO MOBILIZAÇÃO]]="Em andamento",Tabela1[[#This Row],[DATA REAL - DOSSIÊ]]="",$BE190&lt;=$BC$1),3,
AND(Tabela1[[#This Row],[STATUS PROCESSO MOBILIZAÇÃO]]="Em andamento",Tabela1[[#This Row],[DATA REAL - DOSSIÊ]]&lt;&gt;""),1)</f>
        <v>0</v>
      </c>
      <c r="O190" s="86" cm="1">
        <f t="array" aca="1" ref="O19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POSTAGEM]]="",$BH190&gt;$BF$1),2,
AND(Tabela1[[#This Row],[STATUS PROCESSO MOBILIZAÇÃO]]="Em andamento",Tabela1[[#This Row],[DATA REAL - POSTAGEM]]="",$BH190&lt;=$BF$1),3,
AND(Tabela1[[#This Row],[STATUS PROCESSO MOBILIZAÇÃO]]="Em andamento",Tabela1[[#This Row],[DATA REAL - POSTAGEM]]&lt;&gt;""),1)</f>
        <v>0</v>
      </c>
      <c r="P190" s="86" cm="1">
        <f t="array" aca="1" ref="P19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FINAL]]="",$BK190&gt;$BI$1),2,
AND(Tabela1[[#This Row],[STATUS PROCESSO MOBILIZAÇÃO]]="Em andamento",Tabela1[[#This Row],[DATA REAL - APROV FINAL]]="",$BK190&lt;=$BI$1),3,
AND(Tabela1[[#This Row],[STATUS PROCESSO MOBILIZAÇÃO]]="Em andamento",Tabela1[[#This Row],[DATA REAL - APROV FINAL]]&lt;&gt;""),1)</f>
        <v>0</v>
      </c>
      <c r="Q190" s="86" cm="1">
        <f t="array" aca="1" ref="Q19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CRACHÁ]]="",$BN190&gt;$BL$1),2,
AND(Tabela1[[#This Row],[STATUS PROCESSO MOBILIZAÇÃO]]="Em andamento",Tabela1[[#This Row],[DATA REAL - CRACHÁ]]="",$BN190&lt;=$BL$1),3,
AND(Tabela1[[#This Row],[STATUS PROCESSO MOBILIZAÇÃO]]="Em andamento",Tabela1[[#This Row],[DATA REAL - CRACHÁ]]&lt;&gt;""),1)</f>
        <v>1</v>
      </c>
      <c r="R190" s="87">
        <f>IF(Tabela1[[#This Row],[DATA REAL - FORMS]]&lt;&gt;"",Tabela1[[#This Row],[DATA REAL - FORMS]]+30,Tabela1[[#This Row],[DATA PREV - FORMS]]+35)</f>
        <v>46085</v>
      </c>
      <c r="S190"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46063</v>
      </c>
      <c r="T190"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190"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190" s="88">
        <f>MAX(Tabela1[[#This Row],[DATA REAL - POSTAGEM]],Tabela1[[#This Row],[DATA REAL - APROV FINAL]],Tabela1[[#This Row],[DATA REAL - CRACHÁ]])-MIN(Tabela1[[#This Row],[DATA REAL - POSTAGEM]],Tabela1[[#This Row],[DATA REAL - APROV FINAL]],Tabela1[[#This Row],[DATA REAL - CRACHÁ]])+1</f>
        <v>1</v>
      </c>
      <c r="W190"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0" s="15" t="s">
        <v>121</v>
      </c>
      <c r="Y190" s="86" t="s">
        <v>122</v>
      </c>
      <c r="Z190" s="103" t="str">
        <f>_xlfn.XLOOKUP(Tabela1[[#This Row],[COO PHD]],TabControleEfetivo[NOME],TabControleEfetivo[email (PHD)],"")</f>
        <v>thales.padua@phdengenharia.eng.br</v>
      </c>
      <c r="AA190" s="95" t="s">
        <v>124</v>
      </c>
      <c r="AB190" s="86" t="s">
        <v>97</v>
      </c>
      <c r="AC190" s="86" t="s">
        <v>547</v>
      </c>
      <c r="AD190" s="86" t="s">
        <v>548</v>
      </c>
      <c r="AE190" s="86" t="s">
        <v>549</v>
      </c>
      <c r="AF190" s="86" t="s">
        <v>550</v>
      </c>
      <c r="AG190" s="86" t="str">
        <f>_xlfn.XLOOKUP(Tabela1[[#This Row],[CÓD. CT]],Controle_Projetos[COD CT],Controle_Projetos[COD PHD],"")</f>
        <v>MROS-CT02-CAIN</v>
      </c>
      <c r="AH190" s="87">
        <v>46055</v>
      </c>
      <c r="AI190" s="89">
        <v>46055</v>
      </c>
      <c r="AJ190" s="86" cm="1">
        <f t="array" aca="1" ref="AJ19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0" s="87">
        <v>46055</v>
      </c>
      <c r="AL190" s="90">
        <v>46055</v>
      </c>
      <c r="AM190" s="86" cm="1">
        <f t="array" aca="1" ref="AM19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0" s="21">
        <f>Tabela1[[#This Row],[DATA PREV - FORMS]]+$AN$1</f>
        <v>46062</v>
      </c>
      <c r="AO190" s="90">
        <v>46055</v>
      </c>
      <c r="AP190" s="86" cm="1">
        <f t="array" aca="1" ref="AP19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0" s="21">
        <f>Tabela1[[#This Row],[DATA PREV - EXAMES]]+$AQ$1</f>
        <v>46064</v>
      </c>
      <c r="AR190" s="90">
        <v>46059</v>
      </c>
      <c r="AS190" s="86" cm="1">
        <f t="array" aca="1" ref="AS19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190" s="21">
        <f>Tabela1[[#This Row],[DATA PREV - FORMS]]+$AT$1</f>
        <v>46056</v>
      </c>
      <c r="AU190" s="90">
        <v>46055</v>
      </c>
      <c r="AV190" s="86" cm="1">
        <f t="array" aca="1" ref="AV19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0" s="21">
        <f>Tabela1[[#This Row],[DATA PREV - TREINAMENTOS]]+$AW$1</f>
        <v>46063</v>
      </c>
      <c r="AX190" s="90"/>
      <c r="AY190" s="86" cm="1">
        <f t="array" aca="1" ref="AY19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90" s="91">
        <v>46055</v>
      </c>
      <c r="BA190" s="90">
        <v>46055</v>
      </c>
      <c r="BB190" s="86" cm="1">
        <f t="array" aca="1" ref="BB19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0" s="21">
        <f>Tabela1[[#This Row],[DATA PREV - CONCL. TREIN.]]+$BC$1</f>
        <v>46065</v>
      </c>
      <c r="BD190" s="90"/>
      <c r="BE190" s="86" cm="1">
        <f t="array" aca="1" ref="BE19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0" s="21">
        <f>Tabela1[[#This Row],[DATA PREV - DOSSIÊ]]+$BF$1</f>
        <v>46068</v>
      </c>
      <c r="BG190" s="90"/>
      <c r="BH190" s="86" cm="1">
        <f t="array" aca="1" ref="BH19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90" s="21">
        <f>Tabela1[[#This Row],[DATA PREV - POSTAGEM]]+$BI$1</f>
        <v>46074</v>
      </c>
      <c r="BJ190" s="90"/>
      <c r="BK190" s="86" cm="1">
        <f t="array" aca="1" ref="BK19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90" s="21">
        <f>Tabela1[[#This Row],[DATA PREV - APROV FINAL]]+$BL$1</f>
        <v>46075</v>
      </c>
      <c r="BM190" s="90">
        <v>46063</v>
      </c>
      <c r="BN190" s="86" cm="1">
        <f t="array" aca="1" ref="BN19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190" s="94" t="s">
        <v>621</v>
      </c>
    </row>
    <row r="191" spans="2:67" ht="18" hidden="1" customHeight="1" x14ac:dyDescent="0.35">
      <c r="B191" s="84" t="s">
        <v>79</v>
      </c>
      <c r="C191" s="85" t="s">
        <v>136</v>
      </c>
      <c r="D191" s="86" t="s">
        <v>81</v>
      </c>
      <c r="E191" s="86">
        <v>553</v>
      </c>
      <c r="F191" s="16" t="s">
        <v>472</v>
      </c>
      <c r="G191" s="86" cm="1">
        <f t="array" ref="G191">_xlfn.IFS(Tabela1[[#This Row],[STATUS PROCESSO MOBILIZAÇÃO]]="Finalizado",1,Tabela1[[#This Row],[STATUS PROCESSO MOBILIZAÇÃO]]="Cancelado",2,Tabela1[[#This Row],[STATUS PROCESSO MOBILIZAÇÃO]]="Em andamento",3)</f>
        <v>1</v>
      </c>
      <c r="H191" s="86" cm="1">
        <f t="array" aca="1" ref="H19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FORMS]]="",$AM191&gt;$AK$1),2,
AND(Tabela1[[#This Row],[STATUS PROCESSO MOBILIZAÇÃO]]="Em andamento",Tabela1[[#This Row],[DATA REAL - FORMS]]="",$AM191&lt;=$AK$1),3,
AND(Tabela1[[#This Row],[STATUS PROCESSO MOBILIZAÇÃO]]="Em andamento",Tabela1[[#This Row],[DATA REAL - FORMS]]&lt;&gt;""),1)</f>
        <v>1</v>
      </c>
      <c r="I191" s="86" cm="1">
        <f t="array" aca="1" ref="I19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EXAMES]]="",$AP191&gt;$AN$1),2,
AND(Tabela1[[#This Row],[STATUS PROCESSO MOBILIZAÇÃO]]="Em andamento",Tabela1[[#This Row],[DATA REAL - EXAMES]]="",$AP191&lt;=$AN$1),3,
AND(Tabela1[[#This Row],[STATUS PROCESSO MOBILIZAÇÃO]]="Em andamento",Tabela1[[#This Row],[DATA REAL - EXAMES]]&lt;&gt;""),1)</f>
        <v>1</v>
      </c>
      <c r="J191" s="86" cm="1">
        <f t="array" aca="1" ref="J19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ASO]]="",$AS191&gt;$AQ$1),2,
AND(Tabela1[[#This Row],[STATUS PROCESSO MOBILIZAÇÃO]]="Em andamento",Tabela1[[#This Row],[DATA REAL - ASO]]="",$AS191&lt;=$AQ$1),3,
AND(Tabela1[[#This Row],[STATUS PROCESSO MOBILIZAÇÃO]]="Em andamento",Tabela1[[#This Row],[DATA REAL - ASO]]&lt;&gt;""),1)</f>
        <v>1</v>
      </c>
      <c r="K191" s="86" cm="1">
        <f t="array" aca="1" ref="K19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TREINAMENTOS]]="",$AV191&gt;$AT$1),2,
AND(Tabela1[[#This Row],[STATUS PROCESSO MOBILIZAÇÃO]]="Em andamento",Tabela1[[#This Row],[DATA REAL - TREINAMENTOS]]="",$AV191&lt;=$AT$1),3,
AND(Tabela1[[#This Row],[STATUS PROCESSO MOBILIZAÇÃO]]="Em andamento",Tabela1[[#This Row],[DATA REAL - TREINAMENTOS]]&lt;&gt;""),1)</f>
        <v>1</v>
      </c>
      <c r="L191" s="86" cm="1">
        <f t="array" aca="1" ref="L19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TREIN.]]="",$AY191&gt;$AW$1),2,
AND(Tabela1[[#This Row],[STATUS PROCESSO MOBILIZAÇÃO]]="Em andamento",Tabela1[[#This Row],[DATA REAL - CONCL. TREIN.]]="",$AY191&lt;=$AW$1),3,
AND(Tabela1[[#This Row],[STATUS PROCESSO MOBILIZAÇÃO]]="Em andamento",Tabela1[[#This Row],[DATA REAL - CONCL. TREIN.]]&lt;&gt;""),1)</f>
        <v>1</v>
      </c>
      <c r="M191" s="86" cm="1">
        <f t="array" aca="1" ref="M19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CONTRATUAL]]="",$BB191&gt;$AZ$1),2,
AND(Tabela1[[#This Row],[STATUS PROCESSO MOBILIZAÇÃO]]="Em andamento",Tabela1[[#This Row],[DATA FIM - ALTER. CONTRATUAL]]="",$BB191&lt;=$AZ$1),3,
AND(Tabela1[[#This Row],[STATUS PROCESSO MOBILIZAÇÃO]]="Em andamento",Tabela1[[#This Row],[DATA FIM - ALTER. CONTRATUAL]]&lt;&gt;""),1)</f>
        <v>1</v>
      </c>
      <c r="N191" s="86" cm="1">
        <f t="array" aca="1" ref="N19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DOSSIÊ]]="",$BE191&gt;$BC$1),2,
AND(Tabela1[[#This Row],[STATUS PROCESSO MOBILIZAÇÃO]]="Em andamento",Tabela1[[#This Row],[DATA REAL - DOSSIÊ]]="",$BE191&lt;=$BC$1),3,
AND(Tabela1[[#This Row],[STATUS PROCESSO MOBILIZAÇÃO]]="Em andamento",Tabela1[[#This Row],[DATA REAL - DOSSIÊ]]&lt;&gt;""),1)</f>
        <v>1</v>
      </c>
      <c r="O191" s="86" cm="1">
        <f t="array" aca="1" ref="O19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POSTAGEM]]="",$BH191&gt;$BF$1),2,
AND(Tabela1[[#This Row],[STATUS PROCESSO MOBILIZAÇÃO]]="Em andamento",Tabela1[[#This Row],[DATA REAL - POSTAGEM]]="",$BH191&lt;=$BF$1),3,
AND(Tabela1[[#This Row],[STATUS PROCESSO MOBILIZAÇÃO]]="Em andamento",Tabela1[[#This Row],[DATA REAL - POSTAGEM]]&lt;&gt;""),1)</f>
        <v>1</v>
      </c>
      <c r="P191" s="86" cm="1">
        <f t="array" aca="1" ref="P19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FINAL]]="",$BK191&gt;$BI$1),2,
AND(Tabela1[[#This Row],[STATUS PROCESSO MOBILIZAÇÃO]]="Em andamento",Tabela1[[#This Row],[DATA REAL - APROV FINAL]]="",$BK191&lt;=$BI$1),3,
AND(Tabela1[[#This Row],[STATUS PROCESSO MOBILIZAÇÃO]]="Em andamento",Tabela1[[#This Row],[DATA REAL - APROV FINAL]]&lt;&gt;""),1)</f>
        <v>1</v>
      </c>
      <c r="Q191" s="86" cm="1">
        <f t="array" aca="1" ref="Q19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CRACHÁ]]="",$BN191&gt;$BL$1),2,
AND(Tabela1[[#This Row],[STATUS PROCESSO MOBILIZAÇÃO]]="Em andamento",Tabela1[[#This Row],[DATA REAL - CRACHÁ]]="",$BN191&lt;=$BL$1),3,
AND(Tabela1[[#This Row],[STATUS PROCESSO MOBILIZAÇÃO]]="Em andamento",Tabela1[[#This Row],[DATA REAL - CRACHÁ]]&lt;&gt;""),1)</f>
        <v>1</v>
      </c>
      <c r="R191" s="87">
        <f>IF(Tabela1[[#This Row],[DATA REAL - FORMS]]&lt;&gt;"",Tabela1[[#This Row],[DATA REAL - FORMS]]+30,Tabela1[[#This Row],[DATA PREV - FORMS]]+35)</f>
        <v>46086</v>
      </c>
      <c r="S191"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46062</v>
      </c>
      <c r="T191"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191"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v>
      </c>
      <c r="V191" s="88">
        <f>MAX(Tabela1[[#This Row],[DATA REAL - POSTAGEM]],Tabela1[[#This Row],[DATA REAL - APROV FINAL]],Tabela1[[#This Row],[DATA REAL - CRACHÁ]])-MIN(Tabela1[[#This Row],[DATA REAL - POSTAGEM]],Tabela1[[#This Row],[DATA REAL - APROV FINAL]],Tabela1[[#This Row],[DATA REAL - CRACHÁ]])+1</f>
        <v>1</v>
      </c>
      <c r="W191"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191" s="15" t="s">
        <v>110</v>
      </c>
      <c r="Y191" s="86" t="s">
        <v>84</v>
      </c>
      <c r="Z191" s="103" t="str">
        <f>_xlfn.XLOOKUP(Tabela1[[#This Row],[COO PHD]],TabControleEfetivo[NOME],TabControleEfetivo[email (PHD)],"")</f>
        <v>julio.cesar@phdengenharia.eng.br</v>
      </c>
      <c r="AA191" s="95" t="s">
        <v>86</v>
      </c>
      <c r="AB191" s="86" t="s">
        <v>97</v>
      </c>
      <c r="AC191" s="86" t="s">
        <v>622</v>
      </c>
      <c r="AD191" s="16" t="s">
        <v>89</v>
      </c>
      <c r="AE191" s="16" t="s">
        <v>116</v>
      </c>
      <c r="AF191" s="16" t="s">
        <v>117</v>
      </c>
      <c r="AG191" s="86" t="str">
        <f>_xlfn.XLOOKUP(Tabela1[[#This Row],[CÓD. CT]],Controle_Projetos[COD CT],Controle_Projetos[COD PHD],"")</f>
        <v>GCES-CT01-PLAN</v>
      </c>
      <c r="AH191" s="87">
        <v>46056</v>
      </c>
      <c r="AI191" s="89">
        <v>46056</v>
      </c>
      <c r="AJ191" s="86" cm="1">
        <f t="array" aca="1" ref="AJ19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1" s="87">
        <v>46056</v>
      </c>
      <c r="AL191" s="90">
        <v>46056</v>
      </c>
      <c r="AM191" s="86" cm="1">
        <f t="array" aca="1" ref="AM19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1" s="87">
        <v>46056</v>
      </c>
      <c r="AO191" s="90">
        <v>46055</v>
      </c>
      <c r="AP191" s="86" cm="1">
        <f t="array" aca="1" ref="AP19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0</v>
      </c>
      <c r="AQ191" s="21">
        <f>Tabela1[[#This Row],[DATA PREV - EXAMES]]+$AQ$1</f>
        <v>46058</v>
      </c>
      <c r="AR191" s="90">
        <v>46057</v>
      </c>
      <c r="AS191" s="86" cm="1">
        <f t="array" aca="1" ref="AS19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1" s="21">
        <f>Tabela1[[#This Row],[DATA PREV - FORMS]]+$AT$1</f>
        <v>46057</v>
      </c>
      <c r="AU191" s="90">
        <v>46055</v>
      </c>
      <c r="AV191" s="86" cm="1">
        <f t="array" aca="1" ref="AV19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91" s="21">
        <f>Tabela1[[#This Row],[DATA PREV - TREINAMENTOS]]+$AW$1</f>
        <v>46064</v>
      </c>
      <c r="AX191" s="90">
        <v>46055</v>
      </c>
      <c r="AY191" s="86" cm="1">
        <f t="array" aca="1" ref="AY19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-8</v>
      </c>
      <c r="AZ191" s="91">
        <v>46055</v>
      </c>
      <c r="BA191" s="90">
        <v>46055</v>
      </c>
      <c r="BB191" s="86" cm="1">
        <f t="array" aca="1" ref="BB19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1" s="21">
        <f>Tabela1[[#This Row],[DATA PREV - CONCL. TREIN.]]+$BC$1</f>
        <v>46066</v>
      </c>
      <c r="BD191" s="90">
        <v>46058</v>
      </c>
      <c r="BE191" s="86" cm="1">
        <f t="array" aca="1" ref="BE19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191" s="21">
        <f>Tabela1[[#This Row],[DATA PREV - DOSSIÊ]]+$BF$1</f>
        <v>46069</v>
      </c>
      <c r="BG191" s="90">
        <v>46062</v>
      </c>
      <c r="BH191" s="86" cm="1">
        <f t="array" aca="1" ref="BH19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191" s="21">
        <f>Tabela1[[#This Row],[DATA PREV - POSTAGEM]]+$BI$1</f>
        <v>46075</v>
      </c>
      <c r="BJ191" s="90">
        <v>46062</v>
      </c>
      <c r="BK191" s="86" cm="1">
        <f t="array" aca="1" ref="BK19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-12</v>
      </c>
      <c r="BL191" s="21">
        <f>Tabela1[[#This Row],[DATA PREV - APROV FINAL]]+$BL$1</f>
        <v>46076</v>
      </c>
      <c r="BM191" s="90">
        <v>46062</v>
      </c>
      <c r="BN191" s="86" cm="1">
        <f t="array" aca="1" ref="BN19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191" s="94" t="s">
        <v>623</v>
      </c>
    </row>
    <row r="192" spans="2:67" ht="18" hidden="1" customHeight="1" x14ac:dyDescent="0.35">
      <c r="B192" s="84" t="s">
        <v>79</v>
      </c>
      <c r="C192" s="85" t="s">
        <v>136</v>
      </c>
      <c r="D192" s="86" t="s">
        <v>108</v>
      </c>
      <c r="E192" s="86">
        <v>572</v>
      </c>
      <c r="F192" s="86" t="s">
        <v>285</v>
      </c>
      <c r="G192" s="86" cm="1">
        <f t="array" ref="G192">_xlfn.IFS(Tabela1[[#This Row],[STATUS PROCESSO MOBILIZAÇÃO]]="Finalizado",1,Tabela1[[#This Row],[STATUS PROCESSO MOBILIZAÇÃO]]="Cancelado",2,Tabela1[[#This Row],[STATUS PROCESSO MOBILIZAÇÃO]]="Em andamento",3)</f>
        <v>1</v>
      </c>
      <c r="H192" s="86" cm="1">
        <f t="array" aca="1" ref="H19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FORMS]]="",$AM192&gt;$AK$1),2,
AND(Tabela1[[#This Row],[STATUS PROCESSO MOBILIZAÇÃO]]="Em andamento",Tabela1[[#This Row],[DATA REAL - FORMS]]="",$AM192&lt;=$AK$1),3,
AND(Tabela1[[#This Row],[STATUS PROCESSO MOBILIZAÇÃO]]="Em andamento",Tabela1[[#This Row],[DATA REAL - FORMS]]&lt;&gt;""),1)</f>
        <v>1</v>
      </c>
      <c r="I192" s="86" cm="1">
        <f t="array" aca="1" ref="I19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EXAMES]]="",$AP192&gt;$AN$1),2,
AND(Tabela1[[#This Row],[STATUS PROCESSO MOBILIZAÇÃO]]="Em andamento",Tabela1[[#This Row],[DATA REAL - EXAMES]]="",$AP192&lt;=$AN$1),3,
AND(Tabela1[[#This Row],[STATUS PROCESSO MOBILIZAÇÃO]]="Em andamento",Tabela1[[#This Row],[DATA REAL - EXAMES]]&lt;&gt;""),1)</f>
        <v>1</v>
      </c>
      <c r="J192" s="86" cm="1">
        <f t="array" aca="1" ref="J19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ASO]]="",$AS192&gt;$AQ$1),2,
AND(Tabela1[[#This Row],[STATUS PROCESSO MOBILIZAÇÃO]]="Em andamento",Tabela1[[#This Row],[DATA REAL - ASO]]="",$AS192&lt;=$AQ$1),3,
AND(Tabela1[[#This Row],[STATUS PROCESSO MOBILIZAÇÃO]]="Em andamento",Tabela1[[#This Row],[DATA REAL - ASO]]&lt;&gt;""),1)</f>
        <v>1</v>
      </c>
      <c r="K192" s="86" cm="1">
        <f t="array" aca="1" ref="K19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TREINAMENTOS]]="",$AV192&gt;$AT$1),2,
AND(Tabela1[[#This Row],[STATUS PROCESSO MOBILIZAÇÃO]]="Em andamento",Tabela1[[#This Row],[DATA REAL - TREINAMENTOS]]="",$AV192&lt;=$AT$1),3,
AND(Tabela1[[#This Row],[STATUS PROCESSO MOBILIZAÇÃO]]="Em andamento",Tabela1[[#This Row],[DATA REAL - TREINAMENTOS]]&lt;&gt;""),1)</f>
        <v>1</v>
      </c>
      <c r="L192" s="86" cm="1">
        <f t="array" aca="1" ref="L19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TREIN.]]="",$AY192&gt;$AW$1),2,
AND(Tabela1[[#This Row],[STATUS PROCESSO MOBILIZAÇÃO]]="Em andamento",Tabela1[[#This Row],[DATA REAL - CONCL. TREIN.]]="",$AY192&lt;=$AW$1),3,
AND(Tabela1[[#This Row],[STATUS PROCESSO MOBILIZAÇÃO]]="Em andamento",Tabela1[[#This Row],[DATA REAL - CONCL. TREIN.]]&lt;&gt;""),1)</f>
        <v>1</v>
      </c>
      <c r="M192" s="86" cm="1">
        <f t="array" aca="1" ref="M19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CONTRATUAL]]="",$BB192&gt;$AZ$1),2,
AND(Tabela1[[#This Row],[STATUS PROCESSO MOBILIZAÇÃO]]="Em andamento",Tabela1[[#This Row],[DATA FIM - ALTER. CONTRATUAL]]="",$BB192&lt;=$AZ$1),3,
AND(Tabela1[[#This Row],[STATUS PROCESSO MOBILIZAÇÃO]]="Em andamento",Tabela1[[#This Row],[DATA FIM - ALTER. CONTRATUAL]]&lt;&gt;""),1)</f>
        <v>1</v>
      </c>
      <c r="N192" s="86" cm="1">
        <f t="array" aca="1" ref="N19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DOSSIÊ]]="",$BE192&gt;$BC$1),2,
AND(Tabela1[[#This Row],[STATUS PROCESSO MOBILIZAÇÃO]]="Em andamento",Tabela1[[#This Row],[DATA REAL - DOSSIÊ]]="",$BE192&lt;=$BC$1),3,
AND(Tabela1[[#This Row],[STATUS PROCESSO MOBILIZAÇÃO]]="Em andamento",Tabela1[[#This Row],[DATA REAL - DOSSIÊ]]&lt;&gt;""),1)</f>
        <v>1</v>
      </c>
      <c r="O192" s="86" cm="1">
        <f t="array" aca="1" ref="O19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POSTAGEM]]="",$BH192&gt;$BF$1),2,
AND(Tabela1[[#This Row],[STATUS PROCESSO MOBILIZAÇÃO]]="Em andamento",Tabela1[[#This Row],[DATA REAL - POSTAGEM]]="",$BH192&lt;=$BF$1),3,
AND(Tabela1[[#This Row],[STATUS PROCESSO MOBILIZAÇÃO]]="Em andamento",Tabela1[[#This Row],[DATA REAL - POSTAGEM]]&lt;&gt;""),1)</f>
        <v>1</v>
      </c>
      <c r="P192" s="86" cm="1">
        <f t="array" aca="1" ref="P19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FINAL]]="",$BK192&gt;$BI$1),2,
AND(Tabela1[[#This Row],[STATUS PROCESSO MOBILIZAÇÃO]]="Em andamento",Tabela1[[#This Row],[DATA REAL - APROV FINAL]]="",$BK192&lt;=$BI$1),3,
AND(Tabela1[[#This Row],[STATUS PROCESSO MOBILIZAÇÃO]]="Em andamento",Tabela1[[#This Row],[DATA REAL - APROV FINAL]]&lt;&gt;""),1)</f>
        <v>1</v>
      </c>
      <c r="Q192" s="86" cm="1">
        <f t="array" aca="1" ref="Q19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CRACHÁ]]="",$BN192&gt;$BL$1),2,
AND(Tabela1[[#This Row],[STATUS PROCESSO MOBILIZAÇÃO]]="Em andamento",Tabela1[[#This Row],[DATA REAL - CRACHÁ]]="",$BN192&lt;=$BL$1),3,
AND(Tabela1[[#This Row],[STATUS PROCESSO MOBILIZAÇÃO]]="Em andamento",Tabela1[[#This Row],[DATA REAL - CRACHÁ]]&lt;&gt;""),1)</f>
        <v>1</v>
      </c>
      <c r="R192" s="87">
        <f>IF(Tabela1[[#This Row],[DATA REAL - FORMS]]&lt;&gt;"",Tabela1[[#This Row],[DATA REAL - FORMS]]+30,Tabela1[[#This Row],[DATA PREV - FORMS]]+35)</f>
        <v>46092</v>
      </c>
      <c r="S192"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46072</v>
      </c>
      <c r="T192"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192"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192" s="88">
        <f>MAX(Tabela1[[#This Row],[DATA REAL - POSTAGEM]],Tabela1[[#This Row],[DATA REAL - APROV FINAL]],Tabela1[[#This Row],[DATA REAL - CRACHÁ]])-MIN(Tabela1[[#This Row],[DATA REAL - POSTAGEM]],Tabela1[[#This Row],[DATA REAL - APROV FINAL]],Tabela1[[#This Row],[DATA REAL - CRACHÁ]])+1</f>
        <v>10</v>
      </c>
      <c r="W192"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2" s="15"/>
      <c r="Y192" s="86" t="s">
        <v>84</v>
      </c>
      <c r="Z192" s="103" t="str">
        <f>_xlfn.XLOOKUP(Tabela1[[#This Row],[COO PHD]],TabControleEfetivo[NOME],TabControleEfetivo[email (PHD)],"")</f>
        <v/>
      </c>
      <c r="AA192" s="95" t="s">
        <v>86</v>
      </c>
      <c r="AB192" s="86" t="s">
        <v>97</v>
      </c>
      <c r="AC192" s="16" t="s">
        <v>615</v>
      </c>
      <c r="AD192" s="16" t="s">
        <v>615</v>
      </c>
      <c r="AE192" s="16" t="s">
        <v>262</v>
      </c>
      <c r="AF192" s="16" t="s">
        <v>616</v>
      </c>
      <c r="AG192" s="86" t="str">
        <f>_xlfn.XLOOKUP(Tabela1[[#This Row],[CÓD. CT]],Controle_Projetos[COD CT],Controle_Projetos[COD PHD],"")</f>
        <v>HERC-CT01-GERE</v>
      </c>
      <c r="AH192" s="87">
        <v>46062</v>
      </c>
      <c r="AI192" s="89">
        <v>46062</v>
      </c>
      <c r="AJ192" s="86" cm="1">
        <f t="array" aca="1" ref="AJ19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2" s="87">
        <v>46062</v>
      </c>
      <c r="AL192" s="90">
        <v>46062</v>
      </c>
      <c r="AM192" s="86" cm="1">
        <f t="array" aca="1" ref="AM19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2" s="87">
        <v>46062</v>
      </c>
      <c r="AO192" s="90">
        <v>46062</v>
      </c>
      <c r="AP192" s="86" cm="1">
        <f t="array" aca="1" ref="AP19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92" s="21">
        <f>Tabela1[[#This Row],[DATA PREV - EXAMES]]+$AQ$1</f>
        <v>46064</v>
      </c>
      <c r="AR192" s="90">
        <v>46063</v>
      </c>
      <c r="AS192" s="86" cm="1">
        <f t="array" aca="1" ref="AS19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2" s="21">
        <f>Tabela1[[#This Row],[DATA PREV - FORMS]]+$AT$1</f>
        <v>46063</v>
      </c>
      <c r="AU192" s="90">
        <v>46062</v>
      </c>
      <c r="AV192" s="86" cm="1">
        <f t="array" aca="1" ref="AV19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2" s="21">
        <f>Tabela1[[#This Row],[DATA PREV - TREINAMENTOS]]+$AW$1</f>
        <v>46070</v>
      </c>
      <c r="AX192" s="90">
        <v>46062</v>
      </c>
      <c r="AY192" s="86" cm="1">
        <f t="array" aca="1" ref="AY19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92" s="91">
        <v>46062</v>
      </c>
      <c r="BA192" s="90">
        <v>46062</v>
      </c>
      <c r="BB192" s="86" cm="1">
        <f t="array" aca="1" ref="BB19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2" s="21">
        <f>Tabela1[[#This Row],[DATA PREV - CONCL. TREIN.]]+$BC$1</f>
        <v>46072</v>
      </c>
      <c r="BD192" s="90">
        <v>46063</v>
      </c>
      <c r="BE192" s="86" cm="1">
        <f t="array" aca="1" ref="BE19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192" s="21">
        <f>Tabela1[[#This Row],[DATA PREV - DOSSIÊ]]+$BF$1</f>
        <v>46075</v>
      </c>
      <c r="BG192" s="90">
        <v>46063</v>
      </c>
      <c r="BH192" s="86" cm="1">
        <f t="array" aca="1" ref="BH19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192" s="21">
        <f>Tabela1[[#This Row],[DATA PREV - POSTAGEM]]+$BI$1</f>
        <v>46081</v>
      </c>
      <c r="BJ192" s="90">
        <v>46065</v>
      </c>
      <c r="BK192" s="86" cm="1">
        <f t="array" aca="1" ref="BK19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-15</v>
      </c>
      <c r="BL192" s="21">
        <f>Tabela1[[#This Row],[DATA PREV - APROV FINAL]]+$BL$1</f>
        <v>46082</v>
      </c>
      <c r="BM192" s="90">
        <v>46072</v>
      </c>
      <c r="BN192" s="86" cm="1">
        <f t="array" aca="1" ref="BN19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192" s="94" t="s">
        <v>624</v>
      </c>
    </row>
    <row r="193" spans="2:67" ht="18" hidden="1" customHeight="1" x14ac:dyDescent="0.35">
      <c r="B193" s="84" t="s">
        <v>79</v>
      </c>
      <c r="C193" s="86" t="s">
        <v>136</v>
      </c>
      <c r="D193" s="86" t="s">
        <v>108</v>
      </c>
      <c r="E193" s="86">
        <v>589</v>
      </c>
      <c r="F193" s="86" t="s">
        <v>294</v>
      </c>
      <c r="G193" s="86" cm="1">
        <f t="array" ref="G193">_xlfn.IFS(Tabela1[[#This Row],[STATUS PROCESSO MOBILIZAÇÃO]]="Finalizado",1,Tabela1[[#This Row],[STATUS PROCESSO MOBILIZAÇÃO]]="Cancelado",2,Tabela1[[#This Row],[STATUS PROCESSO MOBILIZAÇÃO]]="Em andamento",3)</f>
        <v>1</v>
      </c>
      <c r="H193" s="86" cm="1">
        <f t="array" aca="1" ref="H19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FORMS]]="",$AM193&gt;$AK$1),2,
AND(Tabela1[[#This Row],[STATUS PROCESSO MOBILIZAÇÃO]]="Em andamento",Tabela1[[#This Row],[DATA REAL - FORMS]]="",$AM193&lt;=$AK$1),3,
AND(Tabela1[[#This Row],[STATUS PROCESSO MOBILIZAÇÃO]]="Em andamento",Tabela1[[#This Row],[DATA REAL - FORMS]]&lt;&gt;""),1)</f>
        <v>1</v>
      </c>
      <c r="I193" s="86" cm="1">
        <f t="array" aca="1" ref="I19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EXAMES]]="",$AP193&gt;$AN$1),2,
AND(Tabela1[[#This Row],[STATUS PROCESSO MOBILIZAÇÃO]]="Em andamento",Tabela1[[#This Row],[DATA REAL - EXAMES]]="",$AP193&lt;=$AN$1),3,
AND(Tabela1[[#This Row],[STATUS PROCESSO MOBILIZAÇÃO]]="Em andamento",Tabela1[[#This Row],[DATA REAL - EXAMES]]&lt;&gt;""),1)</f>
        <v>1</v>
      </c>
      <c r="J193" s="86" cm="1">
        <f t="array" aca="1" ref="J19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ASO]]="",$AS193&gt;$AQ$1),2,
AND(Tabela1[[#This Row],[STATUS PROCESSO MOBILIZAÇÃO]]="Em andamento",Tabela1[[#This Row],[DATA REAL - ASO]]="",$AS193&lt;=$AQ$1),3,
AND(Tabela1[[#This Row],[STATUS PROCESSO MOBILIZAÇÃO]]="Em andamento",Tabela1[[#This Row],[DATA REAL - ASO]]&lt;&gt;""),1)</f>
        <v>1</v>
      </c>
      <c r="K193" s="86" cm="1">
        <f t="array" aca="1" ref="K19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TREINAMENTOS]]="",$AV193&gt;$AT$1),2,
AND(Tabela1[[#This Row],[STATUS PROCESSO MOBILIZAÇÃO]]="Em andamento",Tabela1[[#This Row],[DATA REAL - TREINAMENTOS]]="",$AV193&lt;=$AT$1),3,
AND(Tabela1[[#This Row],[STATUS PROCESSO MOBILIZAÇÃO]]="Em andamento",Tabela1[[#This Row],[DATA REAL - TREINAMENTOS]]&lt;&gt;""),1)</f>
        <v>1</v>
      </c>
      <c r="L193" s="86" cm="1">
        <f t="array" aca="1" ref="L19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TREIN.]]="",$AY193&gt;$AW$1),2,
AND(Tabela1[[#This Row],[STATUS PROCESSO MOBILIZAÇÃO]]="Em andamento",Tabela1[[#This Row],[DATA REAL - CONCL. TREIN.]]="",$AY193&lt;=$AW$1),3,
AND(Tabela1[[#This Row],[STATUS PROCESSO MOBILIZAÇÃO]]="Em andamento",Tabela1[[#This Row],[DATA REAL - CONCL. TREIN.]]&lt;&gt;""),1)</f>
        <v>1</v>
      </c>
      <c r="M193" s="86" cm="1">
        <f t="array" aca="1" ref="M19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CONTRATUAL]]="",$BB193&gt;$AZ$1),2,
AND(Tabela1[[#This Row],[STATUS PROCESSO MOBILIZAÇÃO]]="Em andamento",Tabela1[[#This Row],[DATA FIM - ALTER. CONTRATUAL]]="",$BB193&lt;=$AZ$1),3,
AND(Tabela1[[#This Row],[STATUS PROCESSO MOBILIZAÇÃO]]="Em andamento",Tabela1[[#This Row],[DATA FIM - ALTER. CONTRATUAL]]&lt;&gt;""),1)</f>
        <v>1</v>
      </c>
      <c r="N193" s="86" cm="1">
        <f t="array" aca="1" ref="N19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DOSSIÊ]]="",$BE193&gt;$BC$1),2,
AND(Tabela1[[#This Row],[STATUS PROCESSO MOBILIZAÇÃO]]="Em andamento",Tabela1[[#This Row],[DATA REAL - DOSSIÊ]]="",$BE193&lt;=$BC$1),3,
AND(Tabela1[[#This Row],[STATUS PROCESSO MOBILIZAÇÃO]]="Em andamento",Tabela1[[#This Row],[DATA REAL - DOSSIÊ]]&lt;&gt;""),1)</f>
        <v>1</v>
      </c>
      <c r="O193" s="86" cm="1">
        <f t="array" aca="1" ref="O19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POSTAGEM]]="",$BH193&gt;$BF$1),2,
AND(Tabela1[[#This Row],[STATUS PROCESSO MOBILIZAÇÃO]]="Em andamento",Tabela1[[#This Row],[DATA REAL - POSTAGEM]]="",$BH193&lt;=$BF$1),3,
AND(Tabela1[[#This Row],[STATUS PROCESSO MOBILIZAÇÃO]]="Em andamento",Tabela1[[#This Row],[DATA REAL - POSTAGEM]]&lt;&gt;""),1)</f>
        <v>1</v>
      </c>
      <c r="P193" s="86" cm="1">
        <f t="array" aca="1" ref="P19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FINAL]]="",$BK193&gt;$BI$1),2,
AND(Tabela1[[#This Row],[STATUS PROCESSO MOBILIZAÇÃO]]="Em andamento",Tabela1[[#This Row],[DATA REAL - APROV FINAL]]="",$BK193&lt;=$BI$1),3,
AND(Tabela1[[#This Row],[STATUS PROCESSO MOBILIZAÇÃO]]="Em andamento",Tabela1[[#This Row],[DATA REAL - APROV FINAL]]&lt;&gt;""),1)</f>
        <v>1</v>
      </c>
      <c r="Q193" s="86" cm="1">
        <f t="array" aca="1" ref="Q19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CRACHÁ]]="",$BN193&gt;$BL$1),2,
AND(Tabela1[[#This Row],[STATUS PROCESSO MOBILIZAÇÃO]]="Em andamento",Tabela1[[#This Row],[DATA REAL - CRACHÁ]]="",$BN193&lt;=$BL$1),3,
AND(Tabela1[[#This Row],[STATUS PROCESSO MOBILIZAÇÃO]]="Em andamento",Tabela1[[#This Row],[DATA REAL - CRACHÁ]]&lt;&gt;""),1)</f>
        <v>1</v>
      </c>
      <c r="R193" s="87">
        <f>IF(Tabela1[[#This Row],[DATA REAL - FORMS]]&lt;&gt;"",Tabela1[[#This Row],[DATA REAL - FORMS]]+30,Tabela1[[#This Row],[DATA PREV - FORMS]]+35)</f>
        <v>46094</v>
      </c>
      <c r="S193"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46078</v>
      </c>
      <c r="T193"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193"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93" s="88">
        <f>MAX(Tabela1[[#This Row],[DATA REAL - POSTAGEM]],Tabela1[[#This Row],[DATA REAL - APROV FINAL]],Tabela1[[#This Row],[DATA REAL - CRACHÁ]])-MIN(Tabela1[[#This Row],[DATA REAL - POSTAGEM]],Tabela1[[#This Row],[DATA REAL - APROV FINAL]],Tabela1[[#This Row],[DATA REAL - CRACHÁ]])+1</f>
        <v>1</v>
      </c>
      <c r="W193"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210</v>
      </c>
      <c r="X193" s="15" t="s">
        <v>121</v>
      </c>
      <c r="Y193" s="86" t="s">
        <v>122</v>
      </c>
      <c r="Z193" s="104" t="str">
        <f>_xlfn.XLOOKUP(Tabela1[[#This Row],[COO PHD]],TabControleEfetivo[NOME],TabControleEfetivo[email (PHD)],"")</f>
        <v>thales.padua@phdengenharia.eng.br</v>
      </c>
      <c r="AA193" s="95" t="s">
        <v>124</v>
      </c>
      <c r="AB193" s="86" t="s">
        <v>97</v>
      </c>
      <c r="AC193" s="86" t="s">
        <v>153</v>
      </c>
      <c r="AD193" s="86" t="s">
        <v>153</v>
      </c>
      <c r="AE193" s="86" t="s">
        <v>625</v>
      </c>
      <c r="AF193" s="86" t="s">
        <v>626</v>
      </c>
      <c r="AG193" s="86" t="str">
        <f>_xlfn.XLOOKUP(Tabela1[[#This Row],[CÓD. CT]],Controle_Projetos[COD CT],Controle_Projetos[COD PHD],"")</f>
        <v>ADMB-CT17-ROND</v>
      </c>
      <c r="AH193" s="87">
        <v>46064</v>
      </c>
      <c r="AI193" s="89"/>
      <c r="AJ193" s="86" cm="1">
        <f t="array" aca="1" ref="AJ19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3" s="87">
        <v>46064</v>
      </c>
      <c r="AL193" s="90">
        <v>46064</v>
      </c>
      <c r="AM193" s="86" cm="1">
        <f t="array" aca="1" ref="AM19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3" s="87">
        <v>46064</v>
      </c>
      <c r="AO193" s="90">
        <v>46064</v>
      </c>
      <c r="AP193" s="86" cm="1">
        <f t="array" aca="1" ref="AP19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1</v>
      </c>
      <c r="AQ193" s="21">
        <f>Tabela1[[#This Row],[DATA PREV - EXAMES]]+$AQ$1</f>
        <v>46066</v>
      </c>
      <c r="AR193" s="90">
        <v>46065</v>
      </c>
      <c r="AS193" s="86" cm="1">
        <f t="array" aca="1" ref="AS19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3" s="21">
        <f>Tabela1[[#This Row],[DATA PREV - FORMS]]+$AT$1</f>
        <v>46065</v>
      </c>
      <c r="AU193" s="90">
        <v>46064</v>
      </c>
      <c r="AV193" s="86" cm="1">
        <f t="array" aca="1" ref="AV19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3" s="21">
        <f>Tabela1[[#This Row],[DATA PREV - TREINAMENTOS]]+$AW$1</f>
        <v>46072</v>
      </c>
      <c r="AX193" s="90">
        <v>46065</v>
      </c>
      <c r="AY193" s="86" cm="1">
        <f t="array" aca="1" ref="AY19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93" s="91">
        <v>46064</v>
      </c>
      <c r="BA193" s="90">
        <v>46064</v>
      </c>
      <c r="BB193" s="86" cm="1">
        <f t="array" aca="1" ref="BB19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3" s="21">
        <f>Tabela1[[#This Row],[DATA PREV - CONCL. TREIN.]]+$BC$1</f>
        <v>46074</v>
      </c>
      <c r="BD193" s="90">
        <v>46072</v>
      </c>
      <c r="BE193" s="86" cm="1">
        <f t="array" aca="1" ref="BE19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3" s="21">
        <f>Tabela1[[#This Row],[DATA PREV - DOSSIÊ]]+$BF$1</f>
        <v>46077</v>
      </c>
      <c r="BG193" s="90">
        <v>46078</v>
      </c>
      <c r="BH193" s="86" cm="1">
        <f t="array" aca="1" ref="BH19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193" s="21">
        <f>Tabela1[[#This Row],[DATA PREV - POSTAGEM]]+$BI$1</f>
        <v>46083</v>
      </c>
      <c r="BJ193" s="90">
        <v>46078</v>
      </c>
      <c r="BK193" s="86" cm="1">
        <f t="array" aca="1" ref="BK19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93" s="21">
        <f>Tabela1[[#This Row],[DATA PREV - APROV FINAL]]+$BL$1</f>
        <v>46084</v>
      </c>
      <c r="BM193" s="90">
        <v>46078</v>
      </c>
      <c r="BN193" s="86" cm="1">
        <f t="array" aca="1" ref="BN19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93" s="94" t="s">
        <v>627</v>
      </c>
    </row>
    <row r="194" spans="2:67" ht="18" hidden="1" customHeight="1" x14ac:dyDescent="0.35">
      <c r="B194" s="84" t="s">
        <v>79</v>
      </c>
      <c r="C194" s="86" t="s">
        <v>136</v>
      </c>
      <c r="D194" s="86" t="s">
        <v>108</v>
      </c>
      <c r="E194" s="86">
        <v>590</v>
      </c>
      <c r="F194" s="86" t="s">
        <v>363</v>
      </c>
      <c r="G194" s="86" cm="1">
        <f t="array" ref="G194">_xlfn.IFS(Tabela1[[#This Row],[STATUS PROCESSO MOBILIZAÇÃO]]="Finalizado",1,Tabela1[[#This Row],[STATUS PROCESSO MOBILIZAÇÃO]]="Cancelado",2,Tabela1[[#This Row],[STATUS PROCESSO MOBILIZAÇÃO]]="Em andamento",3)</f>
        <v>1</v>
      </c>
      <c r="H194" s="86" cm="1">
        <f t="array" aca="1" ref="H19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FORMS]]="",$AM194&gt;$AK$1),2,
AND(Tabela1[[#This Row],[STATUS PROCESSO MOBILIZAÇÃO]]="Em andamento",Tabela1[[#This Row],[DATA REAL - FORMS]]="",$AM194&lt;=$AK$1),3,
AND(Tabela1[[#This Row],[STATUS PROCESSO MOBILIZAÇÃO]]="Em andamento",Tabela1[[#This Row],[DATA REAL - FORMS]]&lt;&gt;""),1)</f>
        <v>1</v>
      </c>
      <c r="I194" s="86" cm="1">
        <f t="array" aca="1" ref="I19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EXAMES]]="",$AP194&gt;$AN$1),2,
AND(Tabela1[[#This Row],[STATUS PROCESSO MOBILIZAÇÃO]]="Em andamento",Tabela1[[#This Row],[DATA REAL - EXAMES]]="",$AP194&lt;=$AN$1),3,
AND(Tabela1[[#This Row],[STATUS PROCESSO MOBILIZAÇÃO]]="Em andamento",Tabela1[[#This Row],[DATA REAL - EXAMES]]&lt;&gt;""),1)</f>
        <v>1</v>
      </c>
      <c r="J194" s="86" cm="1">
        <f t="array" aca="1" ref="J19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ASO]]="",$AS194&gt;$AQ$1),2,
AND(Tabela1[[#This Row],[STATUS PROCESSO MOBILIZAÇÃO]]="Em andamento",Tabela1[[#This Row],[DATA REAL - ASO]]="",$AS194&lt;=$AQ$1),3,
AND(Tabela1[[#This Row],[STATUS PROCESSO MOBILIZAÇÃO]]="Em andamento",Tabela1[[#This Row],[DATA REAL - ASO]]&lt;&gt;""),1)</f>
        <v>1</v>
      </c>
      <c r="K194" s="86" cm="1">
        <f t="array" aca="1" ref="K19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TREINAMENTOS]]="",$AV194&gt;$AT$1),2,
AND(Tabela1[[#This Row],[STATUS PROCESSO MOBILIZAÇÃO]]="Em andamento",Tabela1[[#This Row],[DATA REAL - TREINAMENTOS]]="",$AV194&lt;=$AT$1),3,
AND(Tabela1[[#This Row],[STATUS PROCESSO MOBILIZAÇÃO]]="Em andamento",Tabela1[[#This Row],[DATA REAL - TREINAMENTOS]]&lt;&gt;""),1)</f>
        <v>1</v>
      </c>
      <c r="L194" s="86" cm="1">
        <f t="array" aca="1" ref="L19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TREIN.]]="",$AY194&gt;$AW$1),2,
AND(Tabela1[[#This Row],[STATUS PROCESSO MOBILIZAÇÃO]]="Em andamento",Tabela1[[#This Row],[DATA REAL - CONCL. TREIN.]]="",$AY194&lt;=$AW$1),3,
AND(Tabela1[[#This Row],[STATUS PROCESSO MOBILIZAÇÃO]]="Em andamento",Tabela1[[#This Row],[DATA REAL - CONCL. TREIN.]]&lt;&gt;""),1)</f>
        <v>1</v>
      </c>
      <c r="M194" s="86" cm="1">
        <f t="array" aca="1" ref="M19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CONTRATUAL]]="",$BB194&gt;$AZ$1),2,
AND(Tabela1[[#This Row],[STATUS PROCESSO MOBILIZAÇÃO]]="Em andamento",Tabela1[[#This Row],[DATA FIM - ALTER. CONTRATUAL]]="",$BB194&lt;=$AZ$1),3,
AND(Tabela1[[#This Row],[STATUS PROCESSO MOBILIZAÇÃO]]="Em andamento",Tabela1[[#This Row],[DATA FIM - ALTER. CONTRATUAL]]&lt;&gt;""),1)</f>
        <v>1</v>
      </c>
      <c r="N194" s="86" cm="1">
        <f t="array" aca="1" ref="N19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DOSSIÊ]]="",$BE194&gt;$BC$1),2,
AND(Tabela1[[#This Row],[STATUS PROCESSO MOBILIZAÇÃO]]="Em andamento",Tabela1[[#This Row],[DATA REAL - DOSSIÊ]]="",$BE194&lt;=$BC$1),3,
AND(Tabela1[[#This Row],[STATUS PROCESSO MOBILIZAÇÃO]]="Em andamento",Tabela1[[#This Row],[DATA REAL - DOSSIÊ]]&lt;&gt;""),1)</f>
        <v>1</v>
      </c>
      <c r="O194" s="86" cm="1">
        <f t="array" aca="1" ref="O19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POSTAGEM]]="",$BH194&gt;$BF$1),2,
AND(Tabela1[[#This Row],[STATUS PROCESSO MOBILIZAÇÃO]]="Em andamento",Tabela1[[#This Row],[DATA REAL - POSTAGEM]]="",$BH194&lt;=$BF$1),3,
AND(Tabela1[[#This Row],[STATUS PROCESSO MOBILIZAÇÃO]]="Em andamento",Tabela1[[#This Row],[DATA REAL - POSTAGEM]]&lt;&gt;""),1)</f>
        <v>1</v>
      </c>
      <c r="P194" s="86" cm="1">
        <f t="array" aca="1" ref="P19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FINAL]]="",$BK194&gt;$BI$1),2,
AND(Tabela1[[#This Row],[STATUS PROCESSO MOBILIZAÇÃO]]="Em andamento",Tabela1[[#This Row],[DATA REAL - APROV FINAL]]="",$BK194&lt;=$BI$1),3,
AND(Tabela1[[#This Row],[STATUS PROCESSO MOBILIZAÇÃO]]="Em andamento",Tabela1[[#This Row],[DATA REAL - APROV FINAL]]&lt;&gt;""),1)</f>
        <v>1</v>
      </c>
      <c r="Q194" s="86" cm="1">
        <f t="array" aca="1" ref="Q19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CRACHÁ]]="",$BN194&gt;$BL$1),2,
AND(Tabela1[[#This Row],[STATUS PROCESSO MOBILIZAÇÃO]]="Em andamento",Tabela1[[#This Row],[DATA REAL - CRACHÁ]]="",$BN194&lt;=$BL$1),3,
AND(Tabela1[[#This Row],[STATUS PROCESSO MOBILIZAÇÃO]]="Em andamento",Tabela1[[#This Row],[DATA REAL - CRACHÁ]]&lt;&gt;""),1)</f>
        <v>1</v>
      </c>
      <c r="R194" s="87">
        <f>IF(Tabela1[[#This Row],[DATA REAL - FORMS]]&lt;&gt;"",Tabela1[[#This Row],[DATA REAL - FORMS]]+30,Tabela1[[#This Row],[DATA PREV - FORMS]]+35)</f>
        <v>46095</v>
      </c>
      <c r="S194"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46098</v>
      </c>
      <c r="T194"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33</v>
      </c>
      <c r="U194"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94" s="88">
        <f>MAX(Tabela1[[#This Row],[DATA REAL - POSTAGEM]],Tabela1[[#This Row],[DATA REAL - APROV FINAL]],Tabela1[[#This Row],[DATA REAL - CRACHÁ]])-MIN(Tabela1[[#This Row],[DATA REAL - POSTAGEM]],Tabela1[[#This Row],[DATA REAL - APROV FINAL]],Tabela1[[#This Row],[DATA REAL - CRACHÁ]])+1</f>
        <v>22</v>
      </c>
      <c r="W194"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4" s="15" t="s">
        <v>431</v>
      </c>
      <c r="Y194" s="86" t="s">
        <v>355</v>
      </c>
      <c r="Z194" s="104" t="str">
        <f>_xlfn.XLOOKUP(Tabela1[[#This Row],[COO PHD]],TabControleEfetivo[NOME],TabControleEfetivo[email (PHD)],"")</f>
        <v>alex.silva@phdengenharia.eng.br</v>
      </c>
      <c r="AA194" s="18" t="s">
        <v>356</v>
      </c>
      <c r="AB194" s="86" t="s">
        <v>97</v>
      </c>
      <c r="AC194" s="86" t="s">
        <v>212</v>
      </c>
      <c r="AD194" s="86" t="s">
        <v>628</v>
      </c>
      <c r="AE194" s="86" t="s">
        <v>629</v>
      </c>
      <c r="AF194" s="86" t="s">
        <v>630</v>
      </c>
      <c r="AG194" s="86" t="str">
        <f>_xlfn.XLOOKUP(Tabela1[[#This Row],[CÓD. CT]],Controle_Projetos[COD CT],Controle_Projetos[COD PHD],"")</f>
        <v>NOBR-CT07-MOSA</v>
      </c>
      <c r="AH194" s="87">
        <v>46065</v>
      </c>
      <c r="AI194" s="89">
        <v>46065</v>
      </c>
      <c r="AJ194" s="86" cm="1">
        <f t="array" aca="1" ref="AJ19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4" s="87">
        <v>46065</v>
      </c>
      <c r="AL194" s="90">
        <v>46065</v>
      </c>
      <c r="AM194" s="86" cm="1">
        <f t="array" aca="1" ref="AM19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4" s="21">
        <f>Tabela1[[#This Row],[DATA PREV - FORMS]]+$AN$1</f>
        <v>46072</v>
      </c>
      <c r="AO194" s="90">
        <v>46065</v>
      </c>
      <c r="AP194" s="86" cm="1">
        <f t="array" aca="1" ref="AP19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4" s="21">
        <f>Tabela1[[#This Row],[DATA PREV - EXAMES]]+$AQ$1</f>
        <v>46074</v>
      </c>
      <c r="AR194" s="90">
        <v>46073</v>
      </c>
      <c r="AS194" s="86" cm="1">
        <f t="array" aca="1" ref="AS19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4" s="21">
        <f>Tabela1[[#This Row],[DATA PREV - FORMS]]+$AT$1</f>
        <v>46066</v>
      </c>
      <c r="AU194" s="90">
        <v>46065</v>
      </c>
      <c r="AV194" s="86" cm="1">
        <f t="array" aca="1" ref="AV19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4" s="21">
        <f>Tabela1[[#This Row],[DATA PREV - TREINAMENTOS]]+$AW$1</f>
        <v>46073</v>
      </c>
      <c r="AX194" s="90">
        <v>46066</v>
      </c>
      <c r="AY194" s="86" cm="1">
        <f t="array" aca="1" ref="AY19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94" s="24">
        <v>46065</v>
      </c>
      <c r="BA194" s="90">
        <v>46065</v>
      </c>
      <c r="BB194" s="86" cm="1">
        <f t="array" aca="1" ref="BB19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4" s="21">
        <f>Tabela1[[#This Row],[DATA PREV - CONCL. TREIN.]]+$BC$1</f>
        <v>46075</v>
      </c>
      <c r="BD194" s="90">
        <v>46077</v>
      </c>
      <c r="BE194" s="86" cm="1">
        <f t="array" aca="1" ref="BE19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94" s="21">
        <f>Tabela1[[#This Row],[DATA PREV - DOSSIÊ]]+$BF$1</f>
        <v>46078</v>
      </c>
      <c r="BG194" s="90">
        <v>46077</v>
      </c>
      <c r="BH194" s="86" cm="1">
        <f t="array" aca="1" ref="BH19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94" s="21">
        <f>Tabela1[[#This Row],[DATA PREV - POSTAGEM]]+$BI$1</f>
        <v>46084</v>
      </c>
      <c r="BJ194" s="90">
        <v>46093</v>
      </c>
      <c r="BK194" s="86" cm="1">
        <f t="array" aca="1" ref="BK19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94" s="21">
        <f>Tabela1[[#This Row],[DATA PREV - APROV FINAL]]+$BL$1</f>
        <v>46085</v>
      </c>
      <c r="BM194" s="90">
        <v>46098</v>
      </c>
      <c r="BN194" s="86" cm="1">
        <f t="array" aca="1" ref="BN19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194" s="94" t="s">
        <v>631</v>
      </c>
    </row>
    <row r="195" spans="2:67" ht="18" hidden="1" customHeight="1" x14ac:dyDescent="0.35">
      <c r="B195" s="84" t="s">
        <v>79</v>
      </c>
      <c r="C195" s="86" t="s">
        <v>136</v>
      </c>
      <c r="D195" s="86" t="s">
        <v>108</v>
      </c>
      <c r="E195" s="86">
        <v>611</v>
      </c>
      <c r="F195" s="86" t="s">
        <v>272</v>
      </c>
      <c r="G195" s="86" cm="1">
        <f t="array" ref="G195">_xlfn.IFS(Tabela1[[#This Row],[STATUS PROCESSO MOBILIZAÇÃO]]="Finalizado",1,Tabela1[[#This Row],[STATUS PROCESSO MOBILIZAÇÃO]]="Cancelado",2,Tabela1[[#This Row],[STATUS PROCESSO MOBILIZAÇÃO]]="Em andamento",3)</f>
        <v>1</v>
      </c>
      <c r="H195" s="86" cm="1">
        <f t="array" aca="1" ref="H19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FORMS]]="",$AM195&gt;$AK$1),2,
AND(Tabela1[[#This Row],[STATUS PROCESSO MOBILIZAÇÃO]]="Em andamento",Tabela1[[#This Row],[DATA REAL - FORMS]]="",$AM195&lt;=$AK$1),3,
AND(Tabela1[[#This Row],[STATUS PROCESSO MOBILIZAÇÃO]]="Em andamento",Tabela1[[#This Row],[DATA REAL - FORMS]]&lt;&gt;""),1)</f>
        <v>1</v>
      </c>
      <c r="I195" s="86" cm="1">
        <f t="array" aca="1" ref="I19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EXAMES]]="",$AP195&gt;$AN$1),2,
AND(Tabela1[[#This Row],[STATUS PROCESSO MOBILIZAÇÃO]]="Em andamento",Tabela1[[#This Row],[DATA REAL - EXAMES]]="",$AP195&lt;=$AN$1),3,
AND(Tabela1[[#This Row],[STATUS PROCESSO MOBILIZAÇÃO]]="Em andamento",Tabela1[[#This Row],[DATA REAL - EXAMES]]&lt;&gt;""),1)</f>
        <v>1</v>
      </c>
      <c r="J195" s="86" cm="1">
        <f t="array" aca="1" ref="J19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ASO]]="",$AS195&gt;$AQ$1),2,
AND(Tabela1[[#This Row],[STATUS PROCESSO MOBILIZAÇÃO]]="Em andamento",Tabela1[[#This Row],[DATA REAL - ASO]]="",$AS195&lt;=$AQ$1),3,
AND(Tabela1[[#This Row],[STATUS PROCESSO MOBILIZAÇÃO]]="Em andamento",Tabela1[[#This Row],[DATA REAL - ASO]]&lt;&gt;""),1)</f>
        <v>1</v>
      </c>
      <c r="K195" s="86" cm="1">
        <f t="array" aca="1" ref="K19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TREINAMENTOS]]="",$AV195&gt;$AT$1),2,
AND(Tabela1[[#This Row],[STATUS PROCESSO MOBILIZAÇÃO]]="Em andamento",Tabela1[[#This Row],[DATA REAL - TREINAMENTOS]]="",$AV195&lt;=$AT$1),3,
AND(Tabela1[[#This Row],[STATUS PROCESSO MOBILIZAÇÃO]]="Em andamento",Tabela1[[#This Row],[DATA REAL - TREINAMENTOS]]&lt;&gt;""),1)</f>
        <v>1</v>
      </c>
      <c r="L195" s="86" cm="1">
        <f t="array" aca="1" ref="L19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TREIN.]]="",$AY195&gt;$AW$1),2,
AND(Tabela1[[#This Row],[STATUS PROCESSO MOBILIZAÇÃO]]="Em andamento",Tabela1[[#This Row],[DATA REAL - CONCL. TREIN.]]="",$AY195&lt;=$AW$1),3,
AND(Tabela1[[#This Row],[STATUS PROCESSO MOBILIZAÇÃO]]="Em andamento",Tabela1[[#This Row],[DATA REAL - CONCL. TREIN.]]&lt;&gt;""),1)</f>
        <v>1</v>
      </c>
      <c r="M195" s="86" cm="1">
        <f t="array" aca="1" ref="M19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CONTRATUAL]]="",$BB195&gt;$AZ$1),2,
AND(Tabela1[[#This Row],[STATUS PROCESSO MOBILIZAÇÃO]]="Em andamento",Tabela1[[#This Row],[DATA FIM - ALTER. CONTRATUAL]]="",$BB195&lt;=$AZ$1),3,
AND(Tabela1[[#This Row],[STATUS PROCESSO MOBILIZAÇÃO]]="Em andamento",Tabela1[[#This Row],[DATA FIM - ALTER. CONTRATUAL]]&lt;&gt;""),1)</f>
        <v>1</v>
      </c>
      <c r="N195" s="86" cm="1">
        <f t="array" aca="1" ref="N19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DOSSIÊ]]="",$BE195&gt;$BC$1),2,
AND(Tabela1[[#This Row],[STATUS PROCESSO MOBILIZAÇÃO]]="Em andamento",Tabela1[[#This Row],[DATA REAL - DOSSIÊ]]="",$BE195&lt;=$BC$1),3,
AND(Tabela1[[#This Row],[STATUS PROCESSO MOBILIZAÇÃO]]="Em andamento",Tabela1[[#This Row],[DATA REAL - DOSSIÊ]]&lt;&gt;""),1)</f>
        <v>1</v>
      </c>
      <c r="O195" s="86" cm="1">
        <f t="array" aca="1" ref="O19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POSTAGEM]]="",$BH195&gt;$BF$1),2,
AND(Tabela1[[#This Row],[STATUS PROCESSO MOBILIZAÇÃO]]="Em andamento",Tabela1[[#This Row],[DATA REAL - POSTAGEM]]="",$BH195&lt;=$BF$1),3,
AND(Tabela1[[#This Row],[STATUS PROCESSO MOBILIZAÇÃO]]="Em andamento",Tabela1[[#This Row],[DATA REAL - POSTAGEM]]&lt;&gt;""),1)</f>
        <v>1</v>
      </c>
      <c r="P195" s="86" cm="1">
        <f t="array" aca="1" ref="P19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FINAL]]="",$BK195&gt;$BI$1),2,
AND(Tabela1[[#This Row],[STATUS PROCESSO MOBILIZAÇÃO]]="Em andamento",Tabela1[[#This Row],[DATA REAL - APROV FINAL]]="",$BK195&lt;=$BI$1),3,
AND(Tabela1[[#This Row],[STATUS PROCESSO MOBILIZAÇÃO]]="Em andamento",Tabela1[[#This Row],[DATA REAL - APROV FINAL]]&lt;&gt;""),1)</f>
        <v>1</v>
      </c>
      <c r="Q195" s="86" cm="1">
        <f t="array" aca="1" ref="Q19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CRACHÁ]]="",$BN195&gt;$BL$1),2,
AND(Tabela1[[#This Row],[STATUS PROCESSO MOBILIZAÇÃO]]="Em andamento",Tabela1[[#This Row],[DATA REAL - CRACHÁ]]="",$BN195&lt;=$BL$1),3,
AND(Tabela1[[#This Row],[STATUS PROCESSO MOBILIZAÇÃO]]="Em andamento",Tabela1[[#This Row],[DATA REAL - CRACHÁ]]&lt;&gt;""),1)</f>
        <v>1</v>
      </c>
      <c r="R195" s="87">
        <f>IF(Tabela1[[#This Row],[DATA REAL - FORMS]]&lt;&gt;"",Tabela1[[#This Row],[DATA REAL - FORMS]]+30,Tabela1[[#This Row],[DATA PREV - FORMS]]+35)</f>
        <v>46102</v>
      </c>
      <c r="S195"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46076</v>
      </c>
      <c r="T195"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U195"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95" s="88">
        <f>MAX(Tabela1[[#This Row],[DATA REAL - POSTAGEM]],Tabela1[[#This Row],[DATA REAL - APROV FINAL]],Tabela1[[#This Row],[DATA REAL - CRACHÁ]])-MIN(Tabela1[[#This Row],[DATA REAL - POSTAGEM]],Tabela1[[#This Row],[DATA REAL - APROV FINAL]],Tabela1[[#This Row],[DATA REAL - CRACHÁ]])+1</f>
        <v>4</v>
      </c>
      <c r="W195"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5" s="15" t="s">
        <v>515</v>
      </c>
      <c r="Y195" s="86" t="s">
        <v>130</v>
      </c>
      <c r="Z195" s="104" t="str">
        <f>_xlfn.XLOOKUP(Tabela1[[#This Row],[COO PHD]],TabControleEfetivo[NOME],TabControleEfetivo[email (PHD)],"")</f>
        <v>ronaldo.machado@phdengenharia.eng.br</v>
      </c>
      <c r="AA195" s="95" t="s">
        <v>131</v>
      </c>
      <c r="AB195" s="86" t="s">
        <v>632</v>
      </c>
      <c r="AC195" s="86" t="s">
        <v>89</v>
      </c>
      <c r="AD195" s="86" t="s">
        <v>89</v>
      </c>
      <c r="AE195" s="86" t="s">
        <v>633</v>
      </c>
      <c r="AF195" s="86" t="s">
        <v>634</v>
      </c>
      <c r="AG195" s="86" t="str">
        <f>_xlfn.XLOOKUP(Tabela1[[#This Row],[CÓD. CT]],Controle_Projetos[COD CT],Controle_Projetos[COD PHD],"")</f>
        <v>VABM-CT01-CONS</v>
      </c>
      <c r="AH195" s="87">
        <v>46065</v>
      </c>
      <c r="AI195" s="89">
        <v>46065</v>
      </c>
      <c r="AJ195" s="86" cm="1">
        <f t="array" aca="1" ref="AJ19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5" s="87">
        <v>46065</v>
      </c>
      <c r="AL195" s="90">
        <v>46072</v>
      </c>
      <c r="AM195" s="86" cm="1">
        <f t="array" aca="1" ref="AM19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8</v>
      </c>
      <c r="AN195" s="21">
        <f>Tabela1[[#This Row],[DATA PREV - FORMS]]+$AN$1</f>
        <v>46072</v>
      </c>
      <c r="AO195" s="90">
        <v>46065</v>
      </c>
      <c r="AP195" s="86" cm="1">
        <f t="array" aca="1" ref="AP19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5" s="21">
        <f>Tabela1[[#This Row],[DATA PREV - EXAMES]]+$AQ$1</f>
        <v>46074</v>
      </c>
      <c r="AR195" s="90">
        <v>46073</v>
      </c>
      <c r="AS195" s="86" cm="1">
        <f t="array" aca="1" ref="AS19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5" s="21">
        <f>Tabela1[[#This Row],[DATA PREV - FORMS]]+$AT$1</f>
        <v>46066</v>
      </c>
      <c r="AU195" s="90">
        <v>46066</v>
      </c>
      <c r="AV195" s="86" cm="1">
        <f t="array" aca="1" ref="AV19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195" s="21">
        <f>Tabela1[[#This Row],[DATA PREV - TREINAMENTOS]]+$AW$1</f>
        <v>46073</v>
      </c>
      <c r="AX195" s="90">
        <v>46066</v>
      </c>
      <c r="AY195" s="86" cm="1">
        <f t="array" aca="1" ref="AY19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195" s="91">
        <v>46065</v>
      </c>
      <c r="BA195" s="90">
        <v>46065</v>
      </c>
      <c r="BB195" s="86" cm="1">
        <f t="array" aca="1" ref="BB19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5" s="21">
        <f>Tabela1[[#This Row],[DATA PREV - CONCL. TREIN.]]+$BC$1</f>
        <v>46075</v>
      </c>
      <c r="BD195" s="90">
        <v>46073</v>
      </c>
      <c r="BE195" s="86" cm="1">
        <f t="array" aca="1" ref="BE19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5" s="21">
        <f>Tabela1[[#This Row],[DATA PREV - DOSSIÊ]]+$BF$1</f>
        <v>46078</v>
      </c>
      <c r="BG195" s="90">
        <v>46073</v>
      </c>
      <c r="BH195" s="86" cm="1">
        <f t="array" aca="1" ref="BH19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195" s="21">
        <f>Tabela1[[#This Row],[DATA PREV - POSTAGEM]]+$BI$1</f>
        <v>46084</v>
      </c>
      <c r="BJ195" s="90">
        <v>46076</v>
      </c>
      <c r="BK195" s="86" cm="1">
        <f t="array" aca="1" ref="BK19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195" s="21">
        <f>Tabela1[[#This Row],[DATA PREV - APROV FINAL]]+$BL$1</f>
        <v>46085</v>
      </c>
      <c r="BM195" s="90">
        <v>46076</v>
      </c>
      <c r="BN195" s="86" cm="1">
        <f t="array" aca="1" ref="BN19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195" s="94" t="s">
        <v>635</v>
      </c>
    </row>
    <row r="196" spans="2:67" ht="18" hidden="1" customHeight="1" x14ac:dyDescent="0.35">
      <c r="B196" s="14" t="s">
        <v>79</v>
      </c>
      <c r="C196" s="16" t="s">
        <v>136</v>
      </c>
      <c r="D196" s="16" t="s">
        <v>81</v>
      </c>
      <c r="E196" s="16">
        <v>591</v>
      </c>
      <c r="F196" s="16" t="s">
        <v>292</v>
      </c>
      <c r="G196" s="16" cm="1">
        <f t="array" ref="G196">_xlfn.IFS(Tabela1[[#This Row],[STATUS PROCESSO MOBILIZAÇÃO]]="Finalizado",1,Tabela1[[#This Row],[STATUS PROCESSO MOBILIZAÇÃO]]="Cancelado",2,Tabela1[[#This Row],[STATUS PROCESSO MOBILIZAÇÃO]]="Em andamento",3)</f>
        <v>1</v>
      </c>
      <c r="H196" s="16" cm="1">
        <f t="array" aca="1" ref="H19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FORMS]]="",$AM196&gt;$AK$1),2,
AND(Tabela1[[#This Row],[STATUS PROCESSO MOBILIZAÇÃO]]="Em andamento",Tabela1[[#This Row],[DATA REAL - FORMS]]="",$AM196&lt;=$AK$1),3,
AND(Tabela1[[#This Row],[STATUS PROCESSO MOBILIZAÇÃO]]="Em andamento",Tabela1[[#This Row],[DATA REAL - FORMS]]&lt;&gt;""),1)</f>
        <v>1</v>
      </c>
      <c r="I196" s="16" cm="1">
        <f t="array" aca="1" ref="I19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EXAMES]]="",$AP196&gt;$AN$1),2,
AND(Tabela1[[#This Row],[STATUS PROCESSO MOBILIZAÇÃO]]="Em andamento",Tabela1[[#This Row],[DATA REAL - EXAMES]]="",$AP196&lt;=$AN$1),3,
AND(Tabela1[[#This Row],[STATUS PROCESSO MOBILIZAÇÃO]]="Em andamento",Tabela1[[#This Row],[DATA REAL - EXAMES]]&lt;&gt;""),1)</f>
        <v>1</v>
      </c>
      <c r="J196" s="16" cm="1">
        <f t="array" aca="1" ref="J19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ASO]]="",$AS196&gt;$AQ$1),2,
AND(Tabela1[[#This Row],[STATUS PROCESSO MOBILIZAÇÃO]]="Em andamento",Tabela1[[#This Row],[DATA REAL - ASO]]="",$AS196&lt;=$AQ$1),3,
AND(Tabela1[[#This Row],[STATUS PROCESSO MOBILIZAÇÃO]]="Em andamento",Tabela1[[#This Row],[DATA REAL - ASO]]&lt;&gt;""),1)</f>
        <v>1</v>
      </c>
      <c r="K196" s="16" cm="1">
        <f t="array" aca="1" ref="K19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TREINAMENTOS]]="",$AV196&gt;$AT$1),2,
AND(Tabela1[[#This Row],[STATUS PROCESSO MOBILIZAÇÃO]]="Em andamento",Tabela1[[#This Row],[DATA REAL - TREINAMENTOS]]="",$AV196&lt;=$AT$1),3,
AND(Tabela1[[#This Row],[STATUS PROCESSO MOBILIZAÇÃO]]="Em andamento",Tabela1[[#This Row],[DATA REAL - TREINAMENTOS]]&lt;&gt;""),1)</f>
        <v>1</v>
      </c>
      <c r="L196" s="16" cm="1">
        <f t="array" aca="1" ref="L19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TREIN.]]="",$AY196&gt;$AW$1),2,
AND(Tabela1[[#This Row],[STATUS PROCESSO MOBILIZAÇÃO]]="Em andamento",Tabela1[[#This Row],[DATA REAL - CONCL. TREIN.]]="",$AY196&lt;=$AW$1),3,
AND(Tabela1[[#This Row],[STATUS PROCESSO MOBILIZAÇÃO]]="Em andamento",Tabela1[[#This Row],[DATA REAL - CONCL. TREIN.]]&lt;&gt;""),1)</f>
        <v>1</v>
      </c>
      <c r="M196" s="16" cm="1">
        <f t="array" aca="1" ref="M19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CONTRATUAL]]="",$BB196&gt;$AZ$1),2,
AND(Tabela1[[#This Row],[STATUS PROCESSO MOBILIZAÇÃO]]="Em andamento",Tabela1[[#This Row],[DATA FIM - ALTER. CONTRATUAL]]="",$BB196&lt;=$AZ$1),3,
AND(Tabela1[[#This Row],[STATUS PROCESSO MOBILIZAÇÃO]]="Em andamento",Tabela1[[#This Row],[DATA FIM - ALTER. CONTRATUAL]]&lt;&gt;""),1)</f>
        <v>1</v>
      </c>
      <c r="N196" s="16" cm="1">
        <f t="array" aca="1" ref="N19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DOSSIÊ]]="",$BE196&gt;$BC$1),2,
AND(Tabela1[[#This Row],[STATUS PROCESSO MOBILIZAÇÃO]]="Em andamento",Tabela1[[#This Row],[DATA REAL - DOSSIÊ]]="",$BE196&lt;=$BC$1),3,
AND(Tabela1[[#This Row],[STATUS PROCESSO MOBILIZAÇÃO]]="Em andamento",Tabela1[[#This Row],[DATA REAL - DOSSIÊ]]&lt;&gt;""),1)</f>
        <v>1</v>
      </c>
      <c r="O196" s="16" cm="1">
        <f t="array" aca="1" ref="O19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POSTAGEM]]="",$BH196&gt;$BF$1),2,
AND(Tabela1[[#This Row],[STATUS PROCESSO MOBILIZAÇÃO]]="Em andamento",Tabela1[[#This Row],[DATA REAL - POSTAGEM]]="",$BH196&lt;=$BF$1),3,
AND(Tabela1[[#This Row],[STATUS PROCESSO MOBILIZAÇÃO]]="Em andamento",Tabela1[[#This Row],[DATA REAL - POSTAGEM]]&lt;&gt;""),1)</f>
        <v>1</v>
      </c>
      <c r="P196" s="16" cm="1">
        <f t="array" aca="1" ref="P19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FINAL]]="",$BK196&gt;$BI$1),2,
AND(Tabela1[[#This Row],[STATUS PROCESSO MOBILIZAÇÃO]]="Em andamento",Tabela1[[#This Row],[DATA REAL - APROV FINAL]]="",$BK196&lt;=$BI$1),3,
AND(Tabela1[[#This Row],[STATUS PROCESSO MOBILIZAÇÃO]]="Em andamento",Tabela1[[#This Row],[DATA REAL - APROV FINAL]]&lt;&gt;""),1)</f>
        <v>1</v>
      </c>
      <c r="Q196" s="16" cm="1">
        <f t="array" aca="1" ref="Q19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CRACHÁ]]="",$BN196&gt;$BL$1),2,
AND(Tabela1[[#This Row],[STATUS PROCESSO MOBILIZAÇÃO]]="Em andamento",Tabela1[[#This Row],[DATA REAL - CRACHÁ]]="",$BN196&lt;=$BL$1),3,
AND(Tabela1[[#This Row],[STATUS PROCESSO MOBILIZAÇÃO]]="Em andamento",Tabela1[[#This Row],[DATA REAL - CRACHÁ]]&lt;&gt;""),1)</f>
        <v>1</v>
      </c>
      <c r="R196" s="21">
        <f>IF(Tabela1[[#This Row],[DATA REAL - FORMS]]&lt;&gt;"",Tabela1[[#This Row],[DATA REAL - FORMS]]+30,Tabela1[[#This Row],[DATA PREV - FORMS]]+35)</f>
        <v>46095</v>
      </c>
      <c r="S19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46098</v>
      </c>
      <c r="T19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33</v>
      </c>
      <c r="U19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196" s="49">
        <f>MAX(Tabela1[[#This Row],[DATA REAL - POSTAGEM]],Tabela1[[#This Row],[DATA REAL - APROV FINAL]],Tabela1[[#This Row],[DATA REAL - CRACHÁ]])-MIN(Tabela1[[#This Row],[DATA REAL - POSTAGEM]],Tabela1[[#This Row],[DATA REAL - APROV FINAL]],Tabela1[[#This Row],[DATA REAL - CRACHÁ]])+1</f>
        <v>22</v>
      </c>
      <c r="W19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6" s="15" t="s">
        <v>431</v>
      </c>
      <c r="Y196" s="86" t="s">
        <v>355</v>
      </c>
      <c r="Z196" s="103" t="str">
        <f>_xlfn.XLOOKUP(Tabela1[[#This Row],[COO PHD]],TabControleEfetivo[NOME],TabControleEfetivo[email (PHD)],"")</f>
        <v>alex.silva@phdengenharia.eng.br</v>
      </c>
      <c r="AA196" s="96" t="s">
        <v>356</v>
      </c>
      <c r="AB196" s="86" t="s">
        <v>97</v>
      </c>
      <c r="AC196" s="86" t="s">
        <v>212</v>
      </c>
      <c r="AD196" s="86" t="s">
        <v>628</v>
      </c>
      <c r="AE196" s="86" t="s">
        <v>629</v>
      </c>
      <c r="AF196" s="86" t="s">
        <v>630</v>
      </c>
      <c r="AG196" s="16" t="str">
        <f>_xlfn.XLOOKUP(Tabela1[[#This Row],[CÓD. CT]],Controle_Projetos[COD CT],Controle_Projetos[COD PHD],"")</f>
        <v>NOBR-CT07-MOSA</v>
      </c>
      <c r="AH196" s="21">
        <v>46065</v>
      </c>
      <c r="AI196" s="76">
        <v>46065</v>
      </c>
      <c r="AJ196" s="16" cm="1">
        <f t="array" aca="1" ref="AJ19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6" s="21">
        <v>46065</v>
      </c>
      <c r="AL196" s="74">
        <v>46065</v>
      </c>
      <c r="AM196" s="16" cm="1">
        <f t="array" aca="1" ref="AM19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6" s="21">
        <f>Tabela1[[#This Row],[DATA PREV - FORMS]]+$AN$1</f>
        <v>46072</v>
      </c>
      <c r="AO196" s="74">
        <v>46065</v>
      </c>
      <c r="AP196" s="16" cm="1">
        <f t="array" aca="1" ref="AP19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6" s="21">
        <f>Tabela1[[#This Row],[DATA PREV - EXAMES]]+$AQ$1</f>
        <v>46074</v>
      </c>
      <c r="AR196" s="74">
        <v>46073</v>
      </c>
      <c r="AS196" s="16" cm="1">
        <f t="array" aca="1" ref="AS19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6" s="21">
        <f>Tabela1[[#This Row],[DATA PREV - FORMS]]+$AT$1</f>
        <v>46066</v>
      </c>
      <c r="AU196" s="74">
        <v>46065</v>
      </c>
      <c r="AV196" s="16" cm="1">
        <f t="array" aca="1" ref="AV19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6" s="21">
        <f>Tabela1[[#This Row],[DATA PREV - TREINAMENTOS]]+$AW$1</f>
        <v>46073</v>
      </c>
      <c r="AX196" s="74">
        <v>46073</v>
      </c>
      <c r="AY196" s="16" cm="1">
        <f t="array" aca="1" ref="AY19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96" s="91">
        <v>46066</v>
      </c>
      <c r="BA196" s="74">
        <v>46065</v>
      </c>
      <c r="BB196" s="16" cm="1">
        <f t="array" aca="1" ref="BB19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0</v>
      </c>
      <c r="BC196" s="21">
        <f>Tabela1[[#This Row],[DATA PREV - CONCL. TREIN.]]+$BC$1</f>
        <v>46075</v>
      </c>
      <c r="BD196" s="74">
        <v>46077</v>
      </c>
      <c r="BE196" s="16" cm="1">
        <f t="array" aca="1" ref="BE19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196" s="21">
        <f>Tabela1[[#This Row],[DATA PREV - DOSSIÊ]]+$BF$1</f>
        <v>46078</v>
      </c>
      <c r="BG196" s="74">
        <v>46077</v>
      </c>
      <c r="BH196" s="16" cm="1">
        <f t="array" aca="1" ref="BH19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196" s="21">
        <f>Tabela1[[#This Row],[DATA PREV - POSTAGEM]]+$BI$1</f>
        <v>46084</v>
      </c>
      <c r="BJ196" s="74">
        <v>46093</v>
      </c>
      <c r="BK196" s="16" cm="1">
        <f t="array" aca="1" ref="BK19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196" s="21">
        <f>Tabela1[[#This Row],[DATA PREV - APROV FINAL]]+$BL$1</f>
        <v>46085</v>
      </c>
      <c r="BM196" s="74">
        <v>46098</v>
      </c>
      <c r="BN196" s="16" cm="1">
        <f t="array" aca="1" ref="BN19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196" s="81" t="s">
        <v>636</v>
      </c>
    </row>
    <row r="197" spans="2:67" ht="18" hidden="1" customHeight="1" x14ac:dyDescent="0.35">
      <c r="B197" s="14" t="s">
        <v>79</v>
      </c>
      <c r="C197" s="16" t="s">
        <v>136</v>
      </c>
      <c r="D197" s="16" t="s">
        <v>108</v>
      </c>
      <c r="E197" s="16">
        <v>631</v>
      </c>
      <c r="F197" s="16" t="s">
        <v>193</v>
      </c>
      <c r="G197" s="16" cm="1">
        <f t="array" ref="G197">_xlfn.IFS(Tabela1[[#This Row],[STATUS PROCESSO MOBILIZAÇÃO]]="Finalizado",1,Tabela1[[#This Row],[STATUS PROCESSO MOBILIZAÇÃO]]="Cancelado",2,Tabela1[[#This Row],[STATUS PROCESSO MOBILIZAÇÃO]]="Em andamento",3)</f>
        <v>1</v>
      </c>
      <c r="H197" s="16" cm="1">
        <f t="array" aca="1" ref="H19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FORMS]]="",$AM197&gt;$AK$1),2,
AND(Tabela1[[#This Row],[STATUS PROCESSO MOBILIZAÇÃO]]="Em andamento",Tabela1[[#This Row],[DATA REAL - FORMS]]="",$AM197&lt;=$AK$1),3,
AND(Tabela1[[#This Row],[STATUS PROCESSO MOBILIZAÇÃO]]="Em andamento",Tabela1[[#This Row],[DATA REAL - FORMS]]&lt;&gt;""),1)</f>
        <v>1</v>
      </c>
      <c r="I197" s="16" cm="1">
        <f t="array" aca="1" ref="I19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EXAMES]]="",$AP197&gt;$AN$1),2,
AND(Tabela1[[#This Row],[STATUS PROCESSO MOBILIZAÇÃO]]="Em andamento",Tabela1[[#This Row],[DATA REAL - EXAMES]]="",$AP197&lt;=$AN$1),3,
AND(Tabela1[[#This Row],[STATUS PROCESSO MOBILIZAÇÃO]]="Em andamento",Tabela1[[#This Row],[DATA REAL - EXAMES]]&lt;&gt;""),1)</f>
        <v>1</v>
      </c>
      <c r="J197" s="16" cm="1">
        <f t="array" aca="1" ref="J19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ASO]]="",$AS197&gt;$AQ$1),2,
AND(Tabela1[[#This Row],[STATUS PROCESSO MOBILIZAÇÃO]]="Em andamento",Tabela1[[#This Row],[DATA REAL - ASO]]="",$AS197&lt;=$AQ$1),3,
AND(Tabela1[[#This Row],[STATUS PROCESSO MOBILIZAÇÃO]]="Em andamento",Tabela1[[#This Row],[DATA REAL - ASO]]&lt;&gt;""),1)</f>
        <v>1</v>
      </c>
      <c r="K197" s="16" cm="1">
        <f t="array" aca="1" ref="K19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TREINAMENTOS]]="",$AV197&gt;$AT$1),2,
AND(Tabela1[[#This Row],[STATUS PROCESSO MOBILIZAÇÃO]]="Em andamento",Tabela1[[#This Row],[DATA REAL - TREINAMENTOS]]="",$AV197&lt;=$AT$1),3,
AND(Tabela1[[#This Row],[STATUS PROCESSO MOBILIZAÇÃO]]="Em andamento",Tabela1[[#This Row],[DATA REAL - TREINAMENTOS]]&lt;&gt;""),1)</f>
        <v>1</v>
      </c>
      <c r="L197" s="16" cm="1">
        <f t="array" aca="1" ref="L19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TREIN.]]="",$AY197&gt;$AW$1),2,
AND(Tabela1[[#This Row],[STATUS PROCESSO MOBILIZAÇÃO]]="Em andamento",Tabela1[[#This Row],[DATA REAL - CONCL. TREIN.]]="",$AY197&lt;=$AW$1),3,
AND(Tabela1[[#This Row],[STATUS PROCESSO MOBILIZAÇÃO]]="Em andamento",Tabela1[[#This Row],[DATA REAL - CONCL. TREIN.]]&lt;&gt;""),1)</f>
        <v>1</v>
      </c>
      <c r="M197" s="16" cm="1">
        <f t="array" aca="1" ref="M19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CONTRATUAL]]="",$BB197&gt;$AZ$1),2,
AND(Tabela1[[#This Row],[STATUS PROCESSO MOBILIZAÇÃO]]="Em andamento",Tabela1[[#This Row],[DATA FIM - ALTER. CONTRATUAL]]="",$BB197&lt;=$AZ$1),3,
AND(Tabela1[[#This Row],[STATUS PROCESSO MOBILIZAÇÃO]]="Em andamento",Tabela1[[#This Row],[DATA FIM - ALTER. CONTRATUAL]]&lt;&gt;""),1)</f>
        <v>1</v>
      </c>
      <c r="N197" s="16" cm="1">
        <f t="array" aca="1" ref="N19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DOSSIÊ]]="",$BE197&gt;$BC$1),2,
AND(Tabela1[[#This Row],[STATUS PROCESSO MOBILIZAÇÃO]]="Em andamento",Tabela1[[#This Row],[DATA REAL - DOSSIÊ]]="",$BE197&lt;=$BC$1),3,
AND(Tabela1[[#This Row],[STATUS PROCESSO MOBILIZAÇÃO]]="Em andamento",Tabela1[[#This Row],[DATA REAL - DOSSIÊ]]&lt;&gt;""),1)</f>
        <v>1</v>
      </c>
      <c r="O197" s="16" cm="1">
        <f t="array" aca="1" ref="O19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POSTAGEM]]="",$BH197&gt;$BF$1),2,
AND(Tabela1[[#This Row],[STATUS PROCESSO MOBILIZAÇÃO]]="Em andamento",Tabela1[[#This Row],[DATA REAL - POSTAGEM]]="",$BH197&lt;=$BF$1),3,
AND(Tabela1[[#This Row],[STATUS PROCESSO MOBILIZAÇÃO]]="Em andamento",Tabela1[[#This Row],[DATA REAL - POSTAGEM]]&lt;&gt;""),1)</f>
        <v>1</v>
      </c>
      <c r="P197" s="16" cm="1">
        <f t="array" aca="1" ref="P19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FINAL]]="",$BK197&gt;$BI$1),2,
AND(Tabela1[[#This Row],[STATUS PROCESSO MOBILIZAÇÃO]]="Em andamento",Tabela1[[#This Row],[DATA REAL - APROV FINAL]]="",$BK197&lt;=$BI$1),3,
AND(Tabela1[[#This Row],[STATUS PROCESSO MOBILIZAÇÃO]]="Em andamento",Tabela1[[#This Row],[DATA REAL - APROV FINAL]]&lt;&gt;""),1)</f>
        <v>1</v>
      </c>
      <c r="Q197" s="16" cm="1">
        <f t="array" aca="1" ref="Q19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CRACHÁ]]="",$BN197&gt;$BL$1),2,
AND(Tabela1[[#This Row],[STATUS PROCESSO MOBILIZAÇÃO]]="Em andamento",Tabela1[[#This Row],[DATA REAL - CRACHÁ]]="",$BN197&lt;=$BL$1),3,
AND(Tabela1[[#This Row],[STATUS PROCESSO MOBILIZAÇÃO]]="Em andamento",Tabela1[[#This Row],[DATA REAL - CRACHÁ]]&lt;&gt;""),1)</f>
        <v>1</v>
      </c>
      <c r="R197" s="21">
        <f>IF(Tabela1[[#This Row],[DATA REAL - FORMS]]&lt;&gt;"",Tabela1[[#This Row],[DATA REAL - FORMS]]+30,Tabela1[[#This Row],[DATA PREV - FORMS]]+35)</f>
        <v>46107</v>
      </c>
      <c r="S19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46091</v>
      </c>
      <c r="T19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19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197" s="49">
        <f>MAX(Tabela1[[#This Row],[DATA REAL - POSTAGEM]],Tabela1[[#This Row],[DATA REAL - APROV FINAL]],Tabela1[[#This Row],[DATA REAL - CRACHÁ]])-MIN(Tabela1[[#This Row],[DATA REAL - POSTAGEM]],Tabela1[[#This Row],[DATA REAL - APROV FINAL]],Tabela1[[#This Row],[DATA REAL - CRACHÁ]])+1</f>
        <v>2</v>
      </c>
      <c r="W19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7" s="15" t="s">
        <v>121</v>
      </c>
      <c r="Y197" s="86" t="s">
        <v>122</v>
      </c>
      <c r="Z197" s="103" t="str">
        <f>_xlfn.XLOOKUP(Tabela1[[#This Row],[COO PHD]],TabControleEfetivo[NOME],TabControleEfetivo[email (PHD)],"")</f>
        <v>thales.padua@phdengenharia.eng.br</v>
      </c>
      <c r="AA197" s="96" t="s">
        <v>124</v>
      </c>
      <c r="AB197" s="86" t="s">
        <v>97</v>
      </c>
      <c r="AC197" s="86" t="s">
        <v>637</v>
      </c>
      <c r="AD197" s="86" t="s">
        <v>638</v>
      </c>
      <c r="AE197" s="86" t="s">
        <v>639</v>
      </c>
      <c r="AF197" s="86" t="s">
        <v>640</v>
      </c>
      <c r="AG197" s="16" t="str">
        <f>_xlfn.XLOOKUP(Tabela1[[#This Row],[CÓD. CT]],Controle_Projetos[COD CT],Controle_Projetos[COD PHD],"")</f>
        <v>REFR-CT01-CONS</v>
      </c>
      <c r="AH197" s="21">
        <v>46077</v>
      </c>
      <c r="AI197" s="76">
        <v>46077</v>
      </c>
      <c r="AJ197" s="16" cm="1">
        <f t="array" aca="1" ref="AJ19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7" s="21">
        <v>46077</v>
      </c>
      <c r="AL197" s="74">
        <v>46077</v>
      </c>
      <c r="AM197" s="16" cm="1">
        <f t="array" aca="1" ref="AM19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7" s="21">
        <f>Tabela1[[#This Row],[DATA PREV - FORMS]]+$AN$1</f>
        <v>46084</v>
      </c>
      <c r="AO197" s="74">
        <v>46077</v>
      </c>
      <c r="AP197" s="16" cm="1">
        <f t="array" aca="1" ref="AP19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7" s="21">
        <f>Tabela1[[#This Row],[DATA PREV - EXAMES]]+$AQ$1</f>
        <v>46086</v>
      </c>
      <c r="AR197" s="74">
        <v>46085</v>
      </c>
      <c r="AS197" s="16" cm="1">
        <f t="array" aca="1" ref="AS19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197" s="21">
        <f>Tabela1[[#This Row],[DATA PREV - FORMS]]+$AT$1</f>
        <v>46078</v>
      </c>
      <c r="AU197" s="74">
        <v>46077</v>
      </c>
      <c r="AV197" s="16" cm="1">
        <f t="array" aca="1" ref="AV19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7" s="21">
        <f>Tabela1[[#This Row],[DATA PREV - TREINAMENTOS]]+$AW$1</f>
        <v>46085</v>
      </c>
      <c r="AX197" s="74">
        <v>46077</v>
      </c>
      <c r="AY197" s="16" cm="1">
        <f t="array" aca="1" ref="AY19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97" s="24">
        <v>46077</v>
      </c>
      <c r="BA197" s="74">
        <v>46077</v>
      </c>
      <c r="BB197" s="16" cm="1">
        <f t="array" aca="1" ref="BB19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7" s="21">
        <f>Tabela1[[#This Row],[DATA PREV - CONCL. TREIN.]]+$BC$1</f>
        <v>46087</v>
      </c>
      <c r="BD197" s="74">
        <v>46085</v>
      </c>
      <c r="BE197" s="16" cm="1">
        <f t="array" aca="1" ref="BE19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7" s="21">
        <f>Tabela1[[#This Row],[DATA PREV - DOSSIÊ]]+$BF$1</f>
        <v>46090</v>
      </c>
      <c r="BG197" s="74">
        <v>46090</v>
      </c>
      <c r="BH197" s="16" cm="1">
        <f t="array" aca="1" ref="BH19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97" s="21">
        <f>Tabela1[[#This Row],[DATA PREV - POSTAGEM]]+$BI$1</f>
        <v>46096</v>
      </c>
      <c r="BJ197" s="74">
        <v>46091</v>
      </c>
      <c r="BK197" s="16" cm="1">
        <f t="array" aca="1" ref="BK19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197" s="21">
        <f>Tabela1[[#This Row],[DATA PREV - APROV FINAL]]+$BL$1</f>
        <v>46097</v>
      </c>
      <c r="BM197" s="74">
        <v>46091</v>
      </c>
      <c r="BN197" s="16" cm="1">
        <f t="array" aca="1" ref="BN19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197" s="81" t="s">
        <v>641</v>
      </c>
    </row>
    <row r="198" spans="2:67" ht="18" hidden="1" customHeight="1" x14ac:dyDescent="0.35">
      <c r="B198" s="84" t="s">
        <v>79</v>
      </c>
      <c r="C198" s="86" t="s">
        <v>136</v>
      </c>
      <c r="D198" s="86" t="s">
        <v>81</v>
      </c>
      <c r="E198" s="86">
        <v>632</v>
      </c>
      <c r="F198" s="86" t="s">
        <v>642</v>
      </c>
      <c r="G198" s="86" cm="1">
        <f t="array" ref="G198">_xlfn.IFS(Tabela1[[#This Row],[STATUS PROCESSO MOBILIZAÇÃO]]="Finalizado",1,Tabela1[[#This Row],[STATUS PROCESSO MOBILIZAÇÃO]]="Cancelado",2,Tabela1[[#This Row],[STATUS PROCESSO MOBILIZAÇÃO]]="Em andamento",3)</f>
        <v>1</v>
      </c>
      <c r="H198" s="86" cm="1">
        <f t="array" aca="1" ref="H19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FORMS]]="",$AM198&gt;$AK$1),2,
AND(Tabela1[[#This Row],[STATUS PROCESSO MOBILIZAÇÃO]]="Em andamento",Tabela1[[#This Row],[DATA REAL - FORMS]]="",$AM198&lt;=$AK$1),3,
AND(Tabela1[[#This Row],[STATUS PROCESSO MOBILIZAÇÃO]]="Em andamento",Tabela1[[#This Row],[DATA REAL - FORMS]]&lt;&gt;""),1)</f>
        <v>1</v>
      </c>
      <c r="I198" s="86" cm="1">
        <f t="array" aca="1" ref="I19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EXAMES]]="",$AP198&gt;$AN$1),2,
AND(Tabela1[[#This Row],[STATUS PROCESSO MOBILIZAÇÃO]]="Em andamento",Tabela1[[#This Row],[DATA REAL - EXAMES]]="",$AP198&lt;=$AN$1),3,
AND(Tabela1[[#This Row],[STATUS PROCESSO MOBILIZAÇÃO]]="Em andamento",Tabela1[[#This Row],[DATA REAL - EXAMES]]&lt;&gt;""),1)</f>
        <v>1</v>
      </c>
      <c r="J198" s="86" cm="1">
        <f t="array" aca="1" ref="J19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ASO]]="",$AS198&gt;$AQ$1),2,
AND(Tabela1[[#This Row],[STATUS PROCESSO MOBILIZAÇÃO]]="Em andamento",Tabela1[[#This Row],[DATA REAL - ASO]]="",$AS198&lt;=$AQ$1),3,
AND(Tabela1[[#This Row],[STATUS PROCESSO MOBILIZAÇÃO]]="Em andamento",Tabela1[[#This Row],[DATA REAL - ASO]]&lt;&gt;""),1)</f>
        <v>1</v>
      </c>
      <c r="K198" s="86" cm="1">
        <f t="array" aca="1" ref="K19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TREINAMENTOS]]="",$AV198&gt;$AT$1),2,
AND(Tabela1[[#This Row],[STATUS PROCESSO MOBILIZAÇÃO]]="Em andamento",Tabela1[[#This Row],[DATA REAL - TREINAMENTOS]]="",$AV198&lt;=$AT$1),3,
AND(Tabela1[[#This Row],[STATUS PROCESSO MOBILIZAÇÃO]]="Em andamento",Tabela1[[#This Row],[DATA REAL - TREINAMENTOS]]&lt;&gt;""),1)</f>
        <v>1</v>
      </c>
      <c r="L198" s="86" cm="1">
        <f t="array" aca="1" ref="L19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TREIN.]]="",$AY198&gt;$AW$1),2,
AND(Tabela1[[#This Row],[STATUS PROCESSO MOBILIZAÇÃO]]="Em andamento",Tabela1[[#This Row],[DATA REAL - CONCL. TREIN.]]="",$AY198&lt;=$AW$1),3,
AND(Tabela1[[#This Row],[STATUS PROCESSO MOBILIZAÇÃO]]="Em andamento",Tabela1[[#This Row],[DATA REAL - CONCL. TREIN.]]&lt;&gt;""),1)</f>
        <v>1</v>
      </c>
      <c r="M198" s="86" cm="1">
        <f t="array" aca="1" ref="M19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CONTRATUAL]]="",$BB198&gt;$AZ$1),2,
AND(Tabela1[[#This Row],[STATUS PROCESSO MOBILIZAÇÃO]]="Em andamento",Tabela1[[#This Row],[DATA FIM - ALTER. CONTRATUAL]]="",$BB198&lt;=$AZ$1),3,
AND(Tabela1[[#This Row],[STATUS PROCESSO MOBILIZAÇÃO]]="Em andamento",Tabela1[[#This Row],[DATA FIM - ALTER. CONTRATUAL]]&lt;&gt;""),1)</f>
        <v>1</v>
      </c>
      <c r="N198" s="86" cm="1">
        <f t="array" aca="1" ref="N19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DOSSIÊ]]="",$BE198&gt;$BC$1),2,
AND(Tabela1[[#This Row],[STATUS PROCESSO MOBILIZAÇÃO]]="Em andamento",Tabela1[[#This Row],[DATA REAL - DOSSIÊ]]="",$BE198&lt;=$BC$1),3,
AND(Tabela1[[#This Row],[STATUS PROCESSO MOBILIZAÇÃO]]="Em andamento",Tabela1[[#This Row],[DATA REAL - DOSSIÊ]]&lt;&gt;""),1)</f>
        <v>1</v>
      </c>
      <c r="O198" s="86" cm="1">
        <f t="array" aca="1" ref="O19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POSTAGEM]]="",$BH198&gt;$BF$1),2,
AND(Tabela1[[#This Row],[STATUS PROCESSO MOBILIZAÇÃO]]="Em andamento",Tabela1[[#This Row],[DATA REAL - POSTAGEM]]="",$BH198&lt;=$BF$1),3,
AND(Tabela1[[#This Row],[STATUS PROCESSO MOBILIZAÇÃO]]="Em andamento",Tabela1[[#This Row],[DATA REAL - POSTAGEM]]&lt;&gt;""),1)</f>
        <v>1</v>
      </c>
      <c r="P198" s="86" cm="1">
        <f t="array" aca="1" ref="P19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FINAL]]="",$BK198&gt;$BI$1),2,
AND(Tabela1[[#This Row],[STATUS PROCESSO MOBILIZAÇÃO]]="Em andamento",Tabela1[[#This Row],[DATA REAL - APROV FINAL]]="",$BK198&lt;=$BI$1),3,
AND(Tabela1[[#This Row],[STATUS PROCESSO MOBILIZAÇÃO]]="Em andamento",Tabela1[[#This Row],[DATA REAL - APROV FINAL]]&lt;&gt;""),1)</f>
        <v>1</v>
      </c>
      <c r="Q198" s="86" cm="1">
        <f t="array" aca="1" ref="Q19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CRACHÁ]]="",$BN198&gt;$BL$1),2,
AND(Tabela1[[#This Row],[STATUS PROCESSO MOBILIZAÇÃO]]="Em andamento",Tabela1[[#This Row],[DATA REAL - CRACHÁ]]="",$BN198&lt;=$BL$1),3,
AND(Tabela1[[#This Row],[STATUS PROCESSO MOBILIZAÇÃO]]="Em andamento",Tabela1[[#This Row],[DATA REAL - CRACHÁ]]&lt;&gt;""),1)</f>
        <v>1</v>
      </c>
      <c r="R198" s="87">
        <f>IF(Tabela1[[#This Row],[DATA REAL - FORMS]]&lt;&gt;"",Tabela1[[#This Row],[DATA REAL - FORMS]]+30,Tabela1[[#This Row],[DATA PREV - FORMS]]+35)</f>
        <v>46107</v>
      </c>
      <c r="S198"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46098</v>
      </c>
      <c r="T198"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198"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198" s="88">
        <f>MAX(Tabela1[[#This Row],[DATA REAL - POSTAGEM]],Tabela1[[#This Row],[DATA REAL - APROV FINAL]],Tabela1[[#This Row],[DATA REAL - CRACHÁ]])-MIN(Tabela1[[#This Row],[DATA REAL - POSTAGEM]],Tabela1[[#This Row],[DATA REAL - APROV FINAL]],Tabela1[[#This Row],[DATA REAL - CRACHÁ]])+1</f>
        <v>22</v>
      </c>
      <c r="W198"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197</v>
      </c>
      <c r="X198" s="15" t="s">
        <v>431</v>
      </c>
      <c r="Y198" s="86" t="s">
        <v>355</v>
      </c>
      <c r="Z198" s="104" t="str">
        <f>_xlfn.XLOOKUP(Tabela1[[#This Row],[COO PHD]],TabControleEfetivo[NOME],TabControleEfetivo[email (PHD)],"")</f>
        <v>alex.silva@phdengenharia.eng.br</v>
      </c>
      <c r="AA198" s="95" t="s">
        <v>356</v>
      </c>
      <c r="AB198" s="86" t="s">
        <v>97</v>
      </c>
      <c r="AC198" s="86" t="s">
        <v>212</v>
      </c>
      <c r="AD198" s="86" t="s">
        <v>628</v>
      </c>
      <c r="AE198" s="86" t="s">
        <v>629</v>
      </c>
      <c r="AF198" s="86" t="s">
        <v>630</v>
      </c>
      <c r="AG198" s="86" t="str">
        <f>_xlfn.XLOOKUP(Tabela1[[#This Row],[CÓD. CT]],Controle_Projetos[COD CT],Controle_Projetos[COD PHD],"")</f>
        <v>NOBR-CT07-MOSA</v>
      </c>
      <c r="AH198" s="87">
        <v>46077</v>
      </c>
      <c r="AI198" s="89"/>
      <c r="AJ198" s="86" cm="1">
        <f t="array" aca="1" ref="AJ19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8" s="87">
        <v>46077</v>
      </c>
      <c r="AL198" s="90">
        <v>46077</v>
      </c>
      <c r="AM198" s="86" cm="1">
        <f t="array" aca="1" ref="AM19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8" s="21">
        <f>Tabela1[[#This Row],[DATA PREV - FORMS]]+$AN$1</f>
        <v>46084</v>
      </c>
      <c r="AO198" s="90">
        <v>46077</v>
      </c>
      <c r="AP198" s="86" cm="1">
        <f t="array" aca="1" ref="AP19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8" s="21">
        <f>Tabela1[[#This Row],[DATA PREV - EXAMES]]+$AQ$1</f>
        <v>46086</v>
      </c>
      <c r="AR198" s="90">
        <v>46077</v>
      </c>
      <c r="AS198" s="86" cm="1">
        <f t="array" aca="1" ref="AS19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198" s="21">
        <f>Tabela1[[#This Row],[DATA PREV - FORMS]]+$AT$1</f>
        <v>46078</v>
      </c>
      <c r="AU198" s="90">
        <v>46077</v>
      </c>
      <c r="AV198" s="86" cm="1">
        <f t="array" aca="1" ref="AV19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8" s="21">
        <f>Tabela1[[#This Row],[DATA PREV - TREINAMENTOS]]+$AW$1</f>
        <v>46085</v>
      </c>
      <c r="AX198" s="90">
        <v>46077</v>
      </c>
      <c r="AY198" s="86" cm="1">
        <f t="array" aca="1" ref="AY19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198" s="91">
        <v>46077</v>
      </c>
      <c r="BA198" s="90">
        <v>46077</v>
      </c>
      <c r="BB198" s="86" cm="1">
        <f t="array" aca="1" ref="BB19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8" s="21">
        <f>Tabela1[[#This Row],[DATA PREV - CONCL. TREIN.]]+$BC$1</f>
        <v>46087</v>
      </c>
      <c r="BD198" s="90">
        <v>46077</v>
      </c>
      <c r="BE198" s="86" cm="1">
        <f t="array" aca="1" ref="BE19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198" s="21">
        <f>Tabela1[[#This Row],[DATA PREV - DOSSIÊ]]+$BF$1</f>
        <v>46090</v>
      </c>
      <c r="BG198" s="90">
        <v>46077</v>
      </c>
      <c r="BH198" s="86" cm="1">
        <f t="array" aca="1" ref="BH19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198" s="21">
        <f>Tabela1[[#This Row],[DATA PREV - POSTAGEM]]+$BI$1</f>
        <v>46096</v>
      </c>
      <c r="BJ198" s="90">
        <v>46093</v>
      </c>
      <c r="BK198" s="86" cm="1">
        <f t="array" aca="1" ref="BK19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198" s="21">
        <f>Tabela1[[#This Row],[DATA PREV - APROV FINAL]]+$BL$1</f>
        <v>46097</v>
      </c>
      <c r="BM198" s="90">
        <v>46098</v>
      </c>
      <c r="BN198" s="86" cm="1">
        <f t="array" aca="1" ref="BN19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198" s="94" t="s">
        <v>643</v>
      </c>
    </row>
    <row r="199" spans="2:67" ht="18" hidden="1" customHeight="1" x14ac:dyDescent="0.35">
      <c r="B199" s="84" t="s">
        <v>119</v>
      </c>
      <c r="C199" s="86" t="s">
        <v>136</v>
      </c>
      <c r="D199" s="86" t="s">
        <v>119</v>
      </c>
      <c r="E199" s="86">
        <v>646</v>
      </c>
      <c r="F199" s="86" t="s">
        <v>565</v>
      </c>
      <c r="G199" s="86" cm="1">
        <f t="array" ref="G199">_xlfn.IFS(Tabela1[[#This Row],[STATUS PROCESSO MOBILIZAÇÃO]]="Finalizado",1,Tabela1[[#This Row],[STATUS PROCESSO MOBILIZAÇÃO]]="Cancelado",2,Tabela1[[#This Row],[STATUS PROCESSO MOBILIZAÇÃO]]="Em andamento",3)</f>
        <v>2</v>
      </c>
      <c r="H199" s="86" cm="1">
        <f t="array" aca="1" ref="H19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FORMS]]="",$AM199&gt;$AK$1),2,
AND(Tabela1[[#This Row],[STATUS PROCESSO MOBILIZAÇÃO]]="Em andamento",Tabela1[[#This Row],[DATA REAL - FORMS]]="",$AM199&lt;=$AK$1),3,
AND(Tabela1[[#This Row],[STATUS PROCESSO MOBILIZAÇÃO]]="Em andamento",Tabela1[[#This Row],[DATA REAL - FORMS]]&lt;&gt;""),1)</f>
        <v>1</v>
      </c>
      <c r="I199" s="86" cm="1">
        <f t="array" aca="1" ref="I19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EXAMES]]="",$AP199&gt;$AN$1),2,
AND(Tabela1[[#This Row],[STATUS PROCESSO MOBILIZAÇÃO]]="Em andamento",Tabela1[[#This Row],[DATA REAL - EXAMES]]="",$AP199&lt;=$AN$1),3,
AND(Tabela1[[#This Row],[STATUS PROCESSO MOBILIZAÇÃO]]="Em andamento",Tabela1[[#This Row],[DATA REAL - EXAMES]]&lt;&gt;""),1)</f>
        <v>1</v>
      </c>
      <c r="J199" s="86" cm="1">
        <f t="array" aca="1" ref="J19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ASO]]="",$AS199&gt;$AQ$1),2,
AND(Tabela1[[#This Row],[STATUS PROCESSO MOBILIZAÇÃO]]="Em andamento",Tabela1[[#This Row],[DATA REAL - ASO]]="",$AS199&lt;=$AQ$1),3,
AND(Tabela1[[#This Row],[STATUS PROCESSO MOBILIZAÇÃO]]="Em andamento",Tabela1[[#This Row],[DATA REAL - ASO]]&lt;&gt;""),1)</f>
        <v>1</v>
      </c>
      <c r="K199" s="86" cm="1">
        <f t="array" aca="1" ref="K19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TREINAMENTOS]]="",$AV199&gt;$AT$1),2,
AND(Tabela1[[#This Row],[STATUS PROCESSO MOBILIZAÇÃO]]="Em andamento",Tabela1[[#This Row],[DATA REAL - TREINAMENTOS]]="",$AV199&lt;=$AT$1),3,
AND(Tabela1[[#This Row],[STATUS PROCESSO MOBILIZAÇÃO]]="Em andamento",Tabela1[[#This Row],[DATA REAL - TREINAMENTOS]]&lt;&gt;""),1)</f>
        <v>1</v>
      </c>
      <c r="L199" s="86" cm="1">
        <f t="array" aca="1" ref="L19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TREIN.]]="",$AY199&gt;$AW$1),2,
AND(Tabela1[[#This Row],[STATUS PROCESSO MOBILIZAÇÃO]]="Em andamento",Tabela1[[#This Row],[DATA REAL - CONCL. TREIN.]]="",$AY199&lt;=$AW$1),3,
AND(Tabela1[[#This Row],[STATUS PROCESSO MOBILIZAÇÃO]]="Em andamento",Tabela1[[#This Row],[DATA REAL - CONCL. TREIN.]]&lt;&gt;""),1)</f>
        <v>0</v>
      </c>
      <c r="M199" s="86" cm="1">
        <f t="array" aca="1" ref="M19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CONTRATUAL]]="",$BB199&gt;$AZ$1),2,
AND(Tabela1[[#This Row],[STATUS PROCESSO MOBILIZAÇÃO]]="Em andamento",Tabela1[[#This Row],[DATA FIM - ALTER. CONTRATUAL]]="",$BB199&lt;=$AZ$1),3,
AND(Tabela1[[#This Row],[STATUS PROCESSO MOBILIZAÇÃO]]="Em andamento",Tabela1[[#This Row],[DATA FIM - ALTER. CONTRATUAL]]&lt;&gt;""),1)</f>
        <v>1</v>
      </c>
      <c r="N199" s="86" cm="1">
        <f t="array" aca="1" ref="N19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DOSSIÊ]]="",$BE199&gt;$BC$1),2,
AND(Tabela1[[#This Row],[STATUS PROCESSO MOBILIZAÇÃO]]="Em andamento",Tabela1[[#This Row],[DATA REAL - DOSSIÊ]]="",$BE199&lt;=$BC$1),3,
AND(Tabela1[[#This Row],[STATUS PROCESSO MOBILIZAÇÃO]]="Em andamento",Tabela1[[#This Row],[DATA REAL - DOSSIÊ]]&lt;&gt;""),1)</f>
        <v>0</v>
      </c>
      <c r="O199" s="86" cm="1">
        <f t="array" aca="1" ref="O19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POSTAGEM]]="",$BH199&gt;$BF$1),2,
AND(Tabela1[[#This Row],[STATUS PROCESSO MOBILIZAÇÃO]]="Em andamento",Tabela1[[#This Row],[DATA REAL - POSTAGEM]]="",$BH199&lt;=$BF$1),3,
AND(Tabela1[[#This Row],[STATUS PROCESSO MOBILIZAÇÃO]]="Em andamento",Tabela1[[#This Row],[DATA REAL - POSTAGEM]]&lt;&gt;""),1)</f>
        <v>0</v>
      </c>
      <c r="P199" s="86" cm="1">
        <f t="array" aca="1" ref="P19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FINAL]]="",$BK199&gt;$BI$1),2,
AND(Tabela1[[#This Row],[STATUS PROCESSO MOBILIZAÇÃO]]="Em andamento",Tabela1[[#This Row],[DATA REAL - APROV FINAL]]="",$BK199&lt;=$BI$1),3,
AND(Tabela1[[#This Row],[STATUS PROCESSO MOBILIZAÇÃO]]="Em andamento",Tabela1[[#This Row],[DATA REAL - APROV FINAL]]&lt;&gt;""),1)</f>
        <v>0</v>
      </c>
      <c r="Q199" s="86" cm="1">
        <f t="array" aca="1" ref="Q19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CRACHÁ]]="",$BN199&gt;$BL$1),2,
AND(Tabela1[[#This Row],[STATUS PROCESSO MOBILIZAÇÃO]]="Em andamento",Tabela1[[#This Row],[DATA REAL - CRACHÁ]]="",$BN199&lt;=$BL$1),3,
AND(Tabela1[[#This Row],[STATUS PROCESSO MOBILIZAÇÃO]]="Em andamento",Tabela1[[#This Row],[DATA REAL - CRACHÁ]]&lt;&gt;""),1)</f>
        <v>1</v>
      </c>
      <c r="R199" s="87">
        <f>IF(Tabela1[[#This Row],[DATA REAL - FORMS]]&lt;&gt;"",Tabela1[[#This Row],[DATA REAL - FORMS]]+30,Tabela1[[#This Row],[DATA PREV - FORMS]]+35)</f>
        <v>46109</v>
      </c>
      <c r="S199"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46094</v>
      </c>
      <c r="T199"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199"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199" s="88">
        <f>MAX(Tabela1[[#This Row],[DATA REAL - POSTAGEM]],Tabela1[[#This Row],[DATA REAL - APROV FINAL]],Tabela1[[#This Row],[DATA REAL - CRACHÁ]])-MIN(Tabela1[[#This Row],[DATA REAL - POSTAGEM]],Tabela1[[#This Row],[DATA REAL - APROV FINAL]],Tabela1[[#This Row],[DATA REAL - CRACHÁ]])+1</f>
        <v>1</v>
      </c>
      <c r="W199"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199" s="15" t="s">
        <v>103</v>
      </c>
      <c r="Y199" s="86" t="s">
        <v>150</v>
      </c>
      <c r="Z199" s="104" t="str">
        <f>_xlfn.XLOOKUP(Tabela1[[#This Row],[COO PHD]],TabControleEfetivo[NOME],TabControleEfetivo[email (PHD)],"")</f>
        <v>tulio.rafael@phdengenharia.eng.br</v>
      </c>
      <c r="AA199" s="95" t="s">
        <v>152</v>
      </c>
      <c r="AB199" s="86" t="s">
        <v>97</v>
      </c>
      <c r="AC199" s="86" t="s">
        <v>88</v>
      </c>
      <c r="AD199" s="86" t="s">
        <v>89</v>
      </c>
      <c r="AE199" s="86" t="s">
        <v>644</v>
      </c>
      <c r="AF199" s="86" t="s">
        <v>645</v>
      </c>
      <c r="AG199" s="86" t="str">
        <f>_xlfn.XLOOKUP(Tabela1[[#This Row],[CÓD. CT]],Controle_Projetos[COD CT],Controle_Projetos[COD PHD],"")</f>
        <v>IMCS-CT09-PLAN</v>
      </c>
      <c r="AH199" s="87">
        <v>46079</v>
      </c>
      <c r="AI199" s="89">
        <v>46079</v>
      </c>
      <c r="AJ199" s="86" cm="1">
        <f t="array" aca="1" ref="AJ19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199" s="87">
        <v>46079</v>
      </c>
      <c r="AL199" s="90">
        <v>46079</v>
      </c>
      <c r="AM199" s="86" cm="1">
        <f t="array" aca="1" ref="AM19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199" s="21">
        <f>Tabela1[[#This Row],[DATA PREV - FORMS]]+$AN$1</f>
        <v>46086</v>
      </c>
      <c r="AO199" s="90">
        <v>46079</v>
      </c>
      <c r="AP199" s="86" cm="1">
        <f t="array" aca="1" ref="AP19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199" s="21">
        <f>Tabela1[[#This Row],[DATA PREV - EXAMES]]+$AQ$1</f>
        <v>46088</v>
      </c>
      <c r="AR199" s="90">
        <v>46084</v>
      </c>
      <c r="AS199" s="86" cm="1">
        <f t="array" aca="1" ref="AS19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199" s="21">
        <f>Tabela1[[#This Row],[DATA PREV - FORMS]]+$AT$1</f>
        <v>46080</v>
      </c>
      <c r="AU199" s="90">
        <v>46079</v>
      </c>
      <c r="AV199" s="86" cm="1">
        <f t="array" aca="1" ref="AV19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199" s="21">
        <f>Tabela1[[#This Row],[DATA PREV - TREINAMENTOS]]+$AW$1</f>
        <v>46087</v>
      </c>
      <c r="AX199" s="90"/>
      <c r="AY199" s="86" cm="1">
        <f t="array" aca="1" ref="AY19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199" s="91">
        <v>46079</v>
      </c>
      <c r="BA199" s="90">
        <v>46079</v>
      </c>
      <c r="BB199" s="86" cm="1">
        <f t="array" aca="1" ref="BB19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199" s="21">
        <f>Tabela1[[#This Row],[DATA PREV - CONCL. TREIN.]]+$BC$1</f>
        <v>46089</v>
      </c>
      <c r="BD199" s="90"/>
      <c r="BE199" s="86" cm="1">
        <f t="array" aca="1" ref="BE19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199" s="21">
        <f>Tabela1[[#This Row],[DATA PREV - DOSSIÊ]]+$BF$1</f>
        <v>46092</v>
      </c>
      <c r="BG199" s="90"/>
      <c r="BH199" s="86" cm="1">
        <f t="array" aca="1" ref="BH19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199" s="21">
        <f>Tabela1[[#This Row],[DATA PREV - POSTAGEM]]+$BI$1</f>
        <v>46098</v>
      </c>
      <c r="BJ199" s="90"/>
      <c r="BK199" s="86" cm="1">
        <f t="array" aca="1" ref="BK19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199" s="21">
        <f>Tabela1[[#This Row],[DATA PREV - APROV FINAL]]+$BL$1</f>
        <v>46099</v>
      </c>
      <c r="BM199" s="90">
        <v>46094</v>
      </c>
      <c r="BN199" s="86" cm="1">
        <f t="array" aca="1" ref="BN19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199" s="94" t="s">
        <v>646</v>
      </c>
    </row>
    <row r="200" spans="2:67" ht="18" hidden="1" customHeight="1" x14ac:dyDescent="0.35">
      <c r="B200" s="84" t="s">
        <v>119</v>
      </c>
      <c r="C200" s="86" t="s">
        <v>136</v>
      </c>
      <c r="D200" s="86" t="s">
        <v>119</v>
      </c>
      <c r="E200" s="86">
        <v>647</v>
      </c>
      <c r="F200" s="86" t="s">
        <v>552</v>
      </c>
      <c r="G200" s="86" cm="1">
        <f t="array" ref="G200">_xlfn.IFS(Tabela1[[#This Row],[STATUS PROCESSO MOBILIZAÇÃO]]="Finalizado",1,Tabela1[[#This Row],[STATUS PROCESSO MOBILIZAÇÃO]]="Cancelado",2,Tabela1[[#This Row],[STATUS PROCESSO MOBILIZAÇÃO]]="Em andamento",3)</f>
        <v>2</v>
      </c>
      <c r="H200" s="86" cm="1">
        <f t="array" aca="1" ref="H20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FORMS]]="",$AM200&gt;$AK$1),2,
AND(Tabela1[[#This Row],[STATUS PROCESSO MOBILIZAÇÃO]]="Em andamento",Tabela1[[#This Row],[DATA REAL - FORMS]]="",$AM200&lt;=$AK$1),3,
AND(Tabela1[[#This Row],[STATUS PROCESSO MOBILIZAÇÃO]]="Em andamento",Tabela1[[#This Row],[DATA REAL - FORMS]]&lt;&gt;""),1)</f>
        <v>1</v>
      </c>
      <c r="I200" s="86" cm="1">
        <f t="array" aca="1" ref="I20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EXAMES]]="",$AP200&gt;$AN$1),2,
AND(Tabela1[[#This Row],[STATUS PROCESSO MOBILIZAÇÃO]]="Em andamento",Tabela1[[#This Row],[DATA REAL - EXAMES]]="",$AP200&lt;=$AN$1),3,
AND(Tabela1[[#This Row],[STATUS PROCESSO MOBILIZAÇÃO]]="Em andamento",Tabela1[[#This Row],[DATA REAL - EXAMES]]&lt;&gt;""),1)</f>
        <v>1</v>
      </c>
      <c r="J200" s="86" cm="1">
        <f t="array" aca="1" ref="J20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ASO]]="",$AS200&gt;$AQ$1),2,
AND(Tabela1[[#This Row],[STATUS PROCESSO MOBILIZAÇÃO]]="Em andamento",Tabela1[[#This Row],[DATA REAL - ASO]]="",$AS200&lt;=$AQ$1),3,
AND(Tabela1[[#This Row],[STATUS PROCESSO MOBILIZAÇÃO]]="Em andamento",Tabela1[[#This Row],[DATA REAL - ASO]]&lt;&gt;""),1)</f>
        <v>1</v>
      </c>
      <c r="K200" s="86" cm="1">
        <f t="array" aca="1" ref="K20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TREINAMENTOS]]="",$AV200&gt;$AT$1),2,
AND(Tabela1[[#This Row],[STATUS PROCESSO MOBILIZAÇÃO]]="Em andamento",Tabela1[[#This Row],[DATA REAL - TREINAMENTOS]]="",$AV200&lt;=$AT$1),3,
AND(Tabela1[[#This Row],[STATUS PROCESSO MOBILIZAÇÃO]]="Em andamento",Tabela1[[#This Row],[DATA REAL - TREINAMENTOS]]&lt;&gt;""),1)</f>
        <v>1</v>
      </c>
      <c r="L200" s="86" cm="1">
        <f t="array" aca="1" ref="L20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TREIN.]]="",$AY200&gt;$AW$1),2,
AND(Tabela1[[#This Row],[STATUS PROCESSO MOBILIZAÇÃO]]="Em andamento",Tabela1[[#This Row],[DATA REAL - CONCL. TREIN.]]="",$AY200&lt;=$AW$1),3,
AND(Tabela1[[#This Row],[STATUS PROCESSO MOBILIZAÇÃO]]="Em andamento",Tabela1[[#This Row],[DATA REAL - CONCL. TREIN.]]&lt;&gt;""),1)</f>
        <v>0</v>
      </c>
      <c r="M200" s="86" cm="1">
        <f t="array" aca="1" ref="M20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CONTRATUAL]]="",$BB200&gt;$AZ$1),2,
AND(Tabela1[[#This Row],[STATUS PROCESSO MOBILIZAÇÃO]]="Em andamento",Tabela1[[#This Row],[DATA FIM - ALTER. CONTRATUAL]]="",$BB200&lt;=$AZ$1),3,
AND(Tabela1[[#This Row],[STATUS PROCESSO MOBILIZAÇÃO]]="Em andamento",Tabela1[[#This Row],[DATA FIM - ALTER. CONTRATUAL]]&lt;&gt;""),1)</f>
        <v>1</v>
      </c>
      <c r="N200" s="86" cm="1">
        <f t="array" aca="1" ref="N20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DOSSIÊ]]="",$BE200&gt;$BC$1),2,
AND(Tabela1[[#This Row],[STATUS PROCESSO MOBILIZAÇÃO]]="Em andamento",Tabela1[[#This Row],[DATA REAL - DOSSIÊ]]="",$BE200&lt;=$BC$1),3,
AND(Tabela1[[#This Row],[STATUS PROCESSO MOBILIZAÇÃO]]="Em andamento",Tabela1[[#This Row],[DATA REAL - DOSSIÊ]]&lt;&gt;""),1)</f>
        <v>0</v>
      </c>
      <c r="O200" s="86" cm="1">
        <f t="array" aca="1" ref="O20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POSTAGEM]]="",$BH200&gt;$BF$1),2,
AND(Tabela1[[#This Row],[STATUS PROCESSO MOBILIZAÇÃO]]="Em andamento",Tabela1[[#This Row],[DATA REAL - POSTAGEM]]="",$BH200&lt;=$BF$1),3,
AND(Tabela1[[#This Row],[STATUS PROCESSO MOBILIZAÇÃO]]="Em andamento",Tabela1[[#This Row],[DATA REAL - POSTAGEM]]&lt;&gt;""),1)</f>
        <v>0</v>
      </c>
      <c r="P200" s="86" cm="1">
        <f t="array" aca="1" ref="P20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FINAL]]="",$BK200&gt;$BI$1),2,
AND(Tabela1[[#This Row],[STATUS PROCESSO MOBILIZAÇÃO]]="Em andamento",Tabela1[[#This Row],[DATA REAL - APROV FINAL]]="",$BK200&lt;=$BI$1),3,
AND(Tabela1[[#This Row],[STATUS PROCESSO MOBILIZAÇÃO]]="Em andamento",Tabela1[[#This Row],[DATA REAL - APROV FINAL]]&lt;&gt;""),1)</f>
        <v>0</v>
      </c>
      <c r="Q200" s="86" cm="1">
        <f t="array" aca="1" ref="Q20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CRACHÁ]]="",$BN200&gt;$BL$1),2,
AND(Tabela1[[#This Row],[STATUS PROCESSO MOBILIZAÇÃO]]="Em andamento",Tabela1[[#This Row],[DATA REAL - CRACHÁ]]="",$BN200&lt;=$BL$1),3,
AND(Tabela1[[#This Row],[STATUS PROCESSO MOBILIZAÇÃO]]="Em andamento",Tabela1[[#This Row],[DATA REAL - CRACHÁ]]&lt;&gt;""),1)</f>
        <v>1</v>
      </c>
      <c r="R200" s="87">
        <f>IF(Tabela1[[#This Row],[DATA REAL - FORMS]]&lt;&gt;"",Tabela1[[#This Row],[DATA REAL - FORMS]]+30,Tabela1[[#This Row],[DATA PREV - FORMS]]+35)</f>
        <v>46109</v>
      </c>
      <c r="S200"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46108</v>
      </c>
      <c r="T200"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00"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200" s="88">
        <f>MAX(Tabela1[[#This Row],[DATA REAL - POSTAGEM]],Tabela1[[#This Row],[DATA REAL - APROV FINAL]],Tabela1[[#This Row],[DATA REAL - CRACHÁ]])-MIN(Tabela1[[#This Row],[DATA REAL - POSTAGEM]],Tabela1[[#This Row],[DATA REAL - APROV FINAL]],Tabela1[[#This Row],[DATA REAL - CRACHÁ]])+1</f>
        <v>1</v>
      </c>
      <c r="W200"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0" s="15" t="s">
        <v>103</v>
      </c>
      <c r="Y200" s="86" t="s">
        <v>150</v>
      </c>
      <c r="Z200" s="104" t="str">
        <f>_xlfn.XLOOKUP(Tabela1[[#This Row],[COO PHD]],TabControleEfetivo[NOME],TabControleEfetivo[email (PHD)],"")</f>
        <v>tulio.rafael@phdengenharia.eng.br</v>
      </c>
      <c r="AA200" s="95" t="s">
        <v>152</v>
      </c>
      <c r="AB200" s="86" t="s">
        <v>97</v>
      </c>
      <c r="AC200" s="86" t="s">
        <v>88</v>
      </c>
      <c r="AD200" s="86" t="s">
        <v>89</v>
      </c>
      <c r="AE200" s="86" t="s">
        <v>644</v>
      </c>
      <c r="AF200" s="86" t="s">
        <v>645</v>
      </c>
      <c r="AG200" s="86" t="str">
        <f>_xlfn.XLOOKUP(Tabela1[[#This Row],[CÓD. CT]],Controle_Projetos[COD CT],Controle_Projetos[COD PHD],"")</f>
        <v>IMCS-CT09-PLAN</v>
      </c>
      <c r="AH200" s="87">
        <v>46079</v>
      </c>
      <c r="AI200" s="89">
        <v>46079</v>
      </c>
      <c r="AJ200" s="86" cm="1">
        <f t="array" aca="1" ref="AJ20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0" s="87">
        <v>46079</v>
      </c>
      <c r="AL200" s="90">
        <v>46079</v>
      </c>
      <c r="AM200" s="86" cm="1">
        <f t="array" aca="1" ref="AM20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0" s="21">
        <f>Tabela1[[#This Row],[DATA PREV - FORMS]]+$AN$1</f>
        <v>46086</v>
      </c>
      <c r="AO200" s="90">
        <v>46079</v>
      </c>
      <c r="AP200" s="86" cm="1">
        <f t="array" aca="1" ref="AP20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0" s="21">
        <f>Tabela1[[#This Row],[DATA PREV - EXAMES]]+$AQ$1</f>
        <v>46088</v>
      </c>
      <c r="AR200" s="90">
        <v>46094</v>
      </c>
      <c r="AS200" s="86" cm="1">
        <f t="array" aca="1" ref="AS20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00" s="21">
        <f>Tabela1[[#This Row],[DATA PREV - FORMS]]+$AT$1</f>
        <v>46080</v>
      </c>
      <c r="AU200" s="90">
        <v>46079</v>
      </c>
      <c r="AV200" s="86" cm="1">
        <f t="array" aca="1" ref="AV20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0" s="21">
        <f>Tabela1[[#This Row],[DATA PREV - TREINAMENTOS]]+$AW$1</f>
        <v>46087</v>
      </c>
      <c r="AX200" s="90"/>
      <c r="AY200" s="86" cm="1">
        <f t="array" aca="1" ref="AY20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00" s="91">
        <v>46079</v>
      </c>
      <c r="BA200" s="90">
        <v>46079</v>
      </c>
      <c r="BB200" s="86" cm="1">
        <f t="array" aca="1" ref="BB20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0" s="21">
        <f>Tabela1[[#This Row],[DATA PREV - CONCL. TREIN.]]+$BC$1</f>
        <v>46089</v>
      </c>
      <c r="BD200" s="90"/>
      <c r="BE200" s="86" cm="1">
        <f t="array" aca="1" ref="BE20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0" s="21">
        <f>Tabela1[[#This Row],[DATA PREV - DOSSIÊ]]+$BF$1</f>
        <v>46092</v>
      </c>
      <c r="BG200" s="90"/>
      <c r="BH200" s="86" cm="1">
        <f t="array" aca="1" ref="BH20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00" s="21">
        <f>Tabela1[[#This Row],[DATA PREV - POSTAGEM]]+$BI$1</f>
        <v>46098</v>
      </c>
      <c r="BJ200" s="90"/>
      <c r="BK200" s="86" cm="1">
        <f t="array" aca="1" ref="BK20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0" s="21">
        <f>Tabela1[[#This Row],[DATA PREV - APROV FINAL]]+$BL$1</f>
        <v>46099</v>
      </c>
      <c r="BM200" s="90">
        <v>46108</v>
      </c>
      <c r="BN200" s="86" cm="1">
        <f t="array" aca="1" ref="BN20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00" s="94" t="s">
        <v>647</v>
      </c>
    </row>
    <row r="201" spans="2:67" ht="18" hidden="1" customHeight="1" x14ac:dyDescent="0.35">
      <c r="B201" s="84" t="s">
        <v>119</v>
      </c>
      <c r="C201" s="86" t="s">
        <v>136</v>
      </c>
      <c r="D201" s="86" t="s">
        <v>119</v>
      </c>
      <c r="E201" s="86">
        <v>648</v>
      </c>
      <c r="F201" s="86" t="s">
        <v>373</v>
      </c>
      <c r="G201" s="86" cm="1">
        <f t="array" ref="G201">_xlfn.IFS(Tabela1[[#This Row],[STATUS PROCESSO MOBILIZAÇÃO]]="Finalizado",1,Tabela1[[#This Row],[STATUS PROCESSO MOBILIZAÇÃO]]="Cancelado",2,Tabela1[[#This Row],[STATUS PROCESSO MOBILIZAÇÃO]]="Em andamento",3)</f>
        <v>2</v>
      </c>
      <c r="H201" s="86" cm="1">
        <f t="array" aca="1" ref="H20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FORMS]]="",$AM201&gt;$AK$1),2,
AND(Tabela1[[#This Row],[STATUS PROCESSO MOBILIZAÇÃO]]="Em andamento",Tabela1[[#This Row],[DATA REAL - FORMS]]="",$AM201&lt;=$AK$1),3,
AND(Tabela1[[#This Row],[STATUS PROCESSO MOBILIZAÇÃO]]="Em andamento",Tabela1[[#This Row],[DATA REAL - FORMS]]&lt;&gt;""),1)</f>
        <v>1</v>
      </c>
      <c r="I201" s="86" cm="1">
        <f t="array" aca="1" ref="I20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EXAMES]]="",$AP201&gt;$AN$1),2,
AND(Tabela1[[#This Row],[STATUS PROCESSO MOBILIZAÇÃO]]="Em andamento",Tabela1[[#This Row],[DATA REAL - EXAMES]]="",$AP201&lt;=$AN$1),3,
AND(Tabela1[[#This Row],[STATUS PROCESSO MOBILIZAÇÃO]]="Em andamento",Tabela1[[#This Row],[DATA REAL - EXAMES]]&lt;&gt;""),1)</f>
        <v>1</v>
      </c>
      <c r="J201" s="86" cm="1">
        <f t="array" aca="1" ref="J20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ASO]]="",$AS201&gt;$AQ$1),2,
AND(Tabela1[[#This Row],[STATUS PROCESSO MOBILIZAÇÃO]]="Em andamento",Tabela1[[#This Row],[DATA REAL - ASO]]="",$AS201&lt;=$AQ$1),3,
AND(Tabela1[[#This Row],[STATUS PROCESSO MOBILIZAÇÃO]]="Em andamento",Tabela1[[#This Row],[DATA REAL - ASO]]&lt;&gt;""),1)</f>
        <v>1</v>
      </c>
      <c r="K201" s="86" cm="1">
        <f t="array" aca="1" ref="K20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TREINAMENTOS]]="",$AV201&gt;$AT$1),2,
AND(Tabela1[[#This Row],[STATUS PROCESSO MOBILIZAÇÃO]]="Em andamento",Tabela1[[#This Row],[DATA REAL - TREINAMENTOS]]="",$AV201&lt;=$AT$1),3,
AND(Tabela1[[#This Row],[STATUS PROCESSO MOBILIZAÇÃO]]="Em andamento",Tabela1[[#This Row],[DATA REAL - TREINAMENTOS]]&lt;&gt;""),1)</f>
        <v>1</v>
      </c>
      <c r="L201" s="86" cm="1">
        <f t="array" aca="1" ref="L20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TREIN.]]="",$AY201&gt;$AW$1),2,
AND(Tabela1[[#This Row],[STATUS PROCESSO MOBILIZAÇÃO]]="Em andamento",Tabela1[[#This Row],[DATA REAL - CONCL. TREIN.]]="",$AY201&lt;=$AW$1),3,
AND(Tabela1[[#This Row],[STATUS PROCESSO MOBILIZAÇÃO]]="Em andamento",Tabela1[[#This Row],[DATA REAL - CONCL. TREIN.]]&lt;&gt;""),1)</f>
        <v>0</v>
      </c>
      <c r="M201" s="86" cm="1">
        <f t="array" aca="1" ref="M20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CONTRATUAL]]="",$BB201&gt;$AZ$1),2,
AND(Tabela1[[#This Row],[STATUS PROCESSO MOBILIZAÇÃO]]="Em andamento",Tabela1[[#This Row],[DATA FIM - ALTER. CONTRATUAL]]="",$BB201&lt;=$AZ$1),3,
AND(Tabela1[[#This Row],[STATUS PROCESSO MOBILIZAÇÃO]]="Em andamento",Tabela1[[#This Row],[DATA FIM - ALTER. CONTRATUAL]]&lt;&gt;""),1)</f>
        <v>1</v>
      </c>
      <c r="N201" s="86" cm="1">
        <f t="array" aca="1" ref="N20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DOSSIÊ]]="",$BE201&gt;$BC$1),2,
AND(Tabela1[[#This Row],[STATUS PROCESSO MOBILIZAÇÃO]]="Em andamento",Tabela1[[#This Row],[DATA REAL - DOSSIÊ]]="",$BE201&lt;=$BC$1),3,
AND(Tabela1[[#This Row],[STATUS PROCESSO MOBILIZAÇÃO]]="Em andamento",Tabela1[[#This Row],[DATA REAL - DOSSIÊ]]&lt;&gt;""),1)</f>
        <v>0</v>
      </c>
      <c r="O201" s="86" cm="1">
        <f t="array" aca="1" ref="O20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POSTAGEM]]="",$BH201&gt;$BF$1),2,
AND(Tabela1[[#This Row],[STATUS PROCESSO MOBILIZAÇÃO]]="Em andamento",Tabela1[[#This Row],[DATA REAL - POSTAGEM]]="",$BH201&lt;=$BF$1),3,
AND(Tabela1[[#This Row],[STATUS PROCESSO MOBILIZAÇÃO]]="Em andamento",Tabela1[[#This Row],[DATA REAL - POSTAGEM]]&lt;&gt;""),1)</f>
        <v>0</v>
      </c>
      <c r="P201" s="86" cm="1">
        <f t="array" aca="1" ref="P20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FINAL]]="",$BK201&gt;$BI$1),2,
AND(Tabela1[[#This Row],[STATUS PROCESSO MOBILIZAÇÃO]]="Em andamento",Tabela1[[#This Row],[DATA REAL - APROV FINAL]]="",$BK201&lt;=$BI$1),3,
AND(Tabela1[[#This Row],[STATUS PROCESSO MOBILIZAÇÃO]]="Em andamento",Tabela1[[#This Row],[DATA REAL - APROV FINAL]]&lt;&gt;""),1)</f>
        <v>0</v>
      </c>
      <c r="Q201" s="86" cm="1">
        <f t="array" aca="1" ref="Q20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CRACHÁ]]="",$BN201&gt;$BL$1),2,
AND(Tabela1[[#This Row],[STATUS PROCESSO MOBILIZAÇÃO]]="Em andamento",Tabela1[[#This Row],[DATA REAL - CRACHÁ]]="",$BN201&lt;=$BL$1),3,
AND(Tabela1[[#This Row],[STATUS PROCESSO MOBILIZAÇÃO]]="Em andamento",Tabela1[[#This Row],[DATA REAL - CRACHÁ]]&lt;&gt;""),1)</f>
        <v>1</v>
      </c>
      <c r="R201" s="87">
        <f>IF(Tabela1[[#This Row],[DATA REAL - FORMS]]&lt;&gt;"",Tabela1[[#This Row],[DATA REAL - FORMS]]+30,Tabela1[[#This Row],[DATA PREV - FORMS]]+35)</f>
        <v>46109</v>
      </c>
      <c r="S201"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46108</v>
      </c>
      <c r="T201"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01"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201" s="88">
        <f>MAX(Tabela1[[#This Row],[DATA REAL - POSTAGEM]],Tabela1[[#This Row],[DATA REAL - APROV FINAL]],Tabela1[[#This Row],[DATA REAL - CRACHÁ]])-MIN(Tabela1[[#This Row],[DATA REAL - POSTAGEM]],Tabela1[[#This Row],[DATA REAL - APROV FINAL]],Tabela1[[#This Row],[DATA REAL - CRACHÁ]])+1</f>
        <v>1</v>
      </c>
      <c r="W201"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1" s="15" t="s">
        <v>103</v>
      </c>
      <c r="Y201" s="86" t="s">
        <v>150</v>
      </c>
      <c r="Z201" s="104" t="str">
        <f>_xlfn.XLOOKUP(Tabela1[[#This Row],[COO PHD]],TabControleEfetivo[NOME],TabControleEfetivo[email (PHD)],"")</f>
        <v>tulio.rafael@phdengenharia.eng.br</v>
      </c>
      <c r="AA201" s="95" t="s">
        <v>152</v>
      </c>
      <c r="AB201" s="86" t="s">
        <v>87</v>
      </c>
      <c r="AC201" s="86" t="s">
        <v>88</v>
      </c>
      <c r="AD201" s="86" t="s">
        <v>89</v>
      </c>
      <c r="AE201" s="86" t="s">
        <v>644</v>
      </c>
      <c r="AF201" s="86" t="s">
        <v>645</v>
      </c>
      <c r="AG201" s="86" t="str">
        <f>_xlfn.XLOOKUP(Tabela1[[#This Row],[CÓD. CT]],Controle_Projetos[COD CT],Controle_Projetos[COD PHD],"")</f>
        <v>IMCS-CT09-PLAN</v>
      </c>
      <c r="AH201" s="87">
        <v>46079</v>
      </c>
      <c r="AI201" s="89">
        <v>46079</v>
      </c>
      <c r="AJ201" s="86" cm="1">
        <f t="array" aca="1" ref="AJ20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1" s="87">
        <v>46079</v>
      </c>
      <c r="AL201" s="90">
        <v>46079</v>
      </c>
      <c r="AM201" s="86" cm="1">
        <f t="array" aca="1" ref="AM20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1" s="21">
        <f>Tabela1[[#This Row],[DATA PREV - FORMS]]+$AN$1</f>
        <v>46086</v>
      </c>
      <c r="AO201" s="90">
        <v>46079</v>
      </c>
      <c r="AP201" s="86" cm="1">
        <f t="array" aca="1" ref="AP20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1" s="21">
        <f>Tabela1[[#This Row],[DATA PREV - EXAMES]]+$AQ$1</f>
        <v>46088</v>
      </c>
      <c r="AR201" s="90">
        <v>46084</v>
      </c>
      <c r="AS201" s="86" cm="1">
        <f t="array" aca="1" ref="AS20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201" s="21">
        <f>Tabela1[[#This Row],[DATA PREV - FORMS]]+$AT$1</f>
        <v>46080</v>
      </c>
      <c r="AU201" s="90">
        <v>46079</v>
      </c>
      <c r="AV201" s="86" cm="1">
        <f t="array" aca="1" ref="AV20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1" s="21">
        <f>Tabela1[[#This Row],[DATA PREV - TREINAMENTOS]]+$AW$1</f>
        <v>46087</v>
      </c>
      <c r="AX201" s="90"/>
      <c r="AY201" s="86" cm="1">
        <f t="array" aca="1" ref="AY20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01" s="91">
        <v>46079</v>
      </c>
      <c r="BA201" s="90">
        <v>46079</v>
      </c>
      <c r="BB201" s="86" cm="1">
        <f t="array" aca="1" ref="BB20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1" s="21">
        <f>Tabela1[[#This Row],[DATA PREV - CONCL. TREIN.]]+$BC$1</f>
        <v>46089</v>
      </c>
      <c r="BD201" s="90"/>
      <c r="BE201" s="86" cm="1">
        <f t="array" aca="1" ref="BE20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1" s="21">
        <f>Tabela1[[#This Row],[DATA PREV - DOSSIÊ]]+$BF$1</f>
        <v>46092</v>
      </c>
      <c r="BG201" s="90"/>
      <c r="BH201" s="86" cm="1">
        <f t="array" aca="1" ref="BH20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01" s="21">
        <f>Tabela1[[#This Row],[DATA PREV - POSTAGEM]]+$BI$1</f>
        <v>46098</v>
      </c>
      <c r="BJ201" s="90"/>
      <c r="BK201" s="86" cm="1">
        <f t="array" aca="1" ref="BK20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1" s="21">
        <f>Tabela1[[#This Row],[DATA PREV - APROV FINAL]]+$BL$1</f>
        <v>46099</v>
      </c>
      <c r="BM201" s="90">
        <v>46108</v>
      </c>
      <c r="BN201" s="86" cm="1">
        <f t="array" aca="1" ref="BN20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01" s="94" t="s">
        <v>648</v>
      </c>
    </row>
    <row r="202" spans="2:67" ht="18" hidden="1" customHeight="1" x14ac:dyDescent="0.35">
      <c r="B202" s="84" t="s">
        <v>79</v>
      </c>
      <c r="C202" s="86" t="s">
        <v>136</v>
      </c>
      <c r="D202" s="86" t="s">
        <v>81</v>
      </c>
      <c r="E202" s="86">
        <v>710</v>
      </c>
      <c r="F202" s="86" t="s">
        <v>612</v>
      </c>
      <c r="G202" s="86" cm="1">
        <f t="array" ref="G202">_xlfn.IFS(Tabela1[[#This Row],[STATUS PROCESSO MOBILIZAÇÃO]]="Finalizado",1,Tabela1[[#This Row],[STATUS PROCESSO MOBILIZAÇÃO]]="Cancelado",2,Tabela1[[#This Row],[STATUS PROCESSO MOBILIZAÇÃO]]="Em andamento",3)</f>
        <v>1</v>
      </c>
      <c r="H202" s="86" cm="1">
        <f t="array" aca="1" ref="H20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FORMS]]="",$AM202&gt;$AK$1),2,
AND(Tabela1[[#This Row],[STATUS PROCESSO MOBILIZAÇÃO]]="Em andamento",Tabela1[[#This Row],[DATA REAL - FORMS]]="",$AM202&lt;=$AK$1),3,
AND(Tabela1[[#This Row],[STATUS PROCESSO MOBILIZAÇÃO]]="Em andamento",Tabela1[[#This Row],[DATA REAL - FORMS]]&lt;&gt;""),1)</f>
        <v>1</v>
      </c>
      <c r="I202" s="86" cm="1">
        <f t="array" aca="1" ref="I20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EXAMES]]="",$AP202&gt;$AN$1),2,
AND(Tabela1[[#This Row],[STATUS PROCESSO MOBILIZAÇÃO]]="Em andamento",Tabela1[[#This Row],[DATA REAL - EXAMES]]="",$AP202&lt;=$AN$1),3,
AND(Tabela1[[#This Row],[STATUS PROCESSO MOBILIZAÇÃO]]="Em andamento",Tabela1[[#This Row],[DATA REAL - EXAMES]]&lt;&gt;""),1)</f>
        <v>1</v>
      </c>
      <c r="J202" s="86" cm="1">
        <f t="array" aca="1" ref="J20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ASO]]="",$AS202&gt;$AQ$1),2,
AND(Tabela1[[#This Row],[STATUS PROCESSO MOBILIZAÇÃO]]="Em andamento",Tabela1[[#This Row],[DATA REAL - ASO]]="",$AS202&lt;=$AQ$1),3,
AND(Tabela1[[#This Row],[STATUS PROCESSO MOBILIZAÇÃO]]="Em andamento",Tabela1[[#This Row],[DATA REAL - ASO]]&lt;&gt;""),1)</f>
        <v>1</v>
      </c>
      <c r="K202" s="86" cm="1">
        <f t="array" aca="1" ref="K20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TREINAMENTOS]]="",$AV202&gt;$AT$1),2,
AND(Tabela1[[#This Row],[STATUS PROCESSO MOBILIZAÇÃO]]="Em andamento",Tabela1[[#This Row],[DATA REAL - TREINAMENTOS]]="",$AV202&lt;=$AT$1),3,
AND(Tabela1[[#This Row],[STATUS PROCESSO MOBILIZAÇÃO]]="Em andamento",Tabela1[[#This Row],[DATA REAL - TREINAMENTOS]]&lt;&gt;""),1)</f>
        <v>1</v>
      </c>
      <c r="L202" s="86" cm="1">
        <f t="array" aca="1" ref="L20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TREIN.]]="",$AY202&gt;$AW$1),2,
AND(Tabela1[[#This Row],[STATUS PROCESSO MOBILIZAÇÃO]]="Em andamento",Tabela1[[#This Row],[DATA REAL - CONCL. TREIN.]]="",$AY202&lt;=$AW$1),3,
AND(Tabela1[[#This Row],[STATUS PROCESSO MOBILIZAÇÃO]]="Em andamento",Tabela1[[#This Row],[DATA REAL - CONCL. TREIN.]]&lt;&gt;""),1)</f>
        <v>1</v>
      </c>
      <c r="M202" s="86" cm="1">
        <f t="array" aca="1" ref="M20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CONTRATUAL]]="",$BB202&gt;$AZ$1),2,
AND(Tabela1[[#This Row],[STATUS PROCESSO MOBILIZAÇÃO]]="Em andamento",Tabela1[[#This Row],[DATA FIM - ALTER. CONTRATUAL]]="",$BB202&lt;=$AZ$1),3,
AND(Tabela1[[#This Row],[STATUS PROCESSO MOBILIZAÇÃO]]="Em andamento",Tabela1[[#This Row],[DATA FIM - ALTER. CONTRATUAL]]&lt;&gt;""),1)</f>
        <v>1</v>
      </c>
      <c r="N202" s="86" cm="1">
        <f t="array" aca="1" ref="N20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DOSSIÊ]]="",$BE202&gt;$BC$1),2,
AND(Tabela1[[#This Row],[STATUS PROCESSO MOBILIZAÇÃO]]="Em andamento",Tabela1[[#This Row],[DATA REAL - DOSSIÊ]]="",$BE202&lt;=$BC$1),3,
AND(Tabela1[[#This Row],[STATUS PROCESSO MOBILIZAÇÃO]]="Em andamento",Tabela1[[#This Row],[DATA REAL - DOSSIÊ]]&lt;&gt;""),1)</f>
        <v>1</v>
      </c>
      <c r="O202" s="86" cm="1">
        <f t="array" aca="1" ref="O20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POSTAGEM]]="",$BH202&gt;$BF$1),2,
AND(Tabela1[[#This Row],[STATUS PROCESSO MOBILIZAÇÃO]]="Em andamento",Tabela1[[#This Row],[DATA REAL - POSTAGEM]]="",$BH202&lt;=$BF$1),3,
AND(Tabela1[[#This Row],[STATUS PROCESSO MOBILIZAÇÃO]]="Em andamento",Tabela1[[#This Row],[DATA REAL - POSTAGEM]]&lt;&gt;""),1)</f>
        <v>1</v>
      </c>
      <c r="P202" s="86" cm="1">
        <f t="array" aca="1" ref="P20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FINAL]]="",$BK202&gt;$BI$1),2,
AND(Tabela1[[#This Row],[STATUS PROCESSO MOBILIZAÇÃO]]="Em andamento",Tabela1[[#This Row],[DATA REAL - APROV FINAL]]="",$BK202&lt;=$BI$1),3,
AND(Tabela1[[#This Row],[STATUS PROCESSO MOBILIZAÇÃO]]="Em andamento",Tabela1[[#This Row],[DATA REAL - APROV FINAL]]&lt;&gt;""),1)</f>
        <v>1</v>
      </c>
      <c r="Q202" s="86" cm="1">
        <f t="array" aca="1" ref="Q20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CRACHÁ]]="",$BN202&gt;$BL$1),2,
AND(Tabela1[[#This Row],[STATUS PROCESSO MOBILIZAÇÃO]]="Em andamento",Tabela1[[#This Row],[DATA REAL - CRACHÁ]]="",$BN202&lt;=$BL$1),3,
AND(Tabela1[[#This Row],[STATUS PROCESSO MOBILIZAÇÃO]]="Em andamento",Tabela1[[#This Row],[DATA REAL - CRACHÁ]]&lt;&gt;""),1)</f>
        <v>1</v>
      </c>
      <c r="R202" s="87">
        <f>IF(Tabela1[[#This Row],[DATA REAL - FORMS]]&lt;&gt;"",Tabela1[[#This Row],[DATA REAL - FORMS]]+30,Tabela1[[#This Row],[DATA PREV - FORMS]]+35)</f>
        <v>46120</v>
      </c>
      <c r="S202"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46140</v>
      </c>
      <c r="T202"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50</v>
      </c>
      <c r="U202"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11</v>
      </c>
      <c r="V202" s="88">
        <f>MAX(Tabela1[[#This Row],[DATA REAL - POSTAGEM]],Tabela1[[#This Row],[DATA REAL - APROV FINAL]],Tabela1[[#This Row],[DATA REAL - CRACHÁ]])-MIN(Tabela1[[#This Row],[DATA REAL - POSTAGEM]],Tabela1[[#This Row],[DATA REAL - APROV FINAL]],Tabela1[[#This Row],[DATA REAL - CRACHÁ]])+1</f>
        <v>8</v>
      </c>
      <c r="W202"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X202" s="15" t="s">
        <v>110</v>
      </c>
      <c r="Y202" s="86" t="s">
        <v>84</v>
      </c>
      <c r="Z202" s="104" t="str">
        <f>_xlfn.XLOOKUP(Tabela1[[#This Row],[COO PHD]],TabControleEfetivo[NOME],TabControleEfetivo[email (PHD)],"")</f>
        <v>julio.cesar@phdengenharia.eng.br</v>
      </c>
      <c r="AA202" s="95" t="s">
        <v>86</v>
      </c>
      <c r="AB202" s="86" t="s">
        <v>97</v>
      </c>
      <c r="AC202" s="86" t="s">
        <v>649</v>
      </c>
      <c r="AD202" s="16" t="s">
        <v>89</v>
      </c>
      <c r="AE202" s="16" t="s">
        <v>650</v>
      </c>
      <c r="AF202" s="16" t="s">
        <v>651</v>
      </c>
      <c r="AG202" s="86" t="str">
        <f>_xlfn.XLOOKUP(Tabela1[[#This Row],[CÓD. CT]],Controle_Projetos[COD CT],Controle_Projetos[COD PHD],"")</f>
        <v>CIVM-CT01-PLAN</v>
      </c>
      <c r="AH202" s="87">
        <v>46090</v>
      </c>
      <c r="AI202" s="89">
        <v>46101</v>
      </c>
      <c r="AJ202" s="86" cm="1">
        <f t="array" aca="1" ref="AJ20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12</v>
      </c>
      <c r="AK202" s="87">
        <v>46090</v>
      </c>
      <c r="AL202" s="90">
        <v>46090</v>
      </c>
      <c r="AM202" s="86" cm="1">
        <f t="array" aca="1" ref="AM20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2" s="21">
        <f>Tabela1[[#This Row],[DATA PREV - FORMS]]+$AN$1</f>
        <v>46097</v>
      </c>
      <c r="AO202" s="90">
        <v>46090</v>
      </c>
      <c r="AP202" s="86" cm="1">
        <f t="array" aca="1" ref="AP20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2" s="21">
        <f>Tabela1[[#This Row],[DATA PREV - EXAMES]]+$AQ$1</f>
        <v>46099</v>
      </c>
      <c r="AR202" s="90">
        <v>46094</v>
      </c>
      <c r="AS202" s="86" cm="1">
        <f t="array" aca="1" ref="AS20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02" s="21">
        <f>Tabela1[[#This Row],[DATA PREV - FORMS]]+$AT$1</f>
        <v>46091</v>
      </c>
      <c r="AU202" s="90">
        <v>46090</v>
      </c>
      <c r="AV202" s="86" cm="1">
        <f t="array" aca="1" ref="AV20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2" s="21">
        <f>Tabela1[[#This Row],[DATA PREV - TREINAMENTOS]]+$AW$1</f>
        <v>46098</v>
      </c>
      <c r="AX202" s="90">
        <v>46090</v>
      </c>
      <c r="AY202" s="86" cm="1">
        <f t="array" aca="1" ref="AY20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02" s="91">
        <v>46090</v>
      </c>
      <c r="BA202" s="90">
        <v>46090</v>
      </c>
      <c r="BB202" s="86" cm="1">
        <f t="array" aca="1" ref="BB20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2" s="21">
        <f>Tabela1[[#This Row],[DATA PREV - CONCL. TREIN.]]+$BC$1</f>
        <v>46100</v>
      </c>
      <c r="BD202" s="90">
        <v>46094</v>
      </c>
      <c r="BE202" s="86" cm="1">
        <f t="array" aca="1" ref="BE20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02" s="21">
        <f>Tabela1[[#This Row],[DATA PREV - DOSSIÊ]]+$BF$1</f>
        <v>46103</v>
      </c>
      <c r="BG202" s="90">
        <v>46133</v>
      </c>
      <c r="BH202" s="86" cm="1">
        <f t="array" aca="1" ref="BH20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31</v>
      </c>
      <c r="BI202" s="21">
        <f>Tabela1[[#This Row],[DATA PREV - POSTAGEM]]+$BI$1</f>
        <v>46109</v>
      </c>
      <c r="BJ202" s="90">
        <v>46140</v>
      </c>
      <c r="BK202" s="86" cm="1">
        <f t="array" aca="1" ref="BK20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32</v>
      </c>
      <c r="BL202" s="21">
        <f>Tabela1[[#This Row],[DATA PREV - APROV FINAL]]+$BL$1</f>
        <v>46110</v>
      </c>
      <c r="BM202" s="90">
        <v>46140</v>
      </c>
      <c r="BN202" s="86" cm="1">
        <f t="array" aca="1" ref="BN20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31</v>
      </c>
      <c r="BO202" s="94" t="s">
        <v>652</v>
      </c>
    </row>
    <row r="203" spans="2:67" ht="18" hidden="1" customHeight="1" x14ac:dyDescent="0.35">
      <c r="B203" s="84" t="s">
        <v>79</v>
      </c>
      <c r="C203" s="86" t="s">
        <v>136</v>
      </c>
      <c r="D203" s="86" t="s">
        <v>108</v>
      </c>
      <c r="E203" s="86">
        <v>709</v>
      </c>
      <c r="F203" s="86" t="s">
        <v>653</v>
      </c>
      <c r="G203" s="86" cm="1">
        <f t="array" ref="G203">_xlfn.IFS(Tabela1[[#This Row],[STATUS PROCESSO MOBILIZAÇÃO]]="Finalizado",1,Tabela1[[#This Row],[STATUS PROCESSO MOBILIZAÇÃO]]="Cancelado",2,Tabela1[[#This Row],[STATUS PROCESSO MOBILIZAÇÃO]]="Em andamento",3)</f>
        <v>1</v>
      </c>
      <c r="H203" s="86" cm="1">
        <f t="array" aca="1" ref="H20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FORMS]]="",$AM203&gt;$AK$1),2,
AND(Tabela1[[#This Row],[STATUS PROCESSO MOBILIZAÇÃO]]="Em andamento",Tabela1[[#This Row],[DATA REAL - FORMS]]="",$AM203&lt;=$AK$1),3,
AND(Tabela1[[#This Row],[STATUS PROCESSO MOBILIZAÇÃO]]="Em andamento",Tabela1[[#This Row],[DATA REAL - FORMS]]&lt;&gt;""),1)</f>
        <v>1</v>
      </c>
      <c r="I203" s="86" cm="1">
        <f t="array" aca="1" ref="I20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EXAMES]]="",$AP203&gt;$AN$1),2,
AND(Tabela1[[#This Row],[STATUS PROCESSO MOBILIZAÇÃO]]="Em andamento",Tabela1[[#This Row],[DATA REAL - EXAMES]]="",$AP203&lt;=$AN$1),3,
AND(Tabela1[[#This Row],[STATUS PROCESSO MOBILIZAÇÃO]]="Em andamento",Tabela1[[#This Row],[DATA REAL - EXAMES]]&lt;&gt;""),1)</f>
        <v>1</v>
      </c>
      <c r="J203" s="86" cm="1">
        <f t="array" aca="1" ref="J20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ASO]]="",$AS203&gt;$AQ$1),2,
AND(Tabela1[[#This Row],[STATUS PROCESSO MOBILIZAÇÃO]]="Em andamento",Tabela1[[#This Row],[DATA REAL - ASO]]="",$AS203&lt;=$AQ$1),3,
AND(Tabela1[[#This Row],[STATUS PROCESSO MOBILIZAÇÃO]]="Em andamento",Tabela1[[#This Row],[DATA REAL - ASO]]&lt;&gt;""),1)</f>
        <v>1</v>
      </c>
      <c r="K203" s="86" cm="1">
        <f t="array" aca="1" ref="K20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TREINAMENTOS]]="",$AV203&gt;$AT$1),2,
AND(Tabela1[[#This Row],[STATUS PROCESSO MOBILIZAÇÃO]]="Em andamento",Tabela1[[#This Row],[DATA REAL - TREINAMENTOS]]="",$AV203&lt;=$AT$1),3,
AND(Tabela1[[#This Row],[STATUS PROCESSO MOBILIZAÇÃO]]="Em andamento",Tabela1[[#This Row],[DATA REAL - TREINAMENTOS]]&lt;&gt;""),1)</f>
        <v>1</v>
      </c>
      <c r="L203" s="86" cm="1">
        <f t="array" aca="1" ref="L20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TREIN.]]="",$AY203&gt;$AW$1),2,
AND(Tabela1[[#This Row],[STATUS PROCESSO MOBILIZAÇÃO]]="Em andamento",Tabela1[[#This Row],[DATA REAL - CONCL. TREIN.]]="",$AY203&lt;=$AW$1),3,
AND(Tabela1[[#This Row],[STATUS PROCESSO MOBILIZAÇÃO]]="Em andamento",Tabela1[[#This Row],[DATA REAL - CONCL. TREIN.]]&lt;&gt;""),1)</f>
        <v>1</v>
      </c>
      <c r="M203" s="86" cm="1">
        <f t="array" aca="1" ref="M20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CONTRATUAL]]="",$BB203&gt;$AZ$1),2,
AND(Tabela1[[#This Row],[STATUS PROCESSO MOBILIZAÇÃO]]="Em andamento",Tabela1[[#This Row],[DATA FIM - ALTER. CONTRATUAL]]="",$BB203&lt;=$AZ$1),3,
AND(Tabela1[[#This Row],[STATUS PROCESSO MOBILIZAÇÃO]]="Em andamento",Tabela1[[#This Row],[DATA FIM - ALTER. CONTRATUAL]]&lt;&gt;""),1)</f>
        <v>1</v>
      </c>
      <c r="N203" s="86" cm="1">
        <f t="array" aca="1" ref="N20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DOSSIÊ]]="",$BE203&gt;$BC$1),2,
AND(Tabela1[[#This Row],[STATUS PROCESSO MOBILIZAÇÃO]]="Em andamento",Tabela1[[#This Row],[DATA REAL - DOSSIÊ]]="",$BE203&lt;=$BC$1),3,
AND(Tabela1[[#This Row],[STATUS PROCESSO MOBILIZAÇÃO]]="Em andamento",Tabela1[[#This Row],[DATA REAL - DOSSIÊ]]&lt;&gt;""),1)</f>
        <v>1</v>
      </c>
      <c r="O203" s="86" cm="1">
        <f t="array" aca="1" ref="O20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POSTAGEM]]="",$BH203&gt;$BF$1),2,
AND(Tabela1[[#This Row],[STATUS PROCESSO MOBILIZAÇÃO]]="Em andamento",Tabela1[[#This Row],[DATA REAL - POSTAGEM]]="",$BH203&lt;=$BF$1),3,
AND(Tabela1[[#This Row],[STATUS PROCESSO MOBILIZAÇÃO]]="Em andamento",Tabela1[[#This Row],[DATA REAL - POSTAGEM]]&lt;&gt;""),1)</f>
        <v>1</v>
      </c>
      <c r="P203" s="86" cm="1">
        <f t="array" aca="1" ref="P20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FINAL]]="",$BK203&gt;$BI$1),2,
AND(Tabela1[[#This Row],[STATUS PROCESSO MOBILIZAÇÃO]]="Em andamento",Tabela1[[#This Row],[DATA REAL - APROV FINAL]]="",$BK203&lt;=$BI$1),3,
AND(Tabela1[[#This Row],[STATUS PROCESSO MOBILIZAÇÃO]]="Em andamento",Tabela1[[#This Row],[DATA REAL - APROV FINAL]]&lt;&gt;""),1)</f>
        <v>1</v>
      </c>
      <c r="Q203" s="86" cm="1">
        <f t="array" aca="1" ref="Q20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CRACHÁ]]="",$BN203&gt;$BL$1),2,
AND(Tabela1[[#This Row],[STATUS PROCESSO MOBILIZAÇÃO]]="Em andamento",Tabela1[[#This Row],[DATA REAL - CRACHÁ]]="",$BN203&lt;=$BL$1),3,
AND(Tabela1[[#This Row],[STATUS PROCESSO MOBILIZAÇÃO]]="Em andamento",Tabela1[[#This Row],[DATA REAL - CRACHÁ]]&lt;&gt;""),1)</f>
        <v>1</v>
      </c>
      <c r="R203" s="87">
        <f>IF(Tabela1[[#This Row],[DATA REAL - FORMS]]&lt;&gt;"",Tabela1[[#This Row],[DATA REAL - FORMS]]+30,Tabela1[[#This Row],[DATA PREV - FORMS]]+35)</f>
        <v>46120</v>
      </c>
      <c r="S203"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46100</v>
      </c>
      <c r="T203"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03"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203" s="88">
        <f>MAX(Tabela1[[#This Row],[DATA REAL - POSTAGEM]],Tabela1[[#This Row],[DATA REAL - APROV FINAL]],Tabela1[[#This Row],[DATA REAL - CRACHÁ]])-MIN(Tabela1[[#This Row],[DATA REAL - POSTAGEM]],Tabela1[[#This Row],[DATA REAL - APROV FINAL]],Tabela1[[#This Row],[DATA REAL - CRACHÁ]])+1</f>
        <v>1</v>
      </c>
      <c r="W203"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3" s="15" t="s">
        <v>110</v>
      </c>
      <c r="Y203" s="86" t="s">
        <v>84</v>
      </c>
      <c r="Z203" s="104" t="str">
        <f>_xlfn.XLOOKUP(Tabela1[[#This Row],[COO PHD]],TabControleEfetivo[NOME],TabControleEfetivo[email (PHD)],"")</f>
        <v>julio.cesar@phdengenharia.eng.br</v>
      </c>
      <c r="AA203" s="95" t="s">
        <v>86</v>
      </c>
      <c r="AB203" s="86" t="s">
        <v>97</v>
      </c>
      <c r="AC203" s="86" t="s">
        <v>622</v>
      </c>
      <c r="AD203" s="86" t="s">
        <v>89</v>
      </c>
      <c r="AE203" s="86" t="s">
        <v>116</v>
      </c>
      <c r="AF203" s="86" t="s">
        <v>117</v>
      </c>
      <c r="AG203" s="86" t="str">
        <f>_xlfn.XLOOKUP(Tabela1[[#This Row],[CÓD. CT]],Controle_Projetos[COD CT],Controle_Projetos[COD PHD],"")</f>
        <v>GCES-CT01-PLAN</v>
      </c>
      <c r="AH203" s="87">
        <v>46090</v>
      </c>
      <c r="AI203" s="89">
        <v>46090</v>
      </c>
      <c r="AJ203" s="86" cm="1">
        <f t="array" aca="1" ref="AJ20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3" s="87">
        <v>46090</v>
      </c>
      <c r="AL203" s="90">
        <v>46090</v>
      </c>
      <c r="AM203" s="86" cm="1">
        <f t="array" aca="1" ref="AM20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3" s="21">
        <f>Tabela1[[#This Row],[DATA PREV - FORMS]]+$AN$1</f>
        <v>46097</v>
      </c>
      <c r="AO203" s="90">
        <v>46090</v>
      </c>
      <c r="AP203" s="86" cm="1">
        <f t="array" aca="1" ref="AP20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3" s="21">
        <f>Tabela1[[#This Row],[DATA PREV - EXAMES]]+$AQ$1</f>
        <v>46099</v>
      </c>
      <c r="AR203" s="90">
        <v>46100</v>
      </c>
      <c r="AS203" s="86" cm="1">
        <f t="array" aca="1" ref="AS20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03" s="21">
        <f>Tabela1[[#This Row],[DATA PREV - FORMS]]+$AT$1</f>
        <v>46091</v>
      </c>
      <c r="AU203" s="90">
        <v>46090</v>
      </c>
      <c r="AV203" s="86" cm="1">
        <f t="array" aca="1" ref="AV20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3" s="21">
        <f>Tabela1[[#This Row],[DATA PREV - TREINAMENTOS]]+$AW$1</f>
        <v>46098</v>
      </c>
      <c r="AX203" s="90">
        <v>46093</v>
      </c>
      <c r="AY203" s="86" cm="1">
        <f t="array" aca="1" ref="AY20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203" s="91">
        <v>46090</v>
      </c>
      <c r="BA203" s="90">
        <v>46090</v>
      </c>
      <c r="BB203" s="86" cm="1">
        <f t="array" aca="1" ref="BB20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3" s="21">
        <f>Tabela1[[#This Row],[DATA PREV - CONCL. TREIN.]]+$BC$1</f>
        <v>46100</v>
      </c>
      <c r="BD203" s="90">
        <v>46100</v>
      </c>
      <c r="BE203" s="86" cm="1">
        <f t="array" aca="1" ref="BE20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3" s="21">
        <f>Tabela1[[#This Row],[DATA PREV - DOSSIÊ]]+$BF$1</f>
        <v>46103</v>
      </c>
      <c r="BG203" s="90">
        <v>46100</v>
      </c>
      <c r="BH203" s="86" cm="1">
        <f t="array" aca="1" ref="BH20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03" s="21">
        <f>Tabela1[[#This Row],[DATA PREV - POSTAGEM]]+$BI$1</f>
        <v>46109</v>
      </c>
      <c r="BJ203" s="90">
        <v>46100</v>
      </c>
      <c r="BK203" s="86" cm="1">
        <f t="array" aca="1" ref="BK20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03" s="21">
        <f>Tabela1[[#This Row],[DATA PREV - APROV FINAL]]+$BL$1</f>
        <v>46110</v>
      </c>
      <c r="BM203" s="90">
        <v>46100</v>
      </c>
      <c r="BN203" s="86" cm="1">
        <f t="array" aca="1" ref="BN20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03" s="94" t="s">
        <v>654</v>
      </c>
    </row>
    <row r="204" spans="2:67" ht="18" hidden="1" customHeight="1" x14ac:dyDescent="0.35">
      <c r="B204" s="84" t="s">
        <v>79</v>
      </c>
      <c r="C204" s="86" t="s">
        <v>136</v>
      </c>
      <c r="D204" s="86" t="s">
        <v>108</v>
      </c>
      <c r="E204" s="86">
        <v>713</v>
      </c>
      <c r="F204" s="86" t="s">
        <v>163</v>
      </c>
      <c r="G204" s="86" cm="1">
        <f t="array" ref="G204">_xlfn.IFS(Tabela1[[#This Row],[STATUS PROCESSO MOBILIZAÇÃO]]="Finalizado",1,Tabela1[[#This Row],[STATUS PROCESSO MOBILIZAÇÃO]]="Cancelado",2,Tabela1[[#This Row],[STATUS PROCESSO MOBILIZAÇÃO]]="Em andamento",3)</f>
        <v>1</v>
      </c>
      <c r="H204" s="86" cm="1">
        <f t="array" aca="1" ref="H20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FORMS]]="",$AM204&gt;$AK$1),2,
AND(Tabela1[[#This Row],[STATUS PROCESSO MOBILIZAÇÃO]]="Em andamento",Tabela1[[#This Row],[DATA REAL - FORMS]]="",$AM204&lt;=$AK$1),3,
AND(Tabela1[[#This Row],[STATUS PROCESSO MOBILIZAÇÃO]]="Em andamento",Tabela1[[#This Row],[DATA REAL - FORMS]]&lt;&gt;""),1)</f>
        <v>1</v>
      </c>
      <c r="I204" s="86" cm="1">
        <f t="array" aca="1" ref="I20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EXAMES]]="",$AP204&gt;$AN$1),2,
AND(Tabela1[[#This Row],[STATUS PROCESSO MOBILIZAÇÃO]]="Em andamento",Tabela1[[#This Row],[DATA REAL - EXAMES]]="",$AP204&lt;=$AN$1),3,
AND(Tabela1[[#This Row],[STATUS PROCESSO MOBILIZAÇÃO]]="Em andamento",Tabela1[[#This Row],[DATA REAL - EXAMES]]&lt;&gt;""),1)</f>
        <v>1</v>
      </c>
      <c r="J204" s="86" cm="1">
        <f t="array" aca="1" ref="J20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ASO]]="",$AS204&gt;$AQ$1),2,
AND(Tabela1[[#This Row],[STATUS PROCESSO MOBILIZAÇÃO]]="Em andamento",Tabela1[[#This Row],[DATA REAL - ASO]]="",$AS204&lt;=$AQ$1),3,
AND(Tabela1[[#This Row],[STATUS PROCESSO MOBILIZAÇÃO]]="Em andamento",Tabela1[[#This Row],[DATA REAL - ASO]]&lt;&gt;""),1)</f>
        <v>1</v>
      </c>
      <c r="K204" s="86" cm="1">
        <f t="array" aca="1" ref="K20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TREINAMENTOS]]="",$AV204&gt;$AT$1),2,
AND(Tabela1[[#This Row],[STATUS PROCESSO MOBILIZAÇÃO]]="Em andamento",Tabela1[[#This Row],[DATA REAL - TREINAMENTOS]]="",$AV204&lt;=$AT$1),3,
AND(Tabela1[[#This Row],[STATUS PROCESSO MOBILIZAÇÃO]]="Em andamento",Tabela1[[#This Row],[DATA REAL - TREINAMENTOS]]&lt;&gt;""),1)</f>
        <v>1</v>
      </c>
      <c r="L204" s="86" cm="1">
        <f t="array" aca="1" ref="L20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TREIN.]]="",$AY204&gt;$AW$1),2,
AND(Tabela1[[#This Row],[STATUS PROCESSO MOBILIZAÇÃO]]="Em andamento",Tabela1[[#This Row],[DATA REAL - CONCL. TREIN.]]="",$AY204&lt;=$AW$1),3,
AND(Tabela1[[#This Row],[STATUS PROCESSO MOBILIZAÇÃO]]="Em andamento",Tabela1[[#This Row],[DATA REAL - CONCL. TREIN.]]&lt;&gt;""),1)</f>
        <v>1</v>
      </c>
      <c r="M204" s="86" cm="1">
        <f t="array" aca="1" ref="M20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CONTRATUAL]]="",$BB204&gt;$AZ$1),2,
AND(Tabela1[[#This Row],[STATUS PROCESSO MOBILIZAÇÃO]]="Em andamento",Tabela1[[#This Row],[DATA FIM - ALTER. CONTRATUAL]]="",$BB204&lt;=$AZ$1),3,
AND(Tabela1[[#This Row],[STATUS PROCESSO MOBILIZAÇÃO]]="Em andamento",Tabela1[[#This Row],[DATA FIM - ALTER. CONTRATUAL]]&lt;&gt;""),1)</f>
        <v>1</v>
      </c>
      <c r="N204" s="86" cm="1">
        <f t="array" aca="1" ref="N20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DOSSIÊ]]="",$BE204&gt;$BC$1),2,
AND(Tabela1[[#This Row],[STATUS PROCESSO MOBILIZAÇÃO]]="Em andamento",Tabela1[[#This Row],[DATA REAL - DOSSIÊ]]="",$BE204&lt;=$BC$1),3,
AND(Tabela1[[#This Row],[STATUS PROCESSO MOBILIZAÇÃO]]="Em andamento",Tabela1[[#This Row],[DATA REAL - DOSSIÊ]]&lt;&gt;""),1)</f>
        <v>1</v>
      </c>
      <c r="O204" s="86" cm="1">
        <f t="array" aca="1" ref="O20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POSTAGEM]]="",$BH204&gt;$BF$1),2,
AND(Tabela1[[#This Row],[STATUS PROCESSO MOBILIZAÇÃO]]="Em andamento",Tabela1[[#This Row],[DATA REAL - POSTAGEM]]="",$BH204&lt;=$BF$1),3,
AND(Tabela1[[#This Row],[STATUS PROCESSO MOBILIZAÇÃO]]="Em andamento",Tabela1[[#This Row],[DATA REAL - POSTAGEM]]&lt;&gt;""),1)</f>
        <v>1</v>
      </c>
      <c r="P204" s="86" cm="1">
        <f t="array" aca="1" ref="P20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FINAL]]="",$BK204&gt;$BI$1),2,
AND(Tabela1[[#This Row],[STATUS PROCESSO MOBILIZAÇÃO]]="Em andamento",Tabela1[[#This Row],[DATA REAL - APROV FINAL]]="",$BK204&lt;=$BI$1),3,
AND(Tabela1[[#This Row],[STATUS PROCESSO MOBILIZAÇÃO]]="Em andamento",Tabela1[[#This Row],[DATA REAL - APROV FINAL]]&lt;&gt;""),1)</f>
        <v>1</v>
      </c>
      <c r="Q204" s="86" cm="1">
        <f t="array" aca="1" ref="Q20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CRACHÁ]]="",$BN204&gt;$BL$1),2,
AND(Tabela1[[#This Row],[STATUS PROCESSO MOBILIZAÇÃO]]="Em andamento",Tabela1[[#This Row],[DATA REAL - CRACHÁ]]="",$BN204&lt;=$BL$1),3,
AND(Tabela1[[#This Row],[STATUS PROCESSO MOBILIZAÇÃO]]="Em andamento",Tabela1[[#This Row],[DATA REAL - CRACHÁ]]&lt;&gt;""),1)</f>
        <v>1</v>
      </c>
      <c r="R204" s="87">
        <f>IF(Tabela1[[#This Row],[DATA REAL - FORMS]]&lt;&gt;"",Tabela1[[#This Row],[DATA REAL - FORMS]]+30,Tabela1[[#This Row],[DATA PREV - FORMS]]+35)</f>
        <v>46120</v>
      </c>
      <c r="S204"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46111</v>
      </c>
      <c r="T204"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204"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204" s="88">
        <f>MAX(Tabela1[[#This Row],[DATA REAL - POSTAGEM]],Tabela1[[#This Row],[DATA REAL - APROV FINAL]],Tabela1[[#This Row],[DATA REAL - CRACHÁ]])-MIN(Tabela1[[#This Row],[DATA REAL - POSTAGEM]],Tabela1[[#This Row],[DATA REAL - APROV FINAL]],Tabela1[[#This Row],[DATA REAL - CRACHÁ]])+1</f>
        <v>12</v>
      </c>
      <c r="W204"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4" s="15"/>
      <c r="Y204" s="86" t="s">
        <v>150</v>
      </c>
      <c r="Z204" s="104" t="s">
        <v>655</v>
      </c>
      <c r="AA204" s="95" t="s">
        <v>152</v>
      </c>
      <c r="AB204" s="86" t="s">
        <v>97</v>
      </c>
      <c r="AC204" s="86" t="s">
        <v>266</v>
      </c>
      <c r="AD204" s="86" t="s">
        <v>266</v>
      </c>
      <c r="AE204" s="86" t="s">
        <v>267</v>
      </c>
      <c r="AF204" s="86" t="s">
        <v>268</v>
      </c>
      <c r="AG204" s="86" t="str">
        <f>_xlfn.XLOOKUP(Tabela1[[#This Row],[CÓD. CT]],Controle_Projetos[COD CT],Controle_Projetos[COD PHD],"")</f>
        <v>GOIA-CT01-GERE</v>
      </c>
      <c r="AH204" s="87">
        <v>46090</v>
      </c>
      <c r="AI204" s="89">
        <v>46090</v>
      </c>
      <c r="AJ204" s="86" cm="1">
        <f t="array" aca="1" ref="AJ20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4" s="87">
        <v>46090</v>
      </c>
      <c r="AL204" s="90">
        <v>46090</v>
      </c>
      <c r="AM204" s="86" cm="1">
        <f t="array" aca="1" ref="AM20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4" s="21">
        <f>Tabela1[[#This Row],[DATA PREV - FORMS]]+$AN$1</f>
        <v>46097</v>
      </c>
      <c r="AO204" s="90">
        <v>46090</v>
      </c>
      <c r="AP204" s="86" cm="1">
        <f t="array" aca="1" ref="AP20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4" s="21">
        <f>Tabela1[[#This Row],[DATA PREV - EXAMES]]+$AQ$1</f>
        <v>46099</v>
      </c>
      <c r="AR204" s="90">
        <v>46100</v>
      </c>
      <c r="AS204" s="86" cm="1">
        <f t="array" aca="1" ref="AS20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04" s="21">
        <f>Tabela1[[#This Row],[DATA PREV - FORMS]]+$AT$1</f>
        <v>46091</v>
      </c>
      <c r="AU204" s="90">
        <v>46090</v>
      </c>
      <c r="AV204" s="86" cm="1">
        <f t="array" aca="1" ref="AV20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4" s="21">
        <f>Tabela1[[#This Row],[DATA PREV - TREINAMENTOS]]+$AW$1</f>
        <v>46098</v>
      </c>
      <c r="AX204" s="90">
        <v>46090</v>
      </c>
      <c r="AY204" s="86" cm="1">
        <f t="array" aca="1" ref="AY20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04" s="91">
        <v>46090</v>
      </c>
      <c r="BA204" s="90">
        <v>46090</v>
      </c>
      <c r="BB204" s="86" cm="1">
        <f t="array" aca="1" ref="BB20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4" s="21">
        <f>Tabela1[[#This Row],[DATA PREV - CONCL. TREIN.]]+$BC$1</f>
        <v>46100</v>
      </c>
      <c r="BD204" s="90">
        <v>46100</v>
      </c>
      <c r="BE204" s="86" cm="1">
        <f t="array" aca="1" ref="BE20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4" s="21">
        <f>Tabela1[[#This Row],[DATA PREV - DOSSIÊ]]+$BF$1</f>
        <v>46103</v>
      </c>
      <c r="BG204" s="90">
        <v>46100</v>
      </c>
      <c r="BH204" s="86" cm="1">
        <f t="array" aca="1" ref="BH20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04" s="21">
        <f>Tabela1[[#This Row],[DATA PREV - POSTAGEM]]+$BI$1</f>
        <v>46109</v>
      </c>
      <c r="BJ204" s="90">
        <v>46108</v>
      </c>
      <c r="BK204" s="86" cm="1">
        <f t="array" aca="1" ref="BK20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0</v>
      </c>
      <c r="BL204" s="21">
        <f>Tabela1[[#This Row],[DATA PREV - APROV FINAL]]+$BL$1</f>
        <v>46110</v>
      </c>
      <c r="BM204" s="90">
        <v>46111</v>
      </c>
      <c r="BN204" s="86" cm="1">
        <f t="array" aca="1" ref="BN20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04" s="94" t="s">
        <v>656</v>
      </c>
    </row>
    <row r="205" spans="2:67" ht="18" hidden="1" customHeight="1" x14ac:dyDescent="0.35">
      <c r="B205" s="84" t="s">
        <v>79</v>
      </c>
      <c r="C205" s="86" t="s">
        <v>136</v>
      </c>
      <c r="D205" s="86" t="s">
        <v>108</v>
      </c>
      <c r="E205" s="86">
        <v>718</v>
      </c>
      <c r="F205" s="86" t="s">
        <v>657</v>
      </c>
      <c r="G205" s="86" cm="1">
        <f t="array" ref="G205">_xlfn.IFS(Tabela1[[#This Row],[STATUS PROCESSO MOBILIZAÇÃO]]="Finalizado",1,Tabela1[[#This Row],[STATUS PROCESSO MOBILIZAÇÃO]]="Cancelado",2,Tabela1[[#This Row],[STATUS PROCESSO MOBILIZAÇÃO]]="Em andamento",3)</f>
        <v>1</v>
      </c>
      <c r="H205" s="86" cm="1">
        <f t="array" aca="1" ref="H20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FORMS]]="",$AM205&gt;$AK$1),2,
AND(Tabela1[[#This Row],[STATUS PROCESSO MOBILIZAÇÃO]]="Em andamento",Tabela1[[#This Row],[DATA REAL - FORMS]]="",$AM205&lt;=$AK$1),3,
AND(Tabela1[[#This Row],[STATUS PROCESSO MOBILIZAÇÃO]]="Em andamento",Tabela1[[#This Row],[DATA REAL - FORMS]]&lt;&gt;""),1)</f>
        <v>1</v>
      </c>
      <c r="I205" s="86" cm="1">
        <f t="array" aca="1" ref="I20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EXAMES]]="",$AP205&gt;$AN$1),2,
AND(Tabela1[[#This Row],[STATUS PROCESSO MOBILIZAÇÃO]]="Em andamento",Tabela1[[#This Row],[DATA REAL - EXAMES]]="",$AP205&lt;=$AN$1),3,
AND(Tabela1[[#This Row],[STATUS PROCESSO MOBILIZAÇÃO]]="Em andamento",Tabela1[[#This Row],[DATA REAL - EXAMES]]&lt;&gt;""),1)</f>
        <v>1</v>
      </c>
      <c r="J205" s="86" cm="1">
        <f t="array" aca="1" ref="J20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ASO]]="",$AS205&gt;$AQ$1),2,
AND(Tabela1[[#This Row],[STATUS PROCESSO MOBILIZAÇÃO]]="Em andamento",Tabela1[[#This Row],[DATA REAL - ASO]]="",$AS205&lt;=$AQ$1),3,
AND(Tabela1[[#This Row],[STATUS PROCESSO MOBILIZAÇÃO]]="Em andamento",Tabela1[[#This Row],[DATA REAL - ASO]]&lt;&gt;""),1)</f>
        <v>1</v>
      </c>
      <c r="K205" s="86" cm="1">
        <f t="array" aca="1" ref="K20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TREINAMENTOS]]="",$AV205&gt;$AT$1),2,
AND(Tabela1[[#This Row],[STATUS PROCESSO MOBILIZAÇÃO]]="Em andamento",Tabela1[[#This Row],[DATA REAL - TREINAMENTOS]]="",$AV205&lt;=$AT$1),3,
AND(Tabela1[[#This Row],[STATUS PROCESSO MOBILIZAÇÃO]]="Em andamento",Tabela1[[#This Row],[DATA REAL - TREINAMENTOS]]&lt;&gt;""),1)</f>
        <v>1</v>
      </c>
      <c r="L205" s="86" cm="1">
        <f t="array" aca="1" ref="L20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TREIN.]]="",$AY205&gt;$AW$1),2,
AND(Tabela1[[#This Row],[STATUS PROCESSO MOBILIZAÇÃO]]="Em andamento",Tabela1[[#This Row],[DATA REAL - CONCL. TREIN.]]="",$AY205&lt;=$AW$1),3,
AND(Tabela1[[#This Row],[STATUS PROCESSO MOBILIZAÇÃO]]="Em andamento",Tabela1[[#This Row],[DATA REAL - CONCL. TREIN.]]&lt;&gt;""),1)</f>
        <v>1</v>
      </c>
      <c r="M205" s="86" cm="1">
        <f t="array" aca="1" ref="M20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CONTRATUAL]]="",$BB205&gt;$AZ$1),2,
AND(Tabela1[[#This Row],[STATUS PROCESSO MOBILIZAÇÃO]]="Em andamento",Tabela1[[#This Row],[DATA FIM - ALTER. CONTRATUAL]]="",$BB205&lt;=$AZ$1),3,
AND(Tabela1[[#This Row],[STATUS PROCESSO MOBILIZAÇÃO]]="Em andamento",Tabela1[[#This Row],[DATA FIM - ALTER. CONTRATUAL]]&lt;&gt;""),1)</f>
        <v>1</v>
      </c>
      <c r="N205" s="86" cm="1">
        <f t="array" aca="1" ref="N20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DOSSIÊ]]="",$BE205&gt;$BC$1),2,
AND(Tabela1[[#This Row],[STATUS PROCESSO MOBILIZAÇÃO]]="Em andamento",Tabela1[[#This Row],[DATA REAL - DOSSIÊ]]="",$BE205&lt;=$BC$1),3,
AND(Tabela1[[#This Row],[STATUS PROCESSO MOBILIZAÇÃO]]="Em andamento",Tabela1[[#This Row],[DATA REAL - DOSSIÊ]]&lt;&gt;""),1)</f>
        <v>1</v>
      </c>
      <c r="O205" s="86" cm="1">
        <f t="array" aca="1" ref="O20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POSTAGEM]]="",$BH205&gt;$BF$1),2,
AND(Tabela1[[#This Row],[STATUS PROCESSO MOBILIZAÇÃO]]="Em andamento",Tabela1[[#This Row],[DATA REAL - POSTAGEM]]="",$BH205&lt;=$BF$1),3,
AND(Tabela1[[#This Row],[STATUS PROCESSO MOBILIZAÇÃO]]="Em andamento",Tabela1[[#This Row],[DATA REAL - POSTAGEM]]&lt;&gt;""),1)</f>
        <v>1</v>
      </c>
      <c r="P205" s="86" cm="1">
        <f t="array" aca="1" ref="P20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FINAL]]="",$BK205&gt;$BI$1),2,
AND(Tabela1[[#This Row],[STATUS PROCESSO MOBILIZAÇÃO]]="Em andamento",Tabela1[[#This Row],[DATA REAL - APROV FINAL]]="",$BK205&lt;=$BI$1),3,
AND(Tabela1[[#This Row],[STATUS PROCESSO MOBILIZAÇÃO]]="Em andamento",Tabela1[[#This Row],[DATA REAL - APROV FINAL]]&lt;&gt;""),1)</f>
        <v>1</v>
      </c>
      <c r="Q205" s="86" cm="1">
        <f t="array" aca="1" ref="Q20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CRACHÁ]]="",$BN205&gt;$BL$1),2,
AND(Tabela1[[#This Row],[STATUS PROCESSO MOBILIZAÇÃO]]="Em andamento",Tabela1[[#This Row],[DATA REAL - CRACHÁ]]="",$BN205&lt;=$BL$1),3,
AND(Tabela1[[#This Row],[STATUS PROCESSO MOBILIZAÇÃO]]="Em andamento",Tabela1[[#This Row],[DATA REAL - CRACHÁ]]&lt;&gt;""),1)</f>
        <v>1</v>
      </c>
      <c r="R205" s="87">
        <f>IF(Tabela1[[#This Row],[DATA REAL - FORMS]]&lt;&gt;"",Tabela1[[#This Row],[DATA REAL - FORMS]]+30,Tabela1[[#This Row],[DATA PREV - FORMS]]+35)</f>
        <v>46121</v>
      </c>
      <c r="S205"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46121</v>
      </c>
      <c r="T205"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30</v>
      </c>
      <c r="U205"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05" s="88">
        <f>MAX(Tabela1[[#This Row],[DATA REAL - POSTAGEM]],Tabela1[[#This Row],[DATA REAL - APROV FINAL]],Tabela1[[#This Row],[DATA REAL - CRACHÁ]])-MIN(Tabela1[[#This Row],[DATA REAL - POSTAGEM]],Tabela1[[#This Row],[DATA REAL - APROV FINAL]],Tabela1[[#This Row],[DATA REAL - CRACHÁ]])+1</f>
        <v>25</v>
      </c>
      <c r="W205"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5" s="15" t="s">
        <v>149</v>
      </c>
      <c r="Y205" s="86" t="s">
        <v>150</v>
      </c>
      <c r="Z205" s="104" t="str">
        <f>_xlfn.XLOOKUP(Tabela1[[#This Row],[COO PHD]],TabControleEfetivo[NOME],TabControleEfetivo[email (PHD)],"")</f>
        <v>diogo.soares@phdengenharia.eng.br</v>
      </c>
      <c r="AA205" s="95" t="s">
        <v>152</v>
      </c>
      <c r="AB205" s="86" t="s">
        <v>97</v>
      </c>
      <c r="AC205" s="86" t="s">
        <v>455</v>
      </c>
      <c r="AD205" s="86" t="s">
        <v>658</v>
      </c>
      <c r="AE205" s="16" t="s">
        <v>456</v>
      </c>
      <c r="AF205" s="86" t="s">
        <v>659</v>
      </c>
      <c r="AG205" s="86" t="str">
        <f>_xlfn.XLOOKUP(Tabela1[[#This Row],[CÓD. CT]],Controle_Projetos[COD CT],Controle_Projetos[COD PHD],"")</f>
        <v>AURA-CT04-ALMA</v>
      </c>
      <c r="AH205" s="87">
        <v>46091</v>
      </c>
      <c r="AI205" s="89">
        <v>46091</v>
      </c>
      <c r="AJ205" s="86" cm="1">
        <f t="array" aca="1" ref="AJ20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5" s="87">
        <v>46091</v>
      </c>
      <c r="AL205" s="90">
        <v>46091</v>
      </c>
      <c r="AM205" s="86" cm="1">
        <f t="array" aca="1" ref="AM20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5" s="21">
        <f>Tabela1[[#This Row],[DATA PREV - FORMS]]+$AN$1</f>
        <v>46098</v>
      </c>
      <c r="AO205" s="90">
        <v>46091</v>
      </c>
      <c r="AP205" s="86" cm="1">
        <f t="array" aca="1" ref="AP20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5" s="21">
        <f>Tabela1[[#This Row],[DATA PREV - EXAMES]]+$AQ$1</f>
        <v>46100</v>
      </c>
      <c r="AR205" s="90">
        <v>46094</v>
      </c>
      <c r="AS205" s="86" cm="1">
        <f t="array" aca="1" ref="AS20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205" s="21">
        <f>Tabela1[[#This Row],[DATA PREV - FORMS]]+$AT$1</f>
        <v>46092</v>
      </c>
      <c r="AU205" s="90">
        <v>46091</v>
      </c>
      <c r="AV205" s="86" cm="1">
        <f t="array" aca="1" ref="AV20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5" s="21">
        <f>Tabela1[[#This Row],[DATA PREV - TREINAMENTOS]]+$AW$1</f>
        <v>46099</v>
      </c>
      <c r="AX205" s="90">
        <v>46093</v>
      </c>
      <c r="AY205" s="86" cm="1">
        <f t="array" aca="1" ref="AY20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05" s="91">
        <v>46091</v>
      </c>
      <c r="BA205" s="90">
        <v>46091</v>
      </c>
      <c r="BB205" s="86" cm="1">
        <f t="array" aca="1" ref="BB20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5" s="21">
        <f>Tabela1[[#This Row],[DATA PREV - CONCL. TREIN.]]+$BC$1</f>
        <v>46101</v>
      </c>
      <c r="BD205" s="90">
        <v>46097</v>
      </c>
      <c r="BE205" s="86" cm="1">
        <f t="array" aca="1" ref="BE20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05" s="21">
        <f>Tabela1[[#This Row],[DATA PREV - DOSSIÊ]]+$BF$1</f>
        <v>46104</v>
      </c>
      <c r="BG205" s="90">
        <v>46097</v>
      </c>
      <c r="BH205" s="86" cm="1">
        <f t="array" aca="1" ref="BH20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05" s="21">
        <f>Tabela1[[#This Row],[DATA PREV - POSTAGEM]]+$BI$1</f>
        <v>46110</v>
      </c>
      <c r="BJ205" s="90">
        <v>46108</v>
      </c>
      <c r="BK205" s="86" cm="1">
        <f t="array" aca="1" ref="BK20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5" s="21">
        <f>Tabela1[[#This Row],[DATA PREV - APROV FINAL]]+$BL$1</f>
        <v>46111</v>
      </c>
      <c r="BM205" s="90">
        <v>46121</v>
      </c>
      <c r="BN205" s="86" cm="1">
        <f t="array" aca="1" ref="BN20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05" s="94" t="s">
        <v>660</v>
      </c>
    </row>
    <row r="206" spans="2:67" ht="18" hidden="1" customHeight="1" x14ac:dyDescent="0.35">
      <c r="B206" s="84" t="s">
        <v>79</v>
      </c>
      <c r="C206" s="86" t="s">
        <v>136</v>
      </c>
      <c r="D206" s="86" t="s">
        <v>108</v>
      </c>
      <c r="E206" s="86">
        <v>723</v>
      </c>
      <c r="F206" s="86" t="s">
        <v>472</v>
      </c>
      <c r="G206" s="86" cm="1">
        <f t="array" ref="G206">_xlfn.IFS(Tabela1[[#This Row],[STATUS PROCESSO MOBILIZAÇÃO]]="Finalizado",1,Tabela1[[#This Row],[STATUS PROCESSO MOBILIZAÇÃO]]="Cancelado",2,Tabela1[[#This Row],[STATUS PROCESSO MOBILIZAÇÃO]]="Em andamento",3)</f>
        <v>1</v>
      </c>
      <c r="H206" s="86" cm="1">
        <f t="array" aca="1" ref="H20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FORMS]]="",$AM206&gt;$AK$1),2,
AND(Tabela1[[#This Row],[STATUS PROCESSO MOBILIZAÇÃO]]="Em andamento",Tabela1[[#This Row],[DATA REAL - FORMS]]="",$AM206&lt;=$AK$1),3,
AND(Tabela1[[#This Row],[STATUS PROCESSO MOBILIZAÇÃO]]="Em andamento",Tabela1[[#This Row],[DATA REAL - FORMS]]&lt;&gt;""),1)</f>
        <v>1</v>
      </c>
      <c r="I206" s="86" cm="1">
        <f t="array" aca="1" ref="I20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EXAMES]]="",$AP206&gt;$AN$1),2,
AND(Tabela1[[#This Row],[STATUS PROCESSO MOBILIZAÇÃO]]="Em andamento",Tabela1[[#This Row],[DATA REAL - EXAMES]]="",$AP206&lt;=$AN$1),3,
AND(Tabela1[[#This Row],[STATUS PROCESSO MOBILIZAÇÃO]]="Em andamento",Tabela1[[#This Row],[DATA REAL - EXAMES]]&lt;&gt;""),1)</f>
        <v>1</v>
      </c>
      <c r="J206" s="86" cm="1">
        <f t="array" aca="1" ref="J20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ASO]]="",$AS206&gt;$AQ$1),2,
AND(Tabela1[[#This Row],[STATUS PROCESSO MOBILIZAÇÃO]]="Em andamento",Tabela1[[#This Row],[DATA REAL - ASO]]="",$AS206&lt;=$AQ$1),3,
AND(Tabela1[[#This Row],[STATUS PROCESSO MOBILIZAÇÃO]]="Em andamento",Tabela1[[#This Row],[DATA REAL - ASO]]&lt;&gt;""),1)</f>
        <v>1</v>
      </c>
      <c r="K206" s="86" cm="1">
        <f t="array" aca="1" ref="K20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TREINAMENTOS]]="",$AV206&gt;$AT$1),2,
AND(Tabela1[[#This Row],[STATUS PROCESSO MOBILIZAÇÃO]]="Em andamento",Tabela1[[#This Row],[DATA REAL - TREINAMENTOS]]="",$AV206&lt;=$AT$1),3,
AND(Tabela1[[#This Row],[STATUS PROCESSO MOBILIZAÇÃO]]="Em andamento",Tabela1[[#This Row],[DATA REAL - TREINAMENTOS]]&lt;&gt;""),1)</f>
        <v>1</v>
      </c>
      <c r="L206" s="86" cm="1">
        <f t="array" aca="1" ref="L20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TREIN.]]="",$AY206&gt;$AW$1),2,
AND(Tabela1[[#This Row],[STATUS PROCESSO MOBILIZAÇÃO]]="Em andamento",Tabela1[[#This Row],[DATA REAL - CONCL. TREIN.]]="",$AY206&lt;=$AW$1),3,
AND(Tabela1[[#This Row],[STATUS PROCESSO MOBILIZAÇÃO]]="Em andamento",Tabela1[[#This Row],[DATA REAL - CONCL. TREIN.]]&lt;&gt;""),1)</f>
        <v>1</v>
      </c>
      <c r="M206" s="86" cm="1">
        <f t="array" aca="1" ref="M20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CONTRATUAL]]="",$BB206&gt;$AZ$1),2,
AND(Tabela1[[#This Row],[STATUS PROCESSO MOBILIZAÇÃO]]="Em andamento",Tabela1[[#This Row],[DATA FIM - ALTER. CONTRATUAL]]="",$BB206&lt;=$AZ$1),3,
AND(Tabela1[[#This Row],[STATUS PROCESSO MOBILIZAÇÃO]]="Em andamento",Tabela1[[#This Row],[DATA FIM - ALTER. CONTRATUAL]]&lt;&gt;""),1)</f>
        <v>1</v>
      </c>
      <c r="N206" s="86" cm="1">
        <f t="array" aca="1" ref="N20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DOSSIÊ]]="",$BE206&gt;$BC$1),2,
AND(Tabela1[[#This Row],[STATUS PROCESSO MOBILIZAÇÃO]]="Em andamento",Tabela1[[#This Row],[DATA REAL - DOSSIÊ]]="",$BE206&lt;=$BC$1),3,
AND(Tabela1[[#This Row],[STATUS PROCESSO MOBILIZAÇÃO]]="Em andamento",Tabela1[[#This Row],[DATA REAL - DOSSIÊ]]&lt;&gt;""),1)</f>
        <v>1</v>
      </c>
      <c r="O206" s="86" cm="1">
        <f t="array" aca="1" ref="O20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POSTAGEM]]="",$BH206&gt;$BF$1),2,
AND(Tabela1[[#This Row],[STATUS PROCESSO MOBILIZAÇÃO]]="Em andamento",Tabela1[[#This Row],[DATA REAL - POSTAGEM]]="",$BH206&lt;=$BF$1),3,
AND(Tabela1[[#This Row],[STATUS PROCESSO MOBILIZAÇÃO]]="Em andamento",Tabela1[[#This Row],[DATA REAL - POSTAGEM]]&lt;&gt;""),1)</f>
        <v>1</v>
      </c>
      <c r="P206" s="86" cm="1">
        <f t="array" aca="1" ref="P20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FINAL]]="",$BK206&gt;$BI$1),2,
AND(Tabela1[[#This Row],[STATUS PROCESSO MOBILIZAÇÃO]]="Em andamento",Tabela1[[#This Row],[DATA REAL - APROV FINAL]]="",$BK206&lt;=$BI$1),3,
AND(Tabela1[[#This Row],[STATUS PROCESSO MOBILIZAÇÃO]]="Em andamento",Tabela1[[#This Row],[DATA REAL - APROV FINAL]]&lt;&gt;""),1)</f>
        <v>1</v>
      </c>
      <c r="Q206" s="86" cm="1">
        <f t="array" aca="1" ref="Q20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CRACHÁ]]="",$BN206&gt;$BL$1),2,
AND(Tabela1[[#This Row],[STATUS PROCESSO MOBILIZAÇÃO]]="Em andamento",Tabela1[[#This Row],[DATA REAL - CRACHÁ]]="",$BN206&lt;=$BL$1),3,
AND(Tabela1[[#This Row],[STATUS PROCESSO MOBILIZAÇÃO]]="Em andamento",Tabela1[[#This Row],[DATA REAL - CRACHÁ]]&lt;&gt;""),1)</f>
        <v>1</v>
      </c>
      <c r="R206" s="87">
        <f>IF(Tabela1[[#This Row],[DATA REAL - FORMS]]&lt;&gt;"",Tabela1[[#This Row],[DATA REAL - FORMS]]+30,Tabela1[[#This Row],[DATA PREV - FORMS]]+35)</f>
        <v>46121</v>
      </c>
      <c r="S206"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46120</v>
      </c>
      <c r="T206"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06"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06" s="88">
        <f>MAX(Tabela1[[#This Row],[DATA REAL - POSTAGEM]],Tabela1[[#This Row],[DATA REAL - APROV FINAL]],Tabela1[[#This Row],[DATA REAL - CRACHÁ]])-MIN(Tabela1[[#This Row],[DATA REAL - POSTAGEM]],Tabela1[[#This Row],[DATA REAL - APROV FINAL]],Tabela1[[#This Row],[DATA REAL - CRACHÁ]])+1</f>
        <v>8</v>
      </c>
      <c r="W206"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6" s="15" t="s">
        <v>110</v>
      </c>
      <c r="Y206" s="86" t="s">
        <v>84</v>
      </c>
      <c r="Z206" s="104" t="str">
        <f>_xlfn.XLOOKUP(Tabela1[[#This Row],[COO PHD]],TabControleEfetivo[NOME],TabControleEfetivo[email (PHD)],"")</f>
        <v>julio.cesar@phdengenharia.eng.br</v>
      </c>
      <c r="AA206" s="95" t="s">
        <v>86</v>
      </c>
      <c r="AB206" s="86" t="s">
        <v>97</v>
      </c>
      <c r="AC206" s="86" t="s">
        <v>649</v>
      </c>
      <c r="AD206" s="86" t="s">
        <v>89</v>
      </c>
      <c r="AE206" s="86" t="s">
        <v>661</v>
      </c>
      <c r="AF206" s="86" t="s">
        <v>651</v>
      </c>
      <c r="AG206" s="86" t="str">
        <f>_xlfn.XLOOKUP(Tabela1[[#This Row],[CÓD. CT]],Controle_Projetos[COD CT],Controle_Projetos[COD PHD],"")</f>
        <v>CIVM-CT01-PLAN</v>
      </c>
      <c r="AH206" s="87">
        <v>46091</v>
      </c>
      <c r="AI206" s="89">
        <v>46091</v>
      </c>
      <c r="AJ206" s="86" cm="1">
        <f t="array" aca="1" ref="AJ20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6" s="87">
        <v>46091</v>
      </c>
      <c r="AL206" s="90">
        <v>46091</v>
      </c>
      <c r="AM206" s="86" cm="1">
        <f t="array" aca="1" ref="AM20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6" s="21">
        <f>Tabela1[[#This Row],[DATA PREV - FORMS]]+$AN$1</f>
        <v>46098</v>
      </c>
      <c r="AO206" s="90">
        <v>46091</v>
      </c>
      <c r="AP206" s="86" cm="1">
        <f t="array" aca="1" ref="AP20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6" s="21">
        <f>Tabela1[[#This Row],[DATA PREV - EXAMES]]+$AQ$1</f>
        <v>46100</v>
      </c>
      <c r="AR206" s="90">
        <v>46097</v>
      </c>
      <c r="AS206" s="86" cm="1">
        <f t="array" aca="1" ref="AS20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06" s="21">
        <f>Tabela1[[#This Row],[DATA PREV - FORMS]]+$AT$1</f>
        <v>46092</v>
      </c>
      <c r="AU206" s="90">
        <v>46091</v>
      </c>
      <c r="AV206" s="86" cm="1">
        <f t="array" aca="1" ref="AV20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6" s="21">
        <f>Tabela1[[#This Row],[DATA PREV - TREINAMENTOS]]+$AW$1</f>
        <v>46099</v>
      </c>
      <c r="AX206" s="90">
        <v>46093</v>
      </c>
      <c r="AY206" s="86" cm="1">
        <f t="array" aca="1" ref="AY20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06" s="91">
        <v>46091</v>
      </c>
      <c r="BA206" s="90">
        <v>46091</v>
      </c>
      <c r="BB206" s="86" cm="1">
        <f t="array" aca="1" ref="BB20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6" s="21">
        <f>Tabela1[[#This Row],[DATA PREV - CONCL. TREIN.]]+$BC$1</f>
        <v>46101</v>
      </c>
      <c r="BD206" s="90">
        <v>46097</v>
      </c>
      <c r="BE206" s="86" cm="1">
        <f t="array" aca="1" ref="BE20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06" s="21">
        <f>Tabela1[[#This Row],[DATA PREV - DOSSIÊ]]+$BF$1</f>
        <v>46104</v>
      </c>
      <c r="BG206" s="90">
        <v>46113</v>
      </c>
      <c r="BH206" s="86" cm="1">
        <f t="array" aca="1" ref="BH20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206" s="21">
        <f>Tabela1[[#This Row],[DATA PREV - POSTAGEM]]+$BI$1</f>
        <v>46110</v>
      </c>
      <c r="BJ206" s="90">
        <v>46120</v>
      </c>
      <c r="BK206" s="86" cm="1">
        <f t="array" aca="1" ref="BK20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06" s="21">
        <f>Tabela1[[#This Row],[DATA PREV - APROV FINAL]]+$BL$1</f>
        <v>46111</v>
      </c>
      <c r="BM206" s="90">
        <v>46120</v>
      </c>
      <c r="BN206" s="86" cm="1">
        <f t="array" aca="1" ref="BN20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06" s="94" t="s">
        <v>662</v>
      </c>
    </row>
    <row r="207" spans="2:67" ht="18" hidden="1" customHeight="1" x14ac:dyDescent="0.35">
      <c r="B207" s="84" t="s">
        <v>79</v>
      </c>
      <c r="C207" s="86" t="s">
        <v>136</v>
      </c>
      <c r="D207" s="86" t="s">
        <v>108</v>
      </c>
      <c r="E207" s="86">
        <v>727</v>
      </c>
      <c r="F207" s="86" t="s">
        <v>481</v>
      </c>
      <c r="G207" s="86" cm="1">
        <f t="array" ref="G207">_xlfn.IFS(Tabela1[[#This Row],[STATUS PROCESSO MOBILIZAÇÃO]]="Finalizado",1,Tabela1[[#This Row],[STATUS PROCESSO MOBILIZAÇÃO]]="Cancelado",2,Tabela1[[#This Row],[STATUS PROCESSO MOBILIZAÇÃO]]="Em andamento",3)</f>
        <v>1</v>
      </c>
      <c r="H207" s="86" cm="1">
        <f t="array" aca="1" ref="H20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FORMS]]="",$AM207&gt;$AK$1),2,
AND(Tabela1[[#This Row],[STATUS PROCESSO MOBILIZAÇÃO]]="Em andamento",Tabela1[[#This Row],[DATA REAL - FORMS]]="",$AM207&lt;=$AK$1),3,
AND(Tabela1[[#This Row],[STATUS PROCESSO MOBILIZAÇÃO]]="Em andamento",Tabela1[[#This Row],[DATA REAL - FORMS]]&lt;&gt;""),1)</f>
        <v>1</v>
      </c>
      <c r="I207" s="86" cm="1">
        <f t="array" aca="1" ref="I20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EXAMES]]="",$AP207&gt;$AN$1),2,
AND(Tabela1[[#This Row],[STATUS PROCESSO MOBILIZAÇÃO]]="Em andamento",Tabela1[[#This Row],[DATA REAL - EXAMES]]="",$AP207&lt;=$AN$1),3,
AND(Tabela1[[#This Row],[STATUS PROCESSO MOBILIZAÇÃO]]="Em andamento",Tabela1[[#This Row],[DATA REAL - EXAMES]]&lt;&gt;""),1)</f>
        <v>1</v>
      </c>
      <c r="J207" s="86" cm="1">
        <f t="array" aca="1" ref="J20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ASO]]="",$AS207&gt;$AQ$1),2,
AND(Tabela1[[#This Row],[STATUS PROCESSO MOBILIZAÇÃO]]="Em andamento",Tabela1[[#This Row],[DATA REAL - ASO]]="",$AS207&lt;=$AQ$1),3,
AND(Tabela1[[#This Row],[STATUS PROCESSO MOBILIZAÇÃO]]="Em andamento",Tabela1[[#This Row],[DATA REAL - ASO]]&lt;&gt;""),1)</f>
        <v>1</v>
      </c>
      <c r="K207" s="86" cm="1">
        <f t="array" aca="1" ref="K20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TREINAMENTOS]]="",$AV207&gt;$AT$1),2,
AND(Tabela1[[#This Row],[STATUS PROCESSO MOBILIZAÇÃO]]="Em andamento",Tabela1[[#This Row],[DATA REAL - TREINAMENTOS]]="",$AV207&lt;=$AT$1),3,
AND(Tabela1[[#This Row],[STATUS PROCESSO MOBILIZAÇÃO]]="Em andamento",Tabela1[[#This Row],[DATA REAL - TREINAMENTOS]]&lt;&gt;""),1)</f>
        <v>1</v>
      </c>
      <c r="L207" s="86" cm="1">
        <f t="array" aca="1" ref="L20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TREIN.]]="",$AY207&gt;$AW$1),2,
AND(Tabela1[[#This Row],[STATUS PROCESSO MOBILIZAÇÃO]]="Em andamento",Tabela1[[#This Row],[DATA REAL - CONCL. TREIN.]]="",$AY207&lt;=$AW$1),3,
AND(Tabela1[[#This Row],[STATUS PROCESSO MOBILIZAÇÃO]]="Em andamento",Tabela1[[#This Row],[DATA REAL - CONCL. TREIN.]]&lt;&gt;""),1)</f>
        <v>1</v>
      </c>
      <c r="M207" s="86" cm="1">
        <f t="array" aca="1" ref="M20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CONTRATUAL]]="",$BB207&gt;$AZ$1),2,
AND(Tabela1[[#This Row],[STATUS PROCESSO MOBILIZAÇÃO]]="Em andamento",Tabela1[[#This Row],[DATA FIM - ALTER. CONTRATUAL]]="",$BB207&lt;=$AZ$1),3,
AND(Tabela1[[#This Row],[STATUS PROCESSO MOBILIZAÇÃO]]="Em andamento",Tabela1[[#This Row],[DATA FIM - ALTER. CONTRATUAL]]&lt;&gt;""),1)</f>
        <v>1</v>
      </c>
      <c r="N207" s="86" cm="1">
        <f t="array" aca="1" ref="N20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DOSSIÊ]]="",$BE207&gt;$BC$1),2,
AND(Tabela1[[#This Row],[STATUS PROCESSO MOBILIZAÇÃO]]="Em andamento",Tabela1[[#This Row],[DATA REAL - DOSSIÊ]]="",$BE207&lt;=$BC$1),3,
AND(Tabela1[[#This Row],[STATUS PROCESSO MOBILIZAÇÃO]]="Em andamento",Tabela1[[#This Row],[DATA REAL - DOSSIÊ]]&lt;&gt;""),1)</f>
        <v>1</v>
      </c>
      <c r="O207" s="86" cm="1">
        <f t="array" aca="1" ref="O20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POSTAGEM]]="",$BH207&gt;$BF$1),2,
AND(Tabela1[[#This Row],[STATUS PROCESSO MOBILIZAÇÃO]]="Em andamento",Tabela1[[#This Row],[DATA REAL - POSTAGEM]]="",$BH207&lt;=$BF$1),3,
AND(Tabela1[[#This Row],[STATUS PROCESSO MOBILIZAÇÃO]]="Em andamento",Tabela1[[#This Row],[DATA REAL - POSTAGEM]]&lt;&gt;""),1)</f>
        <v>1</v>
      </c>
      <c r="P207" s="86" cm="1">
        <f t="array" aca="1" ref="P20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FINAL]]="",$BK207&gt;$BI$1),2,
AND(Tabela1[[#This Row],[STATUS PROCESSO MOBILIZAÇÃO]]="Em andamento",Tabela1[[#This Row],[DATA REAL - APROV FINAL]]="",$BK207&lt;=$BI$1),3,
AND(Tabela1[[#This Row],[STATUS PROCESSO MOBILIZAÇÃO]]="Em andamento",Tabela1[[#This Row],[DATA REAL - APROV FINAL]]&lt;&gt;""),1)</f>
        <v>1</v>
      </c>
      <c r="Q207" s="86" cm="1">
        <f t="array" aca="1" ref="Q20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CRACHÁ]]="",$BN207&gt;$BL$1),2,
AND(Tabela1[[#This Row],[STATUS PROCESSO MOBILIZAÇÃO]]="Em andamento",Tabela1[[#This Row],[DATA REAL - CRACHÁ]]="",$BN207&lt;=$BL$1),3,
AND(Tabela1[[#This Row],[STATUS PROCESSO MOBILIZAÇÃO]]="Em andamento",Tabela1[[#This Row],[DATA REAL - CRACHÁ]]&lt;&gt;""),1)</f>
        <v>1</v>
      </c>
      <c r="R207" s="87">
        <f>IF(Tabela1[[#This Row],[DATA REAL - FORMS]]&lt;&gt;"",Tabela1[[#This Row],[DATA REAL - FORMS]]+30,Tabela1[[#This Row],[DATA PREV - FORMS]]+35)</f>
        <v>46123</v>
      </c>
      <c r="S207"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46112</v>
      </c>
      <c r="T207"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19</v>
      </c>
      <c r="U207"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207" s="88">
        <f>MAX(Tabela1[[#This Row],[DATA REAL - POSTAGEM]],Tabela1[[#This Row],[DATA REAL - APROV FINAL]],Tabela1[[#This Row],[DATA REAL - CRACHÁ]])-MIN(Tabela1[[#This Row],[DATA REAL - POSTAGEM]],Tabela1[[#This Row],[DATA REAL - APROV FINAL]],Tabela1[[#This Row],[DATA REAL - CRACHÁ]])+1</f>
        <v>2</v>
      </c>
      <c r="W207"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7" s="15" t="s">
        <v>103</v>
      </c>
      <c r="Y207" s="86" t="s">
        <v>150</v>
      </c>
      <c r="Z207" s="104" t="str">
        <f>_xlfn.XLOOKUP(Tabela1[[#This Row],[COO PHD]],TabControleEfetivo[NOME],TabControleEfetivo[email (PHD)],"")</f>
        <v>tulio.rafael@phdengenharia.eng.br</v>
      </c>
      <c r="AA207" s="95" t="s">
        <v>152</v>
      </c>
      <c r="AB207" s="86" t="s">
        <v>97</v>
      </c>
      <c r="AC207" s="86" t="s">
        <v>88</v>
      </c>
      <c r="AD207" s="86" t="s">
        <v>89</v>
      </c>
      <c r="AE207" s="86" t="s">
        <v>644</v>
      </c>
      <c r="AF207" s="86" t="s">
        <v>645</v>
      </c>
      <c r="AG207" s="86" t="str">
        <f>_xlfn.XLOOKUP(Tabela1[[#This Row],[CÓD. CT]],Controle_Projetos[COD CT],Controle_Projetos[COD PHD],"")</f>
        <v>IMCS-CT09-PLAN</v>
      </c>
      <c r="AH207" s="87">
        <v>46093</v>
      </c>
      <c r="AI207" s="89">
        <v>46093</v>
      </c>
      <c r="AJ207" s="86" cm="1">
        <f t="array" aca="1" ref="AJ20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7" s="87">
        <v>46093</v>
      </c>
      <c r="AL207" s="90">
        <v>46093</v>
      </c>
      <c r="AM207" s="86" cm="1">
        <f t="array" aca="1" ref="AM20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7" s="21">
        <f>Tabela1[[#This Row],[DATA PREV - FORMS]]+$AN$1</f>
        <v>46100</v>
      </c>
      <c r="AO207" s="90">
        <v>46093</v>
      </c>
      <c r="AP207" s="86" cm="1">
        <f t="array" aca="1" ref="AP20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7" s="21">
        <f>Tabela1[[#This Row],[DATA PREV - EXAMES]]+$AQ$1</f>
        <v>46102</v>
      </c>
      <c r="AR207" s="90">
        <v>46101</v>
      </c>
      <c r="AS207" s="86" cm="1">
        <f t="array" aca="1" ref="AS20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07" s="21">
        <f>Tabela1[[#This Row],[DATA PREV - FORMS]]+$AT$1</f>
        <v>46094</v>
      </c>
      <c r="AU207" s="90">
        <v>46093</v>
      </c>
      <c r="AV207" s="86" cm="1">
        <f t="array" aca="1" ref="AV20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7" s="21">
        <f>Tabela1[[#This Row],[DATA PREV - TREINAMENTOS]]+$AW$1</f>
        <v>46101</v>
      </c>
      <c r="AX207" s="90">
        <v>46108</v>
      </c>
      <c r="AY207" s="86" cm="1">
        <f t="array" aca="1" ref="AY20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8</v>
      </c>
      <c r="AZ207" s="91">
        <v>46093</v>
      </c>
      <c r="BA207" s="90">
        <v>46093</v>
      </c>
      <c r="BB207" s="86" cm="1">
        <f t="array" aca="1" ref="BB20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7" s="21">
        <f>Tabela1[[#This Row],[DATA PREV - CONCL. TREIN.]]+$BC$1</f>
        <v>46103</v>
      </c>
      <c r="BD207" s="90">
        <v>46108</v>
      </c>
      <c r="BE207" s="86" cm="1">
        <f t="array" aca="1" ref="BE20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207" s="21">
        <f>Tabela1[[#This Row],[DATA PREV - DOSSIÊ]]+$BF$1</f>
        <v>46106</v>
      </c>
      <c r="BG207" s="90">
        <v>46111</v>
      </c>
      <c r="BH207" s="86" cm="1">
        <f t="array" aca="1" ref="BH20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07" s="21">
        <f>Tabela1[[#This Row],[DATA PREV - POSTAGEM]]+$BI$1</f>
        <v>46112</v>
      </c>
      <c r="BJ207" s="90">
        <v>46112</v>
      </c>
      <c r="BK207" s="86" cm="1">
        <f t="array" aca="1" ref="BK20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7" s="21">
        <f>Tabela1[[#This Row],[DATA PREV - APROV FINAL]]+$BL$1</f>
        <v>46113</v>
      </c>
      <c r="BM207" s="90">
        <v>46112</v>
      </c>
      <c r="BN207" s="86" cm="1">
        <f t="array" aca="1" ref="BN20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0</v>
      </c>
      <c r="BO207" s="94" t="s">
        <v>663</v>
      </c>
    </row>
    <row r="208" spans="2:67" ht="18" hidden="1" customHeight="1" x14ac:dyDescent="0.35">
      <c r="B208" s="84" t="s">
        <v>119</v>
      </c>
      <c r="C208" s="86" t="s">
        <v>136</v>
      </c>
      <c r="D208" s="86" t="s">
        <v>119</v>
      </c>
      <c r="E208" s="86">
        <v>740</v>
      </c>
      <c r="F208" s="86" t="s">
        <v>465</v>
      </c>
      <c r="G208" s="86" cm="1">
        <f t="array" ref="G208">_xlfn.IFS(Tabela1[[#This Row],[STATUS PROCESSO MOBILIZAÇÃO]]="Finalizado",1,Tabela1[[#This Row],[STATUS PROCESSO MOBILIZAÇÃO]]="Cancelado",2,Tabela1[[#This Row],[STATUS PROCESSO MOBILIZAÇÃO]]="Em andamento",3)</f>
        <v>2</v>
      </c>
      <c r="H208" s="86" cm="1">
        <f t="array" aca="1" ref="H20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FORMS]]="",$AM208&gt;$AK$1),2,
AND(Tabela1[[#This Row],[STATUS PROCESSO MOBILIZAÇÃO]]="Em andamento",Tabela1[[#This Row],[DATA REAL - FORMS]]="",$AM208&lt;=$AK$1),3,
AND(Tabela1[[#This Row],[STATUS PROCESSO MOBILIZAÇÃO]]="Em andamento",Tabela1[[#This Row],[DATA REAL - FORMS]]&lt;&gt;""),1)</f>
        <v>1</v>
      </c>
      <c r="I208" s="86" cm="1">
        <f t="array" aca="1" ref="I20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EXAMES]]="",$AP208&gt;$AN$1),2,
AND(Tabela1[[#This Row],[STATUS PROCESSO MOBILIZAÇÃO]]="Em andamento",Tabela1[[#This Row],[DATA REAL - EXAMES]]="",$AP208&lt;=$AN$1),3,
AND(Tabela1[[#This Row],[STATUS PROCESSO MOBILIZAÇÃO]]="Em andamento",Tabela1[[#This Row],[DATA REAL - EXAMES]]&lt;&gt;""),1)</f>
        <v>1</v>
      </c>
      <c r="J208" s="86" cm="1">
        <f t="array" aca="1" ref="J20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ASO]]="",$AS208&gt;$AQ$1),2,
AND(Tabela1[[#This Row],[STATUS PROCESSO MOBILIZAÇÃO]]="Em andamento",Tabela1[[#This Row],[DATA REAL - ASO]]="",$AS208&lt;=$AQ$1),3,
AND(Tabela1[[#This Row],[STATUS PROCESSO MOBILIZAÇÃO]]="Em andamento",Tabela1[[#This Row],[DATA REAL - ASO]]&lt;&gt;""),1)</f>
        <v>1</v>
      </c>
      <c r="K208" s="86" cm="1">
        <f t="array" aca="1" ref="K20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TREINAMENTOS]]="",$AV208&gt;$AT$1),2,
AND(Tabela1[[#This Row],[STATUS PROCESSO MOBILIZAÇÃO]]="Em andamento",Tabela1[[#This Row],[DATA REAL - TREINAMENTOS]]="",$AV208&lt;=$AT$1),3,
AND(Tabela1[[#This Row],[STATUS PROCESSO MOBILIZAÇÃO]]="Em andamento",Tabela1[[#This Row],[DATA REAL - TREINAMENTOS]]&lt;&gt;""),1)</f>
        <v>1</v>
      </c>
      <c r="L208" s="86" cm="1">
        <f t="array" aca="1" ref="L20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TREIN.]]="",$AY208&gt;$AW$1),2,
AND(Tabela1[[#This Row],[STATUS PROCESSO MOBILIZAÇÃO]]="Em andamento",Tabela1[[#This Row],[DATA REAL - CONCL. TREIN.]]="",$AY208&lt;=$AW$1),3,
AND(Tabela1[[#This Row],[STATUS PROCESSO MOBILIZAÇÃO]]="Em andamento",Tabela1[[#This Row],[DATA REAL - CONCL. TREIN.]]&lt;&gt;""),1)</f>
        <v>0</v>
      </c>
      <c r="M208" s="86" cm="1">
        <f t="array" aca="1" ref="M20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CONTRATUAL]]="",$BB208&gt;$AZ$1),2,
AND(Tabela1[[#This Row],[STATUS PROCESSO MOBILIZAÇÃO]]="Em andamento",Tabela1[[#This Row],[DATA FIM - ALTER. CONTRATUAL]]="",$BB208&lt;=$AZ$1),3,
AND(Tabela1[[#This Row],[STATUS PROCESSO MOBILIZAÇÃO]]="Em andamento",Tabela1[[#This Row],[DATA FIM - ALTER. CONTRATUAL]]&lt;&gt;""),1)</f>
        <v>1</v>
      </c>
      <c r="N208" s="86" cm="1">
        <f t="array" aca="1" ref="N20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DOSSIÊ]]="",$BE208&gt;$BC$1),2,
AND(Tabela1[[#This Row],[STATUS PROCESSO MOBILIZAÇÃO]]="Em andamento",Tabela1[[#This Row],[DATA REAL - DOSSIÊ]]="",$BE208&lt;=$BC$1),3,
AND(Tabela1[[#This Row],[STATUS PROCESSO MOBILIZAÇÃO]]="Em andamento",Tabela1[[#This Row],[DATA REAL - DOSSIÊ]]&lt;&gt;""),1)</f>
        <v>0</v>
      </c>
      <c r="O208" s="86" cm="1">
        <f t="array" aca="1" ref="O20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POSTAGEM]]="",$BH208&gt;$BF$1),2,
AND(Tabela1[[#This Row],[STATUS PROCESSO MOBILIZAÇÃO]]="Em andamento",Tabela1[[#This Row],[DATA REAL - POSTAGEM]]="",$BH208&lt;=$BF$1),3,
AND(Tabela1[[#This Row],[STATUS PROCESSO MOBILIZAÇÃO]]="Em andamento",Tabela1[[#This Row],[DATA REAL - POSTAGEM]]&lt;&gt;""),1)</f>
        <v>0</v>
      </c>
      <c r="P208" s="86" cm="1">
        <f t="array" aca="1" ref="P20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FINAL]]="",$BK208&gt;$BI$1),2,
AND(Tabela1[[#This Row],[STATUS PROCESSO MOBILIZAÇÃO]]="Em andamento",Tabela1[[#This Row],[DATA REAL - APROV FINAL]]="",$BK208&lt;=$BI$1),3,
AND(Tabela1[[#This Row],[STATUS PROCESSO MOBILIZAÇÃO]]="Em andamento",Tabela1[[#This Row],[DATA REAL - APROV FINAL]]&lt;&gt;""),1)</f>
        <v>0</v>
      </c>
      <c r="Q208" s="86" cm="1">
        <f t="array" aca="1" ref="Q20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CRACHÁ]]="",$BN208&gt;$BL$1),2,
AND(Tabela1[[#This Row],[STATUS PROCESSO MOBILIZAÇÃO]]="Em andamento",Tabela1[[#This Row],[DATA REAL - CRACHÁ]]="",$BN208&lt;=$BL$1),3,
AND(Tabela1[[#This Row],[STATUS PROCESSO MOBILIZAÇÃO]]="Em andamento",Tabela1[[#This Row],[DATA REAL - CRACHÁ]]&lt;&gt;""),1)</f>
        <v>1</v>
      </c>
      <c r="R208" s="87">
        <f>IF(Tabela1[[#This Row],[DATA REAL - FORMS]]&lt;&gt;"",Tabela1[[#This Row],[DATA REAL - FORMS]]+30,Tabela1[[#This Row],[DATA PREV - FORMS]]+35)</f>
        <v>46124</v>
      </c>
      <c r="S208"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46112</v>
      </c>
      <c r="T208"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18</v>
      </c>
      <c r="U208"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208" s="88">
        <f>MAX(Tabela1[[#This Row],[DATA REAL - POSTAGEM]],Tabela1[[#This Row],[DATA REAL - APROV FINAL]],Tabela1[[#This Row],[DATA REAL - CRACHÁ]])-MIN(Tabela1[[#This Row],[DATA REAL - POSTAGEM]],Tabela1[[#This Row],[DATA REAL - APROV FINAL]],Tabela1[[#This Row],[DATA REAL - CRACHÁ]])+1</f>
        <v>1</v>
      </c>
      <c r="W208"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8" s="15" t="s">
        <v>103</v>
      </c>
      <c r="Y208" s="86" t="s">
        <v>150</v>
      </c>
      <c r="Z208" s="104" t="str">
        <f>_xlfn.XLOOKUP(Tabela1[[#This Row],[COO PHD]],TabControleEfetivo[NOME],TabControleEfetivo[email (PHD)],"")</f>
        <v>tulio.rafael@phdengenharia.eng.br</v>
      </c>
      <c r="AA208" s="95" t="s">
        <v>152</v>
      </c>
      <c r="AB208" s="86" t="s">
        <v>97</v>
      </c>
      <c r="AC208" s="86" t="s">
        <v>88</v>
      </c>
      <c r="AD208" s="86" t="s">
        <v>89</v>
      </c>
      <c r="AE208" s="86" t="s">
        <v>644</v>
      </c>
      <c r="AF208" s="86" t="s">
        <v>645</v>
      </c>
      <c r="AG208" s="86" t="str">
        <f>_xlfn.XLOOKUP(Tabela1[[#This Row],[CÓD. CT]],Controle_Projetos[COD CT],Controle_Projetos[COD PHD],"")</f>
        <v>IMCS-CT09-PLAN</v>
      </c>
      <c r="AH208" s="87">
        <v>46094</v>
      </c>
      <c r="AI208" s="89">
        <v>46094</v>
      </c>
      <c r="AJ208" s="86" cm="1">
        <f t="array" aca="1" ref="AJ20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8" s="87">
        <v>46094</v>
      </c>
      <c r="AL208" s="90">
        <v>46094</v>
      </c>
      <c r="AM208" s="86" cm="1">
        <f t="array" aca="1" ref="AM20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8" s="21">
        <f>Tabela1[[#This Row],[DATA PREV - FORMS]]+$AN$1</f>
        <v>46101</v>
      </c>
      <c r="AO208" s="90">
        <v>46094</v>
      </c>
      <c r="AP208" s="86" cm="1">
        <f t="array" aca="1" ref="AP20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8" s="21">
        <f>Tabela1[[#This Row],[DATA PREV - EXAMES]]+$AQ$1</f>
        <v>46103</v>
      </c>
      <c r="AR208" s="90">
        <v>46104</v>
      </c>
      <c r="AS208" s="86" cm="1">
        <f t="array" aca="1" ref="AS20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08" s="21">
        <f>Tabela1[[#This Row],[DATA PREV - FORMS]]+$AT$1</f>
        <v>46095</v>
      </c>
      <c r="AU208" s="90">
        <v>46098</v>
      </c>
      <c r="AV208" s="86" cm="1">
        <f t="array" aca="1" ref="AV20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4</v>
      </c>
      <c r="AW208" s="21">
        <f>Tabela1[[#This Row],[DATA PREV - TREINAMENTOS]]+$AW$1</f>
        <v>46102</v>
      </c>
      <c r="AX208" s="90"/>
      <c r="AY208" s="86" cm="1">
        <f t="array" aca="1" ref="AY20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08" s="91">
        <v>46094</v>
      </c>
      <c r="BA208" s="90">
        <v>46094</v>
      </c>
      <c r="BB208" s="86" cm="1">
        <f t="array" aca="1" ref="BB20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8" s="21">
        <f>Tabela1[[#This Row],[DATA PREV - CONCL. TREIN.]]+$BC$1</f>
        <v>46104</v>
      </c>
      <c r="BD208" s="90"/>
      <c r="BE208" s="86" cm="1">
        <f t="array" aca="1" ref="BE20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8" s="21">
        <f>Tabela1[[#This Row],[DATA PREV - DOSSIÊ]]+$BF$1</f>
        <v>46107</v>
      </c>
      <c r="BG208" s="90"/>
      <c r="BH208" s="86" cm="1">
        <f t="array" aca="1" ref="BH20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08" s="21">
        <f>Tabela1[[#This Row],[DATA PREV - POSTAGEM]]+$BI$1</f>
        <v>46113</v>
      </c>
      <c r="BJ208" s="90"/>
      <c r="BK208" s="86" cm="1">
        <f t="array" aca="1" ref="BK20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08" s="21">
        <f>Tabela1[[#This Row],[DATA PREV - APROV FINAL]]+$BL$1</f>
        <v>46114</v>
      </c>
      <c r="BM208" s="90">
        <v>46112</v>
      </c>
      <c r="BN208" s="86" cm="1">
        <f t="array" aca="1" ref="BN20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208" s="94" t="s">
        <v>664</v>
      </c>
    </row>
    <row r="209" spans="2:67" ht="18" hidden="1" customHeight="1" x14ac:dyDescent="0.35">
      <c r="B209" s="84" t="s">
        <v>79</v>
      </c>
      <c r="C209" s="86" t="s">
        <v>136</v>
      </c>
      <c r="D209" s="86" t="s">
        <v>81</v>
      </c>
      <c r="E209" s="86">
        <v>735</v>
      </c>
      <c r="F209" s="86" t="s">
        <v>459</v>
      </c>
      <c r="G209" s="86" cm="1">
        <f t="array" ref="G209">_xlfn.IFS(Tabela1[[#This Row],[STATUS PROCESSO MOBILIZAÇÃO]]="Finalizado",1,Tabela1[[#This Row],[STATUS PROCESSO MOBILIZAÇÃO]]="Cancelado",2,Tabela1[[#This Row],[STATUS PROCESSO MOBILIZAÇÃO]]="Em andamento",3)</f>
        <v>1</v>
      </c>
      <c r="H209" s="86" cm="1">
        <f t="array" aca="1" ref="H20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FORMS]]="",$AM209&gt;$AK$1),2,
AND(Tabela1[[#This Row],[STATUS PROCESSO MOBILIZAÇÃO]]="Em andamento",Tabela1[[#This Row],[DATA REAL - FORMS]]="",$AM209&lt;=$AK$1),3,
AND(Tabela1[[#This Row],[STATUS PROCESSO MOBILIZAÇÃO]]="Em andamento",Tabela1[[#This Row],[DATA REAL - FORMS]]&lt;&gt;""),1)</f>
        <v>1</v>
      </c>
      <c r="I209" s="86" cm="1">
        <f t="array" aca="1" ref="I20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EXAMES]]="",$AP209&gt;$AN$1),2,
AND(Tabela1[[#This Row],[STATUS PROCESSO MOBILIZAÇÃO]]="Em andamento",Tabela1[[#This Row],[DATA REAL - EXAMES]]="",$AP209&lt;=$AN$1),3,
AND(Tabela1[[#This Row],[STATUS PROCESSO MOBILIZAÇÃO]]="Em andamento",Tabela1[[#This Row],[DATA REAL - EXAMES]]&lt;&gt;""),1)</f>
        <v>1</v>
      </c>
      <c r="J209" s="86" cm="1">
        <f t="array" aca="1" ref="J20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ASO]]="",$AS209&gt;$AQ$1),2,
AND(Tabela1[[#This Row],[STATUS PROCESSO MOBILIZAÇÃO]]="Em andamento",Tabela1[[#This Row],[DATA REAL - ASO]]="",$AS209&lt;=$AQ$1),3,
AND(Tabela1[[#This Row],[STATUS PROCESSO MOBILIZAÇÃO]]="Em andamento",Tabela1[[#This Row],[DATA REAL - ASO]]&lt;&gt;""),1)</f>
        <v>1</v>
      </c>
      <c r="K209" s="86" cm="1">
        <f t="array" aca="1" ref="K20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TREINAMENTOS]]="",$AV209&gt;$AT$1),2,
AND(Tabela1[[#This Row],[STATUS PROCESSO MOBILIZAÇÃO]]="Em andamento",Tabela1[[#This Row],[DATA REAL - TREINAMENTOS]]="",$AV209&lt;=$AT$1),3,
AND(Tabela1[[#This Row],[STATUS PROCESSO MOBILIZAÇÃO]]="Em andamento",Tabela1[[#This Row],[DATA REAL - TREINAMENTOS]]&lt;&gt;""),1)</f>
        <v>1</v>
      </c>
      <c r="L209" s="86" cm="1">
        <f t="array" aca="1" ref="L20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TREIN.]]="",$AY209&gt;$AW$1),2,
AND(Tabela1[[#This Row],[STATUS PROCESSO MOBILIZAÇÃO]]="Em andamento",Tabela1[[#This Row],[DATA REAL - CONCL. TREIN.]]="",$AY209&lt;=$AW$1),3,
AND(Tabela1[[#This Row],[STATUS PROCESSO MOBILIZAÇÃO]]="Em andamento",Tabela1[[#This Row],[DATA REAL - CONCL. TREIN.]]&lt;&gt;""),1)</f>
        <v>1</v>
      </c>
      <c r="M209" s="86" cm="1">
        <f t="array" aca="1" ref="M20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CONTRATUAL]]="",$BB209&gt;$AZ$1),2,
AND(Tabela1[[#This Row],[STATUS PROCESSO MOBILIZAÇÃO]]="Em andamento",Tabela1[[#This Row],[DATA FIM - ALTER. CONTRATUAL]]="",$BB209&lt;=$AZ$1),3,
AND(Tabela1[[#This Row],[STATUS PROCESSO MOBILIZAÇÃO]]="Em andamento",Tabela1[[#This Row],[DATA FIM - ALTER. CONTRATUAL]]&lt;&gt;""),1)</f>
        <v>1</v>
      </c>
      <c r="N209" s="86" cm="1">
        <f t="array" aca="1" ref="N20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DOSSIÊ]]="",$BE209&gt;$BC$1),2,
AND(Tabela1[[#This Row],[STATUS PROCESSO MOBILIZAÇÃO]]="Em andamento",Tabela1[[#This Row],[DATA REAL - DOSSIÊ]]="",$BE209&lt;=$BC$1),3,
AND(Tabela1[[#This Row],[STATUS PROCESSO MOBILIZAÇÃO]]="Em andamento",Tabela1[[#This Row],[DATA REAL - DOSSIÊ]]&lt;&gt;""),1)</f>
        <v>1</v>
      </c>
      <c r="O209" s="86" cm="1">
        <f t="array" aca="1" ref="O20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POSTAGEM]]="",$BH209&gt;$BF$1),2,
AND(Tabela1[[#This Row],[STATUS PROCESSO MOBILIZAÇÃO]]="Em andamento",Tabela1[[#This Row],[DATA REAL - POSTAGEM]]="",$BH209&lt;=$BF$1),3,
AND(Tabela1[[#This Row],[STATUS PROCESSO MOBILIZAÇÃO]]="Em andamento",Tabela1[[#This Row],[DATA REAL - POSTAGEM]]&lt;&gt;""),1)</f>
        <v>1</v>
      </c>
      <c r="P209" s="86" cm="1">
        <f t="array" aca="1" ref="P20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FINAL]]="",$BK209&gt;$BI$1),2,
AND(Tabela1[[#This Row],[STATUS PROCESSO MOBILIZAÇÃO]]="Em andamento",Tabela1[[#This Row],[DATA REAL - APROV FINAL]]="",$BK209&lt;=$BI$1),3,
AND(Tabela1[[#This Row],[STATUS PROCESSO MOBILIZAÇÃO]]="Em andamento",Tabela1[[#This Row],[DATA REAL - APROV FINAL]]&lt;&gt;""),1)</f>
        <v>1</v>
      </c>
      <c r="Q209" s="86" cm="1">
        <f t="array" aca="1" ref="Q20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CRACHÁ]]="",$BN209&gt;$BL$1),2,
AND(Tabela1[[#This Row],[STATUS PROCESSO MOBILIZAÇÃO]]="Em andamento",Tabela1[[#This Row],[DATA REAL - CRACHÁ]]="",$BN209&lt;=$BL$1),3,
AND(Tabela1[[#This Row],[STATUS PROCESSO MOBILIZAÇÃO]]="Em andamento",Tabela1[[#This Row],[DATA REAL - CRACHÁ]]&lt;&gt;""),1)</f>
        <v>1</v>
      </c>
      <c r="R209" s="87">
        <f>IF(Tabela1[[#This Row],[DATA REAL - FORMS]]&lt;&gt;"",Tabela1[[#This Row],[DATA REAL - FORMS]]+30,Tabela1[[#This Row],[DATA PREV - FORMS]]+35)</f>
        <v>46124</v>
      </c>
      <c r="S209"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46119</v>
      </c>
      <c r="T209"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25</v>
      </c>
      <c r="U209"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209" s="88">
        <f>MAX(Tabela1[[#This Row],[DATA REAL - POSTAGEM]],Tabela1[[#This Row],[DATA REAL - APROV FINAL]],Tabela1[[#This Row],[DATA REAL - CRACHÁ]])-MIN(Tabela1[[#This Row],[DATA REAL - POSTAGEM]],Tabela1[[#This Row],[DATA REAL - APROV FINAL]],Tabela1[[#This Row],[DATA REAL - CRACHÁ]])+1</f>
        <v>16</v>
      </c>
      <c r="W209"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09" s="15" t="s">
        <v>431</v>
      </c>
      <c r="Y209" s="86" t="s">
        <v>355</v>
      </c>
      <c r="Z209" s="104" t="str">
        <f>_xlfn.XLOOKUP(Tabela1[[#This Row],[COO PHD]],TabControleEfetivo[NOME],TabControleEfetivo[email (PHD)],"")</f>
        <v>alex.silva@phdengenharia.eng.br</v>
      </c>
      <c r="AA209" s="95" t="s">
        <v>356</v>
      </c>
      <c r="AB209" s="86" t="s">
        <v>97</v>
      </c>
      <c r="AC209" s="86" t="s">
        <v>212</v>
      </c>
      <c r="AD209" s="86" t="s">
        <v>628</v>
      </c>
      <c r="AE209" s="86" t="s">
        <v>629</v>
      </c>
      <c r="AF209" s="86" t="s">
        <v>630</v>
      </c>
      <c r="AG209" s="86" t="str">
        <f>_xlfn.XLOOKUP(Tabela1[[#This Row],[CÓD. CT]],Controle_Projetos[COD CT],Controle_Projetos[COD PHD],"")</f>
        <v>NOBR-CT07-MOSA</v>
      </c>
      <c r="AH209" s="87">
        <v>46094</v>
      </c>
      <c r="AI209" s="89">
        <v>46094</v>
      </c>
      <c r="AJ209" s="86" cm="1">
        <f t="array" aca="1" ref="AJ20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09" s="87">
        <v>46094</v>
      </c>
      <c r="AL209" s="90">
        <v>46094</v>
      </c>
      <c r="AM209" s="86" cm="1">
        <f t="array" aca="1" ref="AM20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09" s="21">
        <f>Tabela1[[#This Row],[DATA PREV - FORMS]]+$AN$1</f>
        <v>46101</v>
      </c>
      <c r="AO209" s="90">
        <v>46094</v>
      </c>
      <c r="AP209" s="86" cm="1">
        <f t="array" aca="1" ref="AP20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09" s="21">
        <f>Tabela1[[#This Row],[DATA PREV - EXAMES]]+$AQ$1</f>
        <v>46103</v>
      </c>
      <c r="AR209" s="90">
        <v>46101</v>
      </c>
      <c r="AS209" s="86" cm="1">
        <f t="array" aca="1" ref="AS20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09" s="21">
        <f>Tabela1[[#This Row],[DATA PREV - FORMS]]+$AT$1</f>
        <v>46095</v>
      </c>
      <c r="AU209" s="90">
        <v>46094</v>
      </c>
      <c r="AV209" s="86" cm="1">
        <f t="array" aca="1" ref="AV20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09" s="21">
        <f>Tabela1[[#This Row],[DATA PREV - TREINAMENTOS]]+$AW$1</f>
        <v>46102</v>
      </c>
      <c r="AX209" s="90">
        <v>46096</v>
      </c>
      <c r="AY209" s="86" cm="1">
        <f t="array" aca="1" ref="AY20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09" s="91">
        <v>46094</v>
      </c>
      <c r="BA209" s="90">
        <v>46094</v>
      </c>
      <c r="BB209" s="86" cm="1">
        <f t="array" aca="1" ref="BB20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09" s="21">
        <f>Tabela1[[#This Row],[DATA PREV - CONCL. TREIN.]]+$BC$1</f>
        <v>46104</v>
      </c>
      <c r="BD209" s="90">
        <v>46104</v>
      </c>
      <c r="BE209" s="86" cm="1">
        <f t="array" aca="1" ref="BE20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09" s="21">
        <f>Tabela1[[#This Row],[DATA PREV - DOSSIÊ]]+$BF$1</f>
        <v>46107</v>
      </c>
      <c r="BG209" s="90">
        <v>46104</v>
      </c>
      <c r="BH209" s="86" cm="1">
        <f t="array" aca="1" ref="BH20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09" s="21">
        <f>Tabela1[[#This Row],[DATA PREV - POSTAGEM]]+$BI$1</f>
        <v>46113</v>
      </c>
      <c r="BJ209" s="90">
        <v>46106</v>
      </c>
      <c r="BK209" s="86" cm="1">
        <f t="array" aca="1" ref="BK20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09" s="21">
        <f>Tabela1[[#This Row],[DATA PREV - APROV FINAL]]+$BL$1</f>
        <v>46114</v>
      </c>
      <c r="BM209" s="90">
        <v>46119</v>
      </c>
      <c r="BN209" s="86" cm="1">
        <f t="array" aca="1" ref="BN20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09" s="94" t="s">
        <v>665</v>
      </c>
    </row>
    <row r="210" spans="2:67" ht="18" hidden="1" customHeight="1" x14ac:dyDescent="0.35">
      <c r="B210" s="84" t="s">
        <v>79</v>
      </c>
      <c r="C210" s="86" t="s">
        <v>136</v>
      </c>
      <c r="D210" s="86" t="s">
        <v>81</v>
      </c>
      <c r="E210" s="86">
        <v>743</v>
      </c>
      <c r="F210" s="86" t="s">
        <v>666</v>
      </c>
      <c r="G210" s="86" cm="1">
        <f t="array" ref="G210">_xlfn.IFS(Tabela1[[#This Row],[STATUS PROCESSO MOBILIZAÇÃO]]="Finalizado",1,Tabela1[[#This Row],[STATUS PROCESSO MOBILIZAÇÃO]]="Cancelado",2,Tabela1[[#This Row],[STATUS PROCESSO MOBILIZAÇÃO]]="Em andamento",3)</f>
        <v>1</v>
      </c>
      <c r="H210" s="86" cm="1">
        <f t="array" aca="1" ref="H21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FORMS]]="",$AM210&gt;$AK$1),2,
AND(Tabela1[[#This Row],[STATUS PROCESSO MOBILIZAÇÃO]]="Em andamento",Tabela1[[#This Row],[DATA REAL - FORMS]]="",$AM210&lt;=$AK$1),3,
AND(Tabela1[[#This Row],[STATUS PROCESSO MOBILIZAÇÃO]]="Em andamento",Tabela1[[#This Row],[DATA REAL - FORMS]]&lt;&gt;""),1)</f>
        <v>1</v>
      </c>
      <c r="I210" s="86" cm="1">
        <f t="array" aca="1" ref="I21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EXAMES]]="",$AP210&gt;$AN$1),2,
AND(Tabela1[[#This Row],[STATUS PROCESSO MOBILIZAÇÃO]]="Em andamento",Tabela1[[#This Row],[DATA REAL - EXAMES]]="",$AP210&lt;=$AN$1),3,
AND(Tabela1[[#This Row],[STATUS PROCESSO MOBILIZAÇÃO]]="Em andamento",Tabela1[[#This Row],[DATA REAL - EXAMES]]&lt;&gt;""),1)</f>
        <v>1</v>
      </c>
      <c r="J210" s="86" cm="1">
        <f t="array" aca="1" ref="J21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ASO]]="",$AS210&gt;$AQ$1),2,
AND(Tabela1[[#This Row],[STATUS PROCESSO MOBILIZAÇÃO]]="Em andamento",Tabela1[[#This Row],[DATA REAL - ASO]]="",$AS210&lt;=$AQ$1),3,
AND(Tabela1[[#This Row],[STATUS PROCESSO MOBILIZAÇÃO]]="Em andamento",Tabela1[[#This Row],[DATA REAL - ASO]]&lt;&gt;""),1)</f>
        <v>1</v>
      </c>
      <c r="K210" s="86" cm="1">
        <f t="array" aca="1" ref="K21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TREINAMENTOS]]="",$AV210&gt;$AT$1),2,
AND(Tabela1[[#This Row],[STATUS PROCESSO MOBILIZAÇÃO]]="Em andamento",Tabela1[[#This Row],[DATA REAL - TREINAMENTOS]]="",$AV210&lt;=$AT$1),3,
AND(Tabela1[[#This Row],[STATUS PROCESSO MOBILIZAÇÃO]]="Em andamento",Tabela1[[#This Row],[DATA REAL - TREINAMENTOS]]&lt;&gt;""),1)</f>
        <v>1</v>
      </c>
      <c r="L210" s="86" cm="1">
        <f t="array" aca="1" ref="L21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TREIN.]]="",$AY210&gt;$AW$1),2,
AND(Tabela1[[#This Row],[STATUS PROCESSO MOBILIZAÇÃO]]="Em andamento",Tabela1[[#This Row],[DATA REAL - CONCL. TREIN.]]="",$AY210&lt;=$AW$1),3,
AND(Tabela1[[#This Row],[STATUS PROCESSO MOBILIZAÇÃO]]="Em andamento",Tabela1[[#This Row],[DATA REAL - CONCL. TREIN.]]&lt;&gt;""),1)</f>
        <v>1</v>
      </c>
      <c r="M210" s="86" cm="1">
        <f t="array" aca="1" ref="M21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CONTRATUAL]]="",$BB210&gt;$AZ$1),2,
AND(Tabela1[[#This Row],[STATUS PROCESSO MOBILIZAÇÃO]]="Em andamento",Tabela1[[#This Row],[DATA FIM - ALTER. CONTRATUAL]]="",$BB210&lt;=$AZ$1),3,
AND(Tabela1[[#This Row],[STATUS PROCESSO MOBILIZAÇÃO]]="Em andamento",Tabela1[[#This Row],[DATA FIM - ALTER. CONTRATUAL]]&lt;&gt;""),1)</f>
        <v>1</v>
      </c>
      <c r="N210" s="86" cm="1">
        <f t="array" aca="1" ref="N21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DOSSIÊ]]="",$BE210&gt;$BC$1),2,
AND(Tabela1[[#This Row],[STATUS PROCESSO MOBILIZAÇÃO]]="Em andamento",Tabela1[[#This Row],[DATA REAL - DOSSIÊ]]="",$BE210&lt;=$BC$1),3,
AND(Tabela1[[#This Row],[STATUS PROCESSO MOBILIZAÇÃO]]="Em andamento",Tabela1[[#This Row],[DATA REAL - DOSSIÊ]]&lt;&gt;""),1)</f>
        <v>1</v>
      </c>
      <c r="O210" s="86" cm="1">
        <f t="array" aca="1" ref="O21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POSTAGEM]]="",$BH210&gt;$BF$1),2,
AND(Tabela1[[#This Row],[STATUS PROCESSO MOBILIZAÇÃO]]="Em andamento",Tabela1[[#This Row],[DATA REAL - POSTAGEM]]="",$BH210&lt;=$BF$1),3,
AND(Tabela1[[#This Row],[STATUS PROCESSO MOBILIZAÇÃO]]="Em andamento",Tabela1[[#This Row],[DATA REAL - POSTAGEM]]&lt;&gt;""),1)</f>
        <v>1</v>
      </c>
      <c r="P210" s="86" cm="1">
        <f t="array" aca="1" ref="P21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FINAL]]="",$BK210&gt;$BI$1),2,
AND(Tabela1[[#This Row],[STATUS PROCESSO MOBILIZAÇÃO]]="Em andamento",Tabela1[[#This Row],[DATA REAL - APROV FINAL]]="",$BK210&lt;=$BI$1),3,
AND(Tabela1[[#This Row],[STATUS PROCESSO MOBILIZAÇÃO]]="Em andamento",Tabela1[[#This Row],[DATA REAL - APROV FINAL]]&lt;&gt;""),1)</f>
        <v>1</v>
      </c>
      <c r="Q210" s="86" cm="1">
        <f t="array" aca="1" ref="Q21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CRACHÁ]]="",$BN210&gt;$BL$1),2,
AND(Tabela1[[#This Row],[STATUS PROCESSO MOBILIZAÇÃO]]="Em andamento",Tabela1[[#This Row],[DATA REAL - CRACHÁ]]="",$BN210&lt;=$BL$1),3,
AND(Tabela1[[#This Row],[STATUS PROCESSO MOBILIZAÇÃO]]="Em andamento",Tabela1[[#This Row],[DATA REAL - CRACHÁ]]&lt;&gt;""),1)</f>
        <v>1</v>
      </c>
      <c r="R210" s="87">
        <f>IF(Tabela1[[#This Row],[DATA REAL - FORMS]]&lt;&gt;"",Tabela1[[#This Row],[DATA REAL - FORMS]]+30,Tabela1[[#This Row],[DATA PREV - FORMS]]+35)</f>
        <v>46124</v>
      </c>
      <c r="S210"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46108</v>
      </c>
      <c r="T210"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210"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10" s="88">
        <f>MAX(Tabela1[[#This Row],[DATA REAL - POSTAGEM]],Tabela1[[#This Row],[DATA REAL - APROV FINAL]],Tabela1[[#This Row],[DATA REAL - CRACHÁ]])-MIN(Tabela1[[#This Row],[DATA REAL - POSTAGEM]],Tabela1[[#This Row],[DATA REAL - APROV FINAL]],Tabela1[[#This Row],[DATA REAL - CRACHÁ]])+1</f>
        <v>11</v>
      </c>
      <c r="W210"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0" s="15" t="s">
        <v>431</v>
      </c>
      <c r="Y210" s="86" t="s">
        <v>355</v>
      </c>
      <c r="Z210" s="104" t="str">
        <f>_xlfn.XLOOKUP(Tabela1[[#This Row],[COO PHD]],TabControleEfetivo[NOME],TabControleEfetivo[email (PHD)],"")</f>
        <v>alex.silva@phdengenharia.eng.br</v>
      </c>
      <c r="AA210" s="95" t="s">
        <v>356</v>
      </c>
      <c r="AB210" s="86" t="s">
        <v>97</v>
      </c>
      <c r="AC210" s="86" t="s">
        <v>212</v>
      </c>
      <c r="AD210" s="86" t="s">
        <v>628</v>
      </c>
      <c r="AE210" s="86" t="s">
        <v>629</v>
      </c>
      <c r="AF210" s="86" t="s">
        <v>630</v>
      </c>
      <c r="AG210" s="86" t="str">
        <f>_xlfn.XLOOKUP(Tabela1[[#This Row],[CÓD. CT]],Controle_Projetos[COD CT],Controle_Projetos[COD PHD],"")</f>
        <v>NOBR-CT07-MOSA</v>
      </c>
      <c r="AH210" s="87">
        <v>46094</v>
      </c>
      <c r="AI210" s="89">
        <v>46094</v>
      </c>
      <c r="AJ210" s="86" cm="1">
        <f t="array" aca="1" ref="AJ21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0" s="87">
        <v>46094</v>
      </c>
      <c r="AL210" s="90">
        <v>46094</v>
      </c>
      <c r="AM210" s="86" cm="1">
        <f t="array" aca="1" ref="AM21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0" s="21">
        <f>Tabela1[[#This Row],[DATA PREV - FORMS]]+$AN$1</f>
        <v>46101</v>
      </c>
      <c r="AO210" s="90">
        <v>46094</v>
      </c>
      <c r="AP210" s="86" cm="1">
        <f t="array" aca="1" ref="AP21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10" s="21">
        <f>Tabela1[[#This Row],[DATA PREV - EXAMES]]+$AQ$1</f>
        <v>46103</v>
      </c>
      <c r="AR210" s="90">
        <v>46094</v>
      </c>
      <c r="AS210" s="86" cm="1">
        <f t="array" aca="1" ref="AS21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10" s="21">
        <f>Tabela1[[#This Row],[DATA PREV - FORMS]]+$AT$1</f>
        <v>46095</v>
      </c>
      <c r="AU210" s="90">
        <v>46094</v>
      </c>
      <c r="AV210" s="86" cm="1">
        <f t="array" aca="1" ref="AV21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10" s="21">
        <f>Tabela1[[#This Row],[DATA PREV - TREINAMENTOS]]+$AW$1</f>
        <v>46102</v>
      </c>
      <c r="AX210" s="90">
        <v>46097</v>
      </c>
      <c r="AY210" s="86" cm="1">
        <f t="array" aca="1" ref="AY21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210" s="91">
        <v>46094</v>
      </c>
      <c r="BA210" s="90">
        <v>46094</v>
      </c>
      <c r="BB210" s="86" cm="1">
        <f t="array" aca="1" ref="BB21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0" s="21">
        <f>Tabela1[[#This Row],[DATA PREV - CONCL. TREIN.]]+$BC$1</f>
        <v>46104</v>
      </c>
      <c r="BD210" s="90">
        <v>46098</v>
      </c>
      <c r="BE210" s="86" cm="1">
        <f t="array" aca="1" ref="BE21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10" s="21">
        <f>Tabela1[[#This Row],[DATA PREV - DOSSIÊ]]+$BF$1</f>
        <v>46107</v>
      </c>
      <c r="BG210" s="90">
        <v>46098</v>
      </c>
      <c r="BH210" s="86" cm="1">
        <f t="array" aca="1" ref="BH21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10" s="21">
        <f>Tabela1[[#This Row],[DATA PREV - POSTAGEM]]+$BI$1</f>
        <v>46113</v>
      </c>
      <c r="BJ210" s="90">
        <v>46101</v>
      </c>
      <c r="BK210" s="86" cm="1">
        <f t="array" aca="1" ref="BK21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10" s="21">
        <f>Tabela1[[#This Row],[DATA PREV - APROV FINAL]]+$BL$1</f>
        <v>46114</v>
      </c>
      <c r="BM210" s="90">
        <v>46108</v>
      </c>
      <c r="BN210" s="86" cm="1">
        <f t="array" aca="1" ref="BN21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10" s="94" t="s">
        <v>667</v>
      </c>
    </row>
    <row r="211" spans="2:67" ht="18" hidden="1" customHeight="1" x14ac:dyDescent="0.35">
      <c r="B211" s="84" t="s">
        <v>79</v>
      </c>
      <c r="C211" s="86" t="s">
        <v>136</v>
      </c>
      <c r="D211" s="86" t="s">
        <v>108</v>
      </c>
      <c r="E211" s="86">
        <v>750</v>
      </c>
      <c r="F211" s="86" t="s">
        <v>668</v>
      </c>
      <c r="G211" s="86" cm="1">
        <f t="array" ref="G211">_xlfn.IFS(Tabela1[[#This Row],[STATUS PROCESSO MOBILIZAÇÃO]]="Finalizado",1,Tabela1[[#This Row],[STATUS PROCESSO MOBILIZAÇÃO]]="Cancelado",2,Tabela1[[#This Row],[STATUS PROCESSO MOBILIZAÇÃO]]="Em andamento",3)</f>
        <v>1</v>
      </c>
      <c r="H211" s="86" cm="1">
        <f t="array" aca="1" ref="H21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FORMS]]="",$AM211&gt;$AK$1),2,
AND(Tabela1[[#This Row],[STATUS PROCESSO MOBILIZAÇÃO]]="Em andamento",Tabela1[[#This Row],[DATA REAL - FORMS]]="",$AM211&lt;=$AK$1),3,
AND(Tabela1[[#This Row],[STATUS PROCESSO MOBILIZAÇÃO]]="Em andamento",Tabela1[[#This Row],[DATA REAL - FORMS]]&lt;&gt;""),1)</f>
        <v>1</v>
      </c>
      <c r="I211" s="86" cm="1">
        <f t="array" aca="1" ref="I21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EXAMES]]="",$AP211&gt;$AN$1),2,
AND(Tabela1[[#This Row],[STATUS PROCESSO MOBILIZAÇÃO]]="Em andamento",Tabela1[[#This Row],[DATA REAL - EXAMES]]="",$AP211&lt;=$AN$1),3,
AND(Tabela1[[#This Row],[STATUS PROCESSO MOBILIZAÇÃO]]="Em andamento",Tabela1[[#This Row],[DATA REAL - EXAMES]]&lt;&gt;""),1)</f>
        <v>1</v>
      </c>
      <c r="J211" s="86" cm="1">
        <f t="array" aca="1" ref="J21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ASO]]="",$AS211&gt;$AQ$1),2,
AND(Tabela1[[#This Row],[STATUS PROCESSO MOBILIZAÇÃO]]="Em andamento",Tabela1[[#This Row],[DATA REAL - ASO]]="",$AS211&lt;=$AQ$1),3,
AND(Tabela1[[#This Row],[STATUS PROCESSO MOBILIZAÇÃO]]="Em andamento",Tabela1[[#This Row],[DATA REAL - ASO]]&lt;&gt;""),1)</f>
        <v>1</v>
      </c>
      <c r="K211" s="86" cm="1">
        <f t="array" aca="1" ref="K21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TREINAMENTOS]]="",$AV211&gt;$AT$1),2,
AND(Tabela1[[#This Row],[STATUS PROCESSO MOBILIZAÇÃO]]="Em andamento",Tabela1[[#This Row],[DATA REAL - TREINAMENTOS]]="",$AV211&lt;=$AT$1),3,
AND(Tabela1[[#This Row],[STATUS PROCESSO MOBILIZAÇÃO]]="Em andamento",Tabela1[[#This Row],[DATA REAL - TREINAMENTOS]]&lt;&gt;""),1)</f>
        <v>1</v>
      </c>
      <c r="L211" s="86" cm="1">
        <f t="array" aca="1" ref="L21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TREIN.]]="",$AY211&gt;$AW$1),2,
AND(Tabela1[[#This Row],[STATUS PROCESSO MOBILIZAÇÃO]]="Em andamento",Tabela1[[#This Row],[DATA REAL - CONCL. TREIN.]]="",$AY211&lt;=$AW$1),3,
AND(Tabela1[[#This Row],[STATUS PROCESSO MOBILIZAÇÃO]]="Em andamento",Tabela1[[#This Row],[DATA REAL - CONCL. TREIN.]]&lt;&gt;""),1)</f>
        <v>1</v>
      </c>
      <c r="M211" s="86" cm="1">
        <f t="array" aca="1" ref="M21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CONTRATUAL]]="",$BB211&gt;$AZ$1),2,
AND(Tabela1[[#This Row],[STATUS PROCESSO MOBILIZAÇÃO]]="Em andamento",Tabela1[[#This Row],[DATA FIM - ALTER. CONTRATUAL]]="",$BB211&lt;=$AZ$1),3,
AND(Tabela1[[#This Row],[STATUS PROCESSO MOBILIZAÇÃO]]="Em andamento",Tabela1[[#This Row],[DATA FIM - ALTER. CONTRATUAL]]&lt;&gt;""),1)</f>
        <v>1</v>
      </c>
      <c r="N211" s="86" cm="1">
        <f t="array" aca="1" ref="N21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DOSSIÊ]]="",$BE211&gt;$BC$1),2,
AND(Tabela1[[#This Row],[STATUS PROCESSO MOBILIZAÇÃO]]="Em andamento",Tabela1[[#This Row],[DATA REAL - DOSSIÊ]]="",$BE211&lt;=$BC$1),3,
AND(Tabela1[[#This Row],[STATUS PROCESSO MOBILIZAÇÃO]]="Em andamento",Tabela1[[#This Row],[DATA REAL - DOSSIÊ]]&lt;&gt;""),1)</f>
        <v>1</v>
      </c>
      <c r="O211" s="86" cm="1">
        <f t="array" aca="1" ref="O21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POSTAGEM]]="",$BH211&gt;$BF$1),2,
AND(Tabela1[[#This Row],[STATUS PROCESSO MOBILIZAÇÃO]]="Em andamento",Tabela1[[#This Row],[DATA REAL - POSTAGEM]]="",$BH211&lt;=$BF$1),3,
AND(Tabela1[[#This Row],[STATUS PROCESSO MOBILIZAÇÃO]]="Em andamento",Tabela1[[#This Row],[DATA REAL - POSTAGEM]]&lt;&gt;""),1)</f>
        <v>1</v>
      </c>
      <c r="P211" s="86" cm="1">
        <f t="array" aca="1" ref="P21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FINAL]]="",$BK211&gt;$BI$1),2,
AND(Tabela1[[#This Row],[STATUS PROCESSO MOBILIZAÇÃO]]="Em andamento",Tabela1[[#This Row],[DATA REAL - APROV FINAL]]="",$BK211&lt;=$BI$1),3,
AND(Tabela1[[#This Row],[STATUS PROCESSO MOBILIZAÇÃO]]="Em andamento",Tabela1[[#This Row],[DATA REAL - APROV FINAL]]&lt;&gt;""),1)</f>
        <v>1</v>
      </c>
      <c r="Q211" s="86" cm="1">
        <f t="array" aca="1" ref="Q21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CRACHÁ]]="",$BN211&gt;$BL$1),2,
AND(Tabela1[[#This Row],[STATUS PROCESSO MOBILIZAÇÃO]]="Em andamento",Tabela1[[#This Row],[DATA REAL - CRACHÁ]]="",$BN211&lt;=$BL$1),3,
AND(Tabela1[[#This Row],[STATUS PROCESSO MOBILIZAÇÃO]]="Em andamento",Tabela1[[#This Row],[DATA REAL - CRACHÁ]]&lt;&gt;""),1)</f>
        <v>1</v>
      </c>
      <c r="R211" s="87">
        <f>IF(Tabela1[[#This Row],[DATA REAL - FORMS]]&lt;&gt;"",Tabela1[[#This Row],[DATA REAL - FORMS]]+30,Tabela1[[#This Row],[DATA PREV - FORMS]]+35)</f>
        <v>46127</v>
      </c>
      <c r="S211" s="87">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46121</v>
      </c>
      <c r="T211" s="88">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24</v>
      </c>
      <c r="U211" s="88">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211" s="88">
        <f>MAX(Tabela1[[#This Row],[DATA REAL - POSTAGEM]],Tabela1[[#This Row],[DATA REAL - APROV FINAL]],Tabela1[[#This Row],[DATA REAL - CRACHÁ]])-MIN(Tabela1[[#This Row],[DATA REAL - POSTAGEM]],Tabela1[[#This Row],[DATA REAL - APROV FINAL]],Tabela1[[#This Row],[DATA REAL - CRACHÁ]])+1</f>
        <v>11</v>
      </c>
      <c r="W211" s="88">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1" s="15" t="s">
        <v>149</v>
      </c>
      <c r="Y211" s="86" t="s">
        <v>150</v>
      </c>
      <c r="Z211" s="92" t="str">
        <f>_xlfn.XLOOKUP(Tabela1[[#This Row],[COO PHD]],TabControleEfetivo[NOME],TabControleEfetivo[email (PHD)],"")</f>
        <v>diogo.soares@phdengenharia.eng.br</v>
      </c>
      <c r="AA211" s="95" t="s">
        <v>152</v>
      </c>
      <c r="AB211" s="86" t="s">
        <v>632</v>
      </c>
      <c r="AC211" s="86" t="s">
        <v>455</v>
      </c>
      <c r="AD211" s="86" t="s">
        <v>455</v>
      </c>
      <c r="AE211" s="86" t="s">
        <v>669</v>
      </c>
      <c r="AF211" s="86" t="s">
        <v>670</v>
      </c>
      <c r="AG211" s="86" t="str">
        <f>_xlfn.XLOOKUP(Tabela1[[#This Row],[CÓD. CT]],Controle_Projetos[COD CT],Controle_Projetos[COD PHD],"")</f>
        <v>AURA-CT03-BORB</v>
      </c>
      <c r="AH211" s="87">
        <v>46097</v>
      </c>
      <c r="AI211" s="89">
        <v>46097</v>
      </c>
      <c r="AJ211" s="86" cm="1">
        <f t="array" aca="1" ref="AJ21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1" s="87">
        <v>46097</v>
      </c>
      <c r="AL211" s="90">
        <v>46097</v>
      </c>
      <c r="AM211" s="86" cm="1">
        <f t="array" aca="1" ref="AM21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1" s="21">
        <f>Tabela1[[#This Row],[DATA PREV - FORMS]]+$AN$1</f>
        <v>46104</v>
      </c>
      <c r="AO211" s="90">
        <v>46097</v>
      </c>
      <c r="AP211" s="86" cm="1">
        <f t="array" aca="1" ref="AP21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11" s="21">
        <f>Tabela1[[#This Row],[DATA PREV - EXAMES]]+$AQ$1</f>
        <v>46106</v>
      </c>
      <c r="AR211" s="90">
        <v>46097</v>
      </c>
      <c r="AS211" s="86" cm="1">
        <f t="array" aca="1" ref="AS21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11" s="21">
        <f>Tabela1[[#This Row],[DATA PREV - FORMS]]+$AT$1</f>
        <v>46098</v>
      </c>
      <c r="AU211" s="90">
        <v>46098</v>
      </c>
      <c r="AV211" s="86" cm="1">
        <f t="array" aca="1" ref="AV21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1" s="21">
        <f>Tabela1[[#This Row],[DATA PREV - TREINAMENTOS]]+$AW$1</f>
        <v>46105</v>
      </c>
      <c r="AX211" s="90">
        <v>46104</v>
      </c>
      <c r="AY211" s="86" cm="1">
        <f t="array" aca="1" ref="AY21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11" s="91">
        <v>46097</v>
      </c>
      <c r="BA211" s="90">
        <v>46097</v>
      </c>
      <c r="BB211" s="86" cm="1">
        <f t="array" aca="1" ref="BB21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1" s="21">
        <f>Tabela1[[#This Row],[DATA PREV - CONCL. TREIN.]]+$BC$1</f>
        <v>46107</v>
      </c>
      <c r="BD211" s="90">
        <v>46111</v>
      </c>
      <c r="BE211" s="86" cm="1">
        <f t="array" aca="1" ref="BE21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11" s="21">
        <f>Tabela1[[#This Row],[DATA PREV - DOSSIÊ]]+$BF$1</f>
        <v>46110</v>
      </c>
      <c r="BG211" s="90">
        <v>46111</v>
      </c>
      <c r="BH211" s="86" cm="1">
        <f t="array" aca="1" ref="BH21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11" s="21">
        <f>Tabela1[[#This Row],[DATA PREV - POSTAGEM]]+$BI$1</f>
        <v>46116</v>
      </c>
      <c r="BJ211" s="90">
        <v>46121</v>
      </c>
      <c r="BK211" s="86" cm="1">
        <f t="array" aca="1" ref="BK21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11" s="21">
        <f>Tabela1[[#This Row],[DATA PREV - APROV FINAL]]+$BL$1</f>
        <v>46117</v>
      </c>
      <c r="BM211" s="90">
        <v>46121</v>
      </c>
      <c r="BN211" s="86" cm="1">
        <f t="array" aca="1" ref="BN21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11" s="94" t="s">
        <v>671</v>
      </c>
    </row>
    <row r="212" spans="2:67" ht="18" hidden="1" customHeight="1" x14ac:dyDescent="0.35">
      <c r="B212" s="84" t="s">
        <v>79</v>
      </c>
      <c r="C212" s="86" t="s">
        <v>136</v>
      </c>
      <c r="D212" s="16" t="s">
        <v>81</v>
      </c>
      <c r="E212" s="16">
        <v>748</v>
      </c>
      <c r="F212" s="16" t="s">
        <v>672</v>
      </c>
      <c r="G212" s="16" cm="1">
        <f t="array" ref="G212">_xlfn.IFS(Tabela1[[#This Row],[STATUS PROCESSO MOBILIZAÇÃO]]="Finalizado",1,Tabela1[[#This Row],[STATUS PROCESSO MOBILIZAÇÃO]]="Cancelado",2,Tabela1[[#This Row],[STATUS PROCESSO MOBILIZAÇÃO]]="Em andamento",3)</f>
        <v>1</v>
      </c>
      <c r="H212" s="16" cm="1">
        <f t="array" aca="1" ref="H21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FORMS]]="",$AM212&gt;$AK$1),2,
AND(Tabela1[[#This Row],[STATUS PROCESSO MOBILIZAÇÃO]]="Em andamento",Tabela1[[#This Row],[DATA REAL - FORMS]]="",$AM212&lt;=$AK$1),3,
AND(Tabela1[[#This Row],[STATUS PROCESSO MOBILIZAÇÃO]]="Em andamento",Tabela1[[#This Row],[DATA REAL - FORMS]]&lt;&gt;""),1)</f>
        <v>1</v>
      </c>
      <c r="I212" s="16" cm="1">
        <f t="array" aca="1" ref="I21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EXAMES]]="",$AP212&gt;$AN$1),2,
AND(Tabela1[[#This Row],[STATUS PROCESSO MOBILIZAÇÃO]]="Em andamento",Tabela1[[#This Row],[DATA REAL - EXAMES]]="",$AP212&lt;=$AN$1),3,
AND(Tabela1[[#This Row],[STATUS PROCESSO MOBILIZAÇÃO]]="Em andamento",Tabela1[[#This Row],[DATA REAL - EXAMES]]&lt;&gt;""),1)</f>
        <v>1</v>
      </c>
      <c r="J212" s="16" cm="1">
        <f t="array" aca="1" ref="J21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ASO]]="",$AS212&gt;$AQ$1),2,
AND(Tabela1[[#This Row],[STATUS PROCESSO MOBILIZAÇÃO]]="Em andamento",Tabela1[[#This Row],[DATA REAL - ASO]]="",$AS212&lt;=$AQ$1),3,
AND(Tabela1[[#This Row],[STATUS PROCESSO MOBILIZAÇÃO]]="Em andamento",Tabela1[[#This Row],[DATA REAL - ASO]]&lt;&gt;""),1)</f>
        <v>1</v>
      </c>
      <c r="K212" s="16" cm="1">
        <f t="array" aca="1" ref="K21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TREINAMENTOS]]="",$AV212&gt;$AT$1),2,
AND(Tabela1[[#This Row],[STATUS PROCESSO MOBILIZAÇÃO]]="Em andamento",Tabela1[[#This Row],[DATA REAL - TREINAMENTOS]]="",$AV212&lt;=$AT$1),3,
AND(Tabela1[[#This Row],[STATUS PROCESSO MOBILIZAÇÃO]]="Em andamento",Tabela1[[#This Row],[DATA REAL - TREINAMENTOS]]&lt;&gt;""),1)</f>
        <v>1</v>
      </c>
      <c r="L212" s="16" cm="1">
        <f t="array" aca="1" ref="L21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TREIN.]]="",$AY212&gt;$AW$1),2,
AND(Tabela1[[#This Row],[STATUS PROCESSO MOBILIZAÇÃO]]="Em andamento",Tabela1[[#This Row],[DATA REAL - CONCL. TREIN.]]="",$AY212&lt;=$AW$1),3,
AND(Tabela1[[#This Row],[STATUS PROCESSO MOBILIZAÇÃO]]="Em andamento",Tabela1[[#This Row],[DATA REAL - CONCL. TREIN.]]&lt;&gt;""),1)</f>
        <v>1</v>
      </c>
      <c r="M212" s="16" cm="1">
        <f t="array" aca="1" ref="M21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CONTRATUAL]]="",$BB212&gt;$AZ$1),2,
AND(Tabela1[[#This Row],[STATUS PROCESSO MOBILIZAÇÃO]]="Em andamento",Tabela1[[#This Row],[DATA FIM - ALTER. CONTRATUAL]]="",$BB212&lt;=$AZ$1),3,
AND(Tabela1[[#This Row],[STATUS PROCESSO MOBILIZAÇÃO]]="Em andamento",Tabela1[[#This Row],[DATA FIM - ALTER. CONTRATUAL]]&lt;&gt;""),1)</f>
        <v>1</v>
      </c>
      <c r="N212" s="16" cm="1">
        <f t="array" aca="1" ref="N21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DOSSIÊ]]="",$BE212&gt;$BC$1),2,
AND(Tabela1[[#This Row],[STATUS PROCESSO MOBILIZAÇÃO]]="Em andamento",Tabela1[[#This Row],[DATA REAL - DOSSIÊ]]="",$BE212&lt;=$BC$1),3,
AND(Tabela1[[#This Row],[STATUS PROCESSO MOBILIZAÇÃO]]="Em andamento",Tabela1[[#This Row],[DATA REAL - DOSSIÊ]]&lt;&gt;""),1)</f>
        <v>1</v>
      </c>
      <c r="O212" s="16" cm="1">
        <f t="array" aca="1" ref="O21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POSTAGEM]]="",$BH212&gt;$BF$1),2,
AND(Tabela1[[#This Row],[STATUS PROCESSO MOBILIZAÇÃO]]="Em andamento",Tabela1[[#This Row],[DATA REAL - POSTAGEM]]="",$BH212&lt;=$BF$1),3,
AND(Tabela1[[#This Row],[STATUS PROCESSO MOBILIZAÇÃO]]="Em andamento",Tabela1[[#This Row],[DATA REAL - POSTAGEM]]&lt;&gt;""),1)</f>
        <v>1</v>
      </c>
      <c r="P212" s="16" cm="1">
        <f t="array" aca="1" ref="P21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FINAL]]="",$BK212&gt;$BI$1),2,
AND(Tabela1[[#This Row],[STATUS PROCESSO MOBILIZAÇÃO]]="Em andamento",Tabela1[[#This Row],[DATA REAL - APROV FINAL]]="",$BK212&lt;=$BI$1),3,
AND(Tabela1[[#This Row],[STATUS PROCESSO MOBILIZAÇÃO]]="Em andamento",Tabela1[[#This Row],[DATA REAL - APROV FINAL]]&lt;&gt;""),1)</f>
        <v>1</v>
      </c>
      <c r="Q212" s="16" cm="1">
        <f t="array" aca="1" ref="Q21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CRACHÁ]]="",$BN212&gt;$BL$1),2,
AND(Tabela1[[#This Row],[STATUS PROCESSO MOBILIZAÇÃO]]="Em andamento",Tabela1[[#This Row],[DATA REAL - CRACHÁ]]="",$BN212&lt;=$BL$1),3,
AND(Tabela1[[#This Row],[STATUS PROCESSO MOBILIZAÇÃO]]="Em andamento",Tabela1[[#This Row],[DATA REAL - CRACHÁ]]&lt;&gt;""),1)</f>
        <v>1</v>
      </c>
      <c r="R212" s="21">
        <f>IF(Tabela1[[#This Row],[DATA REAL - FORMS]]&lt;&gt;"",Tabela1[[#This Row],[DATA REAL - FORMS]]+30,Tabela1[[#This Row],[DATA PREV - FORMS]]+35)</f>
        <v>46127</v>
      </c>
      <c r="S21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46108</v>
      </c>
      <c r="T21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U21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v>
      </c>
      <c r="V212" s="49">
        <f>MAX(Tabela1[[#This Row],[DATA REAL - POSTAGEM]],Tabela1[[#This Row],[DATA REAL - APROV FINAL]],Tabela1[[#This Row],[DATA REAL - CRACHÁ]])-MIN(Tabela1[[#This Row],[DATA REAL - POSTAGEM]],Tabela1[[#This Row],[DATA REAL - APROV FINAL]],Tabela1[[#This Row],[DATA REAL - CRACHÁ]])+1</f>
        <v>9</v>
      </c>
      <c r="W21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2" s="15" t="s">
        <v>431</v>
      </c>
      <c r="Y212" s="16" t="s">
        <v>355</v>
      </c>
      <c r="Z212" s="103" t="str">
        <f>_xlfn.XLOOKUP(Tabela1[[#This Row],[COO PHD]],TabControleEfetivo[NOME],TabControleEfetivo[email (PHD)],"")</f>
        <v>alex.silva@phdengenharia.eng.br</v>
      </c>
      <c r="AA212" s="95" t="s">
        <v>356</v>
      </c>
      <c r="AB212" s="16" t="s">
        <v>97</v>
      </c>
      <c r="AC212" s="16" t="s">
        <v>212</v>
      </c>
      <c r="AD212" s="16" t="s">
        <v>628</v>
      </c>
      <c r="AE212" s="16" t="s">
        <v>629</v>
      </c>
      <c r="AF212" s="16" t="s">
        <v>630</v>
      </c>
      <c r="AG212" s="16" t="str">
        <f>_xlfn.XLOOKUP(Tabela1[[#This Row],[CÓD. CT]],Controle_Projetos[COD CT],Controle_Projetos[COD PHD],"")</f>
        <v>NOBR-CT07-MOSA</v>
      </c>
      <c r="AH212" s="21">
        <v>46097</v>
      </c>
      <c r="AI212" s="76">
        <v>46097</v>
      </c>
      <c r="AJ212" s="16" cm="1">
        <f t="array" aca="1" ref="AJ21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2" s="21">
        <v>46097</v>
      </c>
      <c r="AL212" s="74">
        <v>46097</v>
      </c>
      <c r="AM212" s="16" cm="1">
        <f t="array" aca="1" ref="AM21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2" s="21">
        <f>Tabela1[[#This Row],[DATA PREV - FORMS]]+$AN$1</f>
        <v>46104</v>
      </c>
      <c r="AO212" s="74">
        <v>46097</v>
      </c>
      <c r="AP212" s="16" cm="1">
        <f t="array" aca="1" ref="AP21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12" s="21">
        <f>Tabela1[[#This Row],[DATA PREV - EXAMES]]+$AQ$1</f>
        <v>46106</v>
      </c>
      <c r="AR212" s="74">
        <v>46097</v>
      </c>
      <c r="AS212" s="16" cm="1">
        <f t="array" aca="1" ref="AS21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12" s="21">
        <f>Tabela1[[#This Row],[DATA PREV - FORMS]]+$AT$1</f>
        <v>46098</v>
      </c>
      <c r="AU212" s="74">
        <v>46098</v>
      </c>
      <c r="AV212" s="16" cm="1">
        <f t="array" aca="1" ref="AV21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2" s="21">
        <f>Tabela1[[#This Row],[DATA PREV - TREINAMENTOS]]+$AW$1</f>
        <v>46105</v>
      </c>
      <c r="AX212" s="74">
        <v>46100</v>
      </c>
      <c r="AY212" s="16" cm="1">
        <f t="array" aca="1" ref="AY21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212" s="91">
        <v>46097</v>
      </c>
      <c r="BA212" s="74">
        <v>46097</v>
      </c>
      <c r="BB212" s="16" cm="1">
        <f t="array" aca="1" ref="BB21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2" s="21">
        <f>Tabela1[[#This Row],[DATA PREV - CONCL. TREIN.]]+$BC$1</f>
        <v>46107</v>
      </c>
      <c r="BD212" s="74">
        <v>46100</v>
      </c>
      <c r="BE212" s="16" cm="1">
        <f t="array" aca="1" ref="BE21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212" s="21">
        <f>Tabela1[[#This Row],[DATA PREV - DOSSIÊ]]+$BF$1</f>
        <v>46110</v>
      </c>
      <c r="BG212" s="74">
        <v>46100</v>
      </c>
      <c r="BH212" s="16" cm="1">
        <f t="array" aca="1" ref="BH21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212" s="21">
        <f>Tabela1[[#This Row],[DATA PREV - POSTAGEM]]+$BI$1</f>
        <v>46116</v>
      </c>
      <c r="BJ212" s="74">
        <v>46105</v>
      </c>
      <c r="BK212" s="16" cm="1">
        <f t="array" aca="1" ref="BK21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12" s="21">
        <f>Tabela1[[#This Row],[DATA PREV - APROV FINAL]]+$BL$1</f>
        <v>46117</v>
      </c>
      <c r="BM212" s="74">
        <v>46108</v>
      </c>
      <c r="BN212" s="16" cm="1">
        <f t="array" aca="1" ref="BN21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212" s="81" t="s">
        <v>673</v>
      </c>
    </row>
    <row r="213" spans="2:67" ht="18" hidden="1" customHeight="1" x14ac:dyDescent="0.35">
      <c r="B213" s="84" t="s">
        <v>79</v>
      </c>
      <c r="C213" s="86" t="s">
        <v>136</v>
      </c>
      <c r="D213" s="16" t="s">
        <v>81</v>
      </c>
      <c r="E213" s="16">
        <v>762</v>
      </c>
      <c r="F213" s="16" t="s">
        <v>394</v>
      </c>
      <c r="G213" s="16" cm="1">
        <f t="array" ref="G213">_xlfn.IFS(Tabela1[[#This Row],[STATUS PROCESSO MOBILIZAÇÃO]]="Finalizado",1,Tabela1[[#This Row],[STATUS PROCESSO MOBILIZAÇÃO]]="Cancelado",2,Tabela1[[#This Row],[STATUS PROCESSO MOBILIZAÇÃO]]="Em andamento",3)</f>
        <v>1</v>
      </c>
      <c r="H213" s="16" cm="1">
        <f t="array" aca="1" ref="H21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FORMS]]="",$AM213&gt;$AK$1),2,
AND(Tabela1[[#This Row],[STATUS PROCESSO MOBILIZAÇÃO]]="Em andamento",Tabela1[[#This Row],[DATA REAL - FORMS]]="",$AM213&lt;=$AK$1),3,
AND(Tabela1[[#This Row],[STATUS PROCESSO MOBILIZAÇÃO]]="Em andamento",Tabela1[[#This Row],[DATA REAL - FORMS]]&lt;&gt;""),1)</f>
        <v>1</v>
      </c>
      <c r="I213" s="16" cm="1">
        <f t="array" aca="1" ref="I21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EXAMES]]="",$AP213&gt;$AN$1),2,
AND(Tabela1[[#This Row],[STATUS PROCESSO MOBILIZAÇÃO]]="Em andamento",Tabela1[[#This Row],[DATA REAL - EXAMES]]="",$AP213&lt;=$AN$1),3,
AND(Tabela1[[#This Row],[STATUS PROCESSO MOBILIZAÇÃO]]="Em andamento",Tabela1[[#This Row],[DATA REAL - EXAMES]]&lt;&gt;""),1)</f>
        <v>1</v>
      </c>
      <c r="J213" s="16" cm="1">
        <f t="array" aca="1" ref="J21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ASO]]="",$AS213&gt;$AQ$1),2,
AND(Tabela1[[#This Row],[STATUS PROCESSO MOBILIZAÇÃO]]="Em andamento",Tabela1[[#This Row],[DATA REAL - ASO]]="",$AS213&lt;=$AQ$1),3,
AND(Tabela1[[#This Row],[STATUS PROCESSO MOBILIZAÇÃO]]="Em andamento",Tabela1[[#This Row],[DATA REAL - ASO]]&lt;&gt;""),1)</f>
        <v>1</v>
      </c>
      <c r="K213" s="16" cm="1">
        <f t="array" aca="1" ref="K21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TREINAMENTOS]]="",$AV213&gt;$AT$1),2,
AND(Tabela1[[#This Row],[STATUS PROCESSO MOBILIZAÇÃO]]="Em andamento",Tabela1[[#This Row],[DATA REAL - TREINAMENTOS]]="",$AV213&lt;=$AT$1),3,
AND(Tabela1[[#This Row],[STATUS PROCESSO MOBILIZAÇÃO]]="Em andamento",Tabela1[[#This Row],[DATA REAL - TREINAMENTOS]]&lt;&gt;""),1)</f>
        <v>1</v>
      </c>
      <c r="L213" s="16" cm="1">
        <f t="array" aca="1" ref="L21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TREIN.]]="",$AY213&gt;$AW$1),2,
AND(Tabela1[[#This Row],[STATUS PROCESSO MOBILIZAÇÃO]]="Em andamento",Tabela1[[#This Row],[DATA REAL - CONCL. TREIN.]]="",$AY213&lt;=$AW$1),3,
AND(Tabela1[[#This Row],[STATUS PROCESSO MOBILIZAÇÃO]]="Em andamento",Tabela1[[#This Row],[DATA REAL - CONCL. TREIN.]]&lt;&gt;""),1)</f>
        <v>1</v>
      </c>
      <c r="M213" s="16" cm="1">
        <f t="array" aca="1" ref="M21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CONTRATUAL]]="",$BB213&gt;$AZ$1),2,
AND(Tabela1[[#This Row],[STATUS PROCESSO MOBILIZAÇÃO]]="Em andamento",Tabela1[[#This Row],[DATA FIM - ALTER. CONTRATUAL]]="",$BB213&lt;=$AZ$1),3,
AND(Tabela1[[#This Row],[STATUS PROCESSO MOBILIZAÇÃO]]="Em andamento",Tabela1[[#This Row],[DATA FIM - ALTER. CONTRATUAL]]&lt;&gt;""),1)</f>
        <v>1</v>
      </c>
      <c r="N213" s="16" cm="1">
        <f t="array" aca="1" ref="N21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DOSSIÊ]]="",$BE213&gt;$BC$1),2,
AND(Tabela1[[#This Row],[STATUS PROCESSO MOBILIZAÇÃO]]="Em andamento",Tabela1[[#This Row],[DATA REAL - DOSSIÊ]]="",$BE213&lt;=$BC$1),3,
AND(Tabela1[[#This Row],[STATUS PROCESSO MOBILIZAÇÃO]]="Em andamento",Tabela1[[#This Row],[DATA REAL - DOSSIÊ]]&lt;&gt;""),1)</f>
        <v>1</v>
      </c>
      <c r="O213" s="16" cm="1">
        <f t="array" aca="1" ref="O21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POSTAGEM]]="",$BH213&gt;$BF$1),2,
AND(Tabela1[[#This Row],[STATUS PROCESSO MOBILIZAÇÃO]]="Em andamento",Tabela1[[#This Row],[DATA REAL - POSTAGEM]]="",$BH213&lt;=$BF$1),3,
AND(Tabela1[[#This Row],[STATUS PROCESSO MOBILIZAÇÃO]]="Em andamento",Tabela1[[#This Row],[DATA REAL - POSTAGEM]]&lt;&gt;""),1)</f>
        <v>1</v>
      </c>
      <c r="P213" s="16" cm="1">
        <f t="array" aca="1" ref="P21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FINAL]]="",$BK213&gt;$BI$1),2,
AND(Tabela1[[#This Row],[STATUS PROCESSO MOBILIZAÇÃO]]="Em andamento",Tabela1[[#This Row],[DATA REAL - APROV FINAL]]="",$BK213&lt;=$BI$1),3,
AND(Tabela1[[#This Row],[STATUS PROCESSO MOBILIZAÇÃO]]="Em andamento",Tabela1[[#This Row],[DATA REAL - APROV FINAL]]&lt;&gt;""),1)</f>
        <v>1</v>
      </c>
      <c r="Q213" s="16" cm="1">
        <f t="array" aca="1" ref="Q21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CRACHÁ]]="",$BN213&gt;$BL$1),2,
AND(Tabela1[[#This Row],[STATUS PROCESSO MOBILIZAÇÃO]]="Em andamento",Tabela1[[#This Row],[DATA REAL - CRACHÁ]]="",$BN213&lt;=$BL$1),3,
AND(Tabela1[[#This Row],[STATUS PROCESSO MOBILIZAÇÃO]]="Em andamento",Tabela1[[#This Row],[DATA REAL - CRACHÁ]]&lt;&gt;""),1)</f>
        <v>1</v>
      </c>
      <c r="R213" s="21">
        <f>IF(Tabela1[[#This Row],[DATA REAL - FORMS]]&lt;&gt;"",Tabela1[[#This Row],[DATA REAL - FORMS]]+30,Tabela1[[#This Row],[DATA PREV - FORMS]]+35)</f>
        <v>46129</v>
      </c>
      <c r="S21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46113</v>
      </c>
      <c r="T21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16</v>
      </c>
      <c r="U21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13" s="49">
        <f>MAX(Tabela1[[#This Row],[DATA REAL - POSTAGEM]],Tabela1[[#This Row],[DATA REAL - APROV FINAL]],Tabela1[[#This Row],[DATA REAL - CRACHÁ]])-MIN(Tabela1[[#This Row],[DATA REAL - POSTAGEM]],Tabela1[[#This Row],[DATA REAL - APROV FINAL]],Tabela1[[#This Row],[DATA REAL - CRACHÁ]])+1</f>
        <v>7</v>
      </c>
      <c r="W21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v>
      </c>
      <c r="X213" s="15" t="s">
        <v>172</v>
      </c>
      <c r="Y213" s="16" t="s">
        <v>84</v>
      </c>
      <c r="Z213" s="80" t="str">
        <f>_xlfn.XLOOKUP(Tabela1[[#This Row],[COO PHD]],TabControleEfetivo[NOME],TabControleEfetivo[email (PHD)],"")</f>
        <v>nilton.netto@phdengenharia.eng.br</v>
      </c>
      <c r="AA213" s="95" t="s">
        <v>86</v>
      </c>
      <c r="AB213" s="86" t="s">
        <v>97</v>
      </c>
      <c r="AC213" s="16" t="s">
        <v>357</v>
      </c>
      <c r="AD213" s="16" t="s">
        <v>357</v>
      </c>
      <c r="AE213" s="16" t="s">
        <v>358</v>
      </c>
      <c r="AF213" s="16" t="s">
        <v>359</v>
      </c>
      <c r="AG213" s="16" t="str">
        <f>_xlfn.XLOOKUP(Tabela1[[#This Row],[CÓD. CT]],Controle_Projetos[COD CT],Controle_Projetos[COD PHD],"")</f>
        <v>BEMI-CT02-GERE</v>
      </c>
      <c r="AH213" s="21">
        <v>46099</v>
      </c>
      <c r="AI213" s="76">
        <v>46099</v>
      </c>
      <c r="AJ213" s="16" cm="1">
        <f t="array" aca="1" ref="AJ21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3" s="21">
        <v>46099</v>
      </c>
      <c r="AL213" s="74">
        <v>46099</v>
      </c>
      <c r="AM213" s="16" cm="1">
        <f t="array" aca="1" ref="AM21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3" s="21">
        <f>Tabela1[[#This Row],[DATA PREV - FORMS]]+$AN$1</f>
        <v>46106</v>
      </c>
      <c r="AO213" s="74">
        <v>46099</v>
      </c>
      <c r="AP213" s="16" cm="1">
        <f t="array" aca="1" ref="AP21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13" s="21">
        <f>Tabela1[[#This Row],[DATA PREV - EXAMES]]+$AQ$1</f>
        <v>46108</v>
      </c>
      <c r="AR213" s="74">
        <v>46107</v>
      </c>
      <c r="AS213" s="16" cm="1">
        <f t="array" aca="1" ref="AS21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13" s="21">
        <f>Tabela1[[#This Row],[DATA PREV - FORMS]]+$AT$1</f>
        <v>46100</v>
      </c>
      <c r="AU213" s="74">
        <v>46100</v>
      </c>
      <c r="AV213" s="16" cm="1">
        <f t="array" aca="1" ref="AV21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3" s="21">
        <f>Tabela1[[#This Row],[DATA PREV - TREINAMENTOS]]+$AW$1</f>
        <v>46107</v>
      </c>
      <c r="AX213" s="74">
        <v>46107</v>
      </c>
      <c r="AY213" s="16" cm="1">
        <f t="array" aca="1" ref="AY21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13" s="91">
        <v>46097</v>
      </c>
      <c r="BA213" s="74">
        <v>46097</v>
      </c>
      <c r="BB213" s="16" cm="1">
        <f t="array" aca="1" ref="BB21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3" s="21">
        <f>Tabela1[[#This Row],[DATA PREV - CONCL. TREIN.]]+$BC$1</f>
        <v>46109</v>
      </c>
      <c r="BD213" s="74">
        <v>46107</v>
      </c>
      <c r="BE213" s="16" cm="1">
        <f t="array" aca="1" ref="BE21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13" s="21">
        <f>Tabela1[[#This Row],[DATA PREV - DOSSIÊ]]+$BF$1</f>
        <v>46112</v>
      </c>
      <c r="BG213" s="74">
        <v>46107</v>
      </c>
      <c r="BH213" s="16" cm="1">
        <f t="array" aca="1" ref="BH21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13" s="21">
        <f>Tabela1[[#This Row],[DATA PREV - POSTAGEM]]+$BI$1</f>
        <v>46118</v>
      </c>
      <c r="BJ213" s="74">
        <v>46108</v>
      </c>
      <c r="BK213" s="16" cm="1">
        <f t="array" aca="1" ref="BK21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13" s="21">
        <f>Tabela1[[#This Row],[DATA PREV - APROV FINAL]]+$BL$1</f>
        <v>46119</v>
      </c>
      <c r="BM213" s="74">
        <v>46113</v>
      </c>
      <c r="BN213" s="16" cm="1">
        <f t="array" aca="1" ref="BN21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13" s="81" t="s">
        <v>674</v>
      </c>
    </row>
    <row r="214" spans="2:67" ht="18" hidden="1" customHeight="1" x14ac:dyDescent="0.35">
      <c r="B214" s="84" t="s">
        <v>79</v>
      </c>
      <c r="C214" s="86" t="s">
        <v>136</v>
      </c>
      <c r="D214" s="16" t="s">
        <v>81</v>
      </c>
      <c r="E214" s="16">
        <v>783</v>
      </c>
      <c r="F214" s="16" t="s">
        <v>143</v>
      </c>
      <c r="G214" s="16" cm="1">
        <f t="array" ref="G214">_xlfn.IFS(Tabela1[[#This Row],[STATUS PROCESSO MOBILIZAÇÃO]]="Finalizado",1,Tabela1[[#This Row],[STATUS PROCESSO MOBILIZAÇÃO]]="Cancelado",2,Tabela1[[#This Row],[STATUS PROCESSO MOBILIZAÇÃO]]="Em andamento",3)</f>
        <v>1</v>
      </c>
      <c r="H214" s="16" cm="1">
        <f t="array" aca="1" ref="H21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FORMS]]="",$AM214&gt;$AK$1),2,
AND(Tabela1[[#This Row],[STATUS PROCESSO MOBILIZAÇÃO]]="Em andamento",Tabela1[[#This Row],[DATA REAL - FORMS]]="",$AM214&lt;=$AK$1),3,
AND(Tabela1[[#This Row],[STATUS PROCESSO MOBILIZAÇÃO]]="Em andamento",Tabela1[[#This Row],[DATA REAL - FORMS]]&lt;&gt;""),1)</f>
        <v>1</v>
      </c>
      <c r="I214" s="16" cm="1">
        <f t="array" aca="1" ref="I21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EXAMES]]="",$AP214&gt;$AN$1),2,
AND(Tabela1[[#This Row],[STATUS PROCESSO MOBILIZAÇÃO]]="Em andamento",Tabela1[[#This Row],[DATA REAL - EXAMES]]="",$AP214&lt;=$AN$1),3,
AND(Tabela1[[#This Row],[STATUS PROCESSO MOBILIZAÇÃO]]="Em andamento",Tabela1[[#This Row],[DATA REAL - EXAMES]]&lt;&gt;""),1)</f>
        <v>1</v>
      </c>
      <c r="J214" s="16" cm="1">
        <f t="array" aca="1" ref="J21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ASO]]="",$AS214&gt;$AQ$1),2,
AND(Tabela1[[#This Row],[STATUS PROCESSO MOBILIZAÇÃO]]="Em andamento",Tabela1[[#This Row],[DATA REAL - ASO]]="",$AS214&lt;=$AQ$1),3,
AND(Tabela1[[#This Row],[STATUS PROCESSO MOBILIZAÇÃO]]="Em andamento",Tabela1[[#This Row],[DATA REAL - ASO]]&lt;&gt;""),1)</f>
        <v>1</v>
      </c>
      <c r="K214" s="16" cm="1">
        <f t="array" aca="1" ref="K21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TREINAMENTOS]]="",$AV214&gt;$AT$1),2,
AND(Tabela1[[#This Row],[STATUS PROCESSO MOBILIZAÇÃO]]="Em andamento",Tabela1[[#This Row],[DATA REAL - TREINAMENTOS]]="",$AV214&lt;=$AT$1),3,
AND(Tabela1[[#This Row],[STATUS PROCESSO MOBILIZAÇÃO]]="Em andamento",Tabela1[[#This Row],[DATA REAL - TREINAMENTOS]]&lt;&gt;""),1)</f>
        <v>1</v>
      </c>
      <c r="L214" s="16" cm="1">
        <f t="array" aca="1" ref="L21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TREIN.]]="",$AY214&gt;$AW$1),2,
AND(Tabela1[[#This Row],[STATUS PROCESSO MOBILIZAÇÃO]]="Em andamento",Tabela1[[#This Row],[DATA REAL - CONCL. TREIN.]]="",$AY214&lt;=$AW$1),3,
AND(Tabela1[[#This Row],[STATUS PROCESSO MOBILIZAÇÃO]]="Em andamento",Tabela1[[#This Row],[DATA REAL - CONCL. TREIN.]]&lt;&gt;""),1)</f>
        <v>1</v>
      </c>
      <c r="M214" s="16" cm="1">
        <f t="array" aca="1" ref="M21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CONTRATUAL]]="",$BB214&gt;$AZ$1),2,
AND(Tabela1[[#This Row],[STATUS PROCESSO MOBILIZAÇÃO]]="Em andamento",Tabela1[[#This Row],[DATA FIM - ALTER. CONTRATUAL]]="",$BB214&lt;=$AZ$1),3,
AND(Tabela1[[#This Row],[STATUS PROCESSO MOBILIZAÇÃO]]="Em andamento",Tabela1[[#This Row],[DATA FIM - ALTER. CONTRATUAL]]&lt;&gt;""),1)</f>
        <v>1</v>
      </c>
      <c r="N214" s="16" cm="1">
        <f t="array" aca="1" ref="N21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DOSSIÊ]]="",$BE214&gt;$BC$1),2,
AND(Tabela1[[#This Row],[STATUS PROCESSO MOBILIZAÇÃO]]="Em andamento",Tabela1[[#This Row],[DATA REAL - DOSSIÊ]]="",$BE214&lt;=$BC$1),3,
AND(Tabela1[[#This Row],[STATUS PROCESSO MOBILIZAÇÃO]]="Em andamento",Tabela1[[#This Row],[DATA REAL - DOSSIÊ]]&lt;&gt;""),1)</f>
        <v>1</v>
      </c>
      <c r="O214" s="16" cm="1">
        <f t="array" aca="1" ref="O21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POSTAGEM]]="",$BH214&gt;$BF$1),2,
AND(Tabela1[[#This Row],[STATUS PROCESSO MOBILIZAÇÃO]]="Em andamento",Tabela1[[#This Row],[DATA REAL - POSTAGEM]]="",$BH214&lt;=$BF$1),3,
AND(Tabela1[[#This Row],[STATUS PROCESSO MOBILIZAÇÃO]]="Em andamento",Tabela1[[#This Row],[DATA REAL - POSTAGEM]]&lt;&gt;""),1)</f>
        <v>1</v>
      </c>
      <c r="P214" s="16" cm="1">
        <f t="array" aca="1" ref="P21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FINAL]]="",$BK214&gt;$BI$1),2,
AND(Tabela1[[#This Row],[STATUS PROCESSO MOBILIZAÇÃO]]="Em andamento",Tabela1[[#This Row],[DATA REAL - APROV FINAL]]="",$BK214&lt;=$BI$1),3,
AND(Tabela1[[#This Row],[STATUS PROCESSO MOBILIZAÇÃO]]="Em andamento",Tabela1[[#This Row],[DATA REAL - APROV FINAL]]&lt;&gt;""),1)</f>
        <v>1</v>
      </c>
      <c r="Q214" s="16" cm="1">
        <f t="array" aca="1" ref="Q21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CRACHÁ]]="",$BN214&gt;$BL$1),2,
AND(Tabela1[[#This Row],[STATUS PROCESSO MOBILIZAÇÃO]]="Em andamento",Tabela1[[#This Row],[DATA REAL - CRACHÁ]]="",$BN214&lt;=$BL$1),3,
AND(Tabela1[[#This Row],[STATUS PROCESSO MOBILIZAÇÃO]]="Em andamento",Tabela1[[#This Row],[DATA REAL - CRACHÁ]]&lt;&gt;""),1)</f>
        <v>1</v>
      </c>
      <c r="R214" s="21">
        <f>IF(Tabela1[[#This Row],[DATA REAL - FORMS]]&lt;&gt;"",Tabela1[[#This Row],[DATA REAL - FORMS]]+30,Tabela1[[#This Row],[DATA PREV - FORMS]]+35)</f>
        <v>46135</v>
      </c>
      <c r="S21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46127</v>
      </c>
      <c r="T21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21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15</v>
      </c>
      <c r="V214" s="49">
        <f>MAX(Tabela1[[#This Row],[DATA REAL - POSTAGEM]],Tabela1[[#This Row],[DATA REAL - APROV FINAL]],Tabela1[[#This Row],[DATA REAL - CRACHÁ]])-MIN(Tabela1[[#This Row],[DATA REAL - POSTAGEM]],Tabela1[[#This Row],[DATA REAL - APROV FINAL]],Tabela1[[#This Row],[DATA REAL - CRACHÁ]])+1</f>
        <v>8</v>
      </c>
      <c r="W21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4" s="15" t="s">
        <v>515</v>
      </c>
      <c r="Y214" s="16" t="s">
        <v>130</v>
      </c>
      <c r="Z214" s="80" t="str">
        <f>_xlfn.XLOOKUP(Tabela1[[#This Row],[COO PHD]],TabControleEfetivo[NOME],TabControleEfetivo[email (PHD)],"")</f>
        <v>ronaldo.machado@phdengenharia.eng.br</v>
      </c>
      <c r="AA214" s="18" t="s">
        <v>131</v>
      </c>
      <c r="AB214" s="16" t="s">
        <v>632</v>
      </c>
      <c r="AC214" s="16" t="s">
        <v>132</v>
      </c>
      <c r="AD214" s="16" t="s">
        <v>132</v>
      </c>
      <c r="AE214" s="16" t="s">
        <v>282</v>
      </c>
      <c r="AF214" s="16" t="s">
        <v>675</v>
      </c>
      <c r="AG214" s="16" t="str">
        <f>_xlfn.XLOOKUP(Tabela1[[#This Row],[CÓD. CT]],Controle_Projetos[COD CT],Controle_Projetos[COD PHD],"")</f>
        <v>GERD-CT23-FINO</v>
      </c>
      <c r="AH214" s="21">
        <v>46105</v>
      </c>
      <c r="AI214" s="76">
        <v>46105</v>
      </c>
      <c r="AJ214" s="16" cm="1">
        <f t="array" aca="1" ref="AJ21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4" s="21">
        <v>46105</v>
      </c>
      <c r="AL214" s="76">
        <v>46105</v>
      </c>
      <c r="AM214" s="16" cm="1">
        <f t="array" aca="1" ref="AM21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4" s="21">
        <f>Tabela1[[#This Row],[DATA PREV - FORMS]]+$AN$1</f>
        <v>46112</v>
      </c>
      <c r="AO214" s="74">
        <v>46107</v>
      </c>
      <c r="AP214" s="16" cm="1">
        <f t="array" aca="1" ref="AP21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214" s="21">
        <f>Tabela1[[#This Row],[DATA PREV - EXAMES]]+$AQ$1</f>
        <v>46114</v>
      </c>
      <c r="AR214" s="74">
        <v>46118</v>
      </c>
      <c r="AS214" s="16" cm="1">
        <f t="array" aca="1" ref="AS21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214" s="21">
        <f>Tabela1[[#This Row],[DATA PREV - FORMS]]+$AT$1</f>
        <v>46106</v>
      </c>
      <c r="AU214" s="74">
        <v>46106</v>
      </c>
      <c r="AV214" s="16" cm="1">
        <f t="array" aca="1" ref="AV21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4" s="21">
        <f>Tabela1[[#This Row],[DATA PREV - TREINAMENTOS]]+$AW$1</f>
        <v>46113</v>
      </c>
      <c r="AX214" s="74">
        <v>46107</v>
      </c>
      <c r="AY214" s="16" cm="1">
        <f t="array" aca="1" ref="AY21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14" s="24">
        <v>46105</v>
      </c>
      <c r="BA214" s="74">
        <v>46105</v>
      </c>
      <c r="BB214" s="16" cm="1">
        <f t="array" aca="1" ref="BB21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4" s="21">
        <f>Tabela1[[#This Row],[DATA PREV - CONCL. TREIN.]]+$BC$1</f>
        <v>46115</v>
      </c>
      <c r="BD214" s="74">
        <v>46120</v>
      </c>
      <c r="BE214" s="16" cm="1">
        <f t="array" aca="1" ref="BE21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214" s="21">
        <f>Tabela1[[#This Row],[DATA PREV - DOSSIÊ]]+$BF$1</f>
        <v>46118</v>
      </c>
      <c r="BG214" s="74">
        <v>46120</v>
      </c>
      <c r="BH214" s="16" cm="1">
        <f t="array" aca="1" ref="BH21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214" s="21">
        <f>Tabela1[[#This Row],[DATA PREV - POSTAGEM]]+$BI$1</f>
        <v>46124</v>
      </c>
      <c r="BJ214" s="74">
        <v>46122</v>
      </c>
      <c r="BK214" s="16" cm="1">
        <f t="array" aca="1" ref="BK21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14" s="21">
        <f>Tabela1[[#This Row],[DATA PREV - APROV FINAL]]+$BL$1</f>
        <v>46125</v>
      </c>
      <c r="BM214" s="74">
        <v>46127</v>
      </c>
      <c r="BN214" s="16" cm="1">
        <f t="array" aca="1" ref="BN21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214" s="81" t="s">
        <v>676</v>
      </c>
    </row>
    <row r="215" spans="2:67" ht="18" hidden="1" customHeight="1" x14ac:dyDescent="0.35">
      <c r="B215" s="84" t="s">
        <v>79</v>
      </c>
      <c r="C215" s="86" t="s">
        <v>136</v>
      </c>
      <c r="D215" s="16" t="s">
        <v>81</v>
      </c>
      <c r="E215" s="16">
        <v>784</v>
      </c>
      <c r="F215" s="16" t="s">
        <v>404</v>
      </c>
      <c r="G215" s="16" cm="1">
        <f t="array" ref="G215">_xlfn.IFS(Tabela1[[#This Row],[STATUS PROCESSO MOBILIZAÇÃO]]="Finalizado",1,Tabela1[[#This Row],[STATUS PROCESSO MOBILIZAÇÃO]]="Cancelado",2,Tabela1[[#This Row],[STATUS PROCESSO MOBILIZAÇÃO]]="Em andamento",3)</f>
        <v>1</v>
      </c>
      <c r="H215" s="16" cm="1">
        <f t="array" aca="1" ref="H21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FORMS]]="",$AM215&gt;$AK$1),2,
AND(Tabela1[[#This Row],[STATUS PROCESSO MOBILIZAÇÃO]]="Em andamento",Tabela1[[#This Row],[DATA REAL - FORMS]]="",$AM215&lt;=$AK$1),3,
AND(Tabela1[[#This Row],[STATUS PROCESSO MOBILIZAÇÃO]]="Em andamento",Tabela1[[#This Row],[DATA REAL - FORMS]]&lt;&gt;""),1)</f>
        <v>1</v>
      </c>
      <c r="I215" s="16" cm="1">
        <f t="array" aca="1" ref="I21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EXAMES]]="",$AP215&gt;$AN$1),2,
AND(Tabela1[[#This Row],[STATUS PROCESSO MOBILIZAÇÃO]]="Em andamento",Tabela1[[#This Row],[DATA REAL - EXAMES]]="",$AP215&lt;=$AN$1),3,
AND(Tabela1[[#This Row],[STATUS PROCESSO MOBILIZAÇÃO]]="Em andamento",Tabela1[[#This Row],[DATA REAL - EXAMES]]&lt;&gt;""),1)</f>
        <v>1</v>
      </c>
      <c r="J215" s="16" cm="1">
        <f t="array" aca="1" ref="J21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ASO]]="",$AS215&gt;$AQ$1),2,
AND(Tabela1[[#This Row],[STATUS PROCESSO MOBILIZAÇÃO]]="Em andamento",Tabela1[[#This Row],[DATA REAL - ASO]]="",$AS215&lt;=$AQ$1),3,
AND(Tabela1[[#This Row],[STATUS PROCESSO MOBILIZAÇÃO]]="Em andamento",Tabela1[[#This Row],[DATA REAL - ASO]]&lt;&gt;""),1)</f>
        <v>1</v>
      </c>
      <c r="K215" s="16" cm="1">
        <f t="array" aca="1" ref="K21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TREINAMENTOS]]="",$AV215&gt;$AT$1),2,
AND(Tabela1[[#This Row],[STATUS PROCESSO MOBILIZAÇÃO]]="Em andamento",Tabela1[[#This Row],[DATA REAL - TREINAMENTOS]]="",$AV215&lt;=$AT$1),3,
AND(Tabela1[[#This Row],[STATUS PROCESSO MOBILIZAÇÃO]]="Em andamento",Tabela1[[#This Row],[DATA REAL - TREINAMENTOS]]&lt;&gt;""),1)</f>
        <v>1</v>
      </c>
      <c r="L215" s="16" cm="1">
        <f t="array" aca="1" ref="L21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TREIN.]]="",$AY215&gt;$AW$1),2,
AND(Tabela1[[#This Row],[STATUS PROCESSO MOBILIZAÇÃO]]="Em andamento",Tabela1[[#This Row],[DATA REAL - CONCL. TREIN.]]="",$AY215&lt;=$AW$1),3,
AND(Tabela1[[#This Row],[STATUS PROCESSO MOBILIZAÇÃO]]="Em andamento",Tabela1[[#This Row],[DATA REAL - CONCL. TREIN.]]&lt;&gt;""),1)</f>
        <v>1</v>
      </c>
      <c r="M215" s="16" cm="1">
        <f t="array" aca="1" ref="M21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CONTRATUAL]]="",$BB215&gt;$AZ$1),2,
AND(Tabela1[[#This Row],[STATUS PROCESSO MOBILIZAÇÃO]]="Em andamento",Tabela1[[#This Row],[DATA FIM - ALTER. CONTRATUAL]]="",$BB215&lt;=$AZ$1),3,
AND(Tabela1[[#This Row],[STATUS PROCESSO MOBILIZAÇÃO]]="Em andamento",Tabela1[[#This Row],[DATA FIM - ALTER. CONTRATUAL]]&lt;&gt;""),1)</f>
        <v>1</v>
      </c>
      <c r="N215" s="16" cm="1">
        <f t="array" aca="1" ref="N21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DOSSIÊ]]="",$BE215&gt;$BC$1),2,
AND(Tabela1[[#This Row],[STATUS PROCESSO MOBILIZAÇÃO]]="Em andamento",Tabela1[[#This Row],[DATA REAL - DOSSIÊ]]="",$BE215&lt;=$BC$1),3,
AND(Tabela1[[#This Row],[STATUS PROCESSO MOBILIZAÇÃO]]="Em andamento",Tabela1[[#This Row],[DATA REAL - DOSSIÊ]]&lt;&gt;""),1)</f>
        <v>1</v>
      </c>
      <c r="O215" s="16" cm="1">
        <f t="array" aca="1" ref="O21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POSTAGEM]]="",$BH215&gt;$BF$1),2,
AND(Tabela1[[#This Row],[STATUS PROCESSO MOBILIZAÇÃO]]="Em andamento",Tabela1[[#This Row],[DATA REAL - POSTAGEM]]="",$BH215&lt;=$BF$1),3,
AND(Tabela1[[#This Row],[STATUS PROCESSO MOBILIZAÇÃO]]="Em andamento",Tabela1[[#This Row],[DATA REAL - POSTAGEM]]&lt;&gt;""),1)</f>
        <v>1</v>
      </c>
      <c r="P215" s="16" cm="1">
        <f t="array" aca="1" ref="P21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FINAL]]="",$BK215&gt;$BI$1),2,
AND(Tabela1[[#This Row],[STATUS PROCESSO MOBILIZAÇÃO]]="Em andamento",Tabela1[[#This Row],[DATA REAL - APROV FINAL]]="",$BK215&lt;=$BI$1),3,
AND(Tabela1[[#This Row],[STATUS PROCESSO MOBILIZAÇÃO]]="Em andamento",Tabela1[[#This Row],[DATA REAL - APROV FINAL]]&lt;&gt;""),1)</f>
        <v>1</v>
      </c>
      <c r="Q215" s="16" cm="1">
        <f t="array" aca="1" ref="Q21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CRACHÁ]]="",$BN215&gt;$BL$1),2,
AND(Tabela1[[#This Row],[STATUS PROCESSO MOBILIZAÇÃO]]="Em andamento",Tabela1[[#This Row],[DATA REAL - CRACHÁ]]="",$BN215&lt;=$BL$1),3,
AND(Tabela1[[#This Row],[STATUS PROCESSO MOBILIZAÇÃO]]="Em andamento",Tabela1[[#This Row],[DATA REAL - CRACHÁ]]&lt;&gt;""),1)</f>
        <v>1</v>
      </c>
      <c r="R215" s="21">
        <f>IF(Tabela1[[#This Row],[DATA REAL - FORMS]]&lt;&gt;"",Tabela1[[#This Row],[DATA REAL - FORMS]]+30,Tabela1[[#This Row],[DATA PREV - FORMS]]+35)</f>
        <v>46135</v>
      </c>
      <c r="S21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46127</v>
      </c>
      <c r="T21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21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215" s="49">
        <f>MAX(Tabela1[[#This Row],[DATA REAL - POSTAGEM]],Tabela1[[#This Row],[DATA REAL - APROV FINAL]],Tabela1[[#This Row],[DATA REAL - CRACHÁ]])-MIN(Tabela1[[#This Row],[DATA REAL - POSTAGEM]],Tabela1[[#This Row],[DATA REAL - APROV FINAL]],Tabela1[[#This Row],[DATA REAL - CRACHÁ]])+1</f>
        <v>6</v>
      </c>
      <c r="W21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5" s="15" t="s">
        <v>515</v>
      </c>
      <c r="Y215" s="16" t="s">
        <v>130</v>
      </c>
      <c r="Z215" s="80" t="str">
        <f>_xlfn.XLOOKUP(Tabela1[[#This Row],[COO PHD]],TabControleEfetivo[NOME],TabControleEfetivo[email (PHD)],"")</f>
        <v>ronaldo.machado@phdengenharia.eng.br</v>
      </c>
      <c r="AA215" s="18" t="s">
        <v>131</v>
      </c>
      <c r="AB215" s="16" t="s">
        <v>632</v>
      </c>
      <c r="AC215" s="16" t="s">
        <v>132</v>
      </c>
      <c r="AD215" s="16" t="s">
        <v>132</v>
      </c>
      <c r="AE215" s="16" t="s">
        <v>282</v>
      </c>
      <c r="AF215" s="16" t="s">
        <v>675</v>
      </c>
      <c r="AG215" s="16" t="str">
        <f>_xlfn.XLOOKUP(Tabela1[[#This Row],[CÓD. CT]],Controle_Projetos[COD CT],Controle_Projetos[COD PHD],"")</f>
        <v>GERD-CT23-FINO</v>
      </c>
      <c r="AH215" s="21">
        <v>46105</v>
      </c>
      <c r="AI215" s="76">
        <v>46105</v>
      </c>
      <c r="AJ215" s="16" cm="1">
        <f t="array" aca="1" ref="AJ21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5" s="21">
        <v>46105</v>
      </c>
      <c r="AL215" s="76">
        <v>46105</v>
      </c>
      <c r="AM215" s="16" cm="1">
        <f t="array" aca="1" ref="AM21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5" s="21">
        <f>Tabela1[[#This Row],[DATA PREV - FORMS]]+$AN$1</f>
        <v>46112</v>
      </c>
      <c r="AO215" s="74">
        <v>46107</v>
      </c>
      <c r="AP215" s="16" cm="1">
        <f t="array" aca="1" ref="AP21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215" s="21">
        <f>Tabela1[[#This Row],[DATA PREV - EXAMES]]+$AQ$1</f>
        <v>46114</v>
      </c>
      <c r="AR215" s="74">
        <v>46111</v>
      </c>
      <c r="AS215" s="16" cm="1">
        <f t="array" aca="1" ref="AS21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15" s="21">
        <f>Tabela1[[#This Row],[DATA PREV - FORMS]]+$AT$1</f>
        <v>46106</v>
      </c>
      <c r="AU215" s="74">
        <v>46105</v>
      </c>
      <c r="AV215" s="16" cm="1">
        <f t="array" aca="1" ref="AV21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15" s="21">
        <f>Tabela1[[#This Row],[DATA PREV - TREINAMENTOS]]+$AW$1</f>
        <v>46113</v>
      </c>
      <c r="AX215" s="74">
        <v>46105</v>
      </c>
      <c r="AY215" s="16" cm="1">
        <f t="array" aca="1" ref="AY21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15" s="24">
        <v>46105</v>
      </c>
      <c r="BA215" s="74">
        <v>46105</v>
      </c>
      <c r="BB215" s="16" cm="1">
        <f t="array" aca="1" ref="BB21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5" s="21">
        <f>Tabela1[[#This Row],[DATA PREV - CONCL. TREIN.]]+$BC$1</f>
        <v>46115</v>
      </c>
      <c r="BD215" s="74">
        <v>46122</v>
      </c>
      <c r="BE215" s="16" cm="1">
        <f t="array" aca="1" ref="BE21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15" s="21">
        <f>Tabela1[[#This Row],[DATA PREV - DOSSIÊ]]+$BF$1</f>
        <v>46118</v>
      </c>
      <c r="BG215" s="74">
        <v>46122</v>
      </c>
      <c r="BH215" s="16" cm="1">
        <f t="array" aca="1" ref="BH21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15" s="21">
        <f>Tabela1[[#This Row],[DATA PREV - POSTAGEM]]+$BI$1</f>
        <v>46124</v>
      </c>
      <c r="BJ215" s="74">
        <v>46125</v>
      </c>
      <c r="BK215" s="16" cm="1">
        <f t="array" aca="1" ref="BK21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v>
      </c>
      <c r="BL215" s="21">
        <f>Tabela1[[#This Row],[DATA PREV - APROV FINAL]]+$BL$1</f>
        <v>46125</v>
      </c>
      <c r="BM215" s="74">
        <v>46127</v>
      </c>
      <c r="BN215" s="16" cm="1">
        <f t="array" aca="1" ref="BN21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215" s="81" t="s">
        <v>677</v>
      </c>
    </row>
    <row r="216" spans="2:67" ht="18" hidden="1" customHeight="1" x14ac:dyDescent="0.35">
      <c r="B216" s="84" t="s">
        <v>119</v>
      </c>
      <c r="C216" s="86" t="s">
        <v>136</v>
      </c>
      <c r="D216" s="16" t="s">
        <v>119</v>
      </c>
      <c r="E216" s="16">
        <v>785</v>
      </c>
      <c r="F216" s="16" t="s">
        <v>342</v>
      </c>
      <c r="G216" s="16" cm="1">
        <f t="array" ref="G216">_xlfn.IFS(Tabela1[[#This Row],[STATUS PROCESSO MOBILIZAÇÃO]]="Finalizado",1,Tabela1[[#This Row],[STATUS PROCESSO MOBILIZAÇÃO]]="Cancelado",2,Tabela1[[#This Row],[STATUS PROCESSO MOBILIZAÇÃO]]="Em andamento",3)</f>
        <v>2</v>
      </c>
      <c r="H216" s="16" cm="1">
        <f t="array" aca="1" ref="H21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FORMS]]="",$AM216&gt;$AK$1),2,
AND(Tabela1[[#This Row],[STATUS PROCESSO MOBILIZAÇÃO]]="Em andamento",Tabela1[[#This Row],[DATA REAL - FORMS]]="",$AM216&lt;=$AK$1),3,
AND(Tabela1[[#This Row],[STATUS PROCESSO MOBILIZAÇÃO]]="Em andamento",Tabela1[[#This Row],[DATA REAL - FORMS]]&lt;&gt;""),1)</f>
        <v>1</v>
      </c>
      <c r="I216" s="16" cm="1">
        <f t="array" aca="1" ref="I21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EXAMES]]="",$AP216&gt;$AN$1),2,
AND(Tabela1[[#This Row],[STATUS PROCESSO MOBILIZAÇÃO]]="Em andamento",Tabela1[[#This Row],[DATA REAL - EXAMES]]="",$AP216&lt;=$AN$1),3,
AND(Tabela1[[#This Row],[STATUS PROCESSO MOBILIZAÇÃO]]="Em andamento",Tabela1[[#This Row],[DATA REAL - EXAMES]]&lt;&gt;""),1)</f>
        <v>1</v>
      </c>
      <c r="J216" s="16" cm="1">
        <f t="array" aca="1" ref="J21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ASO]]="",$AS216&gt;$AQ$1),2,
AND(Tabela1[[#This Row],[STATUS PROCESSO MOBILIZAÇÃO]]="Em andamento",Tabela1[[#This Row],[DATA REAL - ASO]]="",$AS216&lt;=$AQ$1),3,
AND(Tabela1[[#This Row],[STATUS PROCESSO MOBILIZAÇÃO]]="Em andamento",Tabela1[[#This Row],[DATA REAL - ASO]]&lt;&gt;""),1)</f>
        <v>1</v>
      </c>
      <c r="K216" s="16" cm="1">
        <f t="array" aca="1" ref="K21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TREINAMENTOS]]="",$AV216&gt;$AT$1),2,
AND(Tabela1[[#This Row],[STATUS PROCESSO MOBILIZAÇÃO]]="Em andamento",Tabela1[[#This Row],[DATA REAL - TREINAMENTOS]]="",$AV216&lt;=$AT$1),3,
AND(Tabela1[[#This Row],[STATUS PROCESSO MOBILIZAÇÃO]]="Em andamento",Tabela1[[#This Row],[DATA REAL - TREINAMENTOS]]&lt;&gt;""),1)</f>
        <v>1</v>
      </c>
      <c r="L216" s="16" cm="1">
        <f t="array" aca="1" ref="L21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TREIN.]]="",$AY216&gt;$AW$1),2,
AND(Tabela1[[#This Row],[STATUS PROCESSO MOBILIZAÇÃO]]="Em andamento",Tabela1[[#This Row],[DATA REAL - CONCL. TREIN.]]="",$AY216&lt;=$AW$1),3,
AND(Tabela1[[#This Row],[STATUS PROCESSO MOBILIZAÇÃO]]="Em andamento",Tabela1[[#This Row],[DATA REAL - CONCL. TREIN.]]&lt;&gt;""),1)</f>
        <v>1</v>
      </c>
      <c r="M216" s="16" cm="1">
        <f t="array" aca="1" ref="M21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CONTRATUAL]]="",$BB216&gt;$AZ$1),2,
AND(Tabela1[[#This Row],[STATUS PROCESSO MOBILIZAÇÃO]]="Em andamento",Tabela1[[#This Row],[DATA FIM - ALTER. CONTRATUAL]]="",$BB216&lt;=$AZ$1),3,
AND(Tabela1[[#This Row],[STATUS PROCESSO MOBILIZAÇÃO]]="Em andamento",Tabela1[[#This Row],[DATA FIM - ALTER. CONTRATUAL]]&lt;&gt;""),1)</f>
        <v>1</v>
      </c>
      <c r="N216" s="16" cm="1">
        <f t="array" aca="1" ref="N21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DOSSIÊ]]="",$BE216&gt;$BC$1),2,
AND(Tabela1[[#This Row],[STATUS PROCESSO MOBILIZAÇÃO]]="Em andamento",Tabela1[[#This Row],[DATA REAL - DOSSIÊ]]="",$BE216&lt;=$BC$1),3,
AND(Tabela1[[#This Row],[STATUS PROCESSO MOBILIZAÇÃO]]="Em andamento",Tabela1[[#This Row],[DATA REAL - DOSSIÊ]]&lt;&gt;""),1)</f>
        <v>1</v>
      </c>
      <c r="O216" s="16" cm="1">
        <f t="array" aca="1" ref="O21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POSTAGEM]]="",$BH216&gt;$BF$1),2,
AND(Tabela1[[#This Row],[STATUS PROCESSO MOBILIZAÇÃO]]="Em andamento",Tabela1[[#This Row],[DATA REAL - POSTAGEM]]="",$BH216&lt;=$BF$1),3,
AND(Tabela1[[#This Row],[STATUS PROCESSO MOBILIZAÇÃO]]="Em andamento",Tabela1[[#This Row],[DATA REAL - POSTAGEM]]&lt;&gt;""),1)</f>
        <v>1</v>
      </c>
      <c r="P216" s="16" cm="1">
        <f t="array" aca="1" ref="P21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FINAL]]="",$BK216&gt;$BI$1),2,
AND(Tabela1[[#This Row],[STATUS PROCESSO MOBILIZAÇÃO]]="Em andamento",Tabela1[[#This Row],[DATA REAL - APROV FINAL]]="",$BK216&lt;=$BI$1),3,
AND(Tabela1[[#This Row],[STATUS PROCESSO MOBILIZAÇÃO]]="Em andamento",Tabela1[[#This Row],[DATA REAL - APROV FINAL]]&lt;&gt;""),1)</f>
        <v>0</v>
      </c>
      <c r="Q216" s="16" cm="1">
        <f t="array" aca="1" ref="Q21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CRACHÁ]]="",$BN216&gt;$BL$1),2,
AND(Tabela1[[#This Row],[STATUS PROCESSO MOBILIZAÇÃO]]="Em andamento",Tabela1[[#This Row],[DATA REAL - CRACHÁ]]="",$BN216&lt;=$BL$1),3,
AND(Tabela1[[#This Row],[STATUS PROCESSO MOBILIZAÇÃO]]="Em andamento",Tabela1[[#This Row],[DATA REAL - CRACHÁ]]&lt;&gt;""),1)</f>
        <v>1</v>
      </c>
      <c r="R216" s="21">
        <f>IF(Tabela1[[#This Row],[DATA REAL - FORMS]]&lt;&gt;"",Tabela1[[#This Row],[DATA REAL - FORMS]]+30,Tabela1[[#This Row],[DATA PREV - FORMS]]+35)</f>
        <v>46135</v>
      </c>
      <c r="S21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46148</v>
      </c>
      <c r="T21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U21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16</v>
      </c>
      <c r="V216" s="49">
        <f>MAX(Tabela1[[#This Row],[DATA REAL - POSTAGEM]],Tabela1[[#This Row],[DATA REAL - APROV FINAL]],Tabela1[[#This Row],[DATA REAL - CRACHÁ]])-MIN(Tabela1[[#This Row],[DATA REAL - POSTAGEM]],Tabela1[[#This Row],[DATA REAL - APROV FINAL]],Tabela1[[#This Row],[DATA REAL - CRACHÁ]])+1</f>
        <v>28</v>
      </c>
      <c r="W21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6" s="15" t="s">
        <v>515</v>
      </c>
      <c r="Y216" s="16" t="s">
        <v>130</v>
      </c>
      <c r="Z216" s="80" t="str">
        <f>_xlfn.XLOOKUP(Tabela1[[#This Row],[COO PHD]],TabControleEfetivo[NOME],TabControleEfetivo[email (PHD)],"")</f>
        <v>ronaldo.machado@phdengenharia.eng.br</v>
      </c>
      <c r="AA216" s="18" t="s">
        <v>131</v>
      </c>
      <c r="AB216" s="16" t="s">
        <v>632</v>
      </c>
      <c r="AC216" s="16" t="s">
        <v>132</v>
      </c>
      <c r="AD216" s="16" t="s">
        <v>132</v>
      </c>
      <c r="AE216" s="16" t="s">
        <v>282</v>
      </c>
      <c r="AF216" s="16" t="s">
        <v>675</v>
      </c>
      <c r="AG216" s="16" t="str">
        <f>_xlfn.XLOOKUP(Tabela1[[#This Row],[CÓD. CT]],Controle_Projetos[COD CT],Controle_Projetos[COD PHD],"")</f>
        <v>GERD-CT23-FINO</v>
      </c>
      <c r="AH216" s="21">
        <v>46105</v>
      </c>
      <c r="AI216" s="76">
        <v>46105</v>
      </c>
      <c r="AJ216" s="16" cm="1">
        <f t="array" aca="1" ref="AJ21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6" s="21">
        <v>46105</v>
      </c>
      <c r="AL216" s="76">
        <v>46105</v>
      </c>
      <c r="AM216" s="16" cm="1">
        <f t="array" aca="1" ref="AM21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6" s="21">
        <f>Tabela1[[#This Row],[DATA PREV - FORMS]]+$AN$1</f>
        <v>46112</v>
      </c>
      <c r="AO216" s="74">
        <v>46107</v>
      </c>
      <c r="AP216" s="16" cm="1">
        <f t="array" aca="1" ref="AP21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216" s="21">
        <f>Tabela1[[#This Row],[DATA PREV - EXAMES]]+$AQ$1</f>
        <v>46114</v>
      </c>
      <c r="AR216" s="74">
        <v>46111</v>
      </c>
      <c r="AS216" s="16" cm="1">
        <f t="array" aca="1" ref="AS21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16" s="21">
        <f>Tabela1[[#This Row],[DATA PREV - FORMS]]+$AT$1</f>
        <v>46106</v>
      </c>
      <c r="AU216" s="74">
        <v>46106</v>
      </c>
      <c r="AV216" s="16" cm="1">
        <f t="array" aca="1" ref="AV21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6" s="21">
        <f>Tabela1[[#This Row],[DATA PREV - TREINAMENTOS]]+$AW$1</f>
        <v>46113</v>
      </c>
      <c r="AX216" s="74">
        <v>46107</v>
      </c>
      <c r="AY216" s="16" cm="1">
        <f t="array" aca="1" ref="AY21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16" s="24">
        <v>46105</v>
      </c>
      <c r="BA216" s="74">
        <v>46105</v>
      </c>
      <c r="BB216" s="16" cm="1">
        <f t="array" aca="1" ref="BB21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6" s="21">
        <f>Tabela1[[#This Row],[DATA PREV - CONCL. TREIN.]]+$BC$1</f>
        <v>46115</v>
      </c>
      <c r="BD216" s="74">
        <v>46121</v>
      </c>
      <c r="BE216" s="16" cm="1">
        <f t="array" aca="1" ref="BE21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16" s="21">
        <f>Tabela1[[#This Row],[DATA PREV - DOSSIÊ]]+$BF$1</f>
        <v>46118</v>
      </c>
      <c r="BG216" s="74">
        <v>46121</v>
      </c>
      <c r="BH216" s="16" cm="1">
        <f t="array" aca="1" ref="BH21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16" s="21">
        <f>Tabela1[[#This Row],[DATA PREV - POSTAGEM]]+$BI$1</f>
        <v>46124</v>
      </c>
      <c r="BJ216" s="74"/>
      <c r="BK216" s="16" cm="1">
        <f t="array" aca="1" ref="BK21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16" s="21">
        <f>Tabela1[[#This Row],[DATA PREV - APROV FINAL]]+$BL$1</f>
        <v>46125</v>
      </c>
      <c r="BM216" s="74">
        <v>46148</v>
      </c>
      <c r="BN216" s="16" cm="1">
        <f t="array" aca="1" ref="BN21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24</v>
      </c>
      <c r="BO216" s="81" t="s">
        <v>678</v>
      </c>
    </row>
    <row r="217" spans="2:67" ht="18" hidden="1" customHeight="1" x14ac:dyDescent="0.35">
      <c r="B217" s="84" t="s">
        <v>119</v>
      </c>
      <c r="C217" s="86" t="s">
        <v>136</v>
      </c>
      <c r="D217" s="16" t="s">
        <v>119</v>
      </c>
      <c r="E217" s="16">
        <v>787</v>
      </c>
      <c r="F217" s="16" t="s">
        <v>336</v>
      </c>
      <c r="G217" s="16" cm="1">
        <f t="array" ref="G217">_xlfn.IFS(Tabela1[[#This Row],[STATUS PROCESSO MOBILIZAÇÃO]]="Finalizado",1,Tabela1[[#This Row],[STATUS PROCESSO MOBILIZAÇÃO]]="Cancelado",2,Tabela1[[#This Row],[STATUS PROCESSO MOBILIZAÇÃO]]="Em andamento",3)</f>
        <v>2</v>
      </c>
      <c r="H217" s="16" cm="1">
        <f t="array" aca="1" ref="H21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FORMS]]="",$AM217&gt;$AK$1),2,
AND(Tabela1[[#This Row],[STATUS PROCESSO MOBILIZAÇÃO]]="Em andamento",Tabela1[[#This Row],[DATA REAL - FORMS]]="",$AM217&lt;=$AK$1),3,
AND(Tabela1[[#This Row],[STATUS PROCESSO MOBILIZAÇÃO]]="Em andamento",Tabela1[[#This Row],[DATA REAL - FORMS]]&lt;&gt;""),1)</f>
        <v>1</v>
      </c>
      <c r="I217" s="16" cm="1">
        <f t="array" aca="1" ref="I21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EXAMES]]="",$AP217&gt;$AN$1),2,
AND(Tabela1[[#This Row],[STATUS PROCESSO MOBILIZAÇÃO]]="Em andamento",Tabela1[[#This Row],[DATA REAL - EXAMES]]="",$AP217&lt;=$AN$1),3,
AND(Tabela1[[#This Row],[STATUS PROCESSO MOBILIZAÇÃO]]="Em andamento",Tabela1[[#This Row],[DATA REAL - EXAMES]]&lt;&gt;""),1)</f>
        <v>1</v>
      </c>
      <c r="J217" s="16" cm="1">
        <f t="array" aca="1" ref="J21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ASO]]="",$AS217&gt;$AQ$1),2,
AND(Tabela1[[#This Row],[STATUS PROCESSO MOBILIZAÇÃO]]="Em andamento",Tabela1[[#This Row],[DATA REAL - ASO]]="",$AS217&lt;=$AQ$1),3,
AND(Tabela1[[#This Row],[STATUS PROCESSO MOBILIZAÇÃO]]="Em andamento",Tabela1[[#This Row],[DATA REAL - ASO]]&lt;&gt;""),1)</f>
        <v>1</v>
      </c>
      <c r="K217" s="16" cm="1">
        <f t="array" aca="1" ref="K21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TREINAMENTOS]]="",$AV217&gt;$AT$1),2,
AND(Tabela1[[#This Row],[STATUS PROCESSO MOBILIZAÇÃO]]="Em andamento",Tabela1[[#This Row],[DATA REAL - TREINAMENTOS]]="",$AV217&lt;=$AT$1),3,
AND(Tabela1[[#This Row],[STATUS PROCESSO MOBILIZAÇÃO]]="Em andamento",Tabela1[[#This Row],[DATA REAL - TREINAMENTOS]]&lt;&gt;""),1)</f>
        <v>1</v>
      </c>
      <c r="L217" s="16" cm="1">
        <f t="array" aca="1" ref="L21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TREIN.]]="",$AY217&gt;$AW$1),2,
AND(Tabela1[[#This Row],[STATUS PROCESSO MOBILIZAÇÃO]]="Em andamento",Tabela1[[#This Row],[DATA REAL - CONCL. TREIN.]]="",$AY217&lt;=$AW$1),3,
AND(Tabela1[[#This Row],[STATUS PROCESSO MOBILIZAÇÃO]]="Em andamento",Tabela1[[#This Row],[DATA REAL - CONCL. TREIN.]]&lt;&gt;""),1)</f>
        <v>1</v>
      </c>
      <c r="M217" s="16" cm="1">
        <f t="array" aca="1" ref="M21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CONTRATUAL]]="",$BB217&gt;$AZ$1),2,
AND(Tabela1[[#This Row],[STATUS PROCESSO MOBILIZAÇÃO]]="Em andamento",Tabela1[[#This Row],[DATA FIM - ALTER. CONTRATUAL]]="",$BB217&lt;=$AZ$1),3,
AND(Tabela1[[#This Row],[STATUS PROCESSO MOBILIZAÇÃO]]="Em andamento",Tabela1[[#This Row],[DATA FIM - ALTER. CONTRATUAL]]&lt;&gt;""),1)</f>
        <v>1</v>
      </c>
      <c r="N217" s="16" cm="1">
        <f t="array" aca="1" ref="N21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DOSSIÊ]]="",$BE217&gt;$BC$1),2,
AND(Tabela1[[#This Row],[STATUS PROCESSO MOBILIZAÇÃO]]="Em andamento",Tabela1[[#This Row],[DATA REAL - DOSSIÊ]]="",$BE217&lt;=$BC$1),3,
AND(Tabela1[[#This Row],[STATUS PROCESSO MOBILIZAÇÃO]]="Em andamento",Tabela1[[#This Row],[DATA REAL - DOSSIÊ]]&lt;&gt;""),1)</f>
        <v>1</v>
      </c>
      <c r="O217" s="16" cm="1">
        <f t="array" aca="1" ref="O21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POSTAGEM]]="",$BH217&gt;$BF$1),2,
AND(Tabela1[[#This Row],[STATUS PROCESSO MOBILIZAÇÃO]]="Em andamento",Tabela1[[#This Row],[DATA REAL - POSTAGEM]]="",$BH217&lt;=$BF$1),3,
AND(Tabela1[[#This Row],[STATUS PROCESSO MOBILIZAÇÃO]]="Em andamento",Tabela1[[#This Row],[DATA REAL - POSTAGEM]]&lt;&gt;""),1)</f>
        <v>1</v>
      </c>
      <c r="P217" s="16" cm="1">
        <f t="array" aca="1" ref="P21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FINAL]]="",$BK217&gt;$BI$1),2,
AND(Tabela1[[#This Row],[STATUS PROCESSO MOBILIZAÇÃO]]="Em andamento",Tabela1[[#This Row],[DATA REAL - APROV FINAL]]="",$BK217&lt;=$BI$1),3,
AND(Tabela1[[#This Row],[STATUS PROCESSO MOBILIZAÇÃO]]="Em andamento",Tabela1[[#This Row],[DATA REAL - APROV FINAL]]&lt;&gt;""),1)</f>
        <v>0</v>
      </c>
      <c r="Q217" s="16" cm="1">
        <f t="array" aca="1" ref="Q21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CRACHÁ]]="",$BN217&gt;$BL$1),2,
AND(Tabela1[[#This Row],[STATUS PROCESSO MOBILIZAÇÃO]]="Em andamento",Tabela1[[#This Row],[DATA REAL - CRACHÁ]]="",$BN217&lt;=$BL$1),3,
AND(Tabela1[[#This Row],[STATUS PROCESSO MOBILIZAÇÃO]]="Em andamento",Tabela1[[#This Row],[DATA REAL - CRACHÁ]]&lt;&gt;""),1)</f>
        <v>1</v>
      </c>
      <c r="R217" s="21">
        <f>IF(Tabela1[[#This Row],[DATA REAL - FORMS]]&lt;&gt;"",Tabela1[[#This Row],[DATA REAL - FORMS]]+30,Tabela1[[#This Row],[DATA PREV - FORMS]]+35)</f>
        <v>46135</v>
      </c>
      <c r="S21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46148</v>
      </c>
      <c r="T21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U21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v>
      </c>
      <c r="V217" s="49">
        <f>MAX(Tabela1[[#This Row],[DATA REAL - POSTAGEM]],Tabela1[[#This Row],[DATA REAL - APROV FINAL]],Tabela1[[#This Row],[DATA REAL - CRACHÁ]])-MIN(Tabela1[[#This Row],[DATA REAL - POSTAGEM]],Tabela1[[#This Row],[DATA REAL - APROV FINAL]],Tabela1[[#This Row],[DATA REAL - CRACHÁ]])+1</f>
        <v>24</v>
      </c>
      <c r="W21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7" s="15" t="s">
        <v>515</v>
      </c>
      <c r="Y217" s="16" t="s">
        <v>130</v>
      </c>
      <c r="Z217" s="80" t="str">
        <f>_xlfn.XLOOKUP(Tabela1[[#This Row],[COO PHD]],TabControleEfetivo[NOME],TabControleEfetivo[email (PHD)],"")</f>
        <v>ronaldo.machado@phdengenharia.eng.br</v>
      </c>
      <c r="AA217" s="18" t="s">
        <v>131</v>
      </c>
      <c r="AB217" s="16" t="s">
        <v>632</v>
      </c>
      <c r="AC217" s="16" t="s">
        <v>132</v>
      </c>
      <c r="AD217" s="16" t="s">
        <v>132</v>
      </c>
      <c r="AE217" s="16" t="s">
        <v>282</v>
      </c>
      <c r="AF217" s="16" t="s">
        <v>679</v>
      </c>
      <c r="AG217" s="16" t="str">
        <f>_xlfn.XLOOKUP(Tabela1[[#This Row],[CÓD. CT]],Controle_Projetos[COD CT],Controle_Projetos[COD PHD],"")</f>
        <v>GERD-CT21-LAVA</v>
      </c>
      <c r="AH217" s="21">
        <v>46105</v>
      </c>
      <c r="AI217" s="76">
        <v>46105</v>
      </c>
      <c r="AJ217" s="16" cm="1">
        <f t="array" aca="1" ref="AJ21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7" s="21">
        <v>46105</v>
      </c>
      <c r="AL217" s="76">
        <v>46105</v>
      </c>
      <c r="AM217" s="16" cm="1">
        <f t="array" aca="1" ref="AM21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7" s="21">
        <f>Tabela1[[#This Row],[DATA PREV - FORMS]]+$AN$1</f>
        <v>46112</v>
      </c>
      <c r="AO217" s="74">
        <v>46107</v>
      </c>
      <c r="AP217" s="16" cm="1">
        <f t="array" aca="1" ref="AP21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217" s="21">
        <f>Tabela1[[#This Row],[DATA PREV - EXAMES]]+$AQ$1</f>
        <v>46114</v>
      </c>
      <c r="AR217" s="74">
        <v>46125</v>
      </c>
      <c r="AS217" s="16" cm="1">
        <f t="array" aca="1" ref="AS21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12</v>
      </c>
      <c r="AT217" s="21">
        <f>Tabela1[[#This Row],[DATA PREV - FORMS]]+$AT$1</f>
        <v>46106</v>
      </c>
      <c r="AU217" s="74">
        <v>46106</v>
      </c>
      <c r="AV217" s="16" cm="1">
        <f t="array" aca="1" ref="AV21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17" s="21">
        <f>Tabela1[[#This Row],[DATA PREV - TREINAMENTOS]]+$AW$1</f>
        <v>46113</v>
      </c>
      <c r="AX217" s="74">
        <v>46107</v>
      </c>
      <c r="AY217" s="16" cm="1">
        <f t="array" aca="1" ref="AY21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17" s="24">
        <v>46105</v>
      </c>
      <c r="BA217" s="74">
        <v>46105</v>
      </c>
      <c r="BB217" s="16" cm="1">
        <f t="array" aca="1" ref="BB21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7" s="21">
        <f>Tabela1[[#This Row],[DATA PREV - CONCL. TREIN.]]+$BC$1</f>
        <v>46115</v>
      </c>
      <c r="BD217" s="74">
        <v>46125</v>
      </c>
      <c r="BE217" s="16" cm="1">
        <f t="array" aca="1" ref="BE21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11</v>
      </c>
      <c r="BF217" s="21">
        <f>Tabela1[[#This Row],[DATA PREV - DOSSIÊ]]+$BF$1</f>
        <v>46118</v>
      </c>
      <c r="BG217" s="74">
        <v>46125</v>
      </c>
      <c r="BH217" s="16" cm="1">
        <f t="array" aca="1" ref="BH21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17" s="21">
        <f>Tabela1[[#This Row],[DATA PREV - POSTAGEM]]+$BI$1</f>
        <v>46124</v>
      </c>
      <c r="BJ217" s="74"/>
      <c r="BK217" s="16" cm="1">
        <f t="array" aca="1" ref="BK21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17" s="21">
        <f>Tabela1[[#This Row],[DATA PREV - APROV FINAL]]+$BL$1</f>
        <v>46125</v>
      </c>
      <c r="BM217" s="74">
        <v>46148</v>
      </c>
      <c r="BN217" s="16" cm="1">
        <f t="array" aca="1" ref="BN21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24</v>
      </c>
      <c r="BO217" s="81" t="s">
        <v>680</v>
      </c>
    </row>
    <row r="218" spans="2:67" ht="18" hidden="1" customHeight="1" x14ac:dyDescent="0.35">
      <c r="B218" s="84" t="s">
        <v>79</v>
      </c>
      <c r="C218" s="86" t="s">
        <v>136</v>
      </c>
      <c r="D218" s="16" t="s">
        <v>81</v>
      </c>
      <c r="E218" s="16">
        <v>788</v>
      </c>
      <c r="F218" s="16" t="s">
        <v>276</v>
      </c>
      <c r="G218" s="16" cm="1">
        <f t="array" ref="G218">_xlfn.IFS(Tabela1[[#This Row],[STATUS PROCESSO MOBILIZAÇÃO]]="Finalizado",1,Tabela1[[#This Row],[STATUS PROCESSO MOBILIZAÇÃO]]="Cancelado",2,Tabela1[[#This Row],[STATUS PROCESSO MOBILIZAÇÃO]]="Em andamento",3)</f>
        <v>1</v>
      </c>
      <c r="H218" s="16" cm="1">
        <f t="array" aca="1" ref="H21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FORMS]]="",$AM218&gt;$AK$1),2,
AND(Tabela1[[#This Row],[STATUS PROCESSO MOBILIZAÇÃO]]="Em andamento",Tabela1[[#This Row],[DATA REAL - FORMS]]="",$AM218&lt;=$AK$1),3,
AND(Tabela1[[#This Row],[STATUS PROCESSO MOBILIZAÇÃO]]="Em andamento",Tabela1[[#This Row],[DATA REAL - FORMS]]&lt;&gt;""),1)</f>
        <v>1</v>
      </c>
      <c r="I218" s="16" cm="1">
        <f t="array" aca="1" ref="I21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EXAMES]]="",$AP218&gt;$AN$1),2,
AND(Tabela1[[#This Row],[STATUS PROCESSO MOBILIZAÇÃO]]="Em andamento",Tabela1[[#This Row],[DATA REAL - EXAMES]]="",$AP218&lt;=$AN$1),3,
AND(Tabela1[[#This Row],[STATUS PROCESSO MOBILIZAÇÃO]]="Em andamento",Tabela1[[#This Row],[DATA REAL - EXAMES]]&lt;&gt;""),1)</f>
        <v>1</v>
      </c>
      <c r="J218" s="16" cm="1">
        <f t="array" aca="1" ref="J21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ASO]]="",$AS218&gt;$AQ$1),2,
AND(Tabela1[[#This Row],[STATUS PROCESSO MOBILIZAÇÃO]]="Em andamento",Tabela1[[#This Row],[DATA REAL - ASO]]="",$AS218&lt;=$AQ$1),3,
AND(Tabela1[[#This Row],[STATUS PROCESSO MOBILIZAÇÃO]]="Em andamento",Tabela1[[#This Row],[DATA REAL - ASO]]&lt;&gt;""),1)</f>
        <v>1</v>
      </c>
      <c r="K218" s="16" cm="1">
        <f t="array" aca="1" ref="K21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TREINAMENTOS]]="",$AV218&gt;$AT$1),2,
AND(Tabela1[[#This Row],[STATUS PROCESSO MOBILIZAÇÃO]]="Em andamento",Tabela1[[#This Row],[DATA REAL - TREINAMENTOS]]="",$AV218&lt;=$AT$1),3,
AND(Tabela1[[#This Row],[STATUS PROCESSO MOBILIZAÇÃO]]="Em andamento",Tabela1[[#This Row],[DATA REAL - TREINAMENTOS]]&lt;&gt;""),1)</f>
        <v>1</v>
      </c>
      <c r="L218" s="16" cm="1">
        <f t="array" aca="1" ref="L21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TREIN.]]="",$AY218&gt;$AW$1),2,
AND(Tabela1[[#This Row],[STATUS PROCESSO MOBILIZAÇÃO]]="Em andamento",Tabela1[[#This Row],[DATA REAL - CONCL. TREIN.]]="",$AY218&lt;=$AW$1),3,
AND(Tabela1[[#This Row],[STATUS PROCESSO MOBILIZAÇÃO]]="Em andamento",Tabela1[[#This Row],[DATA REAL - CONCL. TREIN.]]&lt;&gt;""),1)</f>
        <v>1</v>
      </c>
      <c r="M218" s="16" cm="1">
        <f t="array" aca="1" ref="M21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CONTRATUAL]]="",$BB218&gt;$AZ$1),2,
AND(Tabela1[[#This Row],[STATUS PROCESSO MOBILIZAÇÃO]]="Em andamento",Tabela1[[#This Row],[DATA FIM - ALTER. CONTRATUAL]]="",$BB218&lt;=$AZ$1),3,
AND(Tabela1[[#This Row],[STATUS PROCESSO MOBILIZAÇÃO]]="Em andamento",Tabela1[[#This Row],[DATA FIM - ALTER. CONTRATUAL]]&lt;&gt;""),1)</f>
        <v>1</v>
      </c>
      <c r="N218" s="16" cm="1">
        <f t="array" aca="1" ref="N21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DOSSIÊ]]="",$BE218&gt;$BC$1),2,
AND(Tabela1[[#This Row],[STATUS PROCESSO MOBILIZAÇÃO]]="Em andamento",Tabela1[[#This Row],[DATA REAL - DOSSIÊ]]="",$BE218&lt;=$BC$1),3,
AND(Tabela1[[#This Row],[STATUS PROCESSO MOBILIZAÇÃO]]="Em andamento",Tabela1[[#This Row],[DATA REAL - DOSSIÊ]]&lt;&gt;""),1)</f>
        <v>1</v>
      </c>
      <c r="O218" s="16" cm="1">
        <f t="array" aca="1" ref="O21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POSTAGEM]]="",$BH218&gt;$BF$1),2,
AND(Tabela1[[#This Row],[STATUS PROCESSO MOBILIZAÇÃO]]="Em andamento",Tabela1[[#This Row],[DATA REAL - POSTAGEM]]="",$BH218&lt;=$BF$1),3,
AND(Tabela1[[#This Row],[STATUS PROCESSO MOBILIZAÇÃO]]="Em andamento",Tabela1[[#This Row],[DATA REAL - POSTAGEM]]&lt;&gt;""),1)</f>
        <v>1</v>
      </c>
      <c r="P218" s="16" cm="1">
        <f t="array" aca="1" ref="P21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FINAL]]="",$BK218&gt;$BI$1),2,
AND(Tabela1[[#This Row],[STATUS PROCESSO MOBILIZAÇÃO]]="Em andamento",Tabela1[[#This Row],[DATA REAL - APROV FINAL]]="",$BK218&lt;=$BI$1),3,
AND(Tabela1[[#This Row],[STATUS PROCESSO MOBILIZAÇÃO]]="Em andamento",Tabela1[[#This Row],[DATA REAL - APROV FINAL]]&lt;&gt;""),1)</f>
        <v>1</v>
      </c>
      <c r="Q218" s="16" cm="1">
        <f t="array" aca="1" ref="Q21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CRACHÁ]]="",$BN218&gt;$BL$1),2,
AND(Tabela1[[#This Row],[STATUS PROCESSO MOBILIZAÇÃO]]="Em andamento",Tabela1[[#This Row],[DATA REAL - CRACHÁ]]="",$BN218&lt;=$BL$1),3,
AND(Tabela1[[#This Row],[STATUS PROCESSO MOBILIZAÇÃO]]="Em andamento",Tabela1[[#This Row],[DATA REAL - CRACHÁ]]&lt;&gt;""),1)</f>
        <v>1</v>
      </c>
      <c r="R218" s="21">
        <f>IF(Tabela1[[#This Row],[DATA REAL - FORMS]]&lt;&gt;"",Tabela1[[#This Row],[DATA REAL - FORMS]]+30,Tabela1[[#This Row],[DATA PREV - FORMS]]+35)</f>
        <v>46135</v>
      </c>
      <c r="S21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46129</v>
      </c>
      <c r="T21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24</v>
      </c>
      <c r="U21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17</v>
      </c>
      <c r="V218" s="49">
        <f>MAX(Tabela1[[#This Row],[DATA REAL - POSTAGEM]],Tabela1[[#This Row],[DATA REAL - APROV FINAL]],Tabela1[[#This Row],[DATA REAL - CRACHÁ]])-MIN(Tabela1[[#This Row],[DATA REAL - POSTAGEM]],Tabela1[[#This Row],[DATA REAL - APROV FINAL]],Tabela1[[#This Row],[DATA REAL - CRACHÁ]])+1</f>
        <v>8</v>
      </c>
      <c r="W21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8" s="15" t="s">
        <v>515</v>
      </c>
      <c r="Y218" s="16" t="s">
        <v>130</v>
      </c>
      <c r="Z218" s="80" t="str">
        <f>_xlfn.XLOOKUP(Tabela1[[#This Row],[COO PHD]],TabControleEfetivo[NOME],TabControleEfetivo[email (PHD)],"")</f>
        <v>ronaldo.machado@phdengenharia.eng.br</v>
      </c>
      <c r="AA218" s="18" t="s">
        <v>131</v>
      </c>
      <c r="AB218" s="16" t="s">
        <v>632</v>
      </c>
      <c r="AC218" s="16" t="s">
        <v>132</v>
      </c>
      <c r="AD218" s="16" t="s">
        <v>132</v>
      </c>
      <c r="AE218" s="16" t="s">
        <v>282</v>
      </c>
      <c r="AF218" s="16" t="s">
        <v>679</v>
      </c>
      <c r="AG218" s="16" t="str">
        <f>_xlfn.XLOOKUP(Tabela1[[#This Row],[CÓD. CT]],Controle_Projetos[COD CT],Controle_Projetos[COD PHD],"")</f>
        <v>GERD-CT21-LAVA</v>
      </c>
      <c r="AH218" s="21">
        <v>46105</v>
      </c>
      <c r="AI218" s="76">
        <v>46105</v>
      </c>
      <c r="AJ218" s="16" cm="1">
        <f t="array" aca="1" ref="AJ21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8" s="21">
        <v>46105</v>
      </c>
      <c r="AL218" s="76">
        <v>46105</v>
      </c>
      <c r="AM218" s="16" cm="1">
        <f t="array" aca="1" ref="AM21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8" s="21">
        <f>Tabela1[[#This Row],[DATA PREV - FORMS]]+$AN$1</f>
        <v>46112</v>
      </c>
      <c r="AO218" s="74">
        <v>46107</v>
      </c>
      <c r="AP218" s="16" cm="1">
        <f t="array" aca="1" ref="AP21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-4</v>
      </c>
      <c r="AQ218" s="21">
        <f>Tabela1[[#This Row],[DATA PREV - EXAMES]]+$AQ$1</f>
        <v>46114</v>
      </c>
      <c r="AR218" s="74">
        <v>46111</v>
      </c>
      <c r="AS218" s="16" cm="1">
        <f t="array" aca="1" ref="AS21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18" s="21">
        <f>Tabela1[[#This Row],[DATA PREV - FORMS]]+$AT$1</f>
        <v>46106</v>
      </c>
      <c r="AU218" s="74">
        <v>46107</v>
      </c>
      <c r="AV218" s="16" cm="1">
        <f t="array" aca="1" ref="AV21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18" s="21">
        <f>Tabela1[[#This Row],[DATA PREV - TREINAMENTOS]]+$AW$1</f>
        <v>46113</v>
      </c>
      <c r="AX218" s="74">
        <v>46107</v>
      </c>
      <c r="AY218" s="16" cm="1">
        <f t="array" aca="1" ref="AY21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18" s="24">
        <v>46105</v>
      </c>
      <c r="BA218" s="74">
        <v>46105</v>
      </c>
      <c r="BB218" s="16" cm="1">
        <f t="array" aca="1" ref="BB21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8" s="21">
        <f>Tabela1[[#This Row],[DATA PREV - CONCL. TREIN.]]+$BC$1</f>
        <v>46115</v>
      </c>
      <c r="BD218" s="74">
        <v>46122</v>
      </c>
      <c r="BE218" s="16" cm="1">
        <f t="array" aca="1" ref="BE21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18" s="21">
        <f>Tabela1[[#This Row],[DATA PREV - DOSSIÊ]]+$BF$1</f>
        <v>46118</v>
      </c>
      <c r="BG218" s="74">
        <v>46122</v>
      </c>
      <c r="BH218" s="16" cm="1">
        <f t="array" aca="1" ref="BH21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18" s="21">
        <f>Tabela1[[#This Row],[DATA PREV - POSTAGEM]]+$BI$1</f>
        <v>46124</v>
      </c>
      <c r="BJ218" s="74">
        <v>46129</v>
      </c>
      <c r="BK218" s="16" cm="1">
        <f t="array" aca="1" ref="BK21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18" s="21">
        <f>Tabela1[[#This Row],[DATA PREV - APROV FINAL]]+$BL$1</f>
        <v>46125</v>
      </c>
      <c r="BM218" s="74">
        <v>46129</v>
      </c>
      <c r="BN218" s="16" cm="1">
        <f t="array" aca="1" ref="BN21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18" s="81" t="s">
        <v>681</v>
      </c>
    </row>
    <row r="219" spans="2:67" ht="18" hidden="1" customHeight="1" x14ac:dyDescent="0.35">
      <c r="B219" s="84" t="s">
        <v>79</v>
      </c>
      <c r="C219" s="86" t="s">
        <v>136</v>
      </c>
      <c r="D219" s="16" t="s">
        <v>81</v>
      </c>
      <c r="E219" s="16">
        <v>795</v>
      </c>
      <c r="F219" s="16" t="s">
        <v>502</v>
      </c>
      <c r="G219" s="16" cm="1">
        <f t="array" ref="G219">_xlfn.IFS(Tabela1[[#This Row],[STATUS PROCESSO MOBILIZAÇÃO]]="Finalizado",1,Tabela1[[#This Row],[STATUS PROCESSO MOBILIZAÇÃO]]="Cancelado",2,Tabela1[[#This Row],[STATUS PROCESSO MOBILIZAÇÃO]]="Em andamento",3)</f>
        <v>1</v>
      </c>
      <c r="H219" s="16" cm="1">
        <f t="array" aca="1" ref="H21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FORMS]]="",$AM219&gt;$AK$1),2,
AND(Tabela1[[#This Row],[STATUS PROCESSO MOBILIZAÇÃO]]="Em andamento",Tabela1[[#This Row],[DATA REAL - FORMS]]="",$AM219&lt;=$AK$1),3,
AND(Tabela1[[#This Row],[STATUS PROCESSO MOBILIZAÇÃO]]="Em andamento",Tabela1[[#This Row],[DATA REAL - FORMS]]&lt;&gt;""),1)</f>
        <v>1</v>
      </c>
      <c r="I219" s="16" cm="1">
        <f t="array" aca="1" ref="I21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EXAMES]]="",$AP219&gt;$AN$1),2,
AND(Tabela1[[#This Row],[STATUS PROCESSO MOBILIZAÇÃO]]="Em andamento",Tabela1[[#This Row],[DATA REAL - EXAMES]]="",$AP219&lt;=$AN$1),3,
AND(Tabela1[[#This Row],[STATUS PROCESSO MOBILIZAÇÃO]]="Em andamento",Tabela1[[#This Row],[DATA REAL - EXAMES]]&lt;&gt;""),1)</f>
        <v>1</v>
      </c>
      <c r="J219" s="16" cm="1">
        <f t="array" aca="1" ref="J21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ASO]]="",$AS219&gt;$AQ$1),2,
AND(Tabela1[[#This Row],[STATUS PROCESSO MOBILIZAÇÃO]]="Em andamento",Tabela1[[#This Row],[DATA REAL - ASO]]="",$AS219&lt;=$AQ$1),3,
AND(Tabela1[[#This Row],[STATUS PROCESSO MOBILIZAÇÃO]]="Em andamento",Tabela1[[#This Row],[DATA REAL - ASO]]&lt;&gt;""),1)</f>
        <v>1</v>
      </c>
      <c r="K219" s="16" cm="1">
        <f t="array" aca="1" ref="K21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TREINAMENTOS]]="",$AV219&gt;$AT$1),2,
AND(Tabela1[[#This Row],[STATUS PROCESSO MOBILIZAÇÃO]]="Em andamento",Tabela1[[#This Row],[DATA REAL - TREINAMENTOS]]="",$AV219&lt;=$AT$1),3,
AND(Tabela1[[#This Row],[STATUS PROCESSO MOBILIZAÇÃO]]="Em andamento",Tabela1[[#This Row],[DATA REAL - TREINAMENTOS]]&lt;&gt;""),1)</f>
        <v>1</v>
      </c>
      <c r="L219" s="16" cm="1">
        <f t="array" aca="1" ref="L21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TREIN.]]="",$AY219&gt;$AW$1),2,
AND(Tabela1[[#This Row],[STATUS PROCESSO MOBILIZAÇÃO]]="Em andamento",Tabela1[[#This Row],[DATA REAL - CONCL. TREIN.]]="",$AY219&lt;=$AW$1),3,
AND(Tabela1[[#This Row],[STATUS PROCESSO MOBILIZAÇÃO]]="Em andamento",Tabela1[[#This Row],[DATA REAL - CONCL. TREIN.]]&lt;&gt;""),1)</f>
        <v>1</v>
      </c>
      <c r="M219" s="16" cm="1">
        <f t="array" aca="1" ref="M21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CONTRATUAL]]="",$BB219&gt;$AZ$1),2,
AND(Tabela1[[#This Row],[STATUS PROCESSO MOBILIZAÇÃO]]="Em andamento",Tabela1[[#This Row],[DATA FIM - ALTER. CONTRATUAL]]="",$BB219&lt;=$AZ$1),3,
AND(Tabela1[[#This Row],[STATUS PROCESSO MOBILIZAÇÃO]]="Em andamento",Tabela1[[#This Row],[DATA FIM - ALTER. CONTRATUAL]]&lt;&gt;""),1)</f>
        <v>1</v>
      </c>
      <c r="N219" s="16" cm="1">
        <f t="array" aca="1" ref="N21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DOSSIÊ]]="",$BE219&gt;$BC$1),2,
AND(Tabela1[[#This Row],[STATUS PROCESSO MOBILIZAÇÃO]]="Em andamento",Tabela1[[#This Row],[DATA REAL - DOSSIÊ]]="",$BE219&lt;=$BC$1),3,
AND(Tabela1[[#This Row],[STATUS PROCESSO MOBILIZAÇÃO]]="Em andamento",Tabela1[[#This Row],[DATA REAL - DOSSIÊ]]&lt;&gt;""),1)</f>
        <v>1</v>
      </c>
      <c r="O219" s="16" cm="1">
        <f t="array" aca="1" ref="O21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POSTAGEM]]="",$BH219&gt;$BF$1),2,
AND(Tabela1[[#This Row],[STATUS PROCESSO MOBILIZAÇÃO]]="Em andamento",Tabela1[[#This Row],[DATA REAL - POSTAGEM]]="",$BH219&lt;=$BF$1),3,
AND(Tabela1[[#This Row],[STATUS PROCESSO MOBILIZAÇÃO]]="Em andamento",Tabela1[[#This Row],[DATA REAL - POSTAGEM]]&lt;&gt;""),1)</f>
        <v>1</v>
      </c>
      <c r="P219" s="16" cm="1">
        <f t="array" aca="1" ref="P21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FINAL]]="",$BK219&gt;$BI$1),2,
AND(Tabela1[[#This Row],[STATUS PROCESSO MOBILIZAÇÃO]]="Em andamento",Tabela1[[#This Row],[DATA REAL - APROV FINAL]]="",$BK219&lt;=$BI$1),3,
AND(Tabela1[[#This Row],[STATUS PROCESSO MOBILIZAÇÃO]]="Em andamento",Tabela1[[#This Row],[DATA REAL - APROV FINAL]]&lt;&gt;""),1)</f>
        <v>1</v>
      </c>
      <c r="Q219" s="16" cm="1">
        <f t="array" aca="1" ref="Q21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CRACHÁ]]="",$BN219&gt;$BL$1),2,
AND(Tabela1[[#This Row],[STATUS PROCESSO MOBILIZAÇÃO]]="Em andamento",Tabela1[[#This Row],[DATA REAL - CRACHÁ]]="",$BN219&lt;=$BL$1),3,
AND(Tabela1[[#This Row],[STATUS PROCESSO MOBILIZAÇÃO]]="Em andamento",Tabela1[[#This Row],[DATA REAL - CRACHÁ]]&lt;&gt;""),1)</f>
        <v>1</v>
      </c>
      <c r="R219" s="21">
        <f>IF(Tabela1[[#This Row],[DATA REAL - FORMS]]&lt;&gt;"",Tabela1[[#This Row],[DATA REAL - FORMS]]+30,Tabela1[[#This Row],[DATA PREV - FORMS]]+35)</f>
        <v>46137</v>
      </c>
      <c r="S21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46114</v>
      </c>
      <c r="T21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1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19" s="49">
        <f>MAX(Tabela1[[#This Row],[DATA REAL - POSTAGEM]],Tabela1[[#This Row],[DATA REAL - APROV FINAL]],Tabela1[[#This Row],[DATA REAL - CRACHÁ]])-MIN(Tabela1[[#This Row],[DATA REAL - POSTAGEM]],Tabela1[[#This Row],[DATA REAL - APROV FINAL]],Tabela1[[#This Row],[DATA REAL - CRACHÁ]])+1</f>
        <v>2</v>
      </c>
      <c r="W21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19" s="15" t="s">
        <v>110</v>
      </c>
      <c r="Y219" s="86" t="s">
        <v>84</v>
      </c>
      <c r="Z219" s="80" t="str">
        <f>_xlfn.XLOOKUP(Tabela1[[#This Row],[COO PHD]],TabControleEfetivo[NOME],TabControleEfetivo[email (PHD)],"")</f>
        <v>julio.cesar@phdengenharia.eng.br</v>
      </c>
      <c r="AA219" s="95" t="s">
        <v>86</v>
      </c>
      <c r="AB219" s="86" t="s">
        <v>97</v>
      </c>
      <c r="AC219" s="16" t="s">
        <v>400</v>
      </c>
      <c r="AD219" s="16" t="s">
        <v>89</v>
      </c>
      <c r="AE219" s="16" t="s">
        <v>682</v>
      </c>
      <c r="AF219" s="16" t="s">
        <v>402</v>
      </c>
      <c r="AG219" s="16" t="str">
        <f>_xlfn.XLOOKUP(Tabela1[[#This Row],[CÓD. CT]],Controle_Projetos[COD CT],Controle_Projetos[COD PHD],"")</f>
        <v>FIDE-CT02-PDER</v>
      </c>
      <c r="AH219" s="21">
        <v>46107</v>
      </c>
      <c r="AI219" s="76">
        <v>46107</v>
      </c>
      <c r="AJ219" s="16" cm="1">
        <f t="array" aca="1" ref="AJ21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19" s="21">
        <v>46107</v>
      </c>
      <c r="AL219" s="74">
        <v>46107</v>
      </c>
      <c r="AM219" s="16" cm="1">
        <f t="array" aca="1" ref="AM21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19" s="21">
        <f>Tabela1[[#This Row],[DATA PREV - FORMS]]+$AN$1</f>
        <v>46114</v>
      </c>
      <c r="AO219" s="74">
        <v>46107</v>
      </c>
      <c r="AP219" s="16" cm="1">
        <f t="array" aca="1" ref="AP21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19" s="21">
        <f>Tabela1[[#This Row],[DATA PREV - EXAMES]]+$AQ$1</f>
        <v>46116</v>
      </c>
      <c r="AR219" s="74">
        <v>46112</v>
      </c>
      <c r="AS219" s="16" cm="1">
        <f t="array" aca="1" ref="AS21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-3</v>
      </c>
      <c r="AT219" s="21">
        <f>Tabela1[[#This Row],[DATA PREV - FORMS]]+$AT$1</f>
        <v>46108</v>
      </c>
      <c r="AU219" s="74">
        <v>46107</v>
      </c>
      <c r="AV219" s="16" cm="1">
        <f t="array" aca="1" ref="AV21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19" s="21">
        <f>Tabela1[[#This Row],[DATA PREV - TREINAMENTOS]]+$AW$1</f>
        <v>46115</v>
      </c>
      <c r="AX219" s="74">
        <v>46112</v>
      </c>
      <c r="AY219" s="16" cm="1">
        <f t="array" aca="1" ref="AY21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219" s="24">
        <v>46107</v>
      </c>
      <c r="BA219" s="74">
        <v>46107</v>
      </c>
      <c r="BB219" s="16" cm="1">
        <f t="array" aca="1" ref="BB21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19" s="21">
        <f>Tabela1[[#This Row],[DATA PREV - CONCL. TREIN.]]+$BC$1</f>
        <v>46117</v>
      </c>
      <c r="BD219" s="74">
        <v>46113</v>
      </c>
      <c r="BE219" s="16" cm="1">
        <f t="array" aca="1" ref="BE21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19" s="21">
        <f>Tabela1[[#This Row],[DATA PREV - DOSSIÊ]]+$BF$1</f>
        <v>46120</v>
      </c>
      <c r="BG219" s="74">
        <v>46113</v>
      </c>
      <c r="BH219" s="16" cm="1">
        <f t="array" aca="1" ref="BH21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19" s="21">
        <f>Tabela1[[#This Row],[DATA PREV - POSTAGEM]]+$BI$1</f>
        <v>46126</v>
      </c>
      <c r="BJ219" s="74">
        <v>46114</v>
      </c>
      <c r="BK219" s="16" cm="1">
        <f t="array" aca="1" ref="BK21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19" s="21">
        <f>Tabela1[[#This Row],[DATA PREV - APROV FINAL]]+$BL$1</f>
        <v>46127</v>
      </c>
      <c r="BM219" s="74">
        <v>46114</v>
      </c>
      <c r="BN219" s="16" cm="1">
        <f t="array" aca="1" ref="BN21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19" s="81" t="s">
        <v>683</v>
      </c>
    </row>
    <row r="220" spans="2:67" ht="18" hidden="1" customHeight="1" x14ac:dyDescent="0.35">
      <c r="B220" s="84" t="s">
        <v>119</v>
      </c>
      <c r="C220" s="86" t="s">
        <v>136</v>
      </c>
      <c r="D220" s="16" t="s">
        <v>119</v>
      </c>
      <c r="E220" s="16">
        <v>801</v>
      </c>
      <c r="F220" s="16" t="s">
        <v>684</v>
      </c>
      <c r="G220" s="16" cm="1">
        <f t="array" ref="G220">_xlfn.IFS(Tabela1[[#This Row],[STATUS PROCESSO MOBILIZAÇÃO]]="Finalizado",1,Tabela1[[#This Row],[STATUS PROCESSO MOBILIZAÇÃO]]="Cancelado",2,Tabela1[[#This Row],[STATUS PROCESSO MOBILIZAÇÃO]]="Em andamento",3)</f>
        <v>2</v>
      </c>
      <c r="H220" s="16" cm="1">
        <f t="array" aca="1" ref="H22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FORMS]]="",$AM220&gt;$AK$1),2,
AND(Tabela1[[#This Row],[STATUS PROCESSO MOBILIZAÇÃO]]="Em andamento",Tabela1[[#This Row],[DATA REAL - FORMS]]="",$AM220&lt;=$AK$1),3,
AND(Tabela1[[#This Row],[STATUS PROCESSO MOBILIZAÇÃO]]="Em andamento",Tabela1[[#This Row],[DATA REAL - FORMS]]&lt;&gt;""),1)</f>
        <v>1</v>
      </c>
      <c r="I220" s="16" cm="1">
        <f t="array" aca="1" ref="I22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EXAMES]]="",$AP220&gt;$AN$1),2,
AND(Tabela1[[#This Row],[STATUS PROCESSO MOBILIZAÇÃO]]="Em andamento",Tabela1[[#This Row],[DATA REAL - EXAMES]]="",$AP220&lt;=$AN$1),3,
AND(Tabela1[[#This Row],[STATUS PROCESSO MOBILIZAÇÃO]]="Em andamento",Tabela1[[#This Row],[DATA REAL - EXAMES]]&lt;&gt;""),1)</f>
        <v>1</v>
      </c>
      <c r="J220" s="16" cm="1">
        <f t="array" aca="1" ref="J22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ASO]]="",$AS220&gt;$AQ$1),2,
AND(Tabela1[[#This Row],[STATUS PROCESSO MOBILIZAÇÃO]]="Em andamento",Tabela1[[#This Row],[DATA REAL - ASO]]="",$AS220&lt;=$AQ$1),3,
AND(Tabela1[[#This Row],[STATUS PROCESSO MOBILIZAÇÃO]]="Em andamento",Tabela1[[#This Row],[DATA REAL - ASO]]&lt;&gt;""),1)</f>
        <v>1</v>
      </c>
      <c r="K220" s="16" cm="1">
        <f t="array" aca="1" ref="K22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TREINAMENTOS]]="",$AV220&gt;$AT$1),2,
AND(Tabela1[[#This Row],[STATUS PROCESSO MOBILIZAÇÃO]]="Em andamento",Tabela1[[#This Row],[DATA REAL - TREINAMENTOS]]="",$AV220&lt;=$AT$1),3,
AND(Tabela1[[#This Row],[STATUS PROCESSO MOBILIZAÇÃO]]="Em andamento",Tabela1[[#This Row],[DATA REAL - TREINAMENTOS]]&lt;&gt;""),1)</f>
        <v>1</v>
      </c>
      <c r="L220" s="16" cm="1">
        <f t="array" aca="1" ref="L22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TREIN.]]="",$AY220&gt;$AW$1),2,
AND(Tabela1[[#This Row],[STATUS PROCESSO MOBILIZAÇÃO]]="Em andamento",Tabela1[[#This Row],[DATA REAL - CONCL. TREIN.]]="",$AY220&lt;=$AW$1),3,
AND(Tabela1[[#This Row],[STATUS PROCESSO MOBILIZAÇÃO]]="Em andamento",Tabela1[[#This Row],[DATA REAL - CONCL. TREIN.]]&lt;&gt;""),1)</f>
        <v>0</v>
      </c>
      <c r="M220" s="16" cm="1">
        <f t="array" aca="1" ref="M22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CONTRATUAL]]="",$BB220&gt;$AZ$1),2,
AND(Tabela1[[#This Row],[STATUS PROCESSO MOBILIZAÇÃO]]="Em andamento",Tabela1[[#This Row],[DATA FIM - ALTER. CONTRATUAL]]="",$BB220&lt;=$AZ$1),3,
AND(Tabela1[[#This Row],[STATUS PROCESSO MOBILIZAÇÃO]]="Em andamento",Tabela1[[#This Row],[DATA FIM - ALTER. CONTRATUAL]]&lt;&gt;""),1)</f>
        <v>1</v>
      </c>
      <c r="N220" s="16" cm="1">
        <f t="array" aca="1" ref="N22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DOSSIÊ]]="",$BE220&gt;$BC$1),2,
AND(Tabela1[[#This Row],[STATUS PROCESSO MOBILIZAÇÃO]]="Em andamento",Tabela1[[#This Row],[DATA REAL - DOSSIÊ]]="",$BE220&lt;=$BC$1),3,
AND(Tabela1[[#This Row],[STATUS PROCESSO MOBILIZAÇÃO]]="Em andamento",Tabela1[[#This Row],[DATA REAL - DOSSIÊ]]&lt;&gt;""),1)</f>
        <v>0</v>
      </c>
      <c r="O220" s="16" cm="1">
        <f t="array" aca="1" ref="O22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POSTAGEM]]="",$BH220&gt;$BF$1),2,
AND(Tabela1[[#This Row],[STATUS PROCESSO MOBILIZAÇÃO]]="Em andamento",Tabela1[[#This Row],[DATA REAL - POSTAGEM]]="",$BH220&lt;=$BF$1),3,
AND(Tabela1[[#This Row],[STATUS PROCESSO MOBILIZAÇÃO]]="Em andamento",Tabela1[[#This Row],[DATA REAL - POSTAGEM]]&lt;&gt;""),1)</f>
        <v>0</v>
      </c>
      <c r="P220" s="16" cm="1">
        <f t="array" aca="1" ref="P22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FINAL]]="",$BK220&gt;$BI$1),2,
AND(Tabela1[[#This Row],[STATUS PROCESSO MOBILIZAÇÃO]]="Em andamento",Tabela1[[#This Row],[DATA REAL - APROV FINAL]]="",$BK220&lt;=$BI$1),3,
AND(Tabela1[[#This Row],[STATUS PROCESSO MOBILIZAÇÃO]]="Em andamento",Tabela1[[#This Row],[DATA REAL - APROV FINAL]]&lt;&gt;""),1)</f>
        <v>0</v>
      </c>
      <c r="Q220" s="16" cm="1">
        <f t="array" aca="1" ref="Q22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CRACHÁ]]="",$BN220&gt;$BL$1),2,
AND(Tabela1[[#This Row],[STATUS PROCESSO MOBILIZAÇÃO]]="Em andamento",Tabela1[[#This Row],[DATA REAL - CRACHÁ]]="",$BN220&lt;=$BL$1),3,
AND(Tabela1[[#This Row],[STATUS PROCESSO MOBILIZAÇÃO]]="Em andamento",Tabela1[[#This Row],[DATA REAL - CRACHÁ]]&lt;&gt;""),1)</f>
        <v>1</v>
      </c>
      <c r="R220" s="21">
        <f>IF(Tabela1[[#This Row],[DATA REAL - FORMS]]&lt;&gt;"",Tabela1[[#This Row],[DATA REAL - FORMS]]+30,Tabela1[[#This Row],[DATA PREV - FORMS]]+35)</f>
        <v>46141</v>
      </c>
      <c r="S22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46175</v>
      </c>
      <c r="T22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64</v>
      </c>
      <c r="U22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20" s="49">
        <f>MAX(Tabela1[[#This Row],[DATA REAL - POSTAGEM]],Tabela1[[#This Row],[DATA REAL - APROV FINAL]],Tabela1[[#This Row],[DATA REAL - CRACHÁ]])-MIN(Tabela1[[#This Row],[DATA REAL - POSTAGEM]],Tabela1[[#This Row],[DATA REAL - APROV FINAL]],Tabela1[[#This Row],[DATA REAL - CRACHÁ]])+1</f>
        <v>1</v>
      </c>
      <c r="W22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163</v>
      </c>
      <c r="X220" s="15" t="s">
        <v>515</v>
      </c>
      <c r="Y220" s="16" t="s">
        <v>130</v>
      </c>
      <c r="Z220" s="80" t="str">
        <f>_xlfn.XLOOKUP(Tabela1[[#This Row],[COO PHD]],TabControleEfetivo[NOME],TabControleEfetivo[email (PHD)],"")</f>
        <v>ronaldo.machado@phdengenharia.eng.br</v>
      </c>
      <c r="AA220" s="95" t="s">
        <v>131</v>
      </c>
      <c r="AB220" s="86" t="s">
        <v>632</v>
      </c>
      <c r="AC220" s="86" t="s">
        <v>685</v>
      </c>
      <c r="AD220" s="86" t="s">
        <v>685</v>
      </c>
      <c r="AE220" s="86" t="s">
        <v>686</v>
      </c>
      <c r="AF220" s="16" t="s">
        <v>687</v>
      </c>
      <c r="AG220" s="16" t="str">
        <f>_xlfn.XLOOKUP(Tabela1[[#This Row],[CÓD. CT]],Controle_Projetos[COD CT],Controle_Projetos[COD PHD],"")</f>
        <v>APER-CT01-CONS</v>
      </c>
      <c r="AH220" s="21">
        <v>46111</v>
      </c>
      <c r="AI220" s="76"/>
      <c r="AJ220" s="16" cm="1">
        <f t="array" aca="1" ref="AJ22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0" s="21">
        <v>46111</v>
      </c>
      <c r="AL220" s="76">
        <v>46111</v>
      </c>
      <c r="AM220" s="16" cm="1">
        <f t="array" aca="1" ref="AM22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0" s="21">
        <f>Tabela1[[#This Row],[DATA PREV - FORMS]]+$AN$1</f>
        <v>46118</v>
      </c>
      <c r="AO220" s="74">
        <v>46111</v>
      </c>
      <c r="AP220" s="16" cm="1">
        <f t="array" aca="1" ref="AP22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0" s="21">
        <f>Tabela1[[#This Row],[DATA PREV - EXAMES]]+$AQ$1</f>
        <v>46120</v>
      </c>
      <c r="AR220" s="74">
        <v>46113</v>
      </c>
      <c r="AS220" s="16" cm="1">
        <f t="array" aca="1" ref="AS22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20" s="21">
        <f>Tabela1[[#This Row],[DATA PREV - FORMS]]+$AT$1</f>
        <v>46112</v>
      </c>
      <c r="AU220" s="74">
        <v>46111</v>
      </c>
      <c r="AV220" s="16" cm="1">
        <f t="array" aca="1" ref="AV22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0" s="21">
        <f>Tabela1[[#This Row],[DATA PREV - TREINAMENTOS]]+$AW$1</f>
        <v>46119</v>
      </c>
      <c r="AX220" s="74"/>
      <c r="AY220" s="16" cm="1">
        <f t="array" aca="1" ref="AY22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20" s="24">
        <v>46111</v>
      </c>
      <c r="BA220" s="74">
        <v>46111</v>
      </c>
      <c r="BB220" s="16" cm="1">
        <f t="array" aca="1" ref="BB22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0" s="21">
        <f>Tabela1[[#This Row],[DATA PREV - CONCL. TREIN.]]+$BC$1</f>
        <v>46121</v>
      </c>
      <c r="BD220" s="74"/>
      <c r="BE220" s="16" cm="1">
        <f t="array" aca="1" ref="BE22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20" s="21">
        <f>Tabela1[[#This Row],[DATA PREV - DOSSIÊ]]+$BF$1</f>
        <v>46124</v>
      </c>
      <c r="BG220" s="74"/>
      <c r="BH220" s="16" cm="1">
        <f t="array" aca="1" ref="BH22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20" s="21">
        <f>Tabela1[[#This Row],[DATA PREV - POSTAGEM]]+$BI$1</f>
        <v>46130</v>
      </c>
      <c r="BJ220" s="74"/>
      <c r="BK220" s="16" cm="1">
        <f t="array" aca="1" ref="BK22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20" s="21">
        <f>Tabela1[[#This Row],[DATA PREV - APROV FINAL]]+$BL$1</f>
        <v>46131</v>
      </c>
      <c r="BM220" s="74">
        <v>46175</v>
      </c>
      <c r="BN220" s="16" cm="1">
        <f t="array" aca="1" ref="BN22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45</v>
      </c>
      <c r="BO220" s="81" t="s">
        <v>688</v>
      </c>
    </row>
    <row r="221" spans="2:67" ht="18" hidden="1" customHeight="1" x14ac:dyDescent="0.35">
      <c r="B221" s="84" t="s">
        <v>119</v>
      </c>
      <c r="C221" s="86" t="s">
        <v>136</v>
      </c>
      <c r="D221" s="16" t="s">
        <v>119</v>
      </c>
      <c r="E221" s="16">
        <v>800</v>
      </c>
      <c r="F221" s="16" t="s">
        <v>689</v>
      </c>
      <c r="G221" s="16" cm="1">
        <f t="array" ref="G221">_xlfn.IFS(Tabela1[[#This Row],[STATUS PROCESSO MOBILIZAÇÃO]]="Finalizado",1,Tabela1[[#This Row],[STATUS PROCESSO MOBILIZAÇÃO]]="Cancelado",2,Tabela1[[#This Row],[STATUS PROCESSO MOBILIZAÇÃO]]="Em andamento",3)</f>
        <v>2</v>
      </c>
      <c r="H221" s="16" cm="1">
        <f t="array" aca="1" ref="H22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FORMS]]="",$AM221&gt;$AK$1),2,
AND(Tabela1[[#This Row],[STATUS PROCESSO MOBILIZAÇÃO]]="Em andamento",Tabela1[[#This Row],[DATA REAL - FORMS]]="",$AM221&lt;=$AK$1),3,
AND(Tabela1[[#This Row],[STATUS PROCESSO MOBILIZAÇÃO]]="Em andamento",Tabela1[[#This Row],[DATA REAL - FORMS]]&lt;&gt;""),1)</f>
        <v>1</v>
      </c>
      <c r="I221" s="16" cm="1">
        <f t="array" aca="1" ref="I22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EXAMES]]="",$AP221&gt;$AN$1),2,
AND(Tabela1[[#This Row],[STATUS PROCESSO MOBILIZAÇÃO]]="Em andamento",Tabela1[[#This Row],[DATA REAL - EXAMES]]="",$AP221&lt;=$AN$1),3,
AND(Tabela1[[#This Row],[STATUS PROCESSO MOBILIZAÇÃO]]="Em andamento",Tabela1[[#This Row],[DATA REAL - EXAMES]]&lt;&gt;""),1)</f>
        <v>1</v>
      </c>
      <c r="J221" s="16" cm="1">
        <f t="array" aca="1" ref="J22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ASO]]="",$AS221&gt;$AQ$1),2,
AND(Tabela1[[#This Row],[STATUS PROCESSO MOBILIZAÇÃO]]="Em andamento",Tabela1[[#This Row],[DATA REAL - ASO]]="",$AS221&lt;=$AQ$1),3,
AND(Tabela1[[#This Row],[STATUS PROCESSO MOBILIZAÇÃO]]="Em andamento",Tabela1[[#This Row],[DATA REAL - ASO]]&lt;&gt;""),1)</f>
        <v>0</v>
      </c>
      <c r="K221" s="16" cm="1">
        <f t="array" aca="1" ref="K22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TREINAMENTOS]]="",$AV221&gt;$AT$1),2,
AND(Tabela1[[#This Row],[STATUS PROCESSO MOBILIZAÇÃO]]="Em andamento",Tabela1[[#This Row],[DATA REAL - TREINAMENTOS]]="",$AV221&lt;=$AT$1),3,
AND(Tabela1[[#This Row],[STATUS PROCESSO MOBILIZAÇÃO]]="Em andamento",Tabela1[[#This Row],[DATA REAL - TREINAMENTOS]]&lt;&gt;""),1)</f>
        <v>1</v>
      </c>
      <c r="L221" s="16" cm="1">
        <f t="array" aca="1" ref="L22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TREIN.]]="",$AY221&gt;$AW$1),2,
AND(Tabela1[[#This Row],[STATUS PROCESSO MOBILIZAÇÃO]]="Em andamento",Tabela1[[#This Row],[DATA REAL - CONCL. TREIN.]]="",$AY221&lt;=$AW$1),3,
AND(Tabela1[[#This Row],[STATUS PROCESSO MOBILIZAÇÃO]]="Em andamento",Tabela1[[#This Row],[DATA REAL - CONCL. TREIN.]]&lt;&gt;""),1)</f>
        <v>1</v>
      </c>
      <c r="M221" s="16" cm="1">
        <f t="array" aca="1" ref="M22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CONTRATUAL]]="",$BB221&gt;$AZ$1),2,
AND(Tabela1[[#This Row],[STATUS PROCESSO MOBILIZAÇÃO]]="Em andamento",Tabela1[[#This Row],[DATA FIM - ALTER. CONTRATUAL]]="",$BB221&lt;=$AZ$1),3,
AND(Tabela1[[#This Row],[STATUS PROCESSO MOBILIZAÇÃO]]="Em andamento",Tabela1[[#This Row],[DATA FIM - ALTER. CONTRATUAL]]&lt;&gt;""),1)</f>
        <v>1</v>
      </c>
      <c r="N221" s="16" cm="1">
        <f t="array" aca="1" ref="N22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DOSSIÊ]]="",$BE221&gt;$BC$1),2,
AND(Tabela1[[#This Row],[STATUS PROCESSO MOBILIZAÇÃO]]="Em andamento",Tabela1[[#This Row],[DATA REAL - DOSSIÊ]]="",$BE221&lt;=$BC$1),3,
AND(Tabela1[[#This Row],[STATUS PROCESSO MOBILIZAÇÃO]]="Em andamento",Tabela1[[#This Row],[DATA REAL - DOSSIÊ]]&lt;&gt;""),1)</f>
        <v>0</v>
      </c>
      <c r="O221" s="16" cm="1">
        <f t="array" aca="1" ref="O22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POSTAGEM]]="",$BH221&gt;$BF$1),2,
AND(Tabela1[[#This Row],[STATUS PROCESSO MOBILIZAÇÃO]]="Em andamento",Tabela1[[#This Row],[DATA REAL - POSTAGEM]]="",$BH221&lt;=$BF$1),3,
AND(Tabela1[[#This Row],[STATUS PROCESSO MOBILIZAÇÃO]]="Em andamento",Tabela1[[#This Row],[DATA REAL - POSTAGEM]]&lt;&gt;""),1)</f>
        <v>0</v>
      </c>
      <c r="P221" s="16" cm="1">
        <f t="array" aca="1" ref="P22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FINAL]]="",$BK221&gt;$BI$1),2,
AND(Tabela1[[#This Row],[STATUS PROCESSO MOBILIZAÇÃO]]="Em andamento",Tabela1[[#This Row],[DATA REAL - APROV FINAL]]="",$BK221&lt;=$BI$1),3,
AND(Tabela1[[#This Row],[STATUS PROCESSO MOBILIZAÇÃO]]="Em andamento",Tabela1[[#This Row],[DATA REAL - APROV FINAL]]&lt;&gt;""),1)</f>
        <v>1</v>
      </c>
      <c r="Q221" s="16" cm="1">
        <f t="array" aca="1" ref="Q22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CRACHÁ]]="",$BN221&gt;$BL$1),2,
AND(Tabela1[[#This Row],[STATUS PROCESSO MOBILIZAÇÃO]]="Em andamento",Tabela1[[#This Row],[DATA REAL - CRACHÁ]]="",$BN221&lt;=$BL$1),3,
AND(Tabela1[[#This Row],[STATUS PROCESSO MOBILIZAÇÃO]]="Em andamento",Tabela1[[#This Row],[DATA REAL - CRACHÁ]]&lt;&gt;""),1)</f>
        <v>1</v>
      </c>
      <c r="R221" s="21">
        <f>IF(Tabela1[[#This Row],[DATA REAL - FORMS]]&lt;&gt;"",Tabela1[[#This Row],[DATA REAL - FORMS]]+30,Tabela1[[#This Row],[DATA PREV - FORMS]]+35)</f>
        <v>46141</v>
      </c>
      <c r="S22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46121</v>
      </c>
      <c r="T22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2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21" s="49">
        <f>MAX(Tabela1[[#This Row],[DATA REAL - POSTAGEM]],Tabela1[[#This Row],[DATA REAL - APROV FINAL]],Tabela1[[#This Row],[DATA REAL - CRACHÁ]])-MIN(Tabela1[[#This Row],[DATA REAL - POSTAGEM]],Tabela1[[#This Row],[DATA REAL - APROV FINAL]],Tabela1[[#This Row],[DATA REAL - CRACHÁ]])+1</f>
        <v>1</v>
      </c>
      <c r="W22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1" s="15" t="s">
        <v>431</v>
      </c>
      <c r="Y221" s="16" t="s">
        <v>355</v>
      </c>
      <c r="Z221" s="80" t="str">
        <f>_xlfn.XLOOKUP(Tabela1[[#This Row],[COO PHD]],TabControleEfetivo[NOME],TabControleEfetivo[email (PHD)],"")</f>
        <v>alex.silva@phdengenharia.eng.br</v>
      </c>
      <c r="AA221" s="18" t="s">
        <v>356</v>
      </c>
      <c r="AB221" s="16" t="s">
        <v>632</v>
      </c>
      <c r="AC221" s="16" t="s">
        <v>212</v>
      </c>
      <c r="AD221" s="16" t="s">
        <v>628</v>
      </c>
      <c r="AE221" s="16" t="s">
        <v>629</v>
      </c>
      <c r="AF221" s="16" t="s">
        <v>630</v>
      </c>
      <c r="AG221" s="16" t="str">
        <f>_xlfn.XLOOKUP(Tabela1[[#This Row],[CÓD. CT]],Controle_Projetos[COD CT],Controle_Projetos[COD PHD],"")</f>
        <v>NOBR-CT07-MOSA</v>
      </c>
      <c r="AH221" s="21">
        <v>46111</v>
      </c>
      <c r="AI221" s="76">
        <v>46111</v>
      </c>
      <c r="AJ221" s="16" cm="1">
        <f t="array" aca="1" ref="AJ22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1" s="21">
        <v>46111</v>
      </c>
      <c r="AL221" s="74">
        <v>46111</v>
      </c>
      <c r="AM221" s="16" cm="1">
        <f t="array" aca="1" ref="AM22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1" s="21">
        <f>Tabela1[[#This Row],[DATA PREV - FORMS]]+$AN$1</f>
        <v>46118</v>
      </c>
      <c r="AO221" s="74">
        <v>46111</v>
      </c>
      <c r="AP221" s="16" cm="1">
        <f t="array" aca="1" ref="AP22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1" s="21">
        <f>Tabela1[[#This Row],[DATA PREV - EXAMES]]+$AQ$1</f>
        <v>46120</v>
      </c>
      <c r="AR221" s="74"/>
      <c r="AS221" s="16" cm="1">
        <f t="array" aca="1" ref="AS22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21" s="21">
        <f>Tabela1[[#This Row],[DATA PREV - FORMS]]+$AT$1</f>
        <v>46112</v>
      </c>
      <c r="AU221" s="74">
        <v>46111</v>
      </c>
      <c r="AV221" s="16" cm="1">
        <f t="array" aca="1" ref="AV22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1" s="21">
        <f>Tabela1[[#This Row],[DATA PREV - TREINAMENTOS]]+$AW$1</f>
        <v>46119</v>
      </c>
      <c r="AX221" s="74">
        <v>46112</v>
      </c>
      <c r="AY221" s="16" cm="1">
        <f t="array" aca="1" ref="AY22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21" s="24">
        <v>46111</v>
      </c>
      <c r="BA221" s="74">
        <v>46111</v>
      </c>
      <c r="BB221" s="16" cm="1">
        <f t="array" aca="1" ref="BB22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1" s="21">
        <f>Tabela1[[#This Row],[DATA PREV - CONCL. TREIN.]]+$BC$1</f>
        <v>46121</v>
      </c>
      <c r="BD221" s="74"/>
      <c r="BE221" s="16" cm="1">
        <f t="array" aca="1" ref="BE22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21" s="21">
        <f>Tabela1[[#This Row],[DATA PREV - DOSSIÊ]]+$BF$1</f>
        <v>46124</v>
      </c>
      <c r="BG221" s="74"/>
      <c r="BH221" s="16" cm="1">
        <f t="array" aca="1" ref="BH22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21" s="21">
        <f>Tabela1[[#This Row],[DATA PREV - POSTAGEM]]+$BI$1</f>
        <v>46130</v>
      </c>
      <c r="BJ221" s="74">
        <v>46121</v>
      </c>
      <c r="BK221" s="16" cm="1">
        <f t="array" aca="1" ref="BK22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21" s="21">
        <f>Tabela1[[#This Row],[DATA PREV - APROV FINAL]]+$BL$1</f>
        <v>46131</v>
      </c>
      <c r="BM221" s="74">
        <v>46121</v>
      </c>
      <c r="BN221" s="16" cm="1">
        <f t="array" aca="1" ref="BN22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21" s="81" t="s">
        <v>690</v>
      </c>
    </row>
    <row r="222" spans="2:67" ht="18" hidden="1" customHeight="1" x14ac:dyDescent="0.35">
      <c r="B222" s="84" t="s">
        <v>79</v>
      </c>
      <c r="C222" s="86" t="s">
        <v>136</v>
      </c>
      <c r="D222" s="16" t="s">
        <v>81</v>
      </c>
      <c r="E222" s="16">
        <v>821</v>
      </c>
      <c r="F222" s="16" t="s">
        <v>465</v>
      </c>
      <c r="G222" s="16" cm="1">
        <f t="array" ref="G222">_xlfn.IFS(Tabela1[[#This Row],[STATUS PROCESSO MOBILIZAÇÃO]]="Finalizado",1,Tabela1[[#This Row],[STATUS PROCESSO MOBILIZAÇÃO]]="Cancelado",2,Tabela1[[#This Row],[STATUS PROCESSO MOBILIZAÇÃO]]="Em andamento",3)</f>
        <v>1</v>
      </c>
      <c r="H222" s="16" cm="1">
        <f t="array" aca="1" ref="H22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FORMS]]="",$AM222&gt;$AK$1),2,
AND(Tabela1[[#This Row],[STATUS PROCESSO MOBILIZAÇÃO]]="Em andamento",Tabela1[[#This Row],[DATA REAL - FORMS]]="",$AM222&lt;=$AK$1),3,
AND(Tabela1[[#This Row],[STATUS PROCESSO MOBILIZAÇÃO]]="Em andamento",Tabela1[[#This Row],[DATA REAL - FORMS]]&lt;&gt;""),1)</f>
        <v>1</v>
      </c>
      <c r="I222" s="16" cm="1">
        <f t="array" aca="1" ref="I22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EXAMES]]="",$AP222&gt;$AN$1),2,
AND(Tabela1[[#This Row],[STATUS PROCESSO MOBILIZAÇÃO]]="Em andamento",Tabela1[[#This Row],[DATA REAL - EXAMES]]="",$AP222&lt;=$AN$1),3,
AND(Tabela1[[#This Row],[STATUS PROCESSO MOBILIZAÇÃO]]="Em andamento",Tabela1[[#This Row],[DATA REAL - EXAMES]]&lt;&gt;""),1)</f>
        <v>1</v>
      </c>
      <c r="J222" s="16" cm="1">
        <f t="array" aca="1" ref="J22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ASO]]="",$AS222&gt;$AQ$1),2,
AND(Tabela1[[#This Row],[STATUS PROCESSO MOBILIZAÇÃO]]="Em andamento",Tabela1[[#This Row],[DATA REAL - ASO]]="",$AS222&lt;=$AQ$1),3,
AND(Tabela1[[#This Row],[STATUS PROCESSO MOBILIZAÇÃO]]="Em andamento",Tabela1[[#This Row],[DATA REAL - ASO]]&lt;&gt;""),1)</f>
        <v>1</v>
      </c>
      <c r="K222" s="16" cm="1">
        <f t="array" aca="1" ref="K22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TREINAMENTOS]]="",$AV222&gt;$AT$1),2,
AND(Tabela1[[#This Row],[STATUS PROCESSO MOBILIZAÇÃO]]="Em andamento",Tabela1[[#This Row],[DATA REAL - TREINAMENTOS]]="",$AV222&lt;=$AT$1),3,
AND(Tabela1[[#This Row],[STATUS PROCESSO MOBILIZAÇÃO]]="Em andamento",Tabela1[[#This Row],[DATA REAL - TREINAMENTOS]]&lt;&gt;""),1)</f>
        <v>1</v>
      </c>
      <c r="L222" s="16" cm="1">
        <f t="array" aca="1" ref="L22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TREIN.]]="",$AY222&gt;$AW$1),2,
AND(Tabela1[[#This Row],[STATUS PROCESSO MOBILIZAÇÃO]]="Em andamento",Tabela1[[#This Row],[DATA REAL - CONCL. TREIN.]]="",$AY222&lt;=$AW$1),3,
AND(Tabela1[[#This Row],[STATUS PROCESSO MOBILIZAÇÃO]]="Em andamento",Tabela1[[#This Row],[DATA REAL - CONCL. TREIN.]]&lt;&gt;""),1)</f>
        <v>1</v>
      </c>
      <c r="M222" s="16" cm="1">
        <f t="array" aca="1" ref="M22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CONTRATUAL]]="",$BB222&gt;$AZ$1),2,
AND(Tabela1[[#This Row],[STATUS PROCESSO MOBILIZAÇÃO]]="Em andamento",Tabela1[[#This Row],[DATA FIM - ALTER. CONTRATUAL]]="",$BB222&lt;=$AZ$1),3,
AND(Tabela1[[#This Row],[STATUS PROCESSO MOBILIZAÇÃO]]="Em andamento",Tabela1[[#This Row],[DATA FIM - ALTER. CONTRATUAL]]&lt;&gt;""),1)</f>
        <v>1</v>
      </c>
      <c r="N222" s="16" cm="1">
        <f t="array" aca="1" ref="N22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DOSSIÊ]]="",$BE222&gt;$BC$1),2,
AND(Tabela1[[#This Row],[STATUS PROCESSO MOBILIZAÇÃO]]="Em andamento",Tabela1[[#This Row],[DATA REAL - DOSSIÊ]]="",$BE222&lt;=$BC$1),3,
AND(Tabela1[[#This Row],[STATUS PROCESSO MOBILIZAÇÃO]]="Em andamento",Tabela1[[#This Row],[DATA REAL - DOSSIÊ]]&lt;&gt;""),1)</f>
        <v>1</v>
      </c>
      <c r="O222" s="16" cm="1">
        <f t="array" aca="1" ref="O22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POSTAGEM]]="",$BH222&gt;$BF$1),2,
AND(Tabela1[[#This Row],[STATUS PROCESSO MOBILIZAÇÃO]]="Em andamento",Tabela1[[#This Row],[DATA REAL - POSTAGEM]]="",$BH222&lt;=$BF$1),3,
AND(Tabela1[[#This Row],[STATUS PROCESSO MOBILIZAÇÃO]]="Em andamento",Tabela1[[#This Row],[DATA REAL - POSTAGEM]]&lt;&gt;""),1)</f>
        <v>1</v>
      </c>
      <c r="P222" s="16" cm="1">
        <f t="array" aca="1" ref="P22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FINAL]]="",$BK222&gt;$BI$1),2,
AND(Tabela1[[#This Row],[STATUS PROCESSO MOBILIZAÇÃO]]="Em andamento",Tabela1[[#This Row],[DATA REAL - APROV FINAL]]="",$BK222&lt;=$BI$1),3,
AND(Tabela1[[#This Row],[STATUS PROCESSO MOBILIZAÇÃO]]="Em andamento",Tabela1[[#This Row],[DATA REAL - APROV FINAL]]&lt;&gt;""),1)</f>
        <v>1</v>
      </c>
      <c r="Q222" s="16" cm="1">
        <f t="array" aca="1" ref="Q22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CRACHÁ]]="",$BN222&gt;$BL$1),2,
AND(Tabela1[[#This Row],[STATUS PROCESSO MOBILIZAÇÃO]]="Em andamento",Tabela1[[#This Row],[DATA REAL - CRACHÁ]]="",$BN222&lt;=$BL$1),3,
AND(Tabela1[[#This Row],[STATUS PROCESSO MOBILIZAÇÃO]]="Em andamento",Tabela1[[#This Row],[DATA REAL - CRACHÁ]]&lt;&gt;""),1)</f>
        <v>1</v>
      </c>
      <c r="R222" s="21">
        <f>IF(Tabela1[[#This Row],[DATA REAL - FORMS]]&lt;&gt;"",Tabela1[[#This Row],[DATA REAL - FORMS]]+30,Tabela1[[#This Row],[DATA PREV - FORMS]]+35)</f>
        <v>46144</v>
      </c>
      <c r="S22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46119</v>
      </c>
      <c r="T22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v>
      </c>
      <c r="U22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22" s="49">
        <f>MAX(Tabela1[[#This Row],[DATA REAL - POSTAGEM]],Tabela1[[#This Row],[DATA REAL - APROV FINAL]],Tabela1[[#This Row],[DATA REAL - CRACHÁ]])-MIN(Tabela1[[#This Row],[DATA REAL - POSTAGEM]],Tabela1[[#This Row],[DATA REAL - APROV FINAL]],Tabela1[[#This Row],[DATA REAL - CRACHÁ]])+1</f>
        <v>6</v>
      </c>
      <c r="W22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2" s="15"/>
      <c r="Y222" s="16" t="s">
        <v>84</v>
      </c>
      <c r="Z222" s="16"/>
      <c r="AA222" s="96" t="s">
        <v>86</v>
      </c>
      <c r="AB222" s="16" t="s">
        <v>97</v>
      </c>
      <c r="AC222" s="16" t="s">
        <v>132</v>
      </c>
      <c r="AD222" s="16" t="s">
        <v>132</v>
      </c>
      <c r="AE222" s="16" t="s">
        <v>337</v>
      </c>
      <c r="AF222" s="16" t="s">
        <v>379</v>
      </c>
      <c r="AG222" s="16" t="str">
        <f>_xlfn.XLOOKUP(Tabela1[[#This Row],[CÓD. CT]],Controle_Projetos[COD CT],Controle_Projetos[COD PHD],"")</f>
        <v>GERD-CT14-PIND</v>
      </c>
      <c r="AH222" s="21">
        <v>46114</v>
      </c>
      <c r="AI222" s="76">
        <v>46114</v>
      </c>
      <c r="AJ222" s="16" cm="1">
        <f t="array" aca="1" ref="AJ22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2" s="21">
        <v>46114</v>
      </c>
      <c r="AL222" s="74">
        <v>46114</v>
      </c>
      <c r="AM222" s="16" cm="1">
        <f t="array" aca="1" ref="AM22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2" s="21">
        <f>Tabela1[[#This Row],[DATA PREV - FORMS]]+$AN$1</f>
        <v>46121</v>
      </c>
      <c r="AO222" s="74">
        <v>46114</v>
      </c>
      <c r="AP222" s="16" cm="1">
        <f t="array" aca="1" ref="AP22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2" s="21">
        <f>Tabela1[[#This Row],[DATA PREV - EXAMES]]+$AQ$1</f>
        <v>46123</v>
      </c>
      <c r="AR222" s="74">
        <v>46114</v>
      </c>
      <c r="AS222" s="16" cm="1">
        <f t="array" aca="1" ref="AS22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22" s="21">
        <f>Tabela1[[#This Row],[DATA PREV - FORMS]]+$AT$1</f>
        <v>46115</v>
      </c>
      <c r="AU222" s="74">
        <v>46114</v>
      </c>
      <c r="AV222" s="16" cm="1">
        <f t="array" aca="1" ref="AV22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2" s="21">
        <f>Tabela1[[#This Row],[DATA PREV - TREINAMENTOS]]+$AW$1</f>
        <v>46122</v>
      </c>
      <c r="AX222" s="74">
        <v>46114</v>
      </c>
      <c r="AY222" s="16" cm="1">
        <f t="array" aca="1" ref="AY22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22" s="24">
        <v>46114</v>
      </c>
      <c r="BA222" s="74">
        <v>46114</v>
      </c>
      <c r="BB222" s="16" cm="1">
        <f t="array" aca="1" ref="BB22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2" s="21">
        <f>Tabela1[[#This Row],[DATA PREV - CONCL. TREIN.]]+$BC$1</f>
        <v>46124</v>
      </c>
      <c r="BD222" s="74">
        <v>46114</v>
      </c>
      <c r="BE222" s="16" cm="1">
        <f t="array" aca="1" ref="BE22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22" s="21">
        <f>Tabela1[[#This Row],[DATA PREV - DOSSIÊ]]+$BF$1</f>
        <v>46127</v>
      </c>
      <c r="BG222" s="74">
        <v>46114</v>
      </c>
      <c r="BH222" s="16" cm="1">
        <f t="array" aca="1" ref="BH22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22" s="21">
        <f>Tabela1[[#This Row],[DATA PREV - POSTAGEM]]+$BI$1</f>
        <v>46133</v>
      </c>
      <c r="BJ222" s="74">
        <v>46119</v>
      </c>
      <c r="BK222" s="16" cm="1">
        <f t="array" aca="1" ref="BK22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222" s="21">
        <f>Tabela1[[#This Row],[DATA PREV - APROV FINAL]]+$BL$1</f>
        <v>46134</v>
      </c>
      <c r="BM222" s="74">
        <v>46119</v>
      </c>
      <c r="BN222" s="16" cm="1">
        <f t="array" aca="1" ref="BN22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222" s="81" t="s">
        <v>691</v>
      </c>
    </row>
    <row r="223" spans="2:67" ht="18" hidden="1" customHeight="1" x14ac:dyDescent="0.35">
      <c r="B223" s="14" t="s">
        <v>79</v>
      </c>
      <c r="C223" s="16" t="s">
        <v>136</v>
      </c>
      <c r="D223" s="16" t="s">
        <v>108</v>
      </c>
      <c r="E223" s="16">
        <v>827</v>
      </c>
      <c r="F223" s="16" t="s">
        <v>445</v>
      </c>
      <c r="G223" s="16" cm="1">
        <f t="array" ref="G223">_xlfn.IFS(Tabela1[[#This Row],[STATUS PROCESSO MOBILIZAÇÃO]]="Finalizado",1,Tabela1[[#This Row],[STATUS PROCESSO MOBILIZAÇÃO]]="Cancelado",2,Tabela1[[#This Row],[STATUS PROCESSO MOBILIZAÇÃO]]="Em andamento",3)</f>
        <v>1</v>
      </c>
      <c r="H223" s="16" cm="1">
        <f t="array" aca="1" ref="H22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FORMS]]="",$AM223&gt;$AK$1),2,
AND(Tabela1[[#This Row],[STATUS PROCESSO MOBILIZAÇÃO]]="Em andamento",Tabela1[[#This Row],[DATA REAL - FORMS]]="",$AM223&lt;=$AK$1),3,
AND(Tabela1[[#This Row],[STATUS PROCESSO MOBILIZAÇÃO]]="Em andamento",Tabela1[[#This Row],[DATA REAL - FORMS]]&lt;&gt;""),1)</f>
        <v>1</v>
      </c>
      <c r="I223" s="16" cm="1">
        <f t="array" aca="1" ref="I22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EXAMES]]="",$AP223&gt;$AN$1),2,
AND(Tabela1[[#This Row],[STATUS PROCESSO MOBILIZAÇÃO]]="Em andamento",Tabela1[[#This Row],[DATA REAL - EXAMES]]="",$AP223&lt;=$AN$1),3,
AND(Tabela1[[#This Row],[STATUS PROCESSO MOBILIZAÇÃO]]="Em andamento",Tabela1[[#This Row],[DATA REAL - EXAMES]]&lt;&gt;""),1)</f>
        <v>1</v>
      </c>
      <c r="J223" s="16" cm="1">
        <f t="array" aca="1" ref="J22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ASO]]="",$AS223&gt;$AQ$1),2,
AND(Tabela1[[#This Row],[STATUS PROCESSO MOBILIZAÇÃO]]="Em andamento",Tabela1[[#This Row],[DATA REAL - ASO]]="",$AS223&lt;=$AQ$1),3,
AND(Tabela1[[#This Row],[STATUS PROCESSO MOBILIZAÇÃO]]="Em andamento",Tabela1[[#This Row],[DATA REAL - ASO]]&lt;&gt;""),1)</f>
        <v>1</v>
      </c>
      <c r="K223" s="16" cm="1">
        <f t="array" aca="1" ref="K22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TREINAMENTOS]]="",$AV223&gt;$AT$1),2,
AND(Tabela1[[#This Row],[STATUS PROCESSO MOBILIZAÇÃO]]="Em andamento",Tabela1[[#This Row],[DATA REAL - TREINAMENTOS]]="",$AV223&lt;=$AT$1),3,
AND(Tabela1[[#This Row],[STATUS PROCESSO MOBILIZAÇÃO]]="Em andamento",Tabela1[[#This Row],[DATA REAL - TREINAMENTOS]]&lt;&gt;""),1)</f>
        <v>1</v>
      </c>
      <c r="L223" s="16" cm="1">
        <f t="array" aca="1" ref="L22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TREIN.]]="",$AY223&gt;$AW$1),2,
AND(Tabela1[[#This Row],[STATUS PROCESSO MOBILIZAÇÃO]]="Em andamento",Tabela1[[#This Row],[DATA REAL - CONCL. TREIN.]]="",$AY223&lt;=$AW$1),3,
AND(Tabela1[[#This Row],[STATUS PROCESSO MOBILIZAÇÃO]]="Em andamento",Tabela1[[#This Row],[DATA REAL - CONCL. TREIN.]]&lt;&gt;""),1)</f>
        <v>1</v>
      </c>
      <c r="M223" s="16" cm="1">
        <f t="array" aca="1" ref="M22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CONTRATUAL]]="",$BB223&gt;$AZ$1),2,
AND(Tabela1[[#This Row],[STATUS PROCESSO MOBILIZAÇÃO]]="Em andamento",Tabela1[[#This Row],[DATA FIM - ALTER. CONTRATUAL]]="",$BB223&lt;=$AZ$1),3,
AND(Tabela1[[#This Row],[STATUS PROCESSO MOBILIZAÇÃO]]="Em andamento",Tabela1[[#This Row],[DATA FIM - ALTER. CONTRATUAL]]&lt;&gt;""),1)</f>
        <v>1</v>
      </c>
      <c r="N223" s="16" cm="1">
        <f t="array" aca="1" ref="N22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DOSSIÊ]]="",$BE223&gt;$BC$1),2,
AND(Tabela1[[#This Row],[STATUS PROCESSO MOBILIZAÇÃO]]="Em andamento",Tabela1[[#This Row],[DATA REAL - DOSSIÊ]]="",$BE223&lt;=$BC$1),3,
AND(Tabela1[[#This Row],[STATUS PROCESSO MOBILIZAÇÃO]]="Em andamento",Tabela1[[#This Row],[DATA REAL - DOSSIÊ]]&lt;&gt;""),1)</f>
        <v>1</v>
      </c>
      <c r="O223" s="16" cm="1">
        <f t="array" aca="1" ref="O22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POSTAGEM]]="",$BH223&gt;$BF$1),2,
AND(Tabela1[[#This Row],[STATUS PROCESSO MOBILIZAÇÃO]]="Em andamento",Tabela1[[#This Row],[DATA REAL - POSTAGEM]]="",$BH223&lt;=$BF$1),3,
AND(Tabela1[[#This Row],[STATUS PROCESSO MOBILIZAÇÃO]]="Em andamento",Tabela1[[#This Row],[DATA REAL - POSTAGEM]]&lt;&gt;""),1)</f>
        <v>1</v>
      </c>
      <c r="P223" s="16" cm="1">
        <f t="array" aca="1" ref="P22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FINAL]]="",$BK223&gt;$BI$1),2,
AND(Tabela1[[#This Row],[STATUS PROCESSO MOBILIZAÇÃO]]="Em andamento",Tabela1[[#This Row],[DATA REAL - APROV FINAL]]="",$BK223&lt;=$BI$1),3,
AND(Tabela1[[#This Row],[STATUS PROCESSO MOBILIZAÇÃO]]="Em andamento",Tabela1[[#This Row],[DATA REAL - APROV FINAL]]&lt;&gt;""),1)</f>
        <v>1</v>
      </c>
      <c r="Q223" s="16" cm="1">
        <f t="array" aca="1" ref="Q22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CRACHÁ]]="",$BN223&gt;$BL$1),2,
AND(Tabela1[[#This Row],[STATUS PROCESSO MOBILIZAÇÃO]]="Em andamento",Tabela1[[#This Row],[DATA REAL - CRACHÁ]]="",$BN223&lt;=$BL$1),3,
AND(Tabela1[[#This Row],[STATUS PROCESSO MOBILIZAÇÃO]]="Em andamento",Tabela1[[#This Row],[DATA REAL - CRACHÁ]]&lt;&gt;""),1)</f>
        <v>1</v>
      </c>
      <c r="R223" s="21">
        <f>IF(Tabela1[[#This Row],[DATA REAL - FORMS]]&lt;&gt;"",Tabela1[[#This Row],[DATA REAL - FORMS]]+30,Tabela1[[#This Row],[DATA PREV - FORMS]]+35)</f>
        <v>46148</v>
      </c>
      <c r="S22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46125</v>
      </c>
      <c r="T22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2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23" s="49">
        <f>MAX(Tabela1[[#This Row],[DATA REAL - POSTAGEM]],Tabela1[[#This Row],[DATA REAL - APROV FINAL]],Tabela1[[#This Row],[DATA REAL - CRACHÁ]])-MIN(Tabela1[[#This Row],[DATA REAL - POSTAGEM]],Tabela1[[#This Row],[DATA REAL - APROV FINAL]],Tabela1[[#This Row],[DATA REAL - CRACHÁ]])+1</f>
        <v>4</v>
      </c>
      <c r="W22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3" s="15" t="s">
        <v>121</v>
      </c>
      <c r="Y223" s="16" t="s">
        <v>122</v>
      </c>
      <c r="Z223" s="80" t="str">
        <f>_xlfn.XLOOKUP(Tabela1[[#This Row],[COO PHD]],TabControleEfetivo[NOME],TabControleEfetivo[email (PHD)],"")</f>
        <v>thales.padua@phdengenharia.eng.br</v>
      </c>
      <c r="AA223" s="96" t="s">
        <v>124</v>
      </c>
      <c r="AB223" s="16" t="s">
        <v>97</v>
      </c>
      <c r="AC223" s="16" t="s">
        <v>153</v>
      </c>
      <c r="AD223" s="16" t="s">
        <v>153</v>
      </c>
      <c r="AE223" s="16" t="s">
        <v>437</v>
      </c>
      <c r="AF223" s="16" t="s">
        <v>438</v>
      </c>
      <c r="AG223" s="16" t="str">
        <f>_xlfn.XLOOKUP(Tabela1[[#This Row],[CÓD. CT]],Controle_Projetos[COD CT],Controle_Projetos[COD PHD],"")</f>
        <v>ADMB-CT10-GRMS</v>
      </c>
      <c r="AH223" s="21">
        <v>46118</v>
      </c>
      <c r="AI223" s="76">
        <v>46118</v>
      </c>
      <c r="AJ223" s="16" cm="1">
        <f t="array" aca="1" ref="AJ22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3" s="21">
        <v>46118</v>
      </c>
      <c r="AL223" s="74">
        <v>46118</v>
      </c>
      <c r="AM223" s="16" cm="1">
        <f t="array" aca="1" ref="AM22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3" s="21">
        <f>Tabela1[[#This Row],[DATA PREV - FORMS]]+$AN$1</f>
        <v>46125</v>
      </c>
      <c r="AO223" s="74">
        <v>46118</v>
      </c>
      <c r="AP223" s="16" cm="1">
        <f t="array" aca="1" ref="AP22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3" s="21">
        <f>Tabela1[[#This Row],[DATA PREV - EXAMES]]+$AQ$1</f>
        <v>46127</v>
      </c>
      <c r="AR223" s="74">
        <v>46122</v>
      </c>
      <c r="AS223" s="16" cm="1">
        <f t="array" aca="1" ref="AS22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23" s="21">
        <f>Tabela1[[#This Row],[DATA PREV - FORMS]]+$AT$1</f>
        <v>46119</v>
      </c>
      <c r="AU223" s="74">
        <v>46118</v>
      </c>
      <c r="AV223" s="16" cm="1">
        <f t="array" aca="1" ref="AV22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3" s="21">
        <f>Tabela1[[#This Row],[DATA PREV - TREINAMENTOS]]+$AW$1</f>
        <v>46126</v>
      </c>
      <c r="AX223" s="74">
        <v>46119</v>
      </c>
      <c r="AY223" s="16" cm="1">
        <f t="array" aca="1" ref="AY22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23" s="24">
        <v>46118</v>
      </c>
      <c r="BA223" s="74">
        <v>46118</v>
      </c>
      <c r="BB223" s="16" cm="1">
        <f t="array" aca="1" ref="BB22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3" s="21">
        <f>Tabela1[[#This Row],[DATA PREV - CONCL. TREIN.]]+$BC$1</f>
        <v>46128</v>
      </c>
      <c r="BD223" s="74">
        <v>46122</v>
      </c>
      <c r="BE223" s="16" cm="1">
        <f t="array" aca="1" ref="BE22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23" s="21">
        <f>Tabela1[[#This Row],[DATA PREV - DOSSIÊ]]+$BF$1</f>
        <v>46131</v>
      </c>
      <c r="BG223" s="74">
        <v>46122</v>
      </c>
      <c r="BH223" s="16" cm="1">
        <f t="array" aca="1" ref="BH22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23" s="21">
        <f>Tabela1[[#This Row],[DATA PREV - POSTAGEM]]+$BI$1</f>
        <v>46137</v>
      </c>
      <c r="BJ223" s="74">
        <v>46125</v>
      </c>
      <c r="BK223" s="16" cm="1">
        <f t="array" aca="1" ref="BK22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23" s="21">
        <f>Tabela1[[#This Row],[DATA PREV - APROV FINAL]]+$BL$1</f>
        <v>46138</v>
      </c>
      <c r="BM223" s="74">
        <v>46125</v>
      </c>
      <c r="BN223" s="16" cm="1">
        <f t="array" aca="1" ref="BN22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23" s="81" t="s">
        <v>692</v>
      </c>
    </row>
    <row r="224" spans="2:67" ht="18" hidden="1" customHeight="1" x14ac:dyDescent="0.35">
      <c r="B224" s="14" t="s">
        <v>79</v>
      </c>
      <c r="C224" s="16" t="s">
        <v>136</v>
      </c>
      <c r="D224" s="16" t="s">
        <v>108</v>
      </c>
      <c r="E224" s="16">
        <v>832</v>
      </c>
      <c r="F224" s="86" t="s">
        <v>595</v>
      </c>
      <c r="G224" s="16" cm="1">
        <f t="array" ref="G224">_xlfn.IFS(Tabela1[[#This Row],[STATUS PROCESSO MOBILIZAÇÃO]]="Finalizado",1,Tabela1[[#This Row],[STATUS PROCESSO MOBILIZAÇÃO]]="Cancelado",2,Tabela1[[#This Row],[STATUS PROCESSO MOBILIZAÇÃO]]="Em andamento",3)</f>
        <v>1</v>
      </c>
      <c r="H224" s="16" cm="1">
        <f t="array" aca="1" ref="H22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FORMS]]="",$AM224&gt;$AK$1),2,
AND(Tabela1[[#This Row],[STATUS PROCESSO MOBILIZAÇÃO]]="Em andamento",Tabela1[[#This Row],[DATA REAL - FORMS]]="",$AM224&lt;=$AK$1),3,
AND(Tabela1[[#This Row],[STATUS PROCESSO MOBILIZAÇÃO]]="Em andamento",Tabela1[[#This Row],[DATA REAL - FORMS]]&lt;&gt;""),1)</f>
        <v>1</v>
      </c>
      <c r="I224" s="16" cm="1">
        <f t="array" aca="1" ref="I22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EXAMES]]="",$AP224&gt;$AN$1),2,
AND(Tabela1[[#This Row],[STATUS PROCESSO MOBILIZAÇÃO]]="Em andamento",Tabela1[[#This Row],[DATA REAL - EXAMES]]="",$AP224&lt;=$AN$1),3,
AND(Tabela1[[#This Row],[STATUS PROCESSO MOBILIZAÇÃO]]="Em andamento",Tabela1[[#This Row],[DATA REAL - EXAMES]]&lt;&gt;""),1)</f>
        <v>1</v>
      </c>
      <c r="J224" s="16" cm="1">
        <f t="array" aca="1" ref="J22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ASO]]="",$AS224&gt;$AQ$1),2,
AND(Tabela1[[#This Row],[STATUS PROCESSO MOBILIZAÇÃO]]="Em andamento",Tabela1[[#This Row],[DATA REAL - ASO]]="",$AS224&lt;=$AQ$1),3,
AND(Tabela1[[#This Row],[STATUS PROCESSO MOBILIZAÇÃO]]="Em andamento",Tabela1[[#This Row],[DATA REAL - ASO]]&lt;&gt;""),1)</f>
        <v>1</v>
      </c>
      <c r="K224" s="16" cm="1">
        <f t="array" aca="1" ref="K22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TREINAMENTOS]]="",$AV224&gt;$AT$1),2,
AND(Tabela1[[#This Row],[STATUS PROCESSO MOBILIZAÇÃO]]="Em andamento",Tabela1[[#This Row],[DATA REAL - TREINAMENTOS]]="",$AV224&lt;=$AT$1),3,
AND(Tabela1[[#This Row],[STATUS PROCESSO MOBILIZAÇÃO]]="Em andamento",Tabela1[[#This Row],[DATA REAL - TREINAMENTOS]]&lt;&gt;""),1)</f>
        <v>1</v>
      </c>
      <c r="L224" s="16" cm="1">
        <f t="array" aca="1" ref="L22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TREIN.]]="",$AY224&gt;$AW$1),2,
AND(Tabela1[[#This Row],[STATUS PROCESSO MOBILIZAÇÃO]]="Em andamento",Tabela1[[#This Row],[DATA REAL - CONCL. TREIN.]]="",$AY224&lt;=$AW$1),3,
AND(Tabela1[[#This Row],[STATUS PROCESSO MOBILIZAÇÃO]]="Em andamento",Tabela1[[#This Row],[DATA REAL - CONCL. TREIN.]]&lt;&gt;""),1)</f>
        <v>1</v>
      </c>
      <c r="M224" s="16" cm="1">
        <f t="array" aca="1" ref="M22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CONTRATUAL]]="",$BB224&gt;$AZ$1),2,
AND(Tabela1[[#This Row],[STATUS PROCESSO MOBILIZAÇÃO]]="Em andamento",Tabela1[[#This Row],[DATA FIM - ALTER. CONTRATUAL]]="",$BB224&lt;=$AZ$1),3,
AND(Tabela1[[#This Row],[STATUS PROCESSO MOBILIZAÇÃO]]="Em andamento",Tabela1[[#This Row],[DATA FIM - ALTER. CONTRATUAL]]&lt;&gt;""),1)</f>
        <v>1</v>
      </c>
      <c r="N224" s="16" cm="1">
        <f t="array" aca="1" ref="N22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DOSSIÊ]]="",$BE224&gt;$BC$1),2,
AND(Tabela1[[#This Row],[STATUS PROCESSO MOBILIZAÇÃO]]="Em andamento",Tabela1[[#This Row],[DATA REAL - DOSSIÊ]]="",$BE224&lt;=$BC$1),3,
AND(Tabela1[[#This Row],[STATUS PROCESSO MOBILIZAÇÃO]]="Em andamento",Tabela1[[#This Row],[DATA REAL - DOSSIÊ]]&lt;&gt;""),1)</f>
        <v>1</v>
      </c>
      <c r="O224" s="16" cm="1">
        <f t="array" aca="1" ref="O22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POSTAGEM]]="",$BH224&gt;$BF$1),2,
AND(Tabela1[[#This Row],[STATUS PROCESSO MOBILIZAÇÃO]]="Em andamento",Tabela1[[#This Row],[DATA REAL - POSTAGEM]]="",$BH224&lt;=$BF$1),3,
AND(Tabela1[[#This Row],[STATUS PROCESSO MOBILIZAÇÃO]]="Em andamento",Tabela1[[#This Row],[DATA REAL - POSTAGEM]]&lt;&gt;""),1)</f>
        <v>1</v>
      </c>
      <c r="P224" s="16" cm="1">
        <f t="array" aca="1" ref="P22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FINAL]]="",$BK224&gt;$BI$1),2,
AND(Tabela1[[#This Row],[STATUS PROCESSO MOBILIZAÇÃO]]="Em andamento",Tabela1[[#This Row],[DATA REAL - APROV FINAL]]="",$BK224&lt;=$BI$1),3,
AND(Tabela1[[#This Row],[STATUS PROCESSO MOBILIZAÇÃO]]="Em andamento",Tabela1[[#This Row],[DATA REAL - APROV FINAL]]&lt;&gt;""),1)</f>
        <v>1</v>
      </c>
      <c r="Q224" s="16" cm="1">
        <f t="array" aca="1" ref="Q22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CRACHÁ]]="",$BN224&gt;$BL$1),2,
AND(Tabela1[[#This Row],[STATUS PROCESSO MOBILIZAÇÃO]]="Em andamento",Tabela1[[#This Row],[DATA REAL - CRACHÁ]]="",$BN224&lt;=$BL$1),3,
AND(Tabela1[[#This Row],[STATUS PROCESSO MOBILIZAÇÃO]]="Em andamento",Tabela1[[#This Row],[DATA REAL - CRACHÁ]]&lt;&gt;""),1)</f>
        <v>1</v>
      </c>
      <c r="R224" s="21">
        <f>IF(Tabela1[[#This Row],[DATA REAL - FORMS]]&lt;&gt;"",Tabela1[[#This Row],[DATA REAL - FORMS]]+30,Tabela1[[#This Row],[DATA PREV - FORMS]]+35)</f>
        <v>46148</v>
      </c>
      <c r="S22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46125</v>
      </c>
      <c r="T22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2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24" s="49">
        <f>MAX(Tabela1[[#This Row],[DATA REAL - POSTAGEM]],Tabela1[[#This Row],[DATA REAL - APROV FINAL]],Tabela1[[#This Row],[DATA REAL - CRACHÁ]])-MIN(Tabela1[[#This Row],[DATA REAL - POSTAGEM]],Tabela1[[#This Row],[DATA REAL - APROV FINAL]],Tabela1[[#This Row],[DATA REAL - CRACHÁ]])+1</f>
        <v>7</v>
      </c>
      <c r="W22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156</v>
      </c>
      <c r="X224" s="15" t="s">
        <v>121</v>
      </c>
      <c r="Y224" s="86" t="s">
        <v>122</v>
      </c>
      <c r="Z224" s="92" t="str">
        <f>_xlfn.XLOOKUP(Tabela1[[#This Row],[COO PHD]],TabControleEfetivo[NOME],TabControleEfetivo[email (PHD)],"")</f>
        <v>thales.padua@phdengenharia.eng.br</v>
      </c>
      <c r="AA224" s="95" t="s">
        <v>124</v>
      </c>
      <c r="AB224" s="86" t="s">
        <v>97</v>
      </c>
      <c r="AC224" s="86" t="s">
        <v>153</v>
      </c>
      <c r="AD224" s="86" t="s">
        <v>153</v>
      </c>
      <c r="AE224" s="86" t="s">
        <v>693</v>
      </c>
      <c r="AF224" s="86" t="s">
        <v>694</v>
      </c>
      <c r="AG224" s="16" t="str">
        <f>_xlfn.XLOOKUP(Tabela1[[#This Row],[CÓD. CT]],Controle_Projetos[COD CT],Controle_Projetos[COD PHD],"")</f>
        <v>ADMB-CT20-GERE</v>
      </c>
      <c r="AH224" s="21">
        <v>46118</v>
      </c>
      <c r="AI224" s="76"/>
      <c r="AJ224" s="16" cm="1">
        <f t="array" aca="1" ref="AJ22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4" s="21">
        <v>46118</v>
      </c>
      <c r="AL224" s="74">
        <v>46118</v>
      </c>
      <c r="AM224" s="16" cm="1">
        <f t="array" aca="1" ref="AM22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4" s="21">
        <f>Tabela1[[#This Row],[DATA PREV - FORMS]]+$AN$1</f>
        <v>46125</v>
      </c>
      <c r="AO224" s="74">
        <v>46118</v>
      </c>
      <c r="AP224" s="16" cm="1">
        <f t="array" aca="1" ref="AP22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4" s="21">
        <f>Tabela1[[#This Row],[DATA PREV - EXAMES]]+$AQ$1</f>
        <v>46127</v>
      </c>
      <c r="AR224" s="74">
        <v>46119</v>
      </c>
      <c r="AS224" s="16" cm="1">
        <f t="array" aca="1" ref="AS22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24" s="21">
        <f>Tabela1[[#This Row],[DATA PREV - FORMS]]+$AT$1</f>
        <v>46119</v>
      </c>
      <c r="AU224" s="74">
        <v>46118</v>
      </c>
      <c r="AV224" s="16" cm="1">
        <f t="array" aca="1" ref="AV22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4" s="21">
        <f>Tabela1[[#This Row],[DATA PREV - TREINAMENTOS]]+$AW$1</f>
        <v>46126</v>
      </c>
      <c r="AX224" s="74">
        <v>46119</v>
      </c>
      <c r="AY224" s="16" cm="1">
        <f t="array" aca="1" ref="AY22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24" s="24">
        <v>46118</v>
      </c>
      <c r="BA224" s="74">
        <v>46118</v>
      </c>
      <c r="BB224" s="16" cm="1">
        <f t="array" aca="1" ref="BB22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4" s="21">
        <f>Tabela1[[#This Row],[DATA PREV - CONCL. TREIN.]]+$BC$1</f>
        <v>46128</v>
      </c>
      <c r="BD224" s="74">
        <v>46119</v>
      </c>
      <c r="BE224" s="16" cm="1">
        <f t="array" aca="1" ref="BE22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24" s="21">
        <f>Tabela1[[#This Row],[DATA PREV - DOSSIÊ]]+$BF$1</f>
        <v>46131</v>
      </c>
      <c r="BG224" s="74">
        <v>46119</v>
      </c>
      <c r="BH224" s="16" cm="1">
        <f t="array" aca="1" ref="BH22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24" s="21">
        <f>Tabela1[[#This Row],[DATA PREV - POSTAGEM]]+$BI$1</f>
        <v>46137</v>
      </c>
      <c r="BJ224" s="74">
        <v>46122</v>
      </c>
      <c r="BK224" s="16" cm="1">
        <f t="array" aca="1" ref="BK22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-14</v>
      </c>
      <c r="BL224" s="21">
        <f>Tabela1[[#This Row],[DATA PREV - APROV FINAL]]+$BL$1</f>
        <v>46138</v>
      </c>
      <c r="BM224" s="74">
        <v>46125</v>
      </c>
      <c r="BN224" s="16" cm="1">
        <f t="array" aca="1" ref="BN22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24" s="81" t="s">
        <v>695</v>
      </c>
    </row>
    <row r="225" spans="2:67" ht="18" hidden="1" customHeight="1" x14ac:dyDescent="0.35">
      <c r="B225" s="14" t="s">
        <v>79</v>
      </c>
      <c r="C225" s="16" t="s">
        <v>136</v>
      </c>
      <c r="D225" s="16" t="s">
        <v>108</v>
      </c>
      <c r="E225" s="16">
        <v>828</v>
      </c>
      <c r="F225" s="16" t="s">
        <v>552</v>
      </c>
      <c r="G225" s="16" cm="1">
        <f t="array" ref="G225">_xlfn.IFS(Tabela1[[#This Row],[STATUS PROCESSO MOBILIZAÇÃO]]="Finalizado",1,Tabela1[[#This Row],[STATUS PROCESSO MOBILIZAÇÃO]]="Cancelado",2,Tabela1[[#This Row],[STATUS PROCESSO MOBILIZAÇÃO]]="Em andamento",3)</f>
        <v>1</v>
      </c>
      <c r="H225" s="16" cm="1">
        <f t="array" aca="1" ref="H22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FORMS]]="",$AM225&gt;$AK$1),2,
AND(Tabela1[[#This Row],[STATUS PROCESSO MOBILIZAÇÃO]]="Em andamento",Tabela1[[#This Row],[DATA REAL - FORMS]]="",$AM225&lt;=$AK$1),3,
AND(Tabela1[[#This Row],[STATUS PROCESSO MOBILIZAÇÃO]]="Em andamento",Tabela1[[#This Row],[DATA REAL - FORMS]]&lt;&gt;""),1)</f>
        <v>1</v>
      </c>
      <c r="I225" s="16" cm="1">
        <f t="array" aca="1" ref="I22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EXAMES]]="",$AP225&gt;$AN$1),2,
AND(Tabela1[[#This Row],[STATUS PROCESSO MOBILIZAÇÃO]]="Em andamento",Tabela1[[#This Row],[DATA REAL - EXAMES]]="",$AP225&lt;=$AN$1),3,
AND(Tabela1[[#This Row],[STATUS PROCESSO MOBILIZAÇÃO]]="Em andamento",Tabela1[[#This Row],[DATA REAL - EXAMES]]&lt;&gt;""),1)</f>
        <v>1</v>
      </c>
      <c r="J225" s="16" cm="1">
        <f t="array" aca="1" ref="J22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ASO]]="",$AS225&gt;$AQ$1),2,
AND(Tabela1[[#This Row],[STATUS PROCESSO MOBILIZAÇÃO]]="Em andamento",Tabela1[[#This Row],[DATA REAL - ASO]]="",$AS225&lt;=$AQ$1),3,
AND(Tabela1[[#This Row],[STATUS PROCESSO MOBILIZAÇÃO]]="Em andamento",Tabela1[[#This Row],[DATA REAL - ASO]]&lt;&gt;""),1)</f>
        <v>1</v>
      </c>
      <c r="K225" s="16" cm="1">
        <f t="array" aca="1" ref="K22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TREINAMENTOS]]="",$AV225&gt;$AT$1),2,
AND(Tabela1[[#This Row],[STATUS PROCESSO MOBILIZAÇÃO]]="Em andamento",Tabela1[[#This Row],[DATA REAL - TREINAMENTOS]]="",$AV225&lt;=$AT$1),3,
AND(Tabela1[[#This Row],[STATUS PROCESSO MOBILIZAÇÃO]]="Em andamento",Tabela1[[#This Row],[DATA REAL - TREINAMENTOS]]&lt;&gt;""),1)</f>
        <v>1</v>
      </c>
      <c r="L225" s="16" cm="1">
        <f t="array" aca="1" ref="L22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TREIN.]]="",$AY225&gt;$AW$1),2,
AND(Tabela1[[#This Row],[STATUS PROCESSO MOBILIZAÇÃO]]="Em andamento",Tabela1[[#This Row],[DATA REAL - CONCL. TREIN.]]="",$AY225&lt;=$AW$1),3,
AND(Tabela1[[#This Row],[STATUS PROCESSO MOBILIZAÇÃO]]="Em andamento",Tabela1[[#This Row],[DATA REAL - CONCL. TREIN.]]&lt;&gt;""),1)</f>
        <v>1</v>
      </c>
      <c r="M225" s="16" cm="1">
        <f t="array" aca="1" ref="M22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CONTRATUAL]]="",$BB225&gt;$AZ$1),2,
AND(Tabela1[[#This Row],[STATUS PROCESSO MOBILIZAÇÃO]]="Em andamento",Tabela1[[#This Row],[DATA FIM - ALTER. CONTRATUAL]]="",$BB225&lt;=$AZ$1),3,
AND(Tabela1[[#This Row],[STATUS PROCESSO MOBILIZAÇÃO]]="Em andamento",Tabela1[[#This Row],[DATA FIM - ALTER. CONTRATUAL]]&lt;&gt;""),1)</f>
        <v>1</v>
      </c>
      <c r="N225" s="16" cm="1">
        <f t="array" aca="1" ref="N22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DOSSIÊ]]="",$BE225&gt;$BC$1),2,
AND(Tabela1[[#This Row],[STATUS PROCESSO MOBILIZAÇÃO]]="Em andamento",Tabela1[[#This Row],[DATA REAL - DOSSIÊ]]="",$BE225&lt;=$BC$1),3,
AND(Tabela1[[#This Row],[STATUS PROCESSO MOBILIZAÇÃO]]="Em andamento",Tabela1[[#This Row],[DATA REAL - DOSSIÊ]]&lt;&gt;""),1)</f>
        <v>1</v>
      </c>
      <c r="O225" s="16" cm="1">
        <f t="array" aca="1" ref="O22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POSTAGEM]]="",$BH225&gt;$BF$1),2,
AND(Tabela1[[#This Row],[STATUS PROCESSO MOBILIZAÇÃO]]="Em andamento",Tabela1[[#This Row],[DATA REAL - POSTAGEM]]="",$BH225&lt;=$BF$1),3,
AND(Tabela1[[#This Row],[STATUS PROCESSO MOBILIZAÇÃO]]="Em andamento",Tabela1[[#This Row],[DATA REAL - POSTAGEM]]&lt;&gt;""),1)</f>
        <v>1</v>
      </c>
      <c r="P225" s="16" cm="1">
        <f t="array" aca="1" ref="P22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FINAL]]="",$BK225&gt;$BI$1),2,
AND(Tabela1[[#This Row],[STATUS PROCESSO MOBILIZAÇÃO]]="Em andamento",Tabela1[[#This Row],[DATA REAL - APROV FINAL]]="",$BK225&lt;=$BI$1),3,
AND(Tabela1[[#This Row],[STATUS PROCESSO MOBILIZAÇÃO]]="Em andamento",Tabela1[[#This Row],[DATA REAL - APROV FINAL]]&lt;&gt;""),1)</f>
        <v>1</v>
      </c>
      <c r="Q225" s="16" cm="1">
        <f t="array" aca="1" ref="Q22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CRACHÁ]]="",$BN225&gt;$BL$1),2,
AND(Tabela1[[#This Row],[STATUS PROCESSO MOBILIZAÇÃO]]="Em andamento",Tabela1[[#This Row],[DATA REAL - CRACHÁ]]="",$BN225&lt;=$BL$1),3,
AND(Tabela1[[#This Row],[STATUS PROCESSO MOBILIZAÇÃO]]="Em andamento",Tabela1[[#This Row],[DATA REAL - CRACHÁ]]&lt;&gt;""),1)</f>
        <v>1</v>
      </c>
      <c r="R225" s="21">
        <f>IF(Tabela1[[#This Row],[DATA REAL - FORMS]]&lt;&gt;"",Tabela1[[#This Row],[DATA REAL - FORMS]]+30,Tabela1[[#This Row],[DATA PREV - FORMS]]+35)</f>
        <v>46148</v>
      </c>
      <c r="S22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46125</v>
      </c>
      <c r="T22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2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25" s="49">
        <f>MAX(Tabela1[[#This Row],[DATA REAL - POSTAGEM]],Tabela1[[#This Row],[DATA REAL - APROV FINAL]],Tabela1[[#This Row],[DATA REAL - CRACHÁ]])-MIN(Tabela1[[#This Row],[DATA REAL - POSTAGEM]],Tabela1[[#This Row],[DATA REAL - APROV FINAL]],Tabela1[[#This Row],[DATA REAL - CRACHÁ]])+1</f>
        <v>4</v>
      </c>
      <c r="W22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5" s="15" t="s">
        <v>103</v>
      </c>
      <c r="Y225" s="86" t="s">
        <v>150</v>
      </c>
      <c r="Z225" s="104" t="str">
        <f>_xlfn.XLOOKUP(Tabela1[[#This Row],[COO PHD]],TabControleEfetivo[NOME],TabControleEfetivo[email (PHD)],"")</f>
        <v>tulio.rafael@phdengenharia.eng.br</v>
      </c>
      <c r="AA225" s="95" t="s">
        <v>152</v>
      </c>
      <c r="AB225" s="86" t="s">
        <v>97</v>
      </c>
      <c r="AC225" s="16" t="s">
        <v>88</v>
      </c>
      <c r="AD225" s="16" t="s">
        <v>89</v>
      </c>
      <c r="AE225" s="16" t="s">
        <v>644</v>
      </c>
      <c r="AF225" s="16" t="s">
        <v>645</v>
      </c>
      <c r="AG225" s="16" t="str">
        <f>_xlfn.XLOOKUP(Tabela1[[#This Row],[CÓD. CT]],Controle_Projetos[COD CT],Controle_Projetos[COD PHD],"")</f>
        <v>IMCS-CT09-PLAN</v>
      </c>
      <c r="AH225" s="21">
        <v>46118</v>
      </c>
      <c r="AI225" s="76">
        <v>46118</v>
      </c>
      <c r="AJ225" s="16" cm="1">
        <f t="array" aca="1" ref="AJ22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5" s="21">
        <v>46118</v>
      </c>
      <c r="AL225" s="74">
        <v>46118</v>
      </c>
      <c r="AM225" s="16" cm="1">
        <f t="array" aca="1" ref="AM22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5" s="21">
        <f>Tabela1[[#This Row],[DATA PREV - FORMS]]+$AN$1</f>
        <v>46125</v>
      </c>
      <c r="AO225" s="74">
        <v>46118</v>
      </c>
      <c r="AP225" s="16" cm="1">
        <f t="array" aca="1" ref="AP22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5" s="21">
        <f>Tabela1[[#This Row],[DATA PREV - EXAMES]]+$AQ$1</f>
        <v>46127</v>
      </c>
      <c r="AR225" s="74">
        <v>46119</v>
      </c>
      <c r="AS225" s="16" cm="1">
        <f t="array" aca="1" ref="AS22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25" s="21">
        <f>Tabela1[[#This Row],[DATA PREV - FORMS]]+$AT$1</f>
        <v>46119</v>
      </c>
      <c r="AU225" s="74">
        <v>46118</v>
      </c>
      <c r="AV225" s="16" cm="1">
        <f t="array" aca="1" ref="AV22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5" s="21">
        <f>Tabela1[[#This Row],[DATA PREV - TREINAMENTOS]]+$AW$1</f>
        <v>46126</v>
      </c>
      <c r="AX225" s="74">
        <v>46121</v>
      </c>
      <c r="AY225" s="16" cm="1">
        <f t="array" aca="1" ref="AY22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225" s="24">
        <v>46118</v>
      </c>
      <c r="BA225" s="74">
        <v>46118</v>
      </c>
      <c r="BB225" s="16" cm="1">
        <f t="array" aca="1" ref="BB22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5" s="21">
        <f>Tabela1[[#This Row],[DATA PREV - CONCL. TREIN.]]+$BC$1</f>
        <v>46128</v>
      </c>
      <c r="BD225" s="74">
        <v>46122</v>
      </c>
      <c r="BE225" s="16" cm="1">
        <f t="array" aca="1" ref="BE22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25" s="21">
        <f>Tabela1[[#This Row],[DATA PREV - DOSSIÊ]]+$BF$1</f>
        <v>46131</v>
      </c>
      <c r="BG225" s="74">
        <v>46122</v>
      </c>
      <c r="BH225" s="16" cm="1">
        <f t="array" aca="1" ref="BH22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25" s="21">
        <f>Tabela1[[#This Row],[DATA PREV - POSTAGEM]]+$BI$1</f>
        <v>46137</v>
      </c>
      <c r="BJ225" s="74">
        <v>46125</v>
      </c>
      <c r="BK225" s="16" cm="1">
        <f t="array" aca="1" ref="BK22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25" s="21">
        <f>Tabela1[[#This Row],[DATA PREV - APROV FINAL]]+$BL$1</f>
        <v>46138</v>
      </c>
      <c r="BM225" s="74">
        <v>46125</v>
      </c>
      <c r="BN225" s="16" cm="1">
        <f t="array" aca="1" ref="BN22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25" s="81" t="s">
        <v>696</v>
      </c>
    </row>
    <row r="226" spans="2:67" ht="18" hidden="1" customHeight="1" x14ac:dyDescent="0.35">
      <c r="B226" s="14" t="s">
        <v>79</v>
      </c>
      <c r="C226" s="16" t="s">
        <v>136</v>
      </c>
      <c r="D226" s="16" t="s">
        <v>108</v>
      </c>
      <c r="E226" s="16">
        <v>830</v>
      </c>
      <c r="F226" s="16" t="s">
        <v>315</v>
      </c>
      <c r="G226" s="16" cm="1">
        <f t="array" ref="G226">_xlfn.IFS(Tabela1[[#This Row],[STATUS PROCESSO MOBILIZAÇÃO]]="Finalizado",1,Tabela1[[#This Row],[STATUS PROCESSO MOBILIZAÇÃO]]="Cancelado",2,Tabela1[[#This Row],[STATUS PROCESSO MOBILIZAÇÃO]]="Em andamento",3)</f>
        <v>1</v>
      </c>
      <c r="H226" s="16" cm="1">
        <f t="array" aca="1" ref="H22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FORMS]]="",$AM226&gt;$AK$1),2,
AND(Tabela1[[#This Row],[STATUS PROCESSO MOBILIZAÇÃO]]="Em andamento",Tabela1[[#This Row],[DATA REAL - FORMS]]="",$AM226&lt;=$AK$1),3,
AND(Tabela1[[#This Row],[STATUS PROCESSO MOBILIZAÇÃO]]="Em andamento",Tabela1[[#This Row],[DATA REAL - FORMS]]&lt;&gt;""),1)</f>
        <v>1</v>
      </c>
      <c r="I226" s="16" cm="1">
        <f t="array" aca="1" ref="I22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EXAMES]]="",$AP226&gt;$AN$1),2,
AND(Tabela1[[#This Row],[STATUS PROCESSO MOBILIZAÇÃO]]="Em andamento",Tabela1[[#This Row],[DATA REAL - EXAMES]]="",$AP226&lt;=$AN$1),3,
AND(Tabela1[[#This Row],[STATUS PROCESSO MOBILIZAÇÃO]]="Em andamento",Tabela1[[#This Row],[DATA REAL - EXAMES]]&lt;&gt;""),1)</f>
        <v>1</v>
      </c>
      <c r="J226" s="16" cm="1">
        <f t="array" aca="1" ref="J22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ASO]]="",$AS226&gt;$AQ$1),2,
AND(Tabela1[[#This Row],[STATUS PROCESSO MOBILIZAÇÃO]]="Em andamento",Tabela1[[#This Row],[DATA REAL - ASO]]="",$AS226&lt;=$AQ$1),3,
AND(Tabela1[[#This Row],[STATUS PROCESSO MOBILIZAÇÃO]]="Em andamento",Tabela1[[#This Row],[DATA REAL - ASO]]&lt;&gt;""),1)</f>
        <v>1</v>
      </c>
      <c r="K226" s="16" cm="1">
        <f t="array" aca="1" ref="K22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TREINAMENTOS]]="",$AV226&gt;$AT$1),2,
AND(Tabela1[[#This Row],[STATUS PROCESSO MOBILIZAÇÃO]]="Em andamento",Tabela1[[#This Row],[DATA REAL - TREINAMENTOS]]="",$AV226&lt;=$AT$1),3,
AND(Tabela1[[#This Row],[STATUS PROCESSO MOBILIZAÇÃO]]="Em andamento",Tabela1[[#This Row],[DATA REAL - TREINAMENTOS]]&lt;&gt;""),1)</f>
        <v>1</v>
      </c>
      <c r="L226" s="16" cm="1">
        <f t="array" aca="1" ref="L22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TREIN.]]="",$AY226&gt;$AW$1),2,
AND(Tabela1[[#This Row],[STATUS PROCESSO MOBILIZAÇÃO]]="Em andamento",Tabela1[[#This Row],[DATA REAL - CONCL. TREIN.]]="",$AY226&lt;=$AW$1),3,
AND(Tabela1[[#This Row],[STATUS PROCESSO MOBILIZAÇÃO]]="Em andamento",Tabela1[[#This Row],[DATA REAL - CONCL. TREIN.]]&lt;&gt;""),1)</f>
        <v>1</v>
      </c>
      <c r="M226" s="16" cm="1">
        <f t="array" aca="1" ref="M22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CONTRATUAL]]="",$BB226&gt;$AZ$1),2,
AND(Tabela1[[#This Row],[STATUS PROCESSO MOBILIZAÇÃO]]="Em andamento",Tabela1[[#This Row],[DATA FIM - ALTER. CONTRATUAL]]="",$BB226&lt;=$AZ$1),3,
AND(Tabela1[[#This Row],[STATUS PROCESSO MOBILIZAÇÃO]]="Em andamento",Tabela1[[#This Row],[DATA FIM - ALTER. CONTRATUAL]]&lt;&gt;""),1)</f>
        <v>1</v>
      </c>
      <c r="N226" s="16" cm="1">
        <f t="array" aca="1" ref="N22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DOSSIÊ]]="",$BE226&gt;$BC$1),2,
AND(Tabela1[[#This Row],[STATUS PROCESSO MOBILIZAÇÃO]]="Em andamento",Tabela1[[#This Row],[DATA REAL - DOSSIÊ]]="",$BE226&lt;=$BC$1),3,
AND(Tabela1[[#This Row],[STATUS PROCESSO MOBILIZAÇÃO]]="Em andamento",Tabela1[[#This Row],[DATA REAL - DOSSIÊ]]&lt;&gt;""),1)</f>
        <v>1</v>
      </c>
      <c r="O226" s="16" cm="1">
        <f t="array" aca="1" ref="O22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POSTAGEM]]="",$BH226&gt;$BF$1),2,
AND(Tabela1[[#This Row],[STATUS PROCESSO MOBILIZAÇÃO]]="Em andamento",Tabela1[[#This Row],[DATA REAL - POSTAGEM]]="",$BH226&lt;=$BF$1),3,
AND(Tabela1[[#This Row],[STATUS PROCESSO MOBILIZAÇÃO]]="Em andamento",Tabela1[[#This Row],[DATA REAL - POSTAGEM]]&lt;&gt;""),1)</f>
        <v>1</v>
      </c>
      <c r="P226" s="16" cm="1">
        <f t="array" aca="1" ref="P22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FINAL]]="",$BK226&gt;$BI$1),2,
AND(Tabela1[[#This Row],[STATUS PROCESSO MOBILIZAÇÃO]]="Em andamento",Tabela1[[#This Row],[DATA REAL - APROV FINAL]]="",$BK226&lt;=$BI$1),3,
AND(Tabela1[[#This Row],[STATUS PROCESSO MOBILIZAÇÃO]]="Em andamento",Tabela1[[#This Row],[DATA REAL - APROV FINAL]]&lt;&gt;""),1)</f>
        <v>1</v>
      </c>
      <c r="Q226" s="16" cm="1">
        <f t="array" aca="1" ref="Q22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CRACHÁ]]="",$BN226&gt;$BL$1),2,
AND(Tabela1[[#This Row],[STATUS PROCESSO MOBILIZAÇÃO]]="Em andamento",Tabela1[[#This Row],[DATA REAL - CRACHÁ]]="",$BN226&lt;=$BL$1),3,
AND(Tabela1[[#This Row],[STATUS PROCESSO MOBILIZAÇÃO]]="Em andamento",Tabela1[[#This Row],[DATA REAL - CRACHÁ]]&lt;&gt;""),1)</f>
        <v>1</v>
      </c>
      <c r="R226" s="21">
        <f>IF(Tabela1[[#This Row],[DATA REAL - FORMS]]&lt;&gt;"",Tabela1[[#This Row],[DATA REAL - FORMS]]+30,Tabela1[[#This Row],[DATA PREV - FORMS]]+35)</f>
        <v>46148</v>
      </c>
      <c r="S22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46147</v>
      </c>
      <c r="T22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2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23</v>
      </c>
      <c r="V226" s="49">
        <f>MAX(Tabela1[[#This Row],[DATA REAL - POSTAGEM]],Tabela1[[#This Row],[DATA REAL - APROV FINAL]],Tabela1[[#This Row],[DATA REAL - CRACHÁ]])-MIN(Tabela1[[#This Row],[DATA REAL - POSTAGEM]],Tabela1[[#This Row],[DATA REAL - APROV FINAL]],Tabela1[[#This Row],[DATA REAL - CRACHÁ]])+1</f>
        <v>7</v>
      </c>
      <c r="W22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6" s="15" t="s">
        <v>103</v>
      </c>
      <c r="Y226" s="86" t="s">
        <v>150</v>
      </c>
      <c r="Z226" s="104" t="str">
        <f>_xlfn.XLOOKUP(Tabela1[[#This Row],[COO PHD]],TabControleEfetivo[NOME],TabControleEfetivo[email (PHD)],"")</f>
        <v>tulio.rafael@phdengenharia.eng.br</v>
      </c>
      <c r="AA226" s="95" t="s">
        <v>152</v>
      </c>
      <c r="AB226" s="86" t="s">
        <v>97</v>
      </c>
      <c r="AC226" s="86" t="s">
        <v>88</v>
      </c>
      <c r="AD226" s="86" t="s">
        <v>89</v>
      </c>
      <c r="AE226" s="86" t="s">
        <v>644</v>
      </c>
      <c r="AF226" s="86" t="s">
        <v>645</v>
      </c>
      <c r="AG226" s="16" t="str">
        <f>_xlfn.XLOOKUP(Tabela1[[#This Row],[CÓD. CT]],Controle_Projetos[COD CT],Controle_Projetos[COD PHD],"")</f>
        <v>IMCS-CT09-PLAN</v>
      </c>
      <c r="AH226" s="21">
        <v>46118</v>
      </c>
      <c r="AI226" s="76">
        <v>46118</v>
      </c>
      <c r="AJ226" s="16" cm="1">
        <f t="array" aca="1" ref="AJ22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6" s="21">
        <v>46118</v>
      </c>
      <c r="AL226" s="74">
        <v>46118</v>
      </c>
      <c r="AM226" s="16" cm="1">
        <f t="array" aca="1" ref="AM22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6" s="21">
        <f>Tabela1[[#This Row],[DATA PREV - FORMS]]+$AN$1</f>
        <v>46125</v>
      </c>
      <c r="AO226" s="74">
        <v>46118</v>
      </c>
      <c r="AP226" s="16" cm="1">
        <f t="array" aca="1" ref="AP22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6" s="21">
        <f>Tabela1[[#This Row],[DATA PREV - EXAMES]]+$AQ$1</f>
        <v>46127</v>
      </c>
      <c r="AR226" s="74">
        <v>46122</v>
      </c>
      <c r="AS226" s="16" cm="1">
        <f t="array" aca="1" ref="AS22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26" s="21">
        <f>Tabela1[[#This Row],[DATA PREV - FORMS]]+$AT$1</f>
        <v>46119</v>
      </c>
      <c r="AU226" s="74">
        <v>46118</v>
      </c>
      <c r="AV226" s="16" cm="1">
        <f t="array" aca="1" ref="AV22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6" s="21">
        <f>Tabela1[[#This Row],[DATA PREV - TREINAMENTOS]]+$AW$1</f>
        <v>46126</v>
      </c>
      <c r="AX226" s="74">
        <v>46122</v>
      </c>
      <c r="AY226" s="16" cm="1">
        <f t="array" aca="1" ref="AY22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-3</v>
      </c>
      <c r="AZ226" s="24">
        <v>46118</v>
      </c>
      <c r="BA226" s="74">
        <v>46118</v>
      </c>
      <c r="BB226" s="16" cm="1">
        <f t="array" aca="1" ref="BB22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6" s="21">
        <f>Tabela1[[#This Row],[DATA PREV - CONCL. TREIN.]]+$BC$1</f>
        <v>46128</v>
      </c>
      <c r="BD226" s="74">
        <v>46141</v>
      </c>
      <c r="BE226" s="16" cm="1">
        <f t="array" aca="1" ref="BE22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14</v>
      </c>
      <c r="BF226" s="21">
        <f>Tabela1[[#This Row],[DATA PREV - DOSSIÊ]]+$BF$1</f>
        <v>46131</v>
      </c>
      <c r="BG226" s="74">
        <v>46141</v>
      </c>
      <c r="BH226" s="16" cm="1">
        <f t="array" aca="1" ref="BH22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26" s="21">
        <f>Tabela1[[#This Row],[DATA PREV - POSTAGEM]]+$BI$1</f>
        <v>46137</v>
      </c>
      <c r="BJ226" s="74">
        <v>46143</v>
      </c>
      <c r="BK226" s="16" cm="1">
        <f t="array" aca="1" ref="BK22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226" s="21">
        <f>Tabela1[[#This Row],[DATA PREV - APROV FINAL]]+$BL$1</f>
        <v>46138</v>
      </c>
      <c r="BM226" s="74">
        <v>46147</v>
      </c>
      <c r="BN226" s="16" cm="1">
        <f t="array" aca="1" ref="BN22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26" s="81" t="s">
        <v>697</v>
      </c>
    </row>
    <row r="227" spans="2:67" ht="18" hidden="1" customHeight="1" x14ac:dyDescent="0.35">
      <c r="B227" s="14" t="s">
        <v>79</v>
      </c>
      <c r="C227" s="16" t="s">
        <v>136</v>
      </c>
      <c r="D227" s="16" t="s">
        <v>108</v>
      </c>
      <c r="E227" s="16">
        <v>831</v>
      </c>
      <c r="F227" s="16" t="s">
        <v>373</v>
      </c>
      <c r="G227" s="16" cm="1">
        <f t="array" ref="G227">_xlfn.IFS(Tabela1[[#This Row],[STATUS PROCESSO MOBILIZAÇÃO]]="Finalizado",1,Tabela1[[#This Row],[STATUS PROCESSO MOBILIZAÇÃO]]="Cancelado",2,Tabela1[[#This Row],[STATUS PROCESSO MOBILIZAÇÃO]]="Em andamento",3)</f>
        <v>1</v>
      </c>
      <c r="H227" s="16" cm="1">
        <f t="array" aca="1" ref="H22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FORMS]]="",$AM227&gt;$AK$1),2,
AND(Tabela1[[#This Row],[STATUS PROCESSO MOBILIZAÇÃO]]="Em andamento",Tabela1[[#This Row],[DATA REAL - FORMS]]="",$AM227&lt;=$AK$1),3,
AND(Tabela1[[#This Row],[STATUS PROCESSO MOBILIZAÇÃO]]="Em andamento",Tabela1[[#This Row],[DATA REAL - FORMS]]&lt;&gt;""),1)</f>
        <v>1</v>
      </c>
      <c r="I227" s="16" cm="1">
        <f t="array" aca="1" ref="I22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EXAMES]]="",$AP227&gt;$AN$1),2,
AND(Tabela1[[#This Row],[STATUS PROCESSO MOBILIZAÇÃO]]="Em andamento",Tabela1[[#This Row],[DATA REAL - EXAMES]]="",$AP227&lt;=$AN$1),3,
AND(Tabela1[[#This Row],[STATUS PROCESSO MOBILIZAÇÃO]]="Em andamento",Tabela1[[#This Row],[DATA REAL - EXAMES]]&lt;&gt;""),1)</f>
        <v>1</v>
      </c>
      <c r="J227" s="16" cm="1">
        <f t="array" aca="1" ref="J22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ASO]]="",$AS227&gt;$AQ$1),2,
AND(Tabela1[[#This Row],[STATUS PROCESSO MOBILIZAÇÃO]]="Em andamento",Tabela1[[#This Row],[DATA REAL - ASO]]="",$AS227&lt;=$AQ$1),3,
AND(Tabela1[[#This Row],[STATUS PROCESSO MOBILIZAÇÃO]]="Em andamento",Tabela1[[#This Row],[DATA REAL - ASO]]&lt;&gt;""),1)</f>
        <v>1</v>
      </c>
      <c r="K227" s="16" cm="1">
        <f t="array" aca="1" ref="K22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TREINAMENTOS]]="",$AV227&gt;$AT$1),2,
AND(Tabela1[[#This Row],[STATUS PROCESSO MOBILIZAÇÃO]]="Em andamento",Tabela1[[#This Row],[DATA REAL - TREINAMENTOS]]="",$AV227&lt;=$AT$1),3,
AND(Tabela1[[#This Row],[STATUS PROCESSO MOBILIZAÇÃO]]="Em andamento",Tabela1[[#This Row],[DATA REAL - TREINAMENTOS]]&lt;&gt;""),1)</f>
        <v>1</v>
      </c>
      <c r="L227" s="16" cm="1">
        <f t="array" aca="1" ref="L22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TREIN.]]="",$AY227&gt;$AW$1),2,
AND(Tabela1[[#This Row],[STATUS PROCESSO MOBILIZAÇÃO]]="Em andamento",Tabela1[[#This Row],[DATA REAL - CONCL. TREIN.]]="",$AY227&lt;=$AW$1),3,
AND(Tabela1[[#This Row],[STATUS PROCESSO MOBILIZAÇÃO]]="Em andamento",Tabela1[[#This Row],[DATA REAL - CONCL. TREIN.]]&lt;&gt;""),1)</f>
        <v>1</v>
      </c>
      <c r="M227" s="16" cm="1">
        <f t="array" aca="1" ref="M22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CONTRATUAL]]="",$BB227&gt;$AZ$1),2,
AND(Tabela1[[#This Row],[STATUS PROCESSO MOBILIZAÇÃO]]="Em andamento",Tabela1[[#This Row],[DATA FIM - ALTER. CONTRATUAL]]="",$BB227&lt;=$AZ$1),3,
AND(Tabela1[[#This Row],[STATUS PROCESSO MOBILIZAÇÃO]]="Em andamento",Tabela1[[#This Row],[DATA FIM - ALTER. CONTRATUAL]]&lt;&gt;""),1)</f>
        <v>1</v>
      </c>
      <c r="N227" s="16" cm="1">
        <f t="array" aca="1" ref="N22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DOSSIÊ]]="",$BE227&gt;$BC$1),2,
AND(Tabela1[[#This Row],[STATUS PROCESSO MOBILIZAÇÃO]]="Em andamento",Tabela1[[#This Row],[DATA REAL - DOSSIÊ]]="",$BE227&lt;=$BC$1),3,
AND(Tabela1[[#This Row],[STATUS PROCESSO MOBILIZAÇÃO]]="Em andamento",Tabela1[[#This Row],[DATA REAL - DOSSIÊ]]&lt;&gt;""),1)</f>
        <v>1</v>
      </c>
      <c r="O227" s="16" cm="1">
        <f t="array" aca="1" ref="O22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POSTAGEM]]="",$BH227&gt;$BF$1),2,
AND(Tabela1[[#This Row],[STATUS PROCESSO MOBILIZAÇÃO]]="Em andamento",Tabela1[[#This Row],[DATA REAL - POSTAGEM]]="",$BH227&lt;=$BF$1),3,
AND(Tabela1[[#This Row],[STATUS PROCESSO MOBILIZAÇÃO]]="Em andamento",Tabela1[[#This Row],[DATA REAL - POSTAGEM]]&lt;&gt;""),1)</f>
        <v>1</v>
      </c>
      <c r="P227" s="16" cm="1">
        <f t="array" aca="1" ref="P22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FINAL]]="",$BK227&gt;$BI$1),2,
AND(Tabela1[[#This Row],[STATUS PROCESSO MOBILIZAÇÃO]]="Em andamento",Tabela1[[#This Row],[DATA REAL - APROV FINAL]]="",$BK227&lt;=$BI$1),3,
AND(Tabela1[[#This Row],[STATUS PROCESSO MOBILIZAÇÃO]]="Em andamento",Tabela1[[#This Row],[DATA REAL - APROV FINAL]]&lt;&gt;""),1)</f>
        <v>1</v>
      </c>
      <c r="Q227" s="16" cm="1">
        <f t="array" aca="1" ref="Q22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CRACHÁ]]="",$BN227&gt;$BL$1),2,
AND(Tabela1[[#This Row],[STATUS PROCESSO MOBILIZAÇÃO]]="Em andamento",Tabela1[[#This Row],[DATA REAL - CRACHÁ]]="",$BN227&lt;=$BL$1),3,
AND(Tabela1[[#This Row],[STATUS PROCESSO MOBILIZAÇÃO]]="Em andamento",Tabela1[[#This Row],[DATA REAL - CRACHÁ]]&lt;&gt;""),1)</f>
        <v>1</v>
      </c>
      <c r="R227" s="21">
        <f>IF(Tabela1[[#This Row],[DATA REAL - FORMS]]&lt;&gt;"",Tabela1[[#This Row],[DATA REAL - FORMS]]+30,Tabela1[[#This Row],[DATA PREV - FORMS]]+35)</f>
        <v>46148</v>
      </c>
      <c r="S22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46125</v>
      </c>
      <c r="T22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2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27" s="49">
        <f>MAX(Tabela1[[#This Row],[DATA REAL - POSTAGEM]],Tabela1[[#This Row],[DATA REAL - APROV FINAL]],Tabela1[[#This Row],[DATA REAL - CRACHÁ]])-MIN(Tabela1[[#This Row],[DATA REAL - POSTAGEM]],Tabela1[[#This Row],[DATA REAL - APROV FINAL]],Tabela1[[#This Row],[DATA REAL - CRACHÁ]])+1</f>
        <v>4</v>
      </c>
      <c r="W22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7" s="15" t="s">
        <v>103</v>
      </c>
      <c r="Y227" s="86" t="s">
        <v>150</v>
      </c>
      <c r="Z227" s="104" t="str">
        <f>_xlfn.XLOOKUP(Tabela1[[#This Row],[COO PHD]],TabControleEfetivo[NOME],TabControleEfetivo[email (PHD)],"")</f>
        <v>tulio.rafael@phdengenharia.eng.br</v>
      </c>
      <c r="AA227" s="95" t="s">
        <v>152</v>
      </c>
      <c r="AB227" s="86" t="s">
        <v>87</v>
      </c>
      <c r="AC227" s="86" t="s">
        <v>88</v>
      </c>
      <c r="AD227" s="86" t="s">
        <v>89</v>
      </c>
      <c r="AE227" s="86" t="s">
        <v>644</v>
      </c>
      <c r="AF227" s="86" t="s">
        <v>645</v>
      </c>
      <c r="AG227" s="16" t="str">
        <f>_xlfn.XLOOKUP(Tabela1[[#This Row],[CÓD. CT]],Controle_Projetos[COD CT],Controle_Projetos[COD PHD],"")</f>
        <v>IMCS-CT09-PLAN</v>
      </c>
      <c r="AH227" s="21">
        <v>46118</v>
      </c>
      <c r="AI227" s="76">
        <v>46118</v>
      </c>
      <c r="AJ227" s="16" cm="1">
        <f t="array" aca="1" ref="AJ22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7" s="21">
        <v>46118</v>
      </c>
      <c r="AL227" s="74">
        <v>46118</v>
      </c>
      <c r="AM227" s="16" cm="1">
        <f t="array" aca="1" ref="AM22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7" s="21">
        <f>Tabela1[[#This Row],[DATA PREV - FORMS]]+$AN$1</f>
        <v>46125</v>
      </c>
      <c r="AO227" s="74">
        <v>46118</v>
      </c>
      <c r="AP227" s="16" cm="1">
        <f t="array" aca="1" ref="AP22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7" s="21">
        <f>Tabela1[[#This Row],[DATA PREV - EXAMES]]+$AQ$1</f>
        <v>46127</v>
      </c>
      <c r="AR227" s="74">
        <v>46119</v>
      </c>
      <c r="AS227" s="16" cm="1">
        <f t="array" aca="1" ref="AS22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27" s="21">
        <f>Tabela1[[#This Row],[DATA PREV - FORMS]]+$AT$1</f>
        <v>46119</v>
      </c>
      <c r="AU227" s="74">
        <v>46118</v>
      </c>
      <c r="AV227" s="16" cm="1">
        <f t="array" aca="1" ref="AV22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7" s="21">
        <f>Tabela1[[#This Row],[DATA PREV - TREINAMENTOS]]+$AW$1</f>
        <v>46126</v>
      </c>
      <c r="AX227" s="74">
        <v>46121</v>
      </c>
      <c r="AY227" s="16" cm="1">
        <f t="array" aca="1" ref="AY22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-4</v>
      </c>
      <c r="AZ227" s="24">
        <v>46118</v>
      </c>
      <c r="BA227" s="74">
        <v>46118</v>
      </c>
      <c r="BB227" s="16" cm="1">
        <f t="array" aca="1" ref="BB22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7" s="21">
        <f>Tabela1[[#This Row],[DATA PREV - CONCL. TREIN.]]+$BC$1</f>
        <v>46128</v>
      </c>
      <c r="BD227" s="74">
        <v>46122</v>
      </c>
      <c r="BE227" s="16" cm="1">
        <f t="array" aca="1" ref="BE22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27" s="21">
        <f>Tabela1[[#This Row],[DATA PREV - DOSSIÊ]]+$BF$1</f>
        <v>46131</v>
      </c>
      <c r="BG227" s="74">
        <v>46122</v>
      </c>
      <c r="BH227" s="16" cm="1">
        <f t="array" aca="1" ref="BH22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27" s="21">
        <f>Tabela1[[#This Row],[DATA PREV - POSTAGEM]]+$BI$1</f>
        <v>46137</v>
      </c>
      <c r="BJ227" s="74">
        <v>46125</v>
      </c>
      <c r="BK227" s="16" cm="1">
        <f t="array" aca="1" ref="BK22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27" s="21">
        <f>Tabela1[[#This Row],[DATA PREV - APROV FINAL]]+$BL$1</f>
        <v>46138</v>
      </c>
      <c r="BM227" s="74">
        <v>46125</v>
      </c>
      <c r="BN227" s="16" cm="1">
        <f t="array" aca="1" ref="BN22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27" s="81" t="s">
        <v>698</v>
      </c>
    </row>
    <row r="228" spans="2:67" ht="18" hidden="1" customHeight="1" x14ac:dyDescent="0.35">
      <c r="B228" s="14" t="s">
        <v>79</v>
      </c>
      <c r="C228" s="16" t="s">
        <v>136</v>
      </c>
      <c r="D228" s="16" t="s">
        <v>81</v>
      </c>
      <c r="E228" s="16">
        <v>829</v>
      </c>
      <c r="F228" s="16" t="s">
        <v>382</v>
      </c>
      <c r="G228" s="16" cm="1">
        <f t="array" ref="G228">_xlfn.IFS(Tabela1[[#This Row],[STATUS PROCESSO MOBILIZAÇÃO]]="Finalizado",1,Tabela1[[#This Row],[STATUS PROCESSO MOBILIZAÇÃO]]="Cancelado",2,Tabela1[[#This Row],[STATUS PROCESSO MOBILIZAÇÃO]]="Em andamento",3)</f>
        <v>1</v>
      </c>
      <c r="H228" s="16" cm="1">
        <f t="array" aca="1" ref="H22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FORMS]]="",$AM228&gt;$AK$1),2,
AND(Tabela1[[#This Row],[STATUS PROCESSO MOBILIZAÇÃO]]="Em andamento",Tabela1[[#This Row],[DATA REAL - FORMS]]="",$AM228&lt;=$AK$1),3,
AND(Tabela1[[#This Row],[STATUS PROCESSO MOBILIZAÇÃO]]="Em andamento",Tabela1[[#This Row],[DATA REAL - FORMS]]&lt;&gt;""),1)</f>
        <v>1</v>
      </c>
      <c r="I228" s="16" cm="1">
        <f t="array" aca="1" ref="I22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EXAMES]]="",$AP228&gt;$AN$1),2,
AND(Tabela1[[#This Row],[STATUS PROCESSO MOBILIZAÇÃO]]="Em andamento",Tabela1[[#This Row],[DATA REAL - EXAMES]]="",$AP228&lt;=$AN$1),3,
AND(Tabela1[[#This Row],[STATUS PROCESSO MOBILIZAÇÃO]]="Em andamento",Tabela1[[#This Row],[DATA REAL - EXAMES]]&lt;&gt;""),1)</f>
        <v>1</v>
      </c>
      <c r="J228" s="16" cm="1">
        <f t="array" aca="1" ref="J22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ASO]]="",$AS228&gt;$AQ$1),2,
AND(Tabela1[[#This Row],[STATUS PROCESSO MOBILIZAÇÃO]]="Em andamento",Tabela1[[#This Row],[DATA REAL - ASO]]="",$AS228&lt;=$AQ$1),3,
AND(Tabela1[[#This Row],[STATUS PROCESSO MOBILIZAÇÃO]]="Em andamento",Tabela1[[#This Row],[DATA REAL - ASO]]&lt;&gt;""),1)</f>
        <v>1</v>
      </c>
      <c r="K228" s="16" cm="1">
        <f t="array" aca="1" ref="K22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TREINAMENTOS]]="",$AV228&gt;$AT$1),2,
AND(Tabela1[[#This Row],[STATUS PROCESSO MOBILIZAÇÃO]]="Em andamento",Tabela1[[#This Row],[DATA REAL - TREINAMENTOS]]="",$AV228&lt;=$AT$1),3,
AND(Tabela1[[#This Row],[STATUS PROCESSO MOBILIZAÇÃO]]="Em andamento",Tabela1[[#This Row],[DATA REAL - TREINAMENTOS]]&lt;&gt;""),1)</f>
        <v>1</v>
      </c>
      <c r="L228" s="16" cm="1">
        <f t="array" aca="1" ref="L22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TREIN.]]="",$AY228&gt;$AW$1),2,
AND(Tabela1[[#This Row],[STATUS PROCESSO MOBILIZAÇÃO]]="Em andamento",Tabela1[[#This Row],[DATA REAL - CONCL. TREIN.]]="",$AY228&lt;=$AW$1),3,
AND(Tabela1[[#This Row],[STATUS PROCESSO MOBILIZAÇÃO]]="Em andamento",Tabela1[[#This Row],[DATA REAL - CONCL. TREIN.]]&lt;&gt;""),1)</f>
        <v>1</v>
      </c>
      <c r="M228" s="16" cm="1">
        <f t="array" aca="1" ref="M22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CONTRATUAL]]="",$BB228&gt;$AZ$1),2,
AND(Tabela1[[#This Row],[STATUS PROCESSO MOBILIZAÇÃO]]="Em andamento",Tabela1[[#This Row],[DATA FIM - ALTER. CONTRATUAL]]="",$BB228&lt;=$AZ$1),3,
AND(Tabela1[[#This Row],[STATUS PROCESSO MOBILIZAÇÃO]]="Em andamento",Tabela1[[#This Row],[DATA FIM - ALTER. CONTRATUAL]]&lt;&gt;""),1)</f>
        <v>1</v>
      </c>
      <c r="N228" s="16" cm="1">
        <f t="array" aca="1" ref="N22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DOSSIÊ]]="",$BE228&gt;$BC$1),2,
AND(Tabela1[[#This Row],[STATUS PROCESSO MOBILIZAÇÃO]]="Em andamento",Tabela1[[#This Row],[DATA REAL - DOSSIÊ]]="",$BE228&lt;=$BC$1),3,
AND(Tabela1[[#This Row],[STATUS PROCESSO MOBILIZAÇÃO]]="Em andamento",Tabela1[[#This Row],[DATA REAL - DOSSIÊ]]&lt;&gt;""),1)</f>
        <v>1</v>
      </c>
      <c r="O228" s="16" cm="1">
        <f t="array" aca="1" ref="O22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POSTAGEM]]="",$BH228&gt;$BF$1),2,
AND(Tabela1[[#This Row],[STATUS PROCESSO MOBILIZAÇÃO]]="Em andamento",Tabela1[[#This Row],[DATA REAL - POSTAGEM]]="",$BH228&lt;=$BF$1),3,
AND(Tabela1[[#This Row],[STATUS PROCESSO MOBILIZAÇÃO]]="Em andamento",Tabela1[[#This Row],[DATA REAL - POSTAGEM]]&lt;&gt;""),1)</f>
        <v>1</v>
      </c>
      <c r="P228" s="16" cm="1">
        <f t="array" aca="1" ref="P22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FINAL]]="",$BK228&gt;$BI$1),2,
AND(Tabela1[[#This Row],[STATUS PROCESSO MOBILIZAÇÃO]]="Em andamento",Tabela1[[#This Row],[DATA REAL - APROV FINAL]]="",$BK228&lt;=$BI$1),3,
AND(Tabela1[[#This Row],[STATUS PROCESSO MOBILIZAÇÃO]]="Em andamento",Tabela1[[#This Row],[DATA REAL - APROV FINAL]]&lt;&gt;""),1)</f>
        <v>1</v>
      </c>
      <c r="Q228" s="16" cm="1">
        <f t="array" aca="1" ref="Q22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CRACHÁ]]="",$BN228&gt;$BL$1),2,
AND(Tabela1[[#This Row],[STATUS PROCESSO MOBILIZAÇÃO]]="Em andamento",Tabela1[[#This Row],[DATA REAL - CRACHÁ]]="",$BN228&lt;=$BL$1),3,
AND(Tabela1[[#This Row],[STATUS PROCESSO MOBILIZAÇÃO]]="Em andamento",Tabela1[[#This Row],[DATA REAL - CRACHÁ]]&lt;&gt;""),1)</f>
        <v>1</v>
      </c>
      <c r="R228" s="21">
        <f>IF(Tabela1[[#This Row],[DATA REAL - FORMS]]&lt;&gt;"",Tabela1[[#This Row],[DATA REAL - FORMS]]+30,Tabela1[[#This Row],[DATA PREV - FORMS]]+35)</f>
        <v>46148</v>
      </c>
      <c r="S22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46128</v>
      </c>
      <c r="T22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2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28" s="49">
        <f>MAX(Tabela1[[#This Row],[DATA REAL - POSTAGEM]],Tabela1[[#This Row],[DATA REAL - APROV FINAL]],Tabela1[[#This Row],[DATA REAL - CRACHÁ]])-MIN(Tabela1[[#This Row],[DATA REAL - POSTAGEM]],Tabela1[[#This Row],[DATA REAL - APROV FINAL]],Tabela1[[#This Row],[DATA REAL - CRACHÁ]])+1</f>
        <v>7</v>
      </c>
      <c r="W22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8" s="15" t="s">
        <v>103</v>
      </c>
      <c r="Y228" s="16" t="s">
        <v>150</v>
      </c>
      <c r="Z228" s="103" t="str">
        <f>_xlfn.XLOOKUP(Tabela1[[#This Row],[COO PHD]],TabControleEfetivo[NOME],TabControleEfetivo[email (PHD)],"")</f>
        <v>tulio.rafael@phdengenharia.eng.br</v>
      </c>
      <c r="AA228" s="96" t="s">
        <v>152</v>
      </c>
      <c r="AB228" s="16" t="s">
        <v>97</v>
      </c>
      <c r="AC228" s="16" t="s">
        <v>589</v>
      </c>
      <c r="AD228" s="16" t="s">
        <v>589</v>
      </c>
      <c r="AE228" s="16" t="s">
        <v>529</v>
      </c>
      <c r="AF228" s="16" t="s">
        <v>590</v>
      </c>
      <c r="AG228" s="16" t="str">
        <f>_xlfn.XLOOKUP(Tabela1[[#This Row],[CÓD. CT]],Controle_Projetos[COD CT],Controle_Projetos[COD PHD],"")</f>
        <v>VLIM-CT01-GERE</v>
      </c>
      <c r="AH228" s="21">
        <v>46118</v>
      </c>
      <c r="AI228" s="76">
        <v>46118</v>
      </c>
      <c r="AJ228" s="16" cm="1">
        <f t="array" aca="1" ref="AJ22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8" s="21">
        <v>46118</v>
      </c>
      <c r="AL228" s="74">
        <v>46118</v>
      </c>
      <c r="AM228" s="16" cm="1">
        <f t="array" aca="1" ref="AM22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8" s="21">
        <f>Tabela1[[#This Row],[DATA PREV - FORMS]]+$AN$1</f>
        <v>46125</v>
      </c>
      <c r="AO228" s="74">
        <v>46118</v>
      </c>
      <c r="AP228" s="16" cm="1">
        <f t="array" aca="1" ref="AP22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8" s="21">
        <f>Tabela1[[#This Row],[DATA PREV - EXAMES]]+$AQ$1</f>
        <v>46127</v>
      </c>
      <c r="AR228" s="74">
        <v>46119</v>
      </c>
      <c r="AS228" s="16" cm="1">
        <f t="array" aca="1" ref="AS22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28" s="21">
        <f>Tabela1[[#This Row],[DATA PREV - FORMS]]+$AT$1</f>
        <v>46119</v>
      </c>
      <c r="AU228" s="74">
        <v>46118</v>
      </c>
      <c r="AV228" s="16" cm="1">
        <f t="array" aca="1" ref="AV22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8" s="21">
        <f>Tabela1[[#This Row],[DATA PREV - TREINAMENTOS]]+$AW$1</f>
        <v>46126</v>
      </c>
      <c r="AX228" s="74">
        <v>46120</v>
      </c>
      <c r="AY228" s="16" cm="1">
        <f t="array" aca="1" ref="AY22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28" s="24">
        <v>46118</v>
      </c>
      <c r="BA228" s="74">
        <v>46118</v>
      </c>
      <c r="BB228" s="16" cm="1">
        <f t="array" aca="1" ref="BB22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8" s="21">
        <f>Tabela1[[#This Row],[DATA PREV - CONCL. TREIN.]]+$BC$1</f>
        <v>46128</v>
      </c>
      <c r="BD228" s="74">
        <v>46122</v>
      </c>
      <c r="BE228" s="16" cm="1">
        <f t="array" aca="1" ref="BE22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28" s="21">
        <f>Tabela1[[#This Row],[DATA PREV - DOSSIÊ]]+$BF$1</f>
        <v>46131</v>
      </c>
      <c r="BG228" s="74">
        <v>46122</v>
      </c>
      <c r="BH228" s="16" cm="1">
        <f t="array" aca="1" ref="BH22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-8</v>
      </c>
      <c r="BI228" s="21">
        <f>Tabela1[[#This Row],[DATA PREV - POSTAGEM]]+$BI$1</f>
        <v>46137</v>
      </c>
      <c r="BJ228" s="74">
        <v>46128</v>
      </c>
      <c r="BK228" s="16" cm="1">
        <f t="array" aca="1" ref="BK22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28" s="21">
        <f>Tabela1[[#This Row],[DATA PREV - APROV FINAL]]+$BL$1</f>
        <v>46138</v>
      </c>
      <c r="BM228" s="74">
        <v>46128</v>
      </c>
      <c r="BN228" s="16" cm="1">
        <f t="array" aca="1" ref="BN22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28" s="81" t="s">
        <v>699</v>
      </c>
    </row>
    <row r="229" spans="2:67" ht="18" hidden="1" customHeight="1" x14ac:dyDescent="0.35">
      <c r="B229" s="14" t="s">
        <v>79</v>
      </c>
      <c r="C229" s="16" t="s">
        <v>136</v>
      </c>
      <c r="D229" s="16" t="s">
        <v>108</v>
      </c>
      <c r="E229" s="16">
        <v>836</v>
      </c>
      <c r="F229" s="16" t="s">
        <v>700</v>
      </c>
      <c r="G229" s="16" cm="1">
        <f t="array" ref="G229">_xlfn.IFS(Tabela1[[#This Row],[STATUS PROCESSO MOBILIZAÇÃO]]="Finalizado",1,Tabela1[[#This Row],[STATUS PROCESSO MOBILIZAÇÃO]]="Cancelado",2,Tabela1[[#This Row],[STATUS PROCESSO MOBILIZAÇÃO]]="Em andamento",3)</f>
        <v>1</v>
      </c>
      <c r="H229" s="16" cm="1">
        <f t="array" aca="1" ref="H22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FORMS]]="",$AM229&gt;$AK$1),2,
AND(Tabela1[[#This Row],[STATUS PROCESSO MOBILIZAÇÃO]]="Em andamento",Tabela1[[#This Row],[DATA REAL - FORMS]]="",$AM229&lt;=$AK$1),3,
AND(Tabela1[[#This Row],[STATUS PROCESSO MOBILIZAÇÃO]]="Em andamento",Tabela1[[#This Row],[DATA REAL - FORMS]]&lt;&gt;""),1)</f>
        <v>1</v>
      </c>
      <c r="I229" s="16" cm="1">
        <f t="array" aca="1" ref="I22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EXAMES]]="",$AP229&gt;$AN$1),2,
AND(Tabela1[[#This Row],[STATUS PROCESSO MOBILIZAÇÃO]]="Em andamento",Tabela1[[#This Row],[DATA REAL - EXAMES]]="",$AP229&lt;=$AN$1),3,
AND(Tabela1[[#This Row],[STATUS PROCESSO MOBILIZAÇÃO]]="Em andamento",Tabela1[[#This Row],[DATA REAL - EXAMES]]&lt;&gt;""),1)</f>
        <v>1</v>
      </c>
      <c r="J229" s="16" cm="1">
        <f t="array" aca="1" ref="J22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ASO]]="",$AS229&gt;$AQ$1),2,
AND(Tabela1[[#This Row],[STATUS PROCESSO MOBILIZAÇÃO]]="Em andamento",Tabela1[[#This Row],[DATA REAL - ASO]]="",$AS229&lt;=$AQ$1),3,
AND(Tabela1[[#This Row],[STATUS PROCESSO MOBILIZAÇÃO]]="Em andamento",Tabela1[[#This Row],[DATA REAL - ASO]]&lt;&gt;""),1)</f>
        <v>1</v>
      </c>
      <c r="K229" s="16" cm="1">
        <f t="array" aca="1" ref="K22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TREINAMENTOS]]="",$AV229&gt;$AT$1),2,
AND(Tabela1[[#This Row],[STATUS PROCESSO MOBILIZAÇÃO]]="Em andamento",Tabela1[[#This Row],[DATA REAL - TREINAMENTOS]]="",$AV229&lt;=$AT$1),3,
AND(Tabela1[[#This Row],[STATUS PROCESSO MOBILIZAÇÃO]]="Em andamento",Tabela1[[#This Row],[DATA REAL - TREINAMENTOS]]&lt;&gt;""),1)</f>
        <v>1</v>
      </c>
      <c r="L229" s="16" cm="1">
        <f t="array" aca="1" ref="L22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TREIN.]]="",$AY229&gt;$AW$1),2,
AND(Tabela1[[#This Row],[STATUS PROCESSO MOBILIZAÇÃO]]="Em andamento",Tabela1[[#This Row],[DATA REAL - CONCL. TREIN.]]="",$AY229&lt;=$AW$1),3,
AND(Tabela1[[#This Row],[STATUS PROCESSO MOBILIZAÇÃO]]="Em andamento",Tabela1[[#This Row],[DATA REAL - CONCL. TREIN.]]&lt;&gt;""),1)</f>
        <v>1</v>
      </c>
      <c r="M229" s="16" cm="1">
        <f t="array" aca="1" ref="M22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CONTRATUAL]]="",$BB229&gt;$AZ$1),2,
AND(Tabela1[[#This Row],[STATUS PROCESSO MOBILIZAÇÃO]]="Em andamento",Tabela1[[#This Row],[DATA FIM - ALTER. CONTRATUAL]]="",$BB229&lt;=$AZ$1),3,
AND(Tabela1[[#This Row],[STATUS PROCESSO MOBILIZAÇÃO]]="Em andamento",Tabela1[[#This Row],[DATA FIM - ALTER. CONTRATUAL]]&lt;&gt;""),1)</f>
        <v>1</v>
      </c>
      <c r="N229" s="16" cm="1">
        <f t="array" aca="1" ref="N22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DOSSIÊ]]="",$BE229&gt;$BC$1),2,
AND(Tabela1[[#This Row],[STATUS PROCESSO MOBILIZAÇÃO]]="Em andamento",Tabela1[[#This Row],[DATA REAL - DOSSIÊ]]="",$BE229&lt;=$BC$1),3,
AND(Tabela1[[#This Row],[STATUS PROCESSO MOBILIZAÇÃO]]="Em andamento",Tabela1[[#This Row],[DATA REAL - DOSSIÊ]]&lt;&gt;""),1)</f>
        <v>1</v>
      </c>
      <c r="O229" s="16" cm="1">
        <f t="array" aca="1" ref="O22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POSTAGEM]]="",$BH229&gt;$BF$1),2,
AND(Tabela1[[#This Row],[STATUS PROCESSO MOBILIZAÇÃO]]="Em andamento",Tabela1[[#This Row],[DATA REAL - POSTAGEM]]="",$BH229&lt;=$BF$1),3,
AND(Tabela1[[#This Row],[STATUS PROCESSO MOBILIZAÇÃO]]="Em andamento",Tabela1[[#This Row],[DATA REAL - POSTAGEM]]&lt;&gt;""),1)</f>
        <v>1</v>
      </c>
      <c r="P229" s="16" cm="1">
        <f t="array" aca="1" ref="P22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FINAL]]="",$BK229&gt;$BI$1),2,
AND(Tabela1[[#This Row],[STATUS PROCESSO MOBILIZAÇÃO]]="Em andamento",Tabela1[[#This Row],[DATA REAL - APROV FINAL]]="",$BK229&lt;=$BI$1),3,
AND(Tabela1[[#This Row],[STATUS PROCESSO MOBILIZAÇÃO]]="Em andamento",Tabela1[[#This Row],[DATA REAL - APROV FINAL]]&lt;&gt;""),1)</f>
        <v>1</v>
      </c>
      <c r="Q229" s="16" cm="1">
        <f t="array" aca="1" ref="Q22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CRACHÁ]]="",$BN229&gt;$BL$1),2,
AND(Tabela1[[#This Row],[STATUS PROCESSO MOBILIZAÇÃO]]="Em andamento",Tabela1[[#This Row],[DATA REAL - CRACHÁ]]="",$BN229&lt;=$BL$1),3,
AND(Tabela1[[#This Row],[STATUS PROCESSO MOBILIZAÇÃO]]="Em andamento",Tabela1[[#This Row],[DATA REAL - CRACHÁ]]&lt;&gt;""),1)</f>
        <v>1</v>
      </c>
      <c r="R229" s="21">
        <f>IF(Tabela1[[#This Row],[DATA REAL - FORMS]]&lt;&gt;"",Tabela1[[#This Row],[DATA REAL - FORMS]]+30,Tabela1[[#This Row],[DATA PREV - FORMS]]+35)</f>
        <v>46149</v>
      </c>
      <c r="S22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46129</v>
      </c>
      <c r="T22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2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29" s="49">
        <f>MAX(Tabela1[[#This Row],[DATA REAL - POSTAGEM]],Tabela1[[#This Row],[DATA REAL - APROV FINAL]],Tabela1[[#This Row],[DATA REAL - CRACHÁ]])-MIN(Tabela1[[#This Row],[DATA REAL - POSTAGEM]],Tabela1[[#This Row],[DATA REAL - APROV FINAL]],Tabela1[[#This Row],[DATA REAL - CRACHÁ]])+1</f>
        <v>10</v>
      </c>
      <c r="W22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29" s="15" t="s">
        <v>431</v>
      </c>
      <c r="Y229" s="16" t="s">
        <v>355</v>
      </c>
      <c r="Z229" s="80" t="str">
        <f>_xlfn.XLOOKUP(Tabela1[[#This Row],[COO PHD]],TabControleEfetivo[NOME],TabControleEfetivo[email (PHD)],"")</f>
        <v>alex.silva@phdengenharia.eng.br</v>
      </c>
      <c r="AA229" s="95" t="s">
        <v>356</v>
      </c>
      <c r="AB229" s="16" t="s">
        <v>97</v>
      </c>
      <c r="AC229" s="86" t="s">
        <v>212</v>
      </c>
      <c r="AD229" s="86" t="s">
        <v>628</v>
      </c>
      <c r="AE229" s="86" t="s">
        <v>629</v>
      </c>
      <c r="AF229" s="16" t="s">
        <v>630</v>
      </c>
      <c r="AG229" s="16" t="str">
        <f>_xlfn.XLOOKUP(Tabela1[[#This Row],[CÓD. CT]],Controle_Projetos[COD CT],Controle_Projetos[COD PHD],"")</f>
        <v>NOBR-CT07-MOSA</v>
      </c>
      <c r="AH229" s="21">
        <v>46119</v>
      </c>
      <c r="AI229" s="76">
        <v>46119</v>
      </c>
      <c r="AJ229" s="16" cm="1">
        <f t="array" aca="1" ref="AJ22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29" s="21">
        <v>46119</v>
      </c>
      <c r="AL229" s="74">
        <v>46119</v>
      </c>
      <c r="AM229" s="16" cm="1">
        <f t="array" aca="1" ref="AM22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29" s="21">
        <f>Tabela1[[#This Row],[DATA PREV - FORMS]]+$AN$1</f>
        <v>46126</v>
      </c>
      <c r="AO229" s="74">
        <v>46119</v>
      </c>
      <c r="AP229" s="16" cm="1">
        <f t="array" aca="1" ref="AP22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29" s="21">
        <f>Tabela1[[#This Row],[DATA PREV - EXAMES]]+$AQ$1</f>
        <v>46128</v>
      </c>
      <c r="AR229" s="74">
        <v>46120</v>
      </c>
      <c r="AS229" s="16" cm="1">
        <f t="array" aca="1" ref="AS22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29" s="21">
        <f>Tabela1[[#This Row],[DATA PREV - FORMS]]+$AT$1</f>
        <v>46120</v>
      </c>
      <c r="AU229" s="74">
        <v>46119</v>
      </c>
      <c r="AV229" s="16" cm="1">
        <f t="array" aca="1" ref="AV22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29" s="21">
        <f>Tabela1[[#This Row],[DATA PREV - TREINAMENTOS]]+$AW$1</f>
        <v>46127</v>
      </c>
      <c r="AX229" s="74">
        <v>46120</v>
      </c>
      <c r="AY229" s="16" cm="1">
        <f t="array" aca="1" ref="AY22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29" s="24">
        <v>46119</v>
      </c>
      <c r="BA229" s="74">
        <v>46119</v>
      </c>
      <c r="BB229" s="16" cm="1">
        <f t="array" aca="1" ref="BB22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29" s="21">
        <f>Tabela1[[#This Row],[DATA PREV - CONCL. TREIN.]]+$BC$1</f>
        <v>46129</v>
      </c>
      <c r="BD229" s="74">
        <v>46120</v>
      </c>
      <c r="BE229" s="16" cm="1">
        <f t="array" aca="1" ref="BE22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29" s="21">
        <f>Tabela1[[#This Row],[DATA PREV - DOSSIÊ]]+$BF$1</f>
        <v>46132</v>
      </c>
      <c r="BG229" s="74">
        <v>46120</v>
      </c>
      <c r="BH229" s="16" cm="1">
        <f t="array" aca="1" ref="BH22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29" s="21">
        <f>Tabela1[[#This Row],[DATA PREV - POSTAGEM]]+$BI$1</f>
        <v>46138</v>
      </c>
      <c r="BJ229" s="74">
        <v>46129</v>
      </c>
      <c r="BK229" s="16" cm="1">
        <f t="array" aca="1" ref="BK22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29" s="21">
        <f>Tabela1[[#This Row],[DATA PREV - APROV FINAL]]+$BL$1</f>
        <v>46139</v>
      </c>
      <c r="BM229" s="74">
        <v>46129</v>
      </c>
      <c r="BN229" s="16" cm="1">
        <f t="array" aca="1" ref="BN22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29" s="81" t="s">
        <v>701</v>
      </c>
    </row>
    <row r="230" spans="2:67" ht="18" hidden="1" customHeight="1" x14ac:dyDescent="0.35">
      <c r="B230" s="14" t="s">
        <v>79</v>
      </c>
      <c r="C230" s="16" t="s">
        <v>136</v>
      </c>
      <c r="D230" s="16" t="s">
        <v>108</v>
      </c>
      <c r="E230" s="16">
        <v>881</v>
      </c>
      <c r="F230" s="16" t="s">
        <v>410</v>
      </c>
      <c r="G230" s="16" cm="1">
        <f t="array" ref="G230">_xlfn.IFS(Tabela1[[#This Row],[STATUS PROCESSO MOBILIZAÇÃO]]="Finalizado",1,Tabela1[[#This Row],[STATUS PROCESSO MOBILIZAÇÃO]]="Cancelado",2,Tabela1[[#This Row],[STATUS PROCESSO MOBILIZAÇÃO]]="Em andamento",3)</f>
        <v>1</v>
      </c>
      <c r="H230" s="16" cm="1">
        <f t="array" aca="1" ref="H23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FORMS]]="",$AM230&gt;$AK$1),2,
AND(Tabela1[[#This Row],[STATUS PROCESSO MOBILIZAÇÃO]]="Em andamento",Tabela1[[#This Row],[DATA REAL - FORMS]]="",$AM230&lt;=$AK$1),3,
AND(Tabela1[[#This Row],[STATUS PROCESSO MOBILIZAÇÃO]]="Em andamento",Tabela1[[#This Row],[DATA REAL - FORMS]]&lt;&gt;""),1)</f>
        <v>1</v>
      </c>
      <c r="I230" s="16" cm="1">
        <f t="array" aca="1" ref="I23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EXAMES]]="",$AP230&gt;$AN$1),2,
AND(Tabela1[[#This Row],[STATUS PROCESSO MOBILIZAÇÃO]]="Em andamento",Tabela1[[#This Row],[DATA REAL - EXAMES]]="",$AP230&lt;=$AN$1),3,
AND(Tabela1[[#This Row],[STATUS PROCESSO MOBILIZAÇÃO]]="Em andamento",Tabela1[[#This Row],[DATA REAL - EXAMES]]&lt;&gt;""),1)</f>
        <v>1</v>
      </c>
      <c r="J230" s="16" cm="1">
        <f t="array" aca="1" ref="J23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ASO]]="",$AS230&gt;$AQ$1),2,
AND(Tabela1[[#This Row],[STATUS PROCESSO MOBILIZAÇÃO]]="Em andamento",Tabela1[[#This Row],[DATA REAL - ASO]]="",$AS230&lt;=$AQ$1),3,
AND(Tabela1[[#This Row],[STATUS PROCESSO MOBILIZAÇÃO]]="Em andamento",Tabela1[[#This Row],[DATA REAL - ASO]]&lt;&gt;""),1)</f>
        <v>1</v>
      </c>
      <c r="K230" s="16" cm="1">
        <f t="array" aca="1" ref="K23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TREINAMENTOS]]="",$AV230&gt;$AT$1),2,
AND(Tabela1[[#This Row],[STATUS PROCESSO MOBILIZAÇÃO]]="Em andamento",Tabela1[[#This Row],[DATA REAL - TREINAMENTOS]]="",$AV230&lt;=$AT$1),3,
AND(Tabela1[[#This Row],[STATUS PROCESSO MOBILIZAÇÃO]]="Em andamento",Tabela1[[#This Row],[DATA REAL - TREINAMENTOS]]&lt;&gt;""),1)</f>
        <v>1</v>
      </c>
      <c r="L230" s="16" cm="1">
        <f t="array" aca="1" ref="L23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TREIN.]]="",$AY230&gt;$AW$1),2,
AND(Tabela1[[#This Row],[STATUS PROCESSO MOBILIZAÇÃO]]="Em andamento",Tabela1[[#This Row],[DATA REAL - CONCL. TREIN.]]="",$AY230&lt;=$AW$1),3,
AND(Tabela1[[#This Row],[STATUS PROCESSO MOBILIZAÇÃO]]="Em andamento",Tabela1[[#This Row],[DATA REAL - CONCL. TREIN.]]&lt;&gt;""),1)</f>
        <v>1</v>
      </c>
      <c r="M230" s="16" cm="1">
        <f t="array" aca="1" ref="M23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CONTRATUAL]]="",$BB230&gt;$AZ$1),2,
AND(Tabela1[[#This Row],[STATUS PROCESSO MOBILIZAÇÃO]]="Em andamento",Tabela1[[#This Row],[DATA FIM - ALTER. CONTRATUAL]]="",$BB230&lt;=$AZ$1),3,
AND(Tabela1[[#This Row],[STATUS PROCESSO MOBILIZAÇÃO]]="Em andamento",Tabela1[[#This Row],[DATA FIM - ALTER. CONTRATUAL]]&lt;&gt;""),1)</f>
        <v>1</v>
      </c>
      <c r="N230" s="16" cm="1">
        <f t="array" aca="1" ref="N23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DOSSIÊ]]="",$BE230&gt;$BC$1),2,
AND(Tabela1[[#This Row],[STATUS PROCESSO MOBILIZAÇÃO]]="Em andamento",Tabela1[[#This Row],[DATA REAL - DOSSIÊ]]="",$BE230&lt;=$BC$1),3,
AND(Tabela1[[#This Row],[STATUS PROCESSO MOBILIZAÇÃO]]="Em andamento",Tabela1[[#This Row],[DATA REAL - DOSSIÊ]]&lt;&gt;""),1)</f>
        <v>1</v>
      </c>
      <c r="O230" s="16" cm="1">
        <f t="array" aca="1" ref="O23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POSTAGEM]]="",$BH230&gt;$BF$1),2,
AND(Tabela1[[#This Row],[STATUS PROCESSO MOBILIZAÇÃO]]="Em andamento",Tabela1[[#This Row],[DATA REAL - POSTAGEM]]="",$BH230&lt;=$BF$1),3,
AND(Tabela1[[#This Row],[STATUS PROCESSO MOBILIZAÇÃO]]="Em andamento",Tabela1[[#This Row],[DATA REAL - POSTAGEM]]&lt;&gt;""),1)</f>
        <v>1</v>
      </c>
      <c r="P230" s="16" cm="1">
        <f t="array" aca="1" ref="P23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FINAL]]="",$BK230&gt;$BI$1),2,
AND(Tabela1[[#This Row],[STATUS PROCESSO MOBILIZAÇÃO]]="Em andamento",Tabela1[[#This Row],[DATA REAL - APROV FINAL]]="",$BK230&lt;=$BI$1),3,
AND(Tabela1[[#This Row],[STATUS PROCESSO MOBILIZAÇÃO]]="Em andamento",Tabela1[[#This Row],[DATA REAL - APROV FINAL]]&lt;&gt;""),1)</f>
        <v>1</v>
      </c>
      <c r="Q230" s="16" cm="1">
        <f t="array" aca="1" ref="Q23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CRACHÁ]]="",$BN230&gt;$BL$1),2,
AND(Tabela1[[#This Row],[STATUS PROCESSO MOBILIZAÇÃO]]="Em andamento",Tabela1[[#This Row],[DATA REAL - CRACHÁ]]="",$BN230&lt;=$BL$1),3,
AND(Tabela1[[#This Row],[STATUS PROCESSO MOBILIZAÇÃO]]="Em andamento",Tabela1[[#This Row],[DATA REAL - CRACHÁ]]&lt;&gt;""),1)</f>
        <v>1</v>
      </c>
      <c r="R230" s="21">
        <f>IF(Tabela1[[#This Row],[DATA REAL - FORMS]]&lt;&gt;"",Tabela1[[#This Row],[DATA REAL - FORMS]]+30,Tabela1[[#This Row],[DATA PREV - FORMS]]+35)</f>
        <v>46159</v>
      </c>
      <c r="S23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46129</v>
      </c>
      <c r="T23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3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30" s="49">
        <f>MAX(Tabela1[[#This Row],[DATA REAL - POSTAGEM]],Tabela1[[#This Row],[DATA REAL - APROV FINAL]],Tabela1[[#This Row],[DATA REAL - CRACHÁ]])-MIN(Tabela1[[#This Row],[DATA REAL - POSTAGEM]],Tabela1[[#This Row],[DATA REAL - APROV FINAL]],Tabela1[[#This Row],[DATA REAL - CRACHÁ]])+1</f>
        <v>3</v>
      </c>
      <c r="W23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154</v>
      </c>
      <c r="X230" s="15"/>
      <c r="Y230" s="16" t="s">
        <v>84</v>
      </c>
      <c r="Z230" s="16" t="str">
        <f>_xlfn.XLOOKUP(Tabela1[[#This Row],[COO PHD]],TabControleEfetivo[NOME],TabControleEfetivo[email (PHD)],"")</f>
        <v/>
      </c>
      <c r="AA230" s="96" t="s">
        <v>86</v>
      </c>
      <c r="AB230" s="16" t="s">
        <v>97</v>
      </c>
      <c r="AC230" s="16" t="s">
        <v>235</v>
      </c>
      <c r="AD230" s="16" t="s">
        <v>468</v>
      </c>
      <c r="AE230" s="16" t="s">
        <v>469</v>
      </c>
      <c r="AF230" s="16" t="s">
        <v>702</v>
      </c>
      <c r="AG230" s="16" t="str">
        <f>_xlfn.XLOOKUP(Tabela1[[#This Row],[CÓD. CT]],Controle_Projetos[COD CT],Controle_Projetos[COD PHD],"")</f>
        <v>CCAP-CT17-ARAU</v>
      </c>
      <c r="AH230" s="21">
        <v>46120</v>
      </c>
      <c r="AI230" s="76"/>
      <c r="AJ230" s="16" cm="1">
        <f t="array" aca="1" ref="AJ23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0" s="21">
        <v>46120</v>
      </c>
      <c r="AL230" s="74">
        <v>46129</v>
      </c>
      <c r="AM230" s="16" cm="1">
        <f t="array" aca="1" ref="AM23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10</v>
      </c>
      <c r="AN230" s="21">
        <f>Tabela1[[#This Row],[DATA PREV - FORMS]]+$AN$1</f>
        <v>46127</v>
      </c>
      <c r="AO230" s="74">
        <v>46120</v>
      </c>
      <c r="AP230" s="16" cm="1">
        <f t="array" aca="1" ref="AP23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0" s="21">
        <f>Tabela1[[#This Row],[DATA PREV - EXAMES]]+$AQ$1</f>
        <v>46129</v>
      </c>
      <c r="AR230" s="74">
        <v>46122</v>
      </c>
      <c r="AS230" s="16" cm="1">
        <f t="array" aca="1" ref="AS23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30" s="21">
        <f>Tabela1[[#This Row],[DATA PREV - FORMS]]+$AT$1</f>
        <v>46121</v>
      </c>
      <c r="AU230" s="74">
        <v>46120</v>
      </c>
      <c r="AV230" s="16" cm="1">
        <f t="array" aca="1" ref="AV23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0" s="21">
        <f>Tabela1[[#This Row],[DATA PREV - TREINAMENTOS]]+$AW$1</f>
        <v>46128</v>
      </c>
      <c r="AX230" s="74">
        <v>46120</v>
      </c>
      <c r="AY230" s="16" cm="1">
        <f t="array" aca="1" ref="AY23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0" s="24">
        <v>46120</v>
      </c>
      <c r="BA230" s="74">
        <v>46120</v>
      </c>
      <c r="BB230" s="16" cm="1">
        <f t="array" aca="1" ref="BB23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0" s="21">
        <f>Tabela1[[#This Row],[DATA PREV - CONCL. TREIN.]]+$BC$1</f>
        <v>46130</v>
      </c>
      <c r="BD230" s="74">
        <v>46126</v>
      </c>
      <c r="BE230" s="16" cm="1">
        <f t="array" aca="1" ref="BE23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0" s="21">
        <f>Tabela1[[#This Row],[DATA PREV - DOSSIÊ]]+$BF$1</f>
        <v>46133</v>
      </c>
      <c r="BG230" s="74">
        <v>46126</v>
      </c>
      <c r="BH230" s="16" cm="1">
        <f t="array" aca="1" ref="BH23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30" s="21">
        <f>Tabela1[[#This Row],[DATA PREV - POSTAGEM]]+$BI$1</f>
        <v>46139</v>
      </c>
      <c r="BJ230" s="74">
        <v>46127</v>
      </c>
      <c r="BK230" s="16" cm="1">
        <f t="array" aca="1" ref="BK23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30" s="21">
        <f>Tabela1[[#This Row],[DATA PREV - APROV FINAL]]+$BL$1</f>
        <v>46140</v>
      </c>
      <c r="BM230" s="74">
        <v>46128</v>
      </c>
      <c r="BN230" s="16" cm="1">
        <f t="array" aca="1" ref="BN23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30" s="81" t="s">
        <v>703</v>
      </c>
    </row>
    <row r="231" spans="2:67" ht="18" hidden="1" customHeight="1" x14ac:dyDescent="0.35">
      <c r="B231" s="14" t="s">
        <v>79</v>
      </c>
      <c r="C231" s="16" t="s">
        <v>136</v>
      </c>
      <c r="D231" s="16" t="s">
        <v>108</v>
      </c>
      <c r="E231" s="16">
        <v>880</v>
      </c>
      <c r="F231" s="16" t="s">
        <v>114</v>
      </c>
      <c r="G231" s="16" cm="1">
        <f t="array" ref="G231">_xlfn.IFS(Tabela1[[#This Row],[STATUS PROCESSO MOBILIZAÇÃO]]="Finalizado",1,Tabela1[[#This Row],[STATUS PROCESSO MOBILIZAÇÃO]]="Cancelado",2,Tabela1[[#This Row],[STATUS PROCESSO MOBILIZAÇÃO]]="Em andamento",3)</f>
        <v>1</v>
      </c>
      <c r="H231" s="16" cm="1">
        <f t="array" aca="1" ref="H23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FORMS]]="",$AM231&gt;$AK$1),2,
AND(Tabela1[[#This Row],[STATUS PROCESSO MOBILIZAÇÃO]]="Em andamento",Tabela1[[#This Row],[DATA REAL - FORMS]]="",$AM231&lt;=$AK$1),3,
AND(Tabela1[[#This Row],[STATUS PROCESSO MOBILIZAÇÃO]]="Em andamento",Tabela1[[#This Row],[DATA REAL - FORMS]]&lt;&gt;""),1)</f>
        <v>1</v>
      </c>
      <c r="I231" s="16" cm="1">
        <f t="array" aca="1" ref="I23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EXAMES]]="",$AP231&gt;$AN$1),2,
AND(Tabela1[[#This Row],[STATUS PROCESSO MOBILIZAÇÃO]]="Em andamento",Tabela1[[#This Row],[DATA REAL - EXAMES]]="",$AP231&lt;=$AN$1),3,
AND(Tabela1[[#This Row],[STATUS PROCESSO MOBILIZAÇÃO]]="Em andamento",Tabela1[[#This Row],[DATA REAL - EXAMES]]&lt;&gt;""),1)</f>
        <v>1</v>
      </c>
      <c r="J231" s="16" cm="1">
        <f t="array" aca="1" ref="J23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ASO]]="",$AS231&gt;$AQ$1),2,
AND(Tabela1[[#This Row],[STATUS PROCESSO MOBILIZAÇÃO]]="Em andamento",Tabela1[[#This Row],[DATA REAL - ASO]]="",$AS231&lt;=$AQ$1),3,
AND(Tabela1[[#This Row],[STATUS PROCESSO MOBILIZAÇÃO]]="Em andamento",Tabela1[[#This Row],[DATA REAL - ASO]]&lt;&gt;""),1)</f>
        <v>1</v>
      </c>
      <c r="K231" s="16" cm="1">
        <f t="array" aca="1" ref="K23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TREINAMENTOS]]="",$AV231&gt;$AT$1),2,
AND(Tabela1[[#This Row],[STATUS PROCESSO MOBILIZAÇÃO]]="Em andamento",Tabela1[[#This Row],[DATA REAL - TREINAMENTOS]]="",$AV231&lt;=$AT$1),3,
AND(Tabela1[[#This Row],[STATUS PROCESSO MOBILIZAÇÃO]]="Em andamento",Tabela1[[#This Row],[DATA REAL - TREINAMENTOS]]&lt;&gt;""),1)</f>
        <v>1</v>
      </c>
      <c r="L231" s="16" cm="1">
        <f t="array" aca="1" ref="L23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TREIN.]]="",$AY231&gt;$AW$1),2,
AND(Tabela1[[#This Row],[STATUS PROCESSO MOBILIZAÇÃO]]="Em andamento",Tabela1[[#This Row],[DATA REAL - CONCL. TREIN.]]="",$AY231&lt;=$AW$1),3,
AND(Tabela1[[#This Row],[STATUS PROCESSO MOBILIZAÇÃO]]="Em andamento",Tabela1[[#This Row],[DATA REAL - CONCL. TREIN.]]&lt;&gt;""),1)</f>
        <v>1</v>
      </c>
      <c r="M231" s="16" cm="1">
        <f t="array" aca="1" ref="M23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CONTRATUAL]]="",$BB231&gt;$AZ$1),2,
AND(Tabela1[[#This Row],[STATUS PROCESSO MOBILIZAÇÃO]]="Em andamento",Tabela1[[#This Row],[DATA FIM - ALTER. CONTRATUAL]]="",$BB231&lt;=$AZ$1),3,
AND(Tabela1[[#This Row],[STATUS PROCESSO MOBILIZAÇÃO]]="Em andamento",Tabela1[[#This Row],[DATA FIM - ALTER. CONTRATUAL]]&lt;&gt;""),1)</f>
        <v>1</v>
      </c>
      <c r="N231" s="16" cm="1">
        <f t="array" aca="1" ref="N23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DOSSIÊ]]="",$BE231&gt;$BC$1),2,
AND(Tabela1[[#This Row],[STATUS PROCESSO MOBILIZAÇÃO]]="Em andamento",Tabela1[[#This Row],[DATA REAL - DOSSIÊ]]="",$BE231&lt;=$BC$1),3,
AND(Tabela1[[#This Row],[STATUS PROCESSO MOBILIZAÇÃO]]="Em andamento",Tabela1[[#This Row],[DATA REAL - DOSSIÊ]]&lt;&gt;""),1)</f>
        <v>1</v>
      </c>
      <c r="O231" s="16" cm="1">
        <f t="array" aca="1" ref="O23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POSTAGEM]]="",$BH231&gt;$BF$1),2,
AND(Tabela1[[#This Row],[STATUS PROCESSO MOBILIZAÇÃO]]="Em andamento",Tabela1[[#This Row],[DATA REAL - POSTAGEM]]="",$BH231&lt;=$BF$1),3,
AND(Tabela1[[#This Row],[STATUS PROCESSO MOBILIZAÇÃO]]="Em andamento",Tabela1[[#This Row],[DATA REAL - POSTAGEM]]&lt;&gt;""),1)</f>
        <v>1</v>
      </c>
      <c r="P231" s="16" cm="1">
        <f t="array" aca="1" ref="P23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FINAL]]="",$BK231&gt;$BI$1),2,
AND(Tabela1[[#This Row],[STATUS PROCESSO MOBILIZAÇÃO]]="Em andamento",Tabela1[[#This Row],[DATA REAL - APROV FINAL]]="",$BK231&lt;=$BI$1),3,
AND(Tabela1[[#This Row],[STATUS PROCESSO MOBILIZAÇÃO]]="Em andamento",Tabela1[[#This Row],[DATA REAL - APROV FINAL]]&lt;&gt;""),1)</f>
        <v>1</v>
      </c>
      <c r="Q231" s="16" cm="1">
        <f t="array" aca="1" ref="Q23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CRACHÁ]]="",$BN231&gt;$BL$1),2,
AND(Tabela1[[#This Row],[STATUS PROCESSO MOBILIZAÇÃO]]="Em andamento",Tabela1[[#This Row],[DATA REAL - CRACHÁ]]="",$BN231&lt;=$BL$1),3,
AND(Tabela1[[#This Row],[STATUS PROCESSO MOBILIZAÇÃO]]="Em andamento",Tabela1[[#This Row],[DATA REAL - CRACHÁ]]&lt;&gt;""),1)</f>
        <v>1</v>
      </c>
      <c r="R231" s="21">
        <f>IF(Tabela1[[#This Row],[DATA REAL - FORMS]]&lt;&gt;"",Tabela1[[#This Row],[DATA REAL - FORMS]]+30,Tabela1[[#This Row],[DATA PREV - FORMS]]+35)</f>
        <v>46159</v>
      </c>
      <c r="S23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46135</v>
      </c>
      <c r="T23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23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31" s="49">
        <f>MAX(Tabela1[[#This Row],[DATA REAL - POSTAGEM]],Tabela1[[#This Row],[DATA REAL - APROV FINAL]],Tabela1[[#This Row],[DATA REAL - CRACHÁ]])-MIN(Tabela1[[#This Row],[DATA REAL - POSTAGEM]],Tabela1[[#This Row],[DATA REAL - APROV FINAL]],Tabela1[[#This Row],[DATA REAL - CRACHÁ]])+1</f>
        <v>10</v>
      </c>
      <c r="W23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154</v>
      </c>
      <c r="X231" s="15"/>
      <c r="Y231" s="16" t="s">
        <v>84</v>
      </c>
      <c r="Z231" s="16" t="str">
        <f>_xlfn.XLOOKUP(Tabela1[[#This Row],[COO PHD]],TabControleEfetivo[NOME],TabControleEfetivo[email (PHD)],"")</f>
        <v/>
      </c>
      <c r="AA231" s="96" t="s">
        <v>86</v>
      </c>
      <c r="AB231" s="16" t="s">
        <v>97</v>
      </c>
      <c r="AC231" s="16" t="s">
        <v>235</v>
      </c>
      <c r="AD231" s="16" t="s">
        <v>468</v>
      </c>
      <c r="AE231" s="16" t="s">
        <v>469</v>
      </c>
      <c r="AF231" s="16" t="s">
        <v>702</v>
      </c>
      <c r="AG231" s="16" t="str">
        <f>_xlfn.XLOOKUP(Tabela1[[#This Row],[CÓD. CT]],Controle_Projetos[COD CT],Controle_Projetos[COD PHD],"")</f>
        <v>CCAP-CT17-ARAU</v>
      </c>
      <c r="AH231" s="21">
        <v>46120</v>
      </c>
      <c r="AI231" s="76"/>
      <c r="AJ231" s="16" cm="1">
        <f t="array" aca="1" ref="AJ23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1" s="21">
        <v>46120</v>
      </c>
      <c r="AL231" s="74">
        <v>46129</v>
      </c>
      <c r="AM231" s="16" cm="1">
        <f t="array" aca="1" ref="AM23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10</v>
      </c>
      <c r="AN231" s="21">
        <f>Tabela1[[#This Row],[DATA PREV - FORMS]]+$AN$1</f>
        <v>46127</v>
      </c>
      <c r="AO231" s="74">
        <v>46120</v>
      </c>
      <c r="AP231" s="16" cm="1">
        <f t="array" aca="1" ref="AP23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1" s="21">
        <f>Tabela1[[#This Row],[DATA PREV - EXAMES]]+$AQ$1</f>
        <v>46129</v>
      </c>
      <c r="AR231" s="74">
        <v>46122</v>
      </c>
      <c r="AS231" s="16" cm="1">
        <f t="array" aca="1" ref="AS23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31" s="21">
        <f>Tabela1[[#This Row],[DATA PREV - FORMS]]+$AT$1</f>
        <v>46121</v>
      </c>
      <c r="AU231" s="74">
        <v>46120</v>
      </c>
      <c r="AV231" s="16" cm="1">
        <f t="array" aca="1" ref="AV23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1" s="21">
        <f>Tabela1[[#This Row],[DATA PREV - TREINAMENTOS]]+$AW$1</f>
        <v>46128</v>
      </c>
      <c r="AX231" s="74">
        <v>46120</v>
      </c>
      <c r="AY231" s="16" cm="1">
        <f t="array" aca="1" ref="AY23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1" s="24">
        <v>46120</v>
      </c>
      <c r="BA231" s="74">
        <v>46120</v>
      </c>
      <c r="BB231" s="16" cm="1">
        <f t="array" aca="1" ref="BB23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1" s="21">
        <f>Tabela1[[#This Row],[DATA PREV - CONCL. TREIN.]]+$BC$1</f>
        <v>46130</v>
      </c>
      <c r="BD231" s="74">
        <v>46126</v>
      </c>
      <c r="BE231" s="16" cm="1">
        <f t="array" aca="1" ref="BE23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1" s="21">
        <f>Tabela1[[#This Row],[DATA PREV - DOSSIÊ]]+$BF$1</f>
        <v>46133</v>
      </c>
      <c r="BG231" s="74">
        <v>46126</v>
      </c>
      <c r="BH231" s="16" cm="1">
        <f t="array" aca="1" ref="BH23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31" s="21">
        <f>Tabela1[[#This Row],[DATA PREV - POSTAGEM]]+$BI$1</f>
        <v>46139</v>
      </c>
      <c r="BJ231" s="74">
        <v>46133</v>
      </c>
      <c r="BK231" s="16" cm="1">
        <f t="array" aca="1" ref="BK23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231" s="21">
        <f>Tabela1[[#This Row],[DATA PREV - APROV FINAL]]+$BL$1</f>
        <v>46140</v>
      </c>
      <c r="BM231" s="74">
        <v>46135</v>
      </c>
      <c r="BN231" s="16" cm="1">
        <f t="array" aca="1" ref="BN23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31" s="81" t="s">
        <v>704</v>
      </c>
    </row>
    <row r="232" spans="2:67" ht="18" hidden="1" customHeight="1" x14ac:dyDescent="0.35">
      <c r="B232" s="14" t="s">
        <v>79</v>
      </c>
      <c r="C232" s="16" t="s">
        <v>136</v>
      </c>
      <c r="D232" s="16" t="s">
        <v>81</v>
      </c>
      <c r="E232" s="16">
        <v>884</v>
      </c>
      <c r="F232" s="16" t="s">
        <v>496</v>
      </c>
      <c r="G232" s="16" cm="1">
        <f t="array" ref="G232">_xlfn.IFS(Tabela1[[#This Row],[STATUS PROCESSO MOBILIZAÇÃO]]="Finalizado",1,Tabela1[[#This Row],[STATUS PROCESSO MOBILIZAÇÃO]]="Cancelado",2,Tabela1[[#This Row],[STATUS PROCESSO MOBILIZAÇÃO]]="Em andamento",3)</f>
        <v>1</v>
      </c>
      <c r="H232" s="16" cm="1">
        <f t="array" aca="1" ref="H23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FORMS]]="",$AM232&gt;$AK$1),2,
AND(Tabela1[[#This Row],[STATUS PROCESSO MOBILIZAÇÃO]]="Em andamento",Tabela1[[#This Row],[DATA REAL - FORMS]]="",$AM232&lt;=$AK$1),3,
AND(Tabela1[[#This Row],[STATUS PROCESSO MOBILIZAÇÃO]]="Em andamento",Tabela1[[#This Row],[DATA REAL - FORMS]]&lt;&gt;""),1)</f>
        <v>1</v>
      </c>
      <c r="I232" s="16" cm="1">
        <f t="array" aca="1" ref="I23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EXAMES]]="",$AP232&gt;$AN$1),2,
AND(Tabela1[[#This Row],[STATUS PROCESSO MOBILIZAÇÃO]]="Em andamento",Tabela1[[#This Row],[DATA REAL - EXAMES]]="",$AP232&lt;=$AN$1),3,
AND(Tabela1[[#This Row],[STATUS PROCESSO MOBILIZAÇÃO]]="Em andamento",Tabela1[[#This Row],[DATA REAL - EXAMES]]&lt;&gt;""),1)</f>
        <v>1</v>
      </c>
      <c r="J232" s="16" cm="1">
        <f t="array" aca="1" ref="J23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ASO]]="",$AS232&gt;$AQ$1),2,
AND(Tabela1[[#This Row],[STATUS PROCESSO MOBILIZAÇÃO]]="Em andamento",Tabela1[[#This Row],[DATA REAL - ASO]]="",$AS232&lt;=$AQ$1),3,
AND(Tabela1[[#This Row],[STATUS PROCESSO MOBILIZAÇÃO]]="Em andamento",Tabela1[[#This Row],[DATA REAL - ASO]]&lt;&gt;""),1)</f>
        <v>1</v>
      </c>
      <c r="K232" s="16" cm="1">
        <f t="array" aca="1" ref="K23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TREINAMENTOS]]="",$AV232&gt;$AT$1),2,
AND(Tabela1[[#This Row],[STATUS PROCESSO MOBILIZAÇÃO]]="Em andamento",Tabela1[[#This Row],[DATA REAL - TREINAMENTOS]]="",$AV232&lt;=$AT$1),3,
AND(Tabela1[[#This Row],[STATUS PROCESSO MOBILIZAÇÃO]]="Em andamento",Tabela1[[#This Row],[DATA REAL - TREINAMENTOS]]&lt;&gt;""),1)</f>
        <v>1</v>
      </c>
      <c r="L232" s="16" cm="1">
        <f t="array" aca="1" ref="L23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TREIN.]]="",$AY232&gt;$AW$1),2,
AND(Tabela1[[#This Row],[STATUS PROCESSO MOBILIZAÇÃO]]="Em andamento",Tabela1[[#This Row],[DATA REAL - CONCL. TREIN.]]="",$AY232&lt;=$AW$1),3,
AND(Tabela1[[#This Row],[STATUS PROCESSO MOBILIZAÇÃO]]="Em andamento",Tabela1[[#This Row],[DATA REAL - CONCL. TREIN.]]&lt;&gt;""),1)</f>
        <v>1</v>
      </c>
      <c r="M232" s="16" cm="1">
        <f t="array" aca="1" ref="M23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CONTRATUAL]]="",$BB232&gt;$AZ$1),2,
AND(Tabela1[[#This Row],[STATUS PROCESSO MOBILIZAÇÃO]]="Em andamento",Tabela1[[#This Row],[DATA FIM - ALTER. CONTRATUAL]]="",$BB232&lt;=$AZ$1),3,
AND(Tabela1[[#This Row],[STATUS PROCESSO MOBILIZAÇÃO]]="Em andamento",Tabela1[[#This Row],[DATA FIM - ALTER. CONTRATUAL]]&lt;&gt;""),1)</f>
        <v>1</v>
      </c>
      <c r="N232" s="16" cm="1">
        <f t="array" aca="1" ref="N23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DOSSIÊ]]="",$BE232&gt;$BC$1),2,
AND(Tabela1[[#This Row],[STATUS PROCESSO MOBILIZAÇÃO]]="Em andamento",Tabela1[[#This Row],[DATA REAL - DOSSIÊ]]="",$BE232&lt;=$BC$1),3,
AND(Tabela1[[#This Row],[STATUS PROCESSO MOBILIZAÇÃO]]="Em andamento",Tabela1[[#This Row],[DATA REAL - DOSSIÊ]]&lt;&gt;""),1)</f>
        <v>1</v>
      </c>
      <c r="O232" s="16" cm="1">
        <f t="array" aca="1" ref="O23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POSTAGEM]]="",$BH232&gt;$BF$1),2,
AND(Tabela1[[#This Row],[STATUS PROCESSO MOBILIZAÇÃO]]="Em andamento",Tabela1[[#This Row],[DATA REAL - POSTAGEM]]="",$BH232&lt;=$BF$1),3,
AND(Tabela1[[#This Row],[STATUS PROCESSO MOBILIZAÇÃO]]="Em andamento",Tabela1[[#This Row],[DATA REAL - POSTAGEM]]&lt;&gt;""),1)</f>
        <v>1</v>
      </c>
      <c r="P232" s="16" cm="1">
        <f t="array" aca="1" ref="P23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FINAL]]="",$BK232&gt;$BI$1),2,
AND(Tabela1[[#This Row],[STATUS PROCESSO MOBILIZAÇÃO]]="Em andamento",Tabela1[[#This Row],[DATA REAL - APROV FINAL]]="",$BK232&lt;=$BI$1),3,
AND(Tabela1[[#This Row],[STATUS PROCESSO MOBILIZAÇÃO]]="Em andamento",Tabela1[[#This Row],[DATA REAL - APROV FINAL]]&lt;&gt;""),1)</f>
        <v>1</v>
      </c>
      <c r="Q232" s="16" cm="1">
        <f t="array" aca="1" ref="Q23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CRACHÁ]]="",$BN232&gt;$BL$1),2,
AND(Tabela1[[#This Row],[STATUS PROCESSO MOBILIZAÇÃO]]="Em andamento",Tabela1[[#This Row],[DATA REAL - CRACHÁ]]="",$BN232&lt;=$BL$1),3,
AND(Tabela1[[#This Row],[STATUS PROCESSO MOBILIZAÇÃO]]="Em andamento",Tabela1[[#This Row],[DATA REAL - CRACHÁ]]&lt;&gt;""),1)</f>
        <v>1</v>
      </c>
      <c r="R232" s="21">
        <f>IF(Tabela1[[#This Row],[DATA REAL - FORMS]]&lt;&gt;"",Tabela1[[#This Row],[DATA REAL - FORMS]]+30,Tabela1[[#This Row],[DATA PREV - FORMS]]+35)</f>
        <v>46164</v>
      </c>
      <c r="S23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46149</v>
      </c>
      <c r="T23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23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32" s="49">
        <f>MAX(Tabela1[[#This Row],[DATA REAL - POSTAGEM]],Tabela1[[#This Row],[DATA REAL - APROV FINAL]],Tabela1[[#This Row],[DATA REAL - CRACHÁ]])-MIN(Tabela1[[#This Row],[DATA REAL - POSTAGEM]],Tabela1[[#This Row],[DATA REAL - APROV FINAL]],Tabela1[[#This Row],[DATA REAL - CRACHÁ]])+1</f>
        <v>9</v>
      </c>
      <c r="W23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2" s="15" t="s">
        <v>515</v>
      </c>
      <c r="Y232" s="16" t="s">
        <v>130</v>
      </c>
      <c r="Z232" s="80" t="str">
        <f>_xlfn.XLOOKUP(Tabela1[[#This Row],[COO PHD]],TabControleEfetivo[NOME],TabControleEfetivo[email (PHD)],"")</f>
        <v>ronaldo.machado@phdengenharia.eng.br</v>
      </c>
      <c r="AA232" s="95" t="s">
        <v>131</v>
      </c>
      <c r="AB232" s="16" t="s">
        <v>632</v>
      </c>
      <c r="AC232" s="86" t="s">
        <v>132</v>
      </c>
      <c r="AD232" s="86" t="s">
        <v>132</v>
      </c>
      <c r="AE232" s="86" t="s">
        <v>282</v>
      </c>
      <c r="AF232" s="16" t="s">
        <v>675</v>
      </c>
      <c r="AG232" s="16" t="str">
        <f>_xlfn.XLOOKUP(Tabela1[[#This Row],[CÓD. CT]],Controle_Projetos[COD CT],Controle_Projetos[COD PHD],"")</f>
        <v>GERD-CT23-FINO</v>
      </c>
      <c r="AH232" s="21">
        <v>46134</v>
      </c>
      <c r="AI232" s="76">
        <v>46134</v>
      </c>
      <c r="AJ232" s="16" cm="1">
        <f t="array" aca="1" ref="AJ23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2" s="21">
        <v>46134</v>
      </c>
      <c r="AL232" s="74">
        <v>46134</v>
      </c>
      <c r="AM232" s="16" cm="1">
        <f t="array" aca="1" ref="AM23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2" s="21">
        <f>Tabela1[[#This Row],[DATA PREV - FORMS]]+$AN$1</f>
        <v>46141</v>
      </c>
      <c r="AO232" s="74">
        <v>46134</v>
      </c>
      <c r="AP232" s="16" cm="1">
        <f t="array" aca="1" ref="AP23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2" s="21">
        <f>Tabela1[[#This Row],[DATA PREV - EXAMES]]+$AQ$1</f>
        <v>46143</v>
      </c>
      <c r="AR232" s="74">
        <v>46136</v>
      </c>
      <c r="AS232" s="16" cm="1">
        <f t="array" aca="1" ref="AS23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32" s="21">
        <f>Tabela1[[#This Row],[DATA PREV - FORMS]]+$AT$1</f>
        <v>46135</v>
      </c>
      <c r="AU232" s="74">
        <v>46134</v>
      </c>
      <c r="AV232" s="16" cm="1">
        <f t="array" aca="1" ref="AV23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2" s="21">
        <f>Tabela1[[#This Row],[DATA PREV - TREINAMENTOS]]+$AW$1</f>
        <v>46142</v>
      </c>
      <c r="AX232" s="74">
        <v>46134</v>
      </c>
      <c r="AY232" s="16" cm="1">
        <f t="array" aca="1" ref="AY23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2" s="24">
        <v>46134</v>
      </c>
      <c r="BA232" s="74">
        <v>46134</v>
      </c>
      <c r="BB232" s="16" cm="1">
        <f t="array" aca="1" ref="BB23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2" s="21">
        <f>Tabela1[[#This Row],[DATA PREV - CONCL. TREIN.]]+$BC$1</f>
        <v>46144</v>
      </c>
      <c r="BD232" s="74">
        <v>46140</v>
      </c>
      <c r="BE232" s="16" cm="1">
        <f t="array" aca="1" ref="BE23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2" s="21">
        <f>Tabela1[[#This Row],[DATA PREV - DOSSIÊ]]+$BF$1</f>
        <v>46147</v>
      </c>
      <c r="BG232" s="74">
        <v>46141</v>
      </c>
      <c r="BH232" s="16" cm="1">
        <f t="array" aca="1" ref="BH23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32" s="21">
        <f>Tabela1[[#This Row],[DATA PREV - POSTAGEM]]+$BI$1</f>
        <v>46153</v>
      </c>
      <c r="BJ232" s="74">
        <v>46149</v>
      </c>
      <c r="BK232" s="16" cm="1">
        <f t="array" aca="1" ref="BK23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32" s="21">
        <f>Tabela1[[#This Row],[DATA PREV - APROV FINAL]]+$BL$1</f>
        <v>46154</v>
      </c>
      <c r="BM232" s="74">
        <v>46149</v>
      </c>
      <c r="BN232" s="16" cm="1">
        <f t="array" aca="1" ref="BN23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32" s="81" t="s">
        <v>705</v>
      </c>
    </row>
    <row r="233" spans="2:67" ht="18" hidden="1" customHeight="1" x14ac:dyDescent="0.35">
      <c r="B233" s="14" t="s">
        <v>119</v>
      </c>
      <c r="C233" s="16" t="s">
        <v>136</v>
      </c>
      <c r="D233" s="16" t="s">
        <v>119</v>
      </c>
      <c r="E233" s="16">
        <v>882</v>
      </c>
      <c r="F233" s="16" t="s">
        <v>706</v>
      </c>
      <c r="G233" s="16" cm="1">
        <f t="array" ref="G233">_xlfn.IFS(Tabela1[[#This Row],[STATUS PROCESSO MOBILIZAÇÃO]]="Finalizado",1,Tabela1[[#This Row],[STATUS PROCESSO MOBILIZAÇÃO]]="Cancelado",2,Tabela1[[#This Row],[STATUS PROCESSO MOBILIZAÇÃO]]="Em andamento",3)</f>
        <v>2</v>
      </c>
      <c r="H233" s="16" cm="1">
        <f t="array" aca="1" ref="H23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FORMS]]="",$AM233&gt;$AK$1),2,
AND(Tabela1[[#This Row],[STATUS PROCESSO MOBILIZAÇÃO]]="Em andamento",Tabela1[[#This Row],[DATA REAL - FORMS]]="",$AM233&lt;=$AK$1),3,
AND(Tabela1[[#This Row],[STATUS PROCESSO MOBILIZAÇÃO]]="Em andamento",Tabela1[[#This Row],[DATA REAL - FORMS]]&lt;&gt;""),1)</f>
        <v>1</v>
      </c>
      <c r="I233" s="16" cm="1">
        <f t="array" aca="1" ref="I23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EXAMES]]="",$AP233&gt;$AN$1),2,
AND(Tabela1[[#This Row],[STATUS PROCESSO MOBILIZAÇÃO]]="Em andamento",Tabela1[[#This Row],[DATA REAL - EXAMES]]="",$AP233&lt;=$AN$1),3,
AND(Tabela1[[#This Row],[STATUS PROCESSO MOBILIZAÇÃO]]="Em andamento",Tabela1[[#This Row],[DATA REAL - EXAMES]]&lt;&gt;""),1)</f>
        <v>1</v>
      </c>
      <c r="J233" s="16" cm="1">
        <f t="array" aca="1" ref="J23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ASO]]="",$AS233&gt;$AQ$1),2,
AND(Tabela1[[#This Row],[STATUS PROCESSO MOBILIZAÇÃO]]="Em andamento",Tabela1[[#This Row],[DATA REAL - ASO]]="",$AS233&lt;=$AQ$1),3,
AND(Tabela1[[#This Row],[STATUS PROCESSO MOBILIZAÇÃO]]="Em andamento",Tabela1[[#This Row],[DATA REAL - ASO]]&lt;&gt;""),1)</f>
        <v>1</v>
      </c>
      <c r="K233" s="16" cm="1">
        <f t="array" aca="1" ref="K23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TREINAMENTOS]]="",$AV233&gt;$AT$1),2,
AND(Tabela1[[#This Row],[STATUS PROCESSO MOBILIZAÇÃO]]="Em andamento",Tabela1[[#This Row],[DATA REAL - TREINAMENTOS]]="",$AV233&lt;=$AT$1),3,
AND(Tabela1[[#This Row],[STATUS PROCESSO MOBILIZAÇÃO]]="Em andamento",Tabela1[[#This Row],[DATA REAL - TREINAMENTOS]]&lt;&gt;""),1)</f>
        <v>1</v>
      </c>
      <c r="L233" s="16" cm="1">
        <f t="array" aca="1" ref="L23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TREIN.]]="",$AY233&gt;$AW$1),2,
AND(Tabela1[[#This Row],[STATUS PROCESSO MOBILIZAÇÃO]]="Em andamento",Tabela1[[#This Row],[DATA REAL - CONCL. TREIN.]]="",$AY233&lt;=$AW$1),3,
AND(Tabela1[[#This Row],[STATUS PROCESSO MOBILIZAÇÃO]]="Em andamento",Tabela1[[#This Row],[DATA REAL - CONCL. TREIN.]]&lt;&gt;""),1)</f>
        <v>1</v>
      </c>
      <c r="M233" s="16" cm="1">
        <f t="array" aca="1" ref="M23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CONTRATUAL]]="",$BB233&gt;$AZ$1),2,
AND(Tabela1[[#This Row],[STATUS PROCESSO MOBILIZAÇÃO]]="Em andamento",Tabela1[[#This Row],[DATA FIM - ALTER. CONTRATUAL]]="",$BB233&lt;=$AZ$1),3,
AND(Tabela1[[#This Row],[STATUS PROCESSO MOBILIZAÇÃO]]="Em andamento",Tabela1[[#This Row],[DATA FIM - ALTER. CONTRATUAL]]&lt;&gt;""),1)</f>
        <v>1</v>
      </c>
      <c r="N233" s="16" cm="1">
        <f t="array" aca="1" ref="N23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DOSSIÊ]]="",$BE233&gt;$BC$1),2,
AND(Tabela1[[#This Row],[STATUS PROCESSO MOBILIZAÇÃO]]="Em andamento",Tabela1[[#This Row],[DATA REAL - DOSSIÊ]]="",$BE233&lt;=$BC$1),3,
AND(Tabela1[[#This Row],[STATUS PROCESSO MOBILIZAÇÃO]]="Em andamento",Tabela1[[#This Row],[DATA REAL - DOSSIÊ]]&lt;&gt;""),1)</f>
        <v>1</v>
      </c>
      <c r="O233" s="16" cm="1">
        <f t="array" aca="1" ref="O23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POSTAGEM]]="",$BH233&gt;$BF$1),2,
AND(Tabela1[[#This Row],[STATUS PROCESSO MOBILIZAÇÃO]]="Em andamento",Tabela1[[#This Row],[DATA REAL - POSTAGEM]]="",$BH233&lt;=$BF$1),3,
AND(Tabela1[[#This Row],[STATUS PROCESSO MOBILIZAÇÃO]]="Em andamento",Tabela1[[#This Row],[DATA REAL - POSTAGEM]]&lt;&gt;""),1)</f>
        <v>1</v>
      </c>
      <c r="P233" s="16" cm="1">
        <f t="array" aca="1" ref="P23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FINAL]]="",$BK233&gt;$BI$1),2,
AND(Tabela1[[#This Row],[STATUS PROCESSO MOBILIZAÇÃO]]="Em andamento",Tabela1[[#This Row],[DATA REAL - APROV FINAL]]="",$BK233&lt;=$BI$1),3,
AND(Tabela1[[#This Row],[STATUS PROCESSO MOBILIZAÇÃO]]="Em andamento",Tabela1[[#This Row],[DATA REAL - APROV FINAL]]&lt;&gt;""),1)</f>
        <v>0</v>
      </c>
      <c r="Q233" s="16" cm="1">
        <f t="array" aca="1" ref="Q23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CRACHÁ]]="",$BN233&gt;$BL$1),2,
AND(Tabela1[[#This Row],[STATUS PROCESSO MOBILIZAÇÃO]]="Em andamento",Tabela1[[#This Row],[DATA REAL - CRACHÁ]]="",$BN233&lt;=$BL$1),3,
AND(Tabela1[[#This Row],[STATUS PROCESSO MOBILIZAÇÃO]]="Em andamento",Tabela1[[#This Row],[DATA REAL - CRACHÁ]]&lt;&gt;""),1)</f>
        <v>1</v>
      </c>
      <c r="R233" s="21">
        <f>IF(Tabela1[[#This Row],[DATA REAL - FORMS]]&lt;&gt;"",Tabela1[[#This Row],[DATA REAL - FORMS]]+30,Tabela1[[#This Row],[DATA PREV - FORMS]]+35)</f>
        <v>46164</v>
      </c>
      <c r="S23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46147</v>
      </c>
      <c r="T23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3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12</v>
      </c>
      <c r="V233" s="49">
        <f>MAX(Tabela1[[#This Row],[DATA REAL - POSTAGEM]],Tabela1[[#This Row],[DATA REAL - APROV FINAL]],Tabela1[[#This Row],[DATA REAL - CRACHÁ]])-MIN(Tabela1[[#This Row],[DATA REAL - POSTAGEM]],Tabela1[[#This Row],[DATA REAL - APROV FINAL]],Tabela1[[#This Row],[DATA REAL - CRACHÁ]])+1</f>
        <v>2</v>
      </c>
      <c r="W23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3" s="15" t="s">
        <v>707</v>
      </c>
      <c r="Y233" s="16" t="s">
        <v>355</v>
      </c>
      <c r="Z233" s="80" t="str">
        <f>_xlfn.XLOOKUP(Tabela1[[#This Row],[COO PHD]],TabControleEfetivo[NOME],TabControleEfetivo[email (PHD)],"")</f>
        <v>marcio.junior@phdengenharia.eng.br</v>
      </c>
      <c r="AA233" s="18" t="s">
        <v>356</v>
      </c>
      <c r="AB233" s="16" t="s">
        <v>97</v>
      </c>
      <c r="AC233" s="16" t="s">
        <v>212</v>
      </c>
      <c r="AD233" s="16" t="s">
        <v>628</v>
      </c>
      <c r="AE233" s="16" t="s">
        <v>629</v>
      </c>
      <c r="AF233" s="16" t="s">
        <v>630</v>
      </c>
      <c r="AG233" s="16" t="str">
        <f>_xlfn.XLOOKUP(Tabela1[[#This Row],[CÓD. CT]],Controle_Projetos[COD CT],Controle_Projetos[COD PHD],"")</f>
        <v>NOBR-CT07-MOSA</v>
      </c>
      <c r="AH233" s="21">
        <v>46134</v>
      </c>
      <c r="AI233" s="76">
        <v>46134</v>
      </c>
      <c r="AJ233" s="16" cm="1">
        <f t="array" aca="1" ref="AJ23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3" s="21">
        <v>46134</v>
      </c>
      <c r="AL233" s="74">
        <v>46134</v>
      </c>
      <c r="AM233" s="16" cm="1">
        <f t="array" aca="1" ref="AM23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3" s="21">
        <f>Tabela1[[#This Row],[DATA PREV - FORMS]]+$AN$1</f>
        <v>46141</v>
      </c>
      <c r="AO233" s="74">
        <v>46134</v>
      </c>
      <c r="AP233" s="16" cm="1">
        <f t="array" aca="1" ref="AP23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3" s="21">
        <f>Tabela1[[#This Row],[DATA PREV - EXAMES]]+$AQ$1</f>
        <v>46143</v>
      </c>
      <c r="AR233" s="74">
        <v>46134</v>
      </c>
      <c r="AS233" s="16" cm="1">
        <f t="array" aca="1" ref="AS23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33" s="21">
        <f>Tabela1[[#This Row],[DATA PREV - FORMS]]+$AT$1</f>
        <v>46135</v>
      </c>
      <c r="AU233" s="74">
        <v>46134</v>
      </c>
      <c r="AV233" s="16" cm="1">
        <f t="array" aca="1" ref="AV23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3" s="21">
        <f>Tabela1[[#This Row],[DATA PREV - TREINAMENTOS]]+$AW$1</f>
        <v>46142</v>
      </c>
      <c r="AX233" s="74">
        <v>46134</v>
      </c>
      <c r="AY233" s="16" cm="1">
        <f t="array" aca="1" ref="AY23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3" s="24">
        <v>46134</v>
      </c>
      <c r="BA233" s="74">
        <v>46134</v>
      </c>
      <c r="BB233" s="16" cm="1">
        <f t="array" aca="1" ref="BB23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3" s="21">
        <f>Tabela1[[#This Row],[DATA PREV - CONCL. TREIN.]]+$BC$1</f>
        <v>46144</v>
      </c>
      <c r="BD233" s="74">
        <v>46146</v>
      </c>
      <c r="BE233" s="16" cm="1">
        <f t="array" aca="1" ref="BE23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3" s="21">
        <f>Tabela1[[#This Row],[DATA PREV - DOSSIÊ]]+$BF$1</f>
        <v>46147</v>
      </c>
      <c r="BG233" s="74">
        <v>46146</v>
      </c>
      <c r="BH233" s="16" cm="1">
        <f t="array" aca="1" ref="BH23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0</v>
      </c>
      <c r="BI233" s="21">
        <f>Tabela1[[#This Row],[DATA PREV - POSTAGEM]]+$BI$1</f>
        <v>46153</v>
      </c>
      <c r="BJ233" s="74"/>
      <c r="BK233" s="16" cm="1">
        <f t="array" aca="1" ref="BK23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33" s="21">
        <f>Tabela1[[#This Row],[DATA PREV - APROV FINAL]]+$BL$1</f>
        <v>46154</v>
      </c>
      <c r="BM233" s="74">
        <v>46147</v>
      </c>
      <c r="BN233" s="16" cm="1">
        <f t="array" aca="1" ref="BN23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33" s="81" t="s">
        <v>708</v>
      </c>
    </row>
    <row r="234" spans="2:67" ht="18" hidden="1" customHeight="1" x14ac:dyDescent="0.35">
      <c r="B234" s="14" t="s">
        <v>119</v>
      </c>
      <c r="C234" s="16" t="s">
        <v>136</v>
      </c>
      <c r="D234" s="16" t="s">
        <v>119</v>
      </c>
      <c r="E234" s="16">
        <v>890</v>
      </c>
      <c r="F234" s="16" t="s">
        <v>545</v>
      </c>
      <c r="G234" s="16" cm="1">
        <f t="array" ref="G234">_xlfn.IFS(Tabela1[[#This Row],[STATUS PROCESSO MOBILIZAÇÃO]]="Finalizado",1,Tabela1[[#This Row],[STATUS PROCESSO MOBILIZAÇÃO]]="Cancelado",2,Tabela1[[#This Row],[STATUS PROCESSO MOBILIZAÇÃO]]="Em andamento",3)</f>
        <v>2</v>
      </c>
      <c r="H234" s="16" cm="1">
        <f t="array" aca="1" ref="H23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FORMS]]="",$AM234&gt;$AK$1),2,
AND(Tabela1[[#This Row],[STATUS PROCESSO MOBILIZAÇÃO]]="Em andamento",Tabela1[[#This Row],[DATA REAL - FORMS]]="",$AM234&lt;=$AK$1),3,
AND(Tabela1[[#This Row],[STATUS PROCESSO MOBILIZAÇÃO]]="Em andamento",Tabela1[[#This Row],[DATA REAL - FORMS]]&lt;&gt;""),1)</f>
        <v>1</v>
      </c>
      <c r="I234" s="16" cm="1">
        <f t="array" aca="1" ref="I23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EXAMES]]="",$AP234&gt;$AN$1),2,
AND(Tabela1[[#This Row],[STATUS PROCESSO MOBILIZAÇÃO]]="Em andamento",Tabela1[[#This Row],[DATA REAL - EXAMES]]="",$AP234&lt;=$AN$1),3,
AND(Tabela1[[#This Row],[STATUS PROCESSO MOBILIZAÇÃO]]="Em andamento",Tabela1[[#This Row],[DATA REAL - EXAMES]]&lt;&gt;""),1)</f>
        <v>1</v>
      </c>
      <c r="J234" s="16" cm="1">
        <f t="array" aca="1" ref="J23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ASO]]="",$AS234&gt;$AQ$1),2,
AND(Tabela1[[#This Row],[STATUS PROCESSO MOBILIZAÇÃO]]="Em andamento",Tabela1[[#This Row],[DATA REAL - ASO]]="",$AS234&lt;=$AQ$1),3,
AND(Tabela1[[#This Row],[STATUS PROCESSO MOBILIZAÇÃO]]="Em andamento",Tabela1[[#This Row],[DATA REAL - ASO]]&lt;&gt;""),1)</f>
        <v>1</v>
      </c>
      <c r="K234" s="16" cm="1">
        <f t="array" aca="1" ref="K23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TREINAMENTOS]]="",$AV234&gt;$AT$1),2,
AND(Tabela1[[#This Row],[STATUS PROCESSO MOBILIZAÇÃO]]="Em andamento",Tabela1[[#This Row],[DATA REAL - TREINAMENTOS]]="",$AV234&lt;=$AT$1),3,
AND(Tabela1[[#This Row],[STATUS PROCESSO MOBILIZAÇÃO]]="Em andamento",Tabela1[[#This Row],[DATA REAL - TREINAMENTOS]]&lt;&gt;""),1)</f>
        <v>1</v>
      </c>
      <c r="L234" s="16" cm="1">
        <f t="array" aca="1" ref="L23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TREIN.]]="",$AY234&gt;$AW$1),2,
AND(Tabela1[[#This Row],[STATUS PROCESSO MOBILIZAÇÃO]]="Em andamento",Tabela1[[#This Row],[DATA REAL - CONCL. TREIN.]]="",$AY234&lt;=$AW$1),3,
AND(Tabela1[[#This Row],[STATUS PROCESSO MOBILIZAÇÃO]]="Em andamento",Tabela1[[#This Row],[DATA REAL - CONCL. TREIN.]]&lt;&gt;""),1)</f>
        <v>1</v>
      </c>
      <c r="M234" s="16" cm="1">
        <f t="array" aca="1" ref="M23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CONTRATUAL]]="",$BB234&gt;$AZ$1),2,
AND(Tabela1[[#This Row],[STATUS PROCESSO MOBILIZAÇÃO]]="Em andamento",Tabela1[[#This Row],[DATA FIM - ALTER. CONTRATUAL]]="",$BB234&lt;=$AZ$1),3,
AND(Tabela1[[#This Row],[STATUS PROCESSO MOBILIZAÇÃO]]="Em andamento",Tabela1[[#This Row],[DATA FIM - ALTER. CONTRATUAL]]&lt;&gt;""),1)</f>
        <v>1</v>
      </c>
      <c r="N234" s="16" cm="1">
        <f t="array" aca="1" ref="N23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DOSSIÊ]]="",$BE234&gt;$BC$1),2,
AND(Tabela1[[#This Row],[STATUS PROCESSO MOBILIZAÇÃO]]="Em andamento",Tabela1[[#This Row],[DATA REAL - DOSSIÊ]]="",$BE234&lt;=$BC$1),3,
AND(Tabela1[[#This Row],[STATUS PROCESSO MOBILIZAÇÃO]]="Em andamento",Tabela1[[#This Row],[DATA REAL - DOSSIÊ]]&lt;&gt;""),1)</f>
        <v>0</v>
      </c>
      <c r="O234" s="16" cm="1">
        <f t="array" aca="1" ref="O23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POSTAGEM]]="",$BH234&gt;$BF$1),2,
AND(Tabela1[[#This Row],[STATUS PROCESSO MOBILIZAÇÃO]]="Em andamento",Tabela1[[#This Row],[DATA REAL - POSTAGEM]]="",$BH234&lt;=$BF$1),3,
AND(Tabela1[[#This Row],[STATUS PROCESSO MOBILIZAÇÃO]]="Em andamento",Tabela1[[#This Row],[DATA REAL - POSTAGEM]]&lt;&gt;""),1)</f>
        <v>0</v>
      </c>
      <c r="P234" s="16" cm="1">
        <f t="array" aca="1" ref="P23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FINAL]]="",$BK234&gt;$BI$1),2,
AND(Tabela1[[#This Row],[STATUS PROCESSO MOBILIZAÇÃO]]="Em andamento",Tabela1[[#This Row],[DATA REAL - APROV FINAL]]="",$BK234&lt;=$BI$1),3,
AND(Tabela1[[#This Row],[STATUS PROCESSO MOBILIZAÇÃO]]="Em andamento",Tabela1[[#This Row],[DATA REAL - APROV FINAL]]&lt;&gt;""),1)</f>
        <v>0</v>
      </c>
      <c r="Q234" s="16" cm="1">
        <f t="array" aca="1" ref="Q23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CRACHÁ]]="",$BN234&gt;$BL$1),2,
AND(Tabela1[[#This Row],[STATUS PROCESSO MOBILIZAÇÃO]]="Em andamento",Tabela1[[#This Row],[DATA REAL - CRACHÁ]]="",$BN234&lt;=$BL$1),3,
AND(Tabela1[[#This Row],[STATUS PROCESSO MOBILIZAÇÃO]]="Em andamento",Tabela1[[#This Row],[DATA REAL - CRACHÁ]]&lt;&gt;""),1)</f>
        <v>1</v>
      </c>
      <c r="R234" s="21">
        <f>IF(Tabela1[[#This Row],[DATA REAL - FORMS]]&lt;&gt;"",Tabela1[[#This Row],[DATA REAL - FORMS]]+30,Tabela1[[#This Row],[DATA PREV - FORMS]]+35)</f>
        <v>46165</v>
      </c>
      <c r="S23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46168</v>
      </c>
      <c r="T23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33</v>
      </c>
      <c r="U23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34" s="49">
        <f>MAX(Tabela1[[#This Row],[DATA REAL - POSTAGEM]],Tabela1[[#This Row],[DATA REAL - APROV FINAL]],Tabela1[[#This Row],[DATA REAL - CRACHÁ]])-MIN(Tabela1[[#This Row],[DATA REAL - POSTAGEM]],Tabela1[[#This Row],[DATA REAL - APROV FINAL]],Tabela1[[#This Row],[DATA REAL - CRACHÁ]])+1</f>
        <v>1</v>
      </c>
      <c r="W23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4" s="15" t="s">
        <v>149</v>
      </c>
      <c r="Y234" s="16" t="s">
        <v>150</v>
      </c>
      <c r="Z234" s="80" t="str">
        <f>_xlfn.XLOOKUP(Tabela1[[#This Row],[COO PHD]],TabControleEfetivo[NOME],TabControleEfetivo[email (PHD)],"")</f>
        <v>diogo.soares@phdengenharia.eng.br</v>
      </c>
      <c r="AA234" s="18" t="s">
        <v>152</v>
      </c>
      <c r="AB234" s="16" t="s">
        <v>97</v>
      </c>
      <c r="AC234" s="16" t="s">
        <v>455</v>
      </c>
      <c r="AD234" s="16" t="s">
        <v>455</v>
      </c>
      <c r="AE234" s="16" t="s">
        <v>669</v>
      </c>
      <c r="AF234" s="16" t="s">
        <v>670</v>
      </c>
      <c r="AG234" s="16" t="str">
        <f>_xlfn.XLOOKUP(Tabela1[[#This Row],[CÓD. CT]],Controle_Projetos[COD CT],Controle_Projetos[COD PHD],"")</f>
        <v>AURA-CT03-BORB</v>
      </c>
      <c r="AH234" s="21">
        <v>46135</v>
      </c>
      <c r="AI234" s="76">
        <v>46135</v>
      </c>
      <c r="AJ234" s="16" cm="1">
        <f t="array" aca="1" ref="AJ23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4" s="21">
        <v>46135</v>
      </c>
      <c r="AL234" s="74">
        <v>46135</v>
      </c>
      <c r="AM234" s="16" cm="1">
        <f t="array" aca="1" ref="AM23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4" s="21">
        <f>Tabela1[[#This Row],[DATA PREV - FORMS]]+$AN$1</f>
        <v>46142</v>
      </c>
      <c r="AO234" s="74">
        <v>46135</v>
      </c>
      <c r="AP234" s="16" cm="1">
        <f t="array" aca="1" ref="AP23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4" s="21">
        <f>Tabela1[[#This Row],[DATA PREV - EXAMES]]+$AQ$1</f>
        <v>46144</v>
      </c>
      <c r="AR234" s="74">
        <v>46141</v>
      </c>
      <c r="AS234" s="16" cm="1">
        <f t="array" aca="1" ref="AS23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34" s="21">
        <f>Tabela1[[#This Row],[DATA PREV - FORMS]]+$AT$1</f>
        <v>46136</v>
      </c>
      <c r="AU234" s="74">
        <v>46135</v>
      </c>
      <c r="AV234" s="16" cm="1">
        <f t="array" aca="1" ref="AV23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4" s="21">
        <f>Tabela1[[#This Row],[DATA PREV - TREINAMENTOS]]+$AW$1</f>
        <v>46143</v>
      </c>
      <c r="AX234" s="74">
        <v>46135</v>
      </c>
      <c r="AY234" s="16" cm="1">
        <f t="array" aca="1" ref="AY23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4" s="24">
        <v>46135</v>
      </c>
      <c r="BA234" s="74">
        <v>46135</v>
      </c>
      <c r="BB234" s="16" cm="1">
        <f t="array" aca="1" ref="BB23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4" s="21">
        <f>Tabela1[[#This Row],[DATA PREV - CONCL. TREIN.]]+$BC$1</f>
        <v>46145</v>
      </c>
      <c r="BD234" s="74"/>
      <c r="BE234" s="16" cm="1">
        <f t="array" aca="1" ref="BE23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34" s="21">
        <f>Tabela1[[#This Row],[DATA PREV - DOSSIÊ]]+$BF$1</f>
        <v>46148</v>
      </c>
      <c r="BG234" s="74"/>
      <c r="BH234" s="16" cm="1">
        <f t="array" aca="1" ref="BH23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34" s="21">
        <f>Tabela1[[#This Row],[DATA PREV - POSTAGEM]]+$BI$1</f>
        <v>46154</v>
      </c>
      <c r="BJ234" s="74"/>
      <c r="BK234" s="16" cm="1">
        <f t="array" aca="1" ref="BK23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34" s="21">
        <f>Tabela1[[#This Row],[DATA PREV - APROV FINAL]]+$BL$1</f>
        <v>46155</v>
      </c>
      <c r="BM234" s="74">
        <v>46168</v>
      </c>
      <c r="BN234" s="16" cm="1">
        <f t="array" aca="1" ref="BN23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234" s="81" t="s">
        <v>709</v>
      </c>
    </row>
    <row r="235" spans="2:67" ht="18" hidden="1" customHeight="1" x14ac:dyDescent="0.35">
      <c r="B235" s="14" t="s">
        <v>79</v>
      </c>
      <c r="C235" s="16" t="s">
        <v>136</v>
      </c>
      <c r="D235" s="16" t="s">
        <v>81</v>
      </c>
      <c r="E235" s="16"/>
      <c r="F235" s="16" t="s">
        <v>502</v>
      </c>
      <c r="G235" s="16" cm="1">
        <f t="array" ref="G235">_xlfn.IFS(Tabela1[[#This Row],[STATUS PROCESSO MOBILIZAÇÃO]]="Finalizado",1,Tabela1[[#This Row],[STATUS PROCESSO MOBILIZAÇÃO]]="Cancelado",2,Tabela1[[#This Row],[STATUS PROCESSO MOBILIZAÇÃO]]="Em andamento",3)</f>
        <v>1</v>
      </c>
      <c r="H235" s="16" cm="1">
        <f t="array" aca="1" ref="H23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FORMS]]="",$AM235&gt;$AK$1),2,
AND(Tabela1[[#This Row],[STATUS PROCESSO MOBILIZAÇÃO]]="Em andamento",Tabela1[[#This Row],[DATA REAL - FORMS]]="",$AM235&lt;=$AK$1),3,
AND(Tabela1[[#This Row],[STATUS PROCESSO MOBILIZAÇÃO]]="Em andamento",Tabela1[[#This Row],[DATA REAL - FORMS]]&lt;&gt;""),1)</f>
        <v>0</v>
      </c>
      <c r="I235" s="16" cm="1">
        <f t="array" aca="1" ref="I23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EXAMES]]="",$AP235&gt;$AN$1),2,
AND(Tabela1[[#This Row],[STATUS PROCESSO MOBILIZAÇÃO]]="Em andamento",Tabela1[[#This Row],[DATA REAL - EXAMES]]="",$AP235&lt;=$AN$1),3,
AND(Tabela1[[#This Row],[STATUS PROCESSO MOBILIZAÇÃO]]="Em andamento",Tabela1[[#This Row],[DATA REAL - EXAMES]]&lt;&gt;""),1)</f>
        <v>1</v>
      </c>
      <c r="J235" s="16" cm="1">
        <f t="array" aca="1" ref="J23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ASO]]="",$AS235&gt;$AQ$1),2,
AND(Tabela1[[#This Row],[STATUS PROCESSO MOBILIZAÇÃO]]="Em andamento",Tabela1[[#This Row],[DATA REAL - ASO]]="",$AS235&lt;=$AQ$1),3,
AND(Tabela1[[#This Row],[STATUS PROCESSO MOBILIZAÇÃO]]="Em andamento",Tabela1[[#This Row],[DATA REAL - ASO]]&lt;&gt;""),1)</f>
        <v>1</v>
      </c>
      <c r="K235" s="16" cm="1">
        <f t="array" aca="1" ref="K23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TREINAMENTOS]]="",$AV235&gt;$AT$1),2,
AND(Tabela1[[#This Row],[STATUS PROCESSO MOBILIZAÇÃO]]="Em andamento",Tabela1[[#This Row],[DATA REAL - TREINAMENTOS]]="",$AV235&lt;=$AT$1),3,
AND(Tabela1[[#This Row],[STATUS PROCESSO MOBILIZAÇÃO]]="Em andamento",Tabela1[[#This Row],[DATA REAL - TREINAMENTOS]]&lt;&gt;""),1)</f>
        <v>1</v>
      </c>
      <c r="L235" s="16" cm="1">
        <f t="array" aca="1" ref="L23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TREIN.]]="",$AY235&gt;$AW$1),2,
AND(Tabela1[[#This Row],[STATUS PROCESSO MOBILIZAÇÃO]]="Em andamento",Tabela1[[#This Row],[DATA REAL - CONCL. TREIN.]]="",$AY235&lt;=$AW$1),3,
AND(Tabela1[[#This Row],[STATUS PROCESSO MOBILIZAÇÃO]]="Em andamento",Tabela1[[#This Row],[DATA REAL - CONCL. TREIN.]]&lt;&gt;""),1)</f>
        <v>1</v>
      </c>
      <c r="M235" s="16" cm="1">
        <f t="array" aca="1" ref="M23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CONTRATUAL]]="",$BB235&gt;$AZ$1),2,
AND(Tabela1[[#This Row],[STATUS PROCESSO MOBILIZAÇÃO]]="Em andamento",Tabela1[[#This Row],[DATA FIM - ALTER. CONTRATUAL]]="",$BB235&lt;=$AZ$1),3,
AND(Tabela1[[#This Row],[STATUS PROCESSO MOBILIZAÇÃO]]="Em andamento",Tabela1[[#This Row],[DATA FIM - ALTER. CONTRATUAL]]&lt;&gt;""),1)</f>
        <v>1</v>
      </c>
      <c r="N235" s="16" cm="1">
        <f t="array" aca="1" ref="N23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DOSSIÊ]]="",$BE235&gt;$BC$1),2,
AND(Tabela1[[#This Row],[STATUS PROCESSO MOBILIZAÇÃO]]="Em andamento",Tabela1[[#This Row],[DATA REAL - DOSSIÊ]]="",$BE235&lt;=$BC$1),3,
AND(Tabela1[[#This Row],[STATUS PROCESSO MOBILIZAÇÃO]]="Em andamento",Tabela1[[#This Row],[DATA REAL - DOSSIÊ]]&lt;&gt;""),1)</f>
        <v>1</v>
      </c>
      <c r="O235" s="16" cm="1">
        <f t="array" aca="1" ref="O23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POSTAGEM]]="",$BH235&gt;$BF$1),2,
AND(Tabela1[[#This Row],[STATUS PROCESSO MOBILIZAÇÃO]]="Em andamento",Tabela1[[#This Row],[DATA REAL - POSTAGEM]]="",$BH235&lt;=$BF$1),3,
AND(Tabela1[[#This Row],[STATUS PROCESSO MOBILIZAÇÃO]]="Em andamento",Tabela1[[#This Row],[DATA REAL - POSTAGEM]]&lt;&gt;""),1)</f>
        <v>1</v>
      </c>
      <c r="P235" s="16" cm="1">
        <f t="array" aca="1" ref="P23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FINAL]]="",$BK235&gt;$BI$1),2,
AND(Tabela1[[#This Row],[STATUS PROCESSO MOBILIZAÇÃO]]="Em andamento",Tabela1[[#This Row],[DATA REAL - APROV FINAL]]="",$BK235&lt;=$BI$1),3,
AND(Tabela1[[#This Row],[STATUS PROCESSO MOBILIZAÇÃO]]="Em andamento",Tabela1[[#This Row],[DATA REAL - APROV FINAL]]&lt;&gt;""),1)</f>
        <v>1</v>
      </c>
      <c r="Q235" s="16" cm="1">
        <f t="array" aca="1" ref="Q23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CRACHÁ]]="",$BN235&gt;$BL$1),2,
AND(Tabela1[[#This Row],[STATUS PROCESSO MOBILIZAÇÃO]]="Em andamento",Tabela1[[#This Row],[DATA REAL - CRACHÁ]]="",$BN235&lt;=$BL$1),3,
AND(Tabela1[[#This Row],[STATUS PROCESSO MOBILIZAÇÃO]]="Em andamento",Tabela1[[#This Row],[DATA REAL - CRACHÁ]]&lt;&gt;""),1)</f>
        <v>1</v>
      </c>
      <c r="R235" s="21">
        <f>IF(Tabela1[[#This Row],[DATA REAL - FORMS]]&lt;&gt;"",Tabela1[[#This Row],[DATA REAL - FORMS]]+30,Tabela1[[#This Row],[DATA PREV - FORMS]]+35)</f>
        <v>46170</v>
      </c>
      <c r="S23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46147</v>
      </c>
      <c r="T23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12</v>
      </c>
      <c r="U23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35" s="49">
        <f>MAX(Tabela1[[#This Row],[DATA REAL - POSTAGEM]],Tabela1[[#This Row],[DATA REAL - APROV FINAL]],Tabela1[[#This Row],[DATA REAL - CRACHÁ]])-MIN(Tabela1[[#This Row],[DATA REAL - POSTAGEM]],Tabela1[[#This Row],[DATA REAL - APROV FINAL]],Tabela1[[#This Row],[DATA REAL - CRACHÁ]])+1</f>
        <v>6</v>
      </c>
      <c r="W23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5" s="15"/>
      <c r="Y235" s="16" t="s">
        <v>84</v>
      </c>
      <c r="Z235" s="16" t="str">
        <f>_xlfn.XLOOKUP(Tabela1[[#This Row],[COO PHD]],TabControleEfetivo[NOME],TabControleEfetivo[email (PHD)],"")</f>
        <v/>
      </c>
      <c r="AA235" s="95" t="s">
        <v>86</v>
      </c>
      <c r="AB235" s="16" t="s">
        <v>97</v>
      </c>
      <c r="AC235" s="16" t="s">
        <v>132</v>
      </c>
      <c r="AD235" s="16" t="s">
        <v>132</v>
      </c>
      <c r="AE235" s="16" t="s">
        <v>337</v>
      </c>
      <c r="AF235" s="16" t="s">
        <v>379</v>
      </c>
      <c r="AG235" s="16" t="str">
        <f>_xlfn.XLOOKUP(Tabela1[[#This Row],[CÓD. CT]],Controle_Projetos[COD CT],Controle_Projetos[COD PHD],"")</f>
        <v>GERD-CT14-PIND</v>
      </c>
      <c r="AH235" s="21">
        <v>46135</v>
      </c>
      <c r="AI235" s="76">
        <v>46135</v>
      </c>
      <c r="AJ235" s="16" cm="1">
        <f t="array" aca="1" ref="AJ23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5" s="21">
        <v>46135</v>
      </c>
      <c r="AL235" s="76"/>
      <c r="AM235" s="16" cm="1">
        <f t="array" aca="1" ref="AM23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5" s="21">
        <f>Tabela1[[#This Row],[DATA PREV - FORMS]]+$AN$1</f>
        <v>46142</v>
      </c>
      <c r="AO235" s="74">
        <v>46135</v>
      </c>
      <c r="AP235" s="16" cm="1">
        <f t="array" aca="1" ref="AP23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5" s="21">
        <f>Tabela1[[#This Row],[DATA PREV - EXAMES]]+$AQ$1</f>
        <v>46144</v>
      </c>
      <c r="AR235" s="74">
        <v>46136</v>
      </c>
      <c r="AS235" s="16" cm="1">
        <f t="array" aca="1" ref="AS23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35" s="21">
        <f>Tabela1[[#This Row],[DATA PREV - FORMS]]+$AT$1</f>
        <v>46136</v>
      </c>
      <c r="AU235" s="74">
        <v>46135</v>
      </c>
      <c r="AV235" s="16" cm="1">
        <f t="array" aca="1" ref="AV23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5" s="21">
        <f>Tabela1[[#This Row],[DATA PREV - TREINAMENTOS]]+$AW$1</f>
        <v>46143</v>
      </c>
      <c r="AX235" s="74">
        <v>46135</v>
      </c>
      <c r="AY235" s="16" cm="1">
        <f t="array" aca="1" ref="AY23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5" s="24">
        <v>46135</v>
      </c>
      <c r="BA235" s="74">
        <v>46135</v>
      </c>
      <c r="BB235" s="16" cm="1">
        <f t="array" aca="1" ref="BB23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5" s="21">
        <f>Tabela1[[#This Row],[DATA PREV - CONCL. TREIN.]]+$BC$1</f>
        <v>46145</v>
      </c>
      <c r="BD235" s="74">
        <v>46142</v>
      </c>
      <c r="BE235" s="16" cm="1">
        <f t="array" aca="1" ref="BE23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235" s="21">
        <f>Tabela1[[#This Row],[DATA PREV - DOSSIÊ]]+$BF$1</f>
        <v>46148</v>
      </c>
      <c r="BG235" s="74">
        <v>46142</v>
      </c>
      <c r="BH235" s="16" cm="1">
        <f t="array" aca="1" ref="BH23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35" s="21">
        <f>Tabela1[[#This Row],[DATA PREV - POSTAGEM]]+$BI$1</f>
        <v>46154</v>
      </c>
      <c r="BJ235" s="74">
        <v>46147</v>
      </c>
      <c r="BK235" s="16" cm="1">
        <f t="array" aca="1" ref="BK23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35" s="21">
        <f>Tabela1[[#This Row],[DATA PREV - APROV FINAL]]+$BL$1</f>
        <v>46155</v>
      </c>
      <c r="BM235" s="74">
        <v>46147</v>
      </c>
      <c r="BN235" s="16" cm="1">
        <f t="array" aca="1" ref="BN23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-7</v>
      </c>
      <c r="BO235" s="81" t="s">
        <v>710</v>
      </c>
    </row>
    <row r="236" spans="2:67" ht="18" hidden="1" customHeight="1" x14ac:dyDescent="0.35">
      <c r="B236" s="14" t="s">
        <v>119</v>
      </c>
      <c r="C236" s="16" t="s">
        <v>136</v>
      </c>
      <c r="D236" s="16" t="s">
        <v>119</v>
      </c>
      <c r="E236" s="16"/>
      <c r="F236" s="16" t="s">
        <v>223</v>
      </c>
      <c r="G236" s="16" cm="1">
        <f t="array" ref="G236">_xlfn.IFS(Tabela1[[#This Row],[STATUS PROCESSO MOBILIZAÇÃO]]="Finalizado",1,Tabela1[[#This Row],[STATUS PROCESSO MOBILIZAÇÃO]]="Cancelado",2,Tabela1[[#This Row],[STATUS PROCESSO MOBILIZAÇÃO]]="Em andamento",3)</f>
        <v>2</v>
      </c>
      <c r="H236" s="16" cm="1">
        <f t="array" aca="1" ref="H23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FORMS]]="",$AM236&gt;$AK$1),2,
AND(Tabela1[[#This Row],[STATUS PROCESSO MOBILIZAÇÃO]]="Em andamento",Tabela1[[#This Row],[DATA REAL - FORMS]]="",$AM236&lt;=$AK$1),3,
AND(Tabela1[[#This Row],[STATUS PROCESSO MOBILIZAÇÃO]]="Em andamento",Tabela1[[#This Row],[DATA REAL - FORMS]]&lt;&gt;""),1)</f>
        <v>0</v>
      </c>
      <c r="I236" s="16" cm="1">
        <f t="array" aca="1" ref="I23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EXAMES]]="",$AP236&gt;$AN$1),2,
AND(Tabela1[[#This Row],[STATUS PROCESSO MOBILIZAÇÃO]]="Em andamento",Tabela1[[#This Row],[DATA REAL - EXAMES]]="",$AP236&lt;=$AN$1),3,
AND(Tabela1[[#This Row],[STATUS PROCESSO MOBILIZAÇÃO]]="Em andamento",Tabela1[[#This Row],[DATA REAL - EXAMES]]&lt;&gt;""),1)</f>
        <v>1</v>
      </c>
      <c r="J236" s="16" cm="1">
        <f t="array" aca="1" ref="J23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ASO]]="",$AS236&gt;$AQ$1),2,
AND(Tabela1[[#This Row],[STATUS PROCESSO MOBILIZAÇÃO]]="Em andamento",Tabela1[[#This Row],[DATA REAL - ASO]]="",$AS236&lt;=$AQ$1),3,
AND(Tabela1[[#This Row],[STATUS PROCESSO MOBILIZAÇÃO]]="Em andamento",Tabela1[[#This Row],[DATA REAL - ASO]]&lt;&gt;""),1)</f>
        <v>0</v>
      </c>
      <c r="K236" s="16" cm="1">
        <f t="array" aca="1" ref="K23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TREINAMENTOS]]="",$AV236&gt;$AT$1),2,
AND(Tabela1[[#This Row],[STATUS PROCESSO MOBILIZAÇÃO]]="Em andamento",Tabela1[[#This Row],[DATA REAL - TREINAMENTOS]]="",$AV236&lt;=$AT$1),3,
AND(Tabela1[[#This Row],[STATUS PROCESSO MOBILIZAÇÃO]]="Em andamento",Tabela1[[#This Row],[DATA REAL - TREINAMENTOS]]&lt;&gt;""),1)</f>
        <v>1</v>
      </c>
      <c r="L236" s="16" cm="1">
        <f t="array" aca="1" ref="L23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TREIN.]]="",$AY236&gt;$AW$1),2,
AND(Tabela1[[#This Row],[STATUS PROCESSO MOBILIZAÇÃO]]="Em andamento",Tabela1[[#This Row],[DATA REAL - CONCL. TREIN.]]="",$AY236&lt;=$AW$1),3,
AND(Tabela1[[#This Row],[STATUS PROCESSO MOBILIZAÇÃO]]="Em andamento",Tabela1[[#This Row],[DATA REAL - CONCL. TREIN.]]&lt;&gt;""),1)</f>
        <v>1</v>
      </c>
      <c r="M236" s="16" cm="1">
        <f t="array" aca="1" ref="M23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CONTRATUAL]]="",$BB236&gt;$AZ$1),2,
AND(Tabela1[[#This Row],[STATUS PROCESSO MOBILIZAÇÃO]]="Em andamento",Tabela1[[#This Row],[DATA FIM - ALTER. CONTRATUAL]]="",$BB236&lt;=$AZ$1),3,
AND(Tabela1[[#This Row],[STATUS PROCESSO MOBILIZAÇÃO]]="Em andamento",Tabela1[[#This Row],[DATA FIM - ALTER. CONTRATUAL]]&lt;&gt;""),1)</f>
        <v>1</v>
      </c>
      <c r="N236" s="16" cm="1">
        <f t="array" aca="1" ref="N23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DOSSIÊ]]="",$BE236&gt;$BC$1),2,
AND(Tabela1[[#This Row],[STATUS PROCESSO MOBILIZAÇÃO]]="Em andamento",Tabela1[[#This Row],[DATA REAL - DOSSIÊ]]="",$BE236&lt;=$BC$1),3,
AND(Tabela1[[#This Row],[STATUS PROCESSO MOBILIZAÇÃO]]="Em andamento",Tabela1[[#This Row],[DATA REAL - DOSSIÊ]]&lt;&gt;""),1)</f>
        <v>0</v>
      </c>
      <c r="O236" s="16" cm="1">
        <f t="array" aca="1" ref="O23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POSTAGEM]]="",$BH236&gt;$BF$1),2,
AND(Tabela1[[#This Row],[STATUS PROCESSO MOBILIZAÇÃO]]="Em andamento",Tabela1[[#This Row],[DATA REAL - POSTAGEM]]="",$BH236&lt;=$BF$1),3,
AND(Tabela1[[#This Row],[STATUS PROCESSO MOBILIZAÇÃO]]="Em andamento",Tabela1[[#This Row],[DATA REAL - POSTAGEM]]&lt;&gt;""),1)</f>
        <v>0</v>
      </c>
      <c r="P236" s="16" cm="1">
        <f t="array" aca="1" ref="P23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FINAL]]="",$BK236&gt;$BI$1),2,
AND(Tabela1[[#This Row],[STATUS PROCESSO MOBILIZAÇÃO]]="Em andamento",Tabela1[[#This Row],[DATA REAL - APROV FINAL]]="",$BK236&lt;=$BI$1),3,
AND(Tabela1[[#This Row],[STATUS PROCESSO MOBILIZAÇÃO]]="Em andamento",Tabela1[[#This Row],[DATA REAL - APROV FINAL]]&lt;&gt;""),1)</f>
        <v>0</v>
      </c>
      <c r="Q236" s="16" cm="1">
        <f t="array" aca="1" ref="Q23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CRACHÁ]]="",$BN236&gt;$BL$1),2,
AND(Tabela1[[#This Row],[STATUS PROCESSO MOBILIZAÇÃO]]="Em andamento",Tabela1[[#This Row],[DATA REAL - CRACHÁ]]="",$BN236&lt;=$BL$1),3,
AND(Tabela1[[#This Row],[STATUS PROCESSO MOBILIZAÇÃO]]="Em andamento",Tabela1[[#This Row],[DATA REAL - CRACHÁ]]&lt;&gt;""),1)</f>
        <v>1</v>
      </c>
      <c r="R236" s="21">
        <f>IF(Tabela1[[#This Row],[DATA REAL - FORMS]]&lt;&gt;"",Tabela1[[#This Row],[DATA REAL - FORMS]]+30,Tabela1[[#This Row],[DATA PREV - FORMS]]+35)</f>
        <v>46170</v>
      </c>
      <c r="S23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46157</v>
      </c>
      <c r="T23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23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36" s="49">
        <f>MAX(Tabela1[[#This Row],[DATA REAL - POSTAGEM]],Tabela1[[#This Row],[DATA REAL - APROV FINAL]],Tabela1[[#This Row],[DATA REAL - CRACHÁ]])-MIN(Tabela1[[#This Row],[DATA REAL - POSTAGEM]],Tabela1[[#This Row],[DATA REAL - APROV FINAL]],Tabela1[[#This Row],[DATA REAL - CRACHÁ]])+1</f>
        <v>1</v>
      </c>
      <c r="W23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6" s="15"/>
      <c r="Y236" s="16" t="s">
        <v>84</v>
      </c>
      <c r="Z236" s="16" t="str">
        <f>_xlfn.XLOOKUP(Tabela1[[#This Row],[COO PHD]],TabControleEfetivo[NOME],TabControleEfetivo[email (PHD)],"")</f>
        <v/>
      </c>
      <c r="AA236" s="95" t="s">
        <v>86</v>
      </c>
      <c r="AB236" s="16" t="s">
        <v>97</v>
      </c>
      <c r="AC236" s="16" t="s">
        <v>132</v>
      </c>
      <c r="AD236" s="16" t="s">
        <v>132</v>
      </c>
      <c r="AE236" s="16" t="s">
        <v>337</v>
      </c>
      <c r="AF236" s="16" t="s">
        <v>379</v>
      </c>
      <c r="AG236" s="16" t="str">
        <f>_xlfn.XLOOKUP(Tabela1[[#This Row],[CÓD. CT]],Controle_Projetos[COD CT],Controle_Projetos[COD PHD],"")</f>
        <v>GERD-CT14-PIND</v>
      </c>
      <c r="AH236" s="21">
        <v>46135</v>
      </c>
      <c r="AI236" s="76">
        <v>46135</v>
      </c>
      <c r="AJ236" s="16" cm="1">
        <f t="array" aca="1" ref="AJ23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6" s="21">
        <v>46135</v>
      </c>
      <c r="AL236" s="74"/>
      <c r="AM236" s="16" cm="1">
        <f t="array" aca="1" ref="AM23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6" s="21">
        <f>Tabela1[[#This Row],[DATA PREV - FORMS]]+$AN$1</f>
        <v>46142</v>
      </c>
      <c r="AO236" s="74">
        <v>46135</v>
      </c>
      <c r="AP236" s="16" cm="1">
        <f t="array" aca="1" ref="AP23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6" s="21">
        <f>Tabela1[[#This Row],[DATA PREV - EXAMES]]+$AQ$1</f>
        <v>46144</v>
      </c>
      <c r="AR236" s="74"/>
      <c r="AS236" s="16" cm="1">
        <f t="array" aca="1" ref="AS23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36" s="21">
        <f>Tabela1[[#This Row],[DATA PREV - FORMS]]+$AT$1</f>
        <v>46136</v>
      </c>
      <c r="AU236" s="74">
        <v>46135</v>
      </c>
      <c r="AV236" s="16" cm="1">
        <f t="array" aca="1" ref="AV23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6" s="21">
        <f>Tabela1[[#This Row],[DATA PREV - TREINAMENTOS]]+$AW$1</f>
        <v>46143</v>
      </c>
      <c r="AX236" s="74">
        <v>46141</v>
      </c>
      <c r="AY236" s="16" cm="1">
        <f t="array" aca="1" ref="AY23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36" s="24">
        <v>46135</v>
      </c>
      <c r="BA236" s="74">
        <v>46135</v>
      </c>
      <c r="BB236" s="16" cm="1">
        <f t="array" aca="1" ref="BB23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6" s="21">
        <f>Tabela1[[#This Row],[DATA PREV - CONCL. TREIN.]]+$BC$1</f>
        <v>46145</v>
      </c>
      <c r="BD236" s="74"/>
      <c r="BE236" s="16" cm="1">
        <f t="array" aca="1" ref="BE23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36" s="21">
        <f>Tabela1[[#This Row],[DATA PREV - DOSSIÊ]]+$BF$1</f>
        <v>46148</v>
      </c>
      <c r="BG236" s="74"/>
      <c r="BH236" s="16" cm="1">
        <f t="array" aca="1" ref="BH23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36" s="21">
        <f>Tabela1[[#This Row],[DATA PREV - POSTAGEM]]+$BI$1</f>
        <v>46154</v>
      </c>
      <c r="BJ236" s="74"/>
      <c r="BK236" s="16" cm="1">
        <f t="array" aca="1" ref="BK23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36" s="21">
        <f>Tabela1[[#This Row],[DATA PREV - APROV FINAL]]+$BL$1</f>
        <v>46155</v>
      </c>
      <c r="BM236" s="74">
        <v>46157</v>
      </c>
      <c r="BN236" s="16" cm="1">
        <f t="array" aca="1" ref="BN23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236" s="81" t="s">
        <v>711</v>
      </c>
    </row>
    <row r="237" spans="2:67" ht="18" hidden="1" customHeight="1" x14ac:dyDescent="0.35">
      <c r="B237" s="14" t="s">
        <v>79</v>
      </c>
      <c r="C237" s="16" t="s">
        <v>136</v>
      </c>
      <c r="D237" s="16" t="s">
        <v>108</v>
      </c>
      <c r="E237" s="16">
        <v>895</v>
      </c>
      <c r="F237" s="16" t="s">
        <v>129</v>
      </c>
      <c r="G237" s="16" cm="1">
        <f t="array" ref="G237">_xlfn.IFS(Tabela1[[#This Row],[STATUS PROCESSO MOBILIZAÇÃO]]="Finalizado",1,Tabela1[[#This Row],[STATUS PROCESSO MOBILIZAÇÃO]]="Cancelado",2,Tabela1[[#This Row],[STATUS PROCESSO MOBILIZAÇÃO]]="Em andamento",3)</f>
        <v>1</v>
      </c>
      <c r="H237" s="16" cm="1">
        <f t="array" aca="1" ref="H23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FORMS]]="",$AM237&gt;$AK$1),2,
AND(Tabela1[[#This Row],[STATUS PROCESSO MOBILIZAÇÃO]]="Em andamento",Tabela1[[#This Row],[DATA REAL - FORMS]]="",$AM237&lt;=$AK$1),3,
AND(Tabela1[[#This Row],[STATUS PROCESSO MOBILIZAÇÃO]]="Em andamento",Tabela1[[#This Row],[DATA REAL - FORMS]]&lt;&gt;""),1)</f>
        <v>1</v>
      </c>
      <c r="I237" s="16" cm="1">
        <f t="array" aca="1" ref="I23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EXAMES]]="",$AP237&gt;$AN$1),2,
AND(Tabela1[[#This Row],[STATUS PROCESSO MOBILIZAÇÃO]]="Em andamento",Tabela1[[#This Row],[DATA REAL - EXAMES]]="",$AP237&lt;=$AN$1),3,
AND(Tabela1[[#This Row],[STATUS PROCESSO MOBILIZAÇÃO]]="Em andamento",Tabela1[[#This Row],[DATA REAL - EXAMES]]&lt;&gt;""),1)</f>
        <v>1</v>
      </c>
      <c r="J237" s="16" cm="1">
        <f t="array" aca="1" ref="J23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ASO]]="",$AS237&gt;$AQ$1),2,
AND(Tabela1[[#This Row],[STATUS PROCESSO MOBILIZAÇÃO]]="Em andamento",Tabela1[[#This Row],[DATA REAL - ASO]]="",$AS237&lt;=$AQ$1),3,
AND(Tabela1[[#This Row],[STATUS PROCESSO MOBILIZAÇÃO]]="Em andamento",Tabela1[[#This Row],[DATA REAL - ASO]]&lt;&gt;""),1)</f>
        <v>1</v>
      </c>
      <c r="K237" s="16" cm="1">
        <f t="array" aca="1" ref="K23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TREINAMENTOS]]="",$AV237&gt;$AT$1),2,
AND(Tabela1[[#This Row],[STATUS PROCESSO MOBILIZAÇÃO]]="Em andamento",Tabela1[[#This Row],[DATA REAL - TREINAMENTOS]]="",$AV237&lt;=$AT$1),3,
AND(Tabela1[[#This Row],[STATUS PROCESSO MOBILIZAÇÃO]]="Em andamento",Tabela1[[#This Row],[DATA REAL - TREINAMENTOS]]&lt;&gt;""),1)</f>
        <v>1</v>
      </c>
      <c r="L237" s="16" cm="1">
        <f t="array" aca="1" ref="L23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TREIN.]]="",$AY237&gt;$AW$1),2,
AND(Tabela1[[#This Row],[STATUS PROCESSO MOBILIZAÇÃO]]="Em andamento",Tabela1[[#This Row],[DATA REAL - CONCL. TREIN.]]="",$AY237&lt;=$AW$1),3,
AND(Tabela1[[#This Row],[STATUS PROCESSO MOBILIZAÇÃO]]="Em andamento",Tabela1[[#This Row],[DATA REAL - CONCL. TREIN.]]&lt;&gt;""),1)</f>
        <v>1</v>
      </c>
      <c r="M237" s="16" cm="1">
        <f t="array" aca="1" ref="M23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CONTRATUAL]]="",$BB237&gt;$AZ$1),2,
AND(Tabela1[[#This Row],[STATUS PROCESSO MOBILIZAÇÃO]]="Em andamento",Tabela1[[#This Row],[DATA FIM - ALTER. CONTRATUAL]]="",$BB237&lt;=$AZ$1),3,
AND(Tabela1[[#This Row],[STATUS PROCESSO MOBILIZAÇÃO]]="Em andamento",Tabela1[[#This Row],[DATA FIM - ALTER. CONTRATUAL]]&lt;&gt;""),1)</f>
        <v>1</v>
      </c>
      <c r="N237" s="16" cm="1">
        <f t="array" aca="1" ref="N23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DOSSIÊ]]="",$BE237&gt;$BC$1),2,
AND(Tabela1[[#This Row],[STATUS PROCESSO MOBILIZAÇÃO]]="Em andamento",Tabela1[[#This Row],[DATA REAL - DOSSIÊ]]="",$BE237&lt;=$BC$1),3,
AND(Tabela1[[#This Row],[STATUS PROCESSO MOBILIZAÇÃO]]="Em andamento",Tabela1[[#This Row],[DATA REAL - DOSSIÊ]]&lt;&gt;""),1)</f>
        <v>1</v>
      </c>
      <c r="O237" s="16" cm="1">
        <f t="array" aca="1" ref="O23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POSTAGEM]]="",$BH237&gt;$BF$1),2,
AND(Tabela1[[#This Row],[STATUS PROCESSO MOBILIZAÇÃO]]="Em andamento",Tabela1[[#This Row],[DATA REAL - POSTAGEM]]="",$BH237&lt;=$BF$1),3,
AND(Tabela1[[#This Row],[STATUS PROCESSO MOBILIZAÇÃO]]="Em andamento",Tabela1[[#This Row],[DATA REAL - POSTAGEM]]&lt;&gt;""),1)</f>
        <v>1</v>
      </c>
      <c r="P237" s="16" cm="1">
        <f t="array" aca="1" ref="P23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FINAL]]="",$BK237&gt;$BI$1),2,
AND(Tabela1[[#This Row],[STATUS PROCESSO MOBILIZAÇÃO]]="Em andamento",Tabela1[[#This Row],[DATA REAL - APROV FINAL]]="",$BK237&lt;=$BI$1),3,
AND(Tabela1[[#This Row],[STATUS PROCESSO MOBILIZAÇÃO]]="Em andamento",Tabela1[[#This Row],[DATA REAL - APROV FINAL]]&lt;&gt;""),1)</f>
        <v>1</v>
      </c>
      <c r="Q237" s="16" cm="1">
        <f t="array" aca="1" ref="Q23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CRACHÁ]]="",$BN237&gt;$BL$1),2,
AND(Tabela1[[#This Row],[STATUS PROCESSO MOBILIZAÇÃO]]="Em andamento",Tabela1[[#This Row],[DATA REAL - CRACHÁ]]="",$BN237&lt;=$BL$1),3,
AND(Tabela1[[#This Row],[STATUS PROCESSO MOBILIZAÇÃO]]="Em andamento",Tabela1[[#This Row],[DATA REAL - CRACHÁ]]&lt;&gt;""),1)</f>
        <v>1</v>
      </c>
      <c r="R237" s="21">
        <f>IF(Tabela1[[#This Row],[DATA REAL - FORMS]]&lt;&gt;"",Tabela1[[#This Row],[DATA REAL - FORMS]]+30,Tabela1[[#This Row],[DATA PREV - FORMS]]+35)</f>
        <v>46165</v>
      </c>
      <c r="S23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46148</v>
      </c>
      <c r="T23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3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37" s="49">
        <f>MAX(Tabela1[[#This Row],[DATA REAL - POSTAGEM]],Tabela1[[#This Row],[DATA REAL - APROV FINAL]],Tabela1[[#This Row],[DATA REAL - CRACHÁ]])-MIN(Tabela1[[#This Row],[DATA REAL - POSTAGEM]],Tabela1[[#This Row],[DATA REAL - APROV FINAL]],Tabela1[[#This Row],[DATA REAL - CRACHÁ]])+1</f>
        <v>8</v>
      </c>
      <c r="W23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7" s="15" t="s">
        <v>149</v>
      </c>
      <c r="Y237" s="16" t="s">
        <v>150</v>
      </c>
      <c r="Z237" s="80" t="str">
        <f>_xlfn.XLOOKUP(Tabela1[[#This Row],[COO PHD]],TabControleEfetivo[NOME],TabControleEfetivo[email (PHD)],"")</f>
        <v>diogo.soares@phdengenharia.eng.br</v>
      </c>
      <c r="AA237" s="95" t="s">
        <v>152</v>
      </c>
      <c r="AB237" s="16" t="s">
        <v>97</v>
      </c>
      <c r="AC237" s="16" t="s">
        <v>455</v>
      </c>
      <c r="AD237" s="16" t="s">
        <v>455</v>
      </c>
      <c r="AE237" s="16" t="s">
        <v>712</v>
      </c>
      <c r="AF237" s="16" t="s">
        <v>713</v>
      </c>
      <c r="AG237" s="16" t="str">
        <f>_xlfn.XLOOKUP(Tabela1[[#This Row],[CÓD. CT]],Controle_Projetos[COD CT],Controle_Projetos[COD PHD],"")</f>
        <v>AURA-CT02-GUAT</v>
      </c>
      <c r="AH237" s="21">
        <v>46135</v>
      </c>
      <c r="AI237" s="76">
        <v>46135</v>
      </c>
      <c r="AJ237" s="16" cm="1">
        <f t="array" aca="1" ref="AJ23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7" s="21">
        <v>46135</v>
      </c>
      <c r="AL237" s="76">
        <v>46135</v>
      </c>
      <c r="AM237" s="16" cm="1">
        <f t="array" aca="1" ref="AM23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7" s="21">
        <f>Tabela1[[#This Row],[DATA PREV - FORMS]]+$AN$1</f>
        <v>46142</v>
      </c>
      <c r="AO237" s="74">
        <v>46135</v>
      </c>
      <c r="AP237" s="16" cm="1">
        <f t="array" aca="1" ref="AP23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7" s="21">
        <f>Tabela1[[#This Row],[DATA PREV - EXAMES]]+$AQ$1</f>
        <v>46144</v>
      </c>
      <c r="AR237" s="74">
        <v>46141</v>
      </c>
      <c r="AS237" s="16" cm="1">
        <f t="array" aca="1" ref="AS23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37" s="21">
        <f>Tabela1[[#This Row],[DATA PREV - FORMS]]+$AT$1</f>
        <v>46136</v>
      </c>
      <c r="AU237" s="74">
        <v>46135</v>
      </c>
      <c r="AV237" s="16" cm="1">
        <f t="array" aca="1" ref="AV23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7" s="21">
        <f>Tabela1[[#This Row],[DATA PREV - TREINAMENTOS]]+$AW$1</f>
        <v>46143</v>
      </c>
      <c r="AX237" s="74">
        <v>46135</v>
      </c>
      <c r="AY237" s="16" cm="1">
        <f t="array" aca="1" ref="AY23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37" s="24">
        <v>46135</v>
      </c>
      <c r="BA237" s="74">
        <v>46135</v>
      </c>
      <c r="BB237" s="16" cm="1">
        <f t="array" aca="1" ref="BB23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7" s="21">
        <f>Tabela1[[#This Row],[DATA PREV - CONCL. TREIN.]]+$BC$1</f>
        <v>46145</v>
      </c>
      <c r="BD237" s="74">
        <v>46141</v>
      </c>
      <c r="BE237" s="16" cm="1">
        <f t="array" aca="1" ref="BE23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7" s="21">
        <f>Tabela1[[#This Row],[DATA PREV - DOSSIÊ]]+$BF$1</f>
        <v>46148</v>
      </c>
      <c r="BG237" s="74">
        <v>46141</v>
      </c>
      <c r="BH237" s="16" cm="1">
        <f t="array" aca="1" ref="BH23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37" s="21">
        <f>Tabela1[[#This Row],[DATA PREV - POSTAGEM]]+$BI$1</f>
        <v>46154</v>
      </c>
      <c r="BJ237" s="74">
        <v>46147</v>
      </c>
      <c r="BK237" s="16" cm="1">
        <f t="array" aca="1" ref="BK23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37" s="21">
        <f>Tabela1[[#This Row],[DATA PREV - APROV FINAL]]+$BL$1</f>
        <v>46155</v>
      </c>
      <c r="BM237" s="74">
        <v>46148</v>
      </c>
      <c r="BN237" s="16" cm="1">
        <f t="array" aca="1" ref="BN23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37" s="81" t="s">
        <v>714</v>
      </c>
    </row>
    <row r="238" spans="2:67" ht="18" hidden="1" customHeight="1" x14ac:dyDescent="0.35">
      <c r="B238" s="14" t="s">
        <v>79</v>
      </c>
      <c r="C238" s="16" t="s">
        <v>136</v>
      </c>
      <c r="D238" s="16" t="s">
        <v>108</v>
      </c>
      <c r="E238" s="16">
        <v>896</v>
      </c>
      <c r="F238" s="16" t="s">
        <v>715</v>
      </c>
      <c r="G238" s="16" cm="1">
        <f t="array" ref="G238">_xlfn.IFS(Tabela1[[#This Row],[STATUS PROCESSO MOBILIZAÇÃO]]="Finalizado",1,Tabela1[[#This Row],[STATUS PROCESSO MOBILIZAÇÃO]]="Cancelado",2,Tabela1[[#This Row],[STATUS PROCESSO MOBILIZAÇÃO]]="Em andamento",3)</f>
        <v>1</v>
      </c>
      <c r="H238" s="16" cm="1">
        <f t="array" aca="1" ref="H23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FORMS]]="",$AM238&gt;$AK$1),2,
AND(Tabela1[[#This Row],[STATUS PROCESSO MOBILIZAÇÃO]]="Em andamento",Tabela1[[#This Row],[DATA REAL - FORMS]]="",$AM238&lt;=$AK$1),3,
AND(Tabela1[[#This Row],[STATUS PROCESSO MOBILIZAÇÃO]]="Em andamento",Tabela1[[#This Row],[DATA REAL - FORMS]]&lt;&gt;""),1)</f>
        <v>1</v>
      </c>
      <c r="I238" s="16" cm="1">
        <f t="array" aca="1" ref="I23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EXAMES]]="",$AP238&gt;$AN$1),2,
AND(Tabela1[[#This Row],[STATUS PROCESSO MOBILIZAÇÃO]]="Em andamento",Tabela1[[#This Row],[DATA REAL - EXAMES]]="",$AP238&lt;=$AN$1),3,
AND(Tabela1[[#This Row],[STATUS PROCESSO MOBILIZAÇÃO]]="Em andamento",Tabela1[[#This Row],[DATA REAL - EXAMES]]&lt;&gt;""),1)</f>
        <v>1</v>
      </c>
      <c r="J238" s="16" cm="1">
        <f t="array" aca="1" ref="J23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ASO]]="",$AS238&gt;$AQ$1),2,
AND(Tabela1[[#This Row],[STATUS PROCESSO MOBILIZAÇÃO]]="Em andamento",Tabela1[[#This Row],[DATA REAL - ASO]]="",$AS238&lt;=$AQ$1),3,
AND(Tabela1[[#This Row],[STATUS PROCESSO MOBILIZAÇÃO]]="Em andamento",Tabela1[[#This Row],[DATA REAL - ASO]]&lt;&gt;""),1)</f>
        <v>1</v>
      </c>
      <c r="K238" s="16" cm="1">
        <f t="array" aca="1" ref="K23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TREINAMENTOS]]="",$AV238&gt;$AT$1),2,
AND(Tabela1[[#This Row],[STATUS PROCESSO MOBILIZAÇÃO]]="Em andamento",Tabela1[[#This Row],[DATA REAL - TREINAMENTOS]]="",$AV238&lt;=$AT$1),3,
AND(Tabela1[[#This Row],[STATUS PROCESSO MOBILIZAÇÃO]]="Em andamento",Tabela1[[#This Row],[DATA REAL - TREINAMENTOS]]&lt;&gt;""),1)</f>
        <v>1</v>
      </c>
      <c r="L238" s="16" cm="1">
        <f t="array" aca="1" ref="L23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TREIN.]]="",$AY238&gt;$AW$1),2,
AND(Tabela1[[#This Row],[STATUS PROCESSO MOBILIZAÇÃO]]="Em andamento",Tabela1[[#This Row],[DATA REAL - CONCL. TREIN.]]="",$AY238&lt;=$AW$1),3,
AND(Tabela1[[#This Row],[STATUS PROCESSO MOBILIZAÇÃO]]="Em andamento",Tabela1[[#This Row],[DATA REAL - CONCL. TREIN.]]&lt;&gt;""),1)</f>
        <v>1</v>
      </c>
      <c r="M238" s="16" cm="1">
        <f t="array" aca="1" ref="M23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CONTRATUAL]]="",$BB238&gt;$AZ$1),2,
AND(Tabela1[[#This Row],[STATUS PROCESSO MOBILIZAÇÃO]]="Em andamento",Tabela1[[#This Row],[DATA FIM - ALTER. CONTRATUAL]]="",$BB238&lt;=$AZ$1),3,
AND(Tabela1[[#This Row],[STATUS PROCESSO MOBILIZAÇÃO]]="Em andamento",Tabela1[[#This Row],[DATA FIM - ALTER. CONTRATUAL]]&lt;&gt;""),1)</f>
        <v>1</v>
      </c>
      <c r="N238" s="16" cm="1">
        <f t="array" aca="1" ref="N23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DOSSIÊ]]="",$BE238&gt;$BC$1),2,
AND(Tabela1[[#This Row],[STATUS PROCESSO MOBILIZAÇÃO]]="Em andamento",Tabela1[[#This Row],[DATA REAL - DOSSIÊ]]="",$BE238&lt;=$BC$1),3,
AND(Tabela1[[#This Row],[STATUS PROCESSO MOBILIZAÇÃO]]="Em andamento",Tabela1[[#This Row],[DATA REAL - DOSSIÊ]]&lt;&gt;""),1)</f>
        <v>1</v>
      </c>
      <c r="O238" s="16" cm="1">
        <f t="array" aca="1" ref="O23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POSTAGEM]]="",$BH238&gt;$BF$1),2,
AND(Tabela1[[#This Row],[STATUS PROCESSO MOBILIZAÇÃO]]="Em andamento",Tabela1[[#This Row],[DATA REAL - POSTAGEM]]="",$BH238&lt;=$BF$1),3,
AND(Tabela1[[#This Row],[STATUS PROCESSO MOBILIZAÇÃO]]="Em andamento",Tabela1[[#This Row],[DATA REAL - POSTAGEM]]&lt;&gt;""),1)</f>
        <v>1</v>
      </c>
      <c r="P238" s="16" cm="1">
        <f t="array" aca="1" ref="P23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FINAL]]="",$BK238&gt;$BI$1),2,
AND(Tabela1[[#This Row],[STATUS PROCESSO MOBILIZAÇÃO]]="Em andamento",Tabela1[[#This Row],[DATA REAL - APROV FINAL]]="",$BK238&lt;=$BI$1),3,
AND(Tabela1[[#This Row],[STATUS PROCESSO MOBILIZAÇÃO]]="Em andamento",Tabela1[[#This Row],[DATA REAL - APROV FINAL]]&lt;&gt;""),1)</f>
        <v>1</v>
      </c>
      <c r="Q238" s="16" cm="1">
        <f t="array" aca="1" ref="Q23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CRACHÁ]]="",$BN238&gt;$BL$1),2,
AND(Tabela1[[#This Row],[STATUS PROCESSO MOBILIZAÇÃO]]="Em andamento",Tabela1[[#This Row],[DATA REAL - CRACHÁ]]="",$BN238&lt;=$BL$1),3,
AND(Tabela1[[#This Row],[STATUS PROCESSO MOBILIZAÇÃO]]="Em andamento",Tabela1[[#This Row],[DATA REAL - CRACHÁ]]&lt;&gt;""),1)</f>
        <v>1</v>
      </c>
      <c r="R238" s="21">
        <f>IF(Tabela1[[#This Row],[DATA REAL - FORMS]]&lt;&gt;"",Tabela1[[#This Row],[DATA REAL - FORMS]]+30,Tabela1[[#This Row],[DATA PREV - FORMS]]+35)</f>
        <v>46165</v>
      </c>
      <c r="S23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46148</v>
      </c>
      <c r="T23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3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38" s="49">
        <f>MAX(Tabela1[[#This Row],[DATA REAL - POSTAGEM]],Tabela1[[#This Row],[DATA REAL - APROV FINAL]],Tabela1[[#This Row],[DATA REAL - CRACHÁ]])-MIN(Tabela1[[#This Row],[DATA REAL - POSTAGEM]],Tabela1[[#This Row],[DATA REAL - APROV FINAL]],Tabela1[[#This Row],[DATA REAL - CRACHÁ]])+1</f>
        <v>8</v>
      </c>
      <c r="W23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8" s="15" t="s">
        <v>716</v>
      </c>
      <c r="Y238" s="16" t="s">
        <v>150</v>
      </c>
      <c r="Z238" s="80" t="str">
        <f>_xlfn.XLOOKUP(Tabela1[[#This Row],[COO PHD]],TabControleEfetivo[NOME],TabControleEfetivo[email (PHD)],"")</f>
        <v>ana.caldeira@phdengenharia.eng.br</v>
      </c>
      <c r="AA238" s="96" t="s">
        <v>152</v>
      </c>
      <c r="AB238" s="16" t="s">
        <v>97</v>
      </c>
      <c r="AC238" s="16" t="s">
        <v>455</v>
      </c>
      <c r="AD238" s="16" t="s">
        <v>455</v>
      </c>
      <c r="AE238" s="16" t="s">
        <v>712</v>
      </c>
      <c r="AF238" s="16" t="s">
        <v>713</v>
      </c>
      <c r="AG238" s="16" t="str">
        <f>_xlfn.XLOOKUP(Tabela1[[#This Row],[CÓD. CT]],Controle_Projetos[COD CT],Controle_Projetos[COD PHD],"")</f>
        <v>AURA-CT02-GUAT</v>
      </c>
      <c r="AH238" s="21">
        <v>46135</v>
      </c>
      <c r="AI238" s="76">
        <v>46135</v>
      </c>
      <c r="AJ238" s="16" cm="1">
        <f t="array" aca="1" ref="AJ23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8" s="21">
        <v>46135</v>
      </c>
      <c r="AL238" s="76">
        <v>46135</v>
      </c>
      <c r="AM238" s="16" cm="1">
        <f t="array" aca="1" ref="AM23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8" s="21">
        <f>Tabela1[[#This Row],[DATA PREV - FORMS]]+$AN$1</f>
        <v>46142</v>
      </c>
      <c r="AO238" s="74">
        <v>46135</v>
      </c>
      <c r="AP238" s="16" cm="1">
        <f t="array" aca="1" ref="AP23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8" s="21">
        <f>Tabela1[[#This Row],[DATA PREV - EXAMES]]+$AQ$1</f>
        <v>46144</v>
      </c>
      <c r="AR238" s="74">
        <v>46139</v>
      </c>
      <c r="AS238" s="16" cm="1">
        <f t="array" aca="1" ref="AS23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38" s="21">
        <f>Tabela1[[#This Row],[DATA PREV - FORMS]]+$AT$1</f>
        <v>46136</v>
      </c>
      <c r="AU238" s="74">
        <v>46135</v>
      </c>
      <c r="AV238" s="16" cm="1">
        <f t="array" aca="1" ref="AV23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8" s="21">
        <f>Tabela1[[#This Row],[DATA PREV - TREINAMENTOS]]+$AW$1</f>
        <v>46143</v>
      </c>
      <c r="AX238" s="74">
        <v>46141</v>
      </c>
      <c r="AY238" s="16" cm="1">
        <f t="array" aca="1" ref="AY23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38" s="24">
        <v>46135</v>
      </c>
      <c r="BA238" s="74">
        <v>46135</v>
      </c>
      <c r="BB238" s="16" cm="1">
        <f t="array" aca="1" ref="BB23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8" s="21">
        <f>Tabela1[[#This Row],[DATA PREV - CONCL. TREIN.]]+$BC$1</f>
        <v>46145</v>
      </c>
      <c r="BD238" s="74">
        <v>46141</v>
      </c>
      <c r="BE238" s="16" cm="1">
        <f t="array" aca="1" ref="BE23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38" s="21">
        <f>Tabela1[[#This Row],[DATA PREV - DOSSIÊ]]+$BF$1</f>
        <v>46148</v>
      </c>
      <c r="BG238" s="74">
        <v>46141</v>
      </c>
      <c r="BH238" s="16" cm="1">
        <f t="array" aca="1" ref="BH23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38" s="21">
        <f>Tabela1[[#This Row],[DATA PREV - POSTAGEM]]+$BI$1</f>
        <v>46154</v>
      </c>
      <c r="BJ238" s="74">
        <v>46147</v>
      </c>
      <c r="BK238" s="16" cm="1">
        <f t="array" aca="1" ref="BK23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-6</v>
      </c>
      <c r="BL238" s="21">
        <f>Tabela1[[#This Row],[DATA PREV - APROV FINAL]]+$BL$1</f>
        <v>46155</v>
      </c>
      <c r="BM238" s="74">
        <v>46148</v>
      </c>
      <c r="BN238" s="16" cm="1">
        <f t="array" aca="1" ref="BN23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38" s="81" t="s">
        <v>717</v>
      </c>
    </row>
    <row r="239" spans="2:67" ht="18" hidden="1" customHeight="1" x14ac:dyDescent="0.35">
      <c r="B239" s="14" t="s">
        <v>79</v>
      </c>
      <c r="C239" s="16" t="s">
        <v>136</v>
      </c>
      <c r="D239" s="16" t="s">
        <v>108</v>
      </c>
      <c r="E239" s="16"/>
      <c r="F239" s="16" t="s">
        <v>718</v>
      </c>
      <c r="G239" s="16" cm="1">
        <f t="array" ref="G239">_xlfn.IFS(Tabela1[[#This Row],[STATUS PROCESSO MOBILIZAÇÃO]]="Finalizado",1,Tabela1[[#This Row],[STATUS PROCESSO MOBILIZAÇÃO]]="Cancelado",2,Tabela1[[#This Row],[STATUS PROCESSO MOBILIZAÇÃO]]="Em andamento",3)</f>
        <v>1</v>
      </c>
      <c r="H239" s="16" cm="1">
        <f t="array" aca="1" ref="H23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FORMS]]="",$AM239&gt;$AK$1),2,
AND(Tabela1[[#This Row],[STATUS PROCESSO MOBILIZAÇÃO]]="Em andamento",Tabela1[[#This Row],[DATA REAL - FORMS]]="",$AM239&lt;=$AK$1),3,
AND(Tabela1[[#This Row],[STATUS PROCESSO MOBILIZAÇÃO]]="Em andamento",Tabela1[[#This Row],[DATA REAL - FORMS]]&lt;&gt;""),1)</f>
        <v>0</v>
      </c>
      <c r="I239" s="16" cm="1">
        <f t="array" aca="1" ref="I23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EXAMES]]="",$AP239&gt;$AN$1),2,
AND(Tabela1[[#This Row],[STATUS PROCESSO MOBILIZAÇÃO]]="Em andamento",Tabela1[[#This Row],[DATA REAL - EXAMES]]="",$AP239&lt;=$AN$1),3,
AND(Tabela1[[#This Row],[STATUS PROCESSO MOBILIZAÇÃO]]="Em andamento",Tabela1[[#This Row],[DATA REAL - EXAMES]]&lt;&gt;""),1)</f>
        <v>1</v>
      </c>
      <c r="J239" s="16" cm="1">
        <f t="array" aca="1" ref="J23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ASO]]="",$AS239&gt;$AQ$1),2,
AND(Tabela1[[#This Row],[STATUS PROCESSO MOBILIZAÇÃO]]="Em andamento",Tabela1[[#This Row],[DATA REAL - ASO]]="",$AS239&lt;=$AQ$1),3,
AND(Tabela1[[#This Row],[STATUS PROCESSO MOBILIZAÇÃO]]="Em andamento",Tabela1[[#This Row],[DATA REAL - ASO]]&lt;&gt;""),1)</f>
        <v>1</v>
      </c>
      <c r="K239" s="16" cm="1">
        <f t="array" aca="1" ref="K23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TREINAMENTOS]]="",$AV239&gt;$AT$1),2,
AND(Tabela1[[#This Row],[STATUS PROCESSO MOBILIZAÇÃO]]="Em andamento",Tabela1[[#This Row],[DATA REAL - TREINAMENTOS]]="",$AV239&lt;=$AT$1),3,
AND(Tabela1[[#This Row],[STATUS PROCESSO MOBILIZAÇÃO]]="Em andamento",Tabela1[[#This Row],[DATA REAL - TREINAMENTOS]]&lt;&gt;""),1)</f>
        <v>1</v>
      </c>
      <c r="L239" s="16" cm="1">
        <f t="array" aca="1" ref="L23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TREIN.]]="",$AY239&gt;$AW$1),2,
AND(Tabela1[[#This Row],[STATUS PROCESSO MOBILIZAÇÃO]]="Em andamento",Tabela1[[#This Row],[DATA REAL - CONCL. TREIN.]]="",$AY239&lt;=$AW$1),3,
AND(Tabela1[[#This Row],[STATUS PROCESSO MOBILIZAÇÃO]]="Em andamento",Tabela1[[#This Row],[DATA REAL - CONCL. TREIN.]]&lt;&gt;""),1)</f>
        <v>1</v>
      </c>
      <c r="M239" s="16" cm="1">
        <f t="array" aca="1" ref="M23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CONTRATUAL]]="",$BB239&gt;$AZ$1),2,
AND(Tabela1[[#This Row],[STATUS PROCESSO MOBILIZAÇÃO]]="Em andamento",Tabela1[[#This Row],[DATA FIM - ALTER. CONTRATUAL]]="",$BB239&lt;=$AZ$1),3,
AND(Tabela1[[#This Row],[STATUS PROCESSO MOBILIZAÇÃO]]="Em andamento",Tabela1[[#This Row],[DATA FIM - ALTER. CONTRATUAL]]&lt;&gt;""),1)</f>
        <v>1</v>
      </c>
      <c r="N239" s="16" cm="1">
        <f t="array" aca="1" ref="N23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DOSSIÊ]]="",$BE239&gt;$BC$1),2,
AND(Tabela1[[#This Row],[STATUS PROCESSO MOBILIZAÇÃO]]="Em andamento",Tabela1[[#This Row],[DATA REAL - DOSSIÊ]]="",$BE239&lt;=$BC$1),3,
AND(Tabela1[[#This Row],[STATUS PROCESSO MOBILIZAÇÃO]]="Em andamento",Tabela1[[#This Row],[DATA REAL - DOSSIÊ]]&lt;&gt;""),1)</f>
        <v>1</v>
      </c>
      <c r="O239" s="16" cm="1">
        <f t="array" aca="1" ref="O23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POSTAGEM]]="",$BH239&gt;$BF$1),2,
AND(Tabela1[[#This Row],[STATUS PROCESSO MOBILIZAÇÃO]]="Em andamento",Tabela1[[#This Row],[DATA REAL - POSTAGEM]]="",$BH239&lt;=$BF$1),3,
AND(Tabela1[[#This Row],[STATUS PROCESSO MOBILIZAÇÃO]]="Em andamento",Tabela1[[#This Row],[DATA REAL - POSTAGEM]]&lt;&gt;""),1)</f>
        <v>1</v>
      </c>
      <c r="P239" s="16" cm="1">
        <f t="array" aca="1" ref="P23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FINAL]]="",$BK239&gt;$BI$1),2,
AND(Tabela1[[#This Row],[STATUS PROCESSO MOBILIZAÇÃO]]="Em andamento",Tabela1[[#This Row],[DATA REAL - APROV FINAL]]="",$BK239&lt;=$BI$1),3,
AND(Tabela1[[#This Row],[STATUS PROCESSO MOBILIZAÇÃO]]="Em andamento",Tabela1[[#This Row],[DATA REAL - APROV FINAL]]&lt;&gt;""),1)</f>
        <v>1</v>
      </c>
      <c r="Q239" s="16" cm="1">
        <f t="array" aca="1" ref="Q23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CRACHÁ]]="",$BN239&gt;$BL$1),2,
AND(Tabela1[[#This Row],[STATUS PROCESSO MOBILIZAÇÃO]]="Em andamento",Tabela1[[#This Row],[DATA REAL - CRACHÁ]]="",$BN239&lt;=$BL$1),3,
AND(Tabela1[[#This Row],[STATUS PROCESSO MOBILIZAÇÃO]]="Em andamento",Tabela1[[#This Row],[DATA REAL - CRACHÁ]]&lt;&gt;""),1)</f>
        <v>1</v>
      </c>
      <c r="R239" s="21">
        <f>IF(Tabela1[[#This Row],[DATA REAL - FORMS]]&lt;&gt;"",Tabela1[[#This Row],[DATA REAL - FORMS]]+30,Tabela1[[#This Row],[DATA PREV - FORMS]]+35)</f>
        <v>46181</v>
      </c>
      <c r="S23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46156</v>
      </c>
      <c r="T23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3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39" s="49">
        <f>MAX(Tabela1[[#This Row],[DATA REAL - POSTAGEM]],Tabela1[[#This Row],[DATA REAL - APROV FINAL]],Tabela1[[#This Row],[DATA REAL - CRACHÁ]])-MIN(Tabela1[[#This Row],[DATA REAL - POSTAGEM]],Tabela1[[#This Row],[DATA REAL - APROV FINAL]],Tabela1[[#This Row],[DATA REAL - CRACHÁ]])+1</f>
        <v>2</v>
      </c>
      <c r="W23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39" s="15" t="s">
        <v>172</v>
      </c>
      <c r="Y239" s="16" t="s">
        <v>84</v>
      </c>
      <c r="Z239" s="80" t="str">
        <f>_xlfn.XLOOKUP(Tabela1[[#This Row],[COO PHD]],TabControleEfetivo[NOME],TabControleEfetivo[email (PHD)],"")</f>
        <v>nilton.netto@phdengenharia.eng.br</v>
      </c>
      <c r="AA239" s="96" t="s">
        <v>86</v>
      </c>
      <c r="AB239" s="16" t="s">
        <v>632</v>
      </c>
      <c r="AC239" s="16" t="s">
        <v>357</v>
      </c>
      <c r="AD239" s="16" t="s">
        <v>357</v>
      </c>
      <c r="AE239" s="16" t="s">
        <v>358</v>
      </c>
      <c r="AF239" s="16" t="s">
        <v>359</v>
      </c>
      <c r="AG239" s="16" t="str">
        <f>_xlfn.XLOOKUP(Tabela1[[#This Row],[CÓD. CT]],Controle_Projetos[COD CT],Controle_Projetos[COD PHD],"")</f>
        <v>BEMI-CT02-GERE</v>
      </c>
      <c r="AH239" s="21">
        <v>46146</v>
      </c>
      <c r="AI239" s="76">
        <v>46146</v>
      </c>
      <c r="AJ239" s="16" cm="1">
        <f t="array" aca="1" ref="AJ23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39" s="21">
        <v>46146</v>
      </c>
      <c r="AL239" s="74"/>
      <c r="AM239" s="16" cm="1">
        <f t="array" aca="1" ref="AM23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39" s="21">
        <f>Tabela1[[#This Row],[DATA PREV - FORMS]]+$AN$1</f>
        <v>46153</v>
      </c>
      <c r="AO239" s="74">
        <v>46146</v>
      </c>
      <c r="AP239" s="16" cm="1">
        <f t="array" aca="1" ref="AP23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39" s="21">
        <f>Tabela1[[#This Row],[DATA PREV - EXAMES]]+$AQ$1</f>
        <v>46155</v>
      </c>
      <c r="AR239" s="74">
        <v>46146</v>
      </c>
      <c r="AS239" s="16" cm="1">
        <f t="array" aca="1" ref="AS23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39" s="21">
        <f>Tabela1[[#This Row],[DATA PREV - FORMS]]+$AT$1</f>
        <v>46147</v>
      </c>
      <c r="AU239" s="74">
        <v>46146</v>
      </c>
      <c r="AV239" s="16" cm="1">
        <f t="array" aca="1" ref="AV23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39" s="21">
        <f>Tabela1[[#This Row],[DATA PREV - TREINAMENTOS]]+$AW$1</f>
        <v>46154</v>
      </c>
      <c r="AX239" s="74">
        <v>46154</v>
      </c>
      <c r="AY239" s="16" cm="1">
        <f t="array" aca="1" ref="AY23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39" s="24">
        <v>46146</v>
      </c>
      <c r="BA239" s="74">
        <v>46146</v>
      </c>
      <c r="BB239" s="16" cm="1">
        <f t="array" aca="1" ref="BB23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39" s="21">
        <f>Tabela1[[#This Row],[DATA PREV - CONCL. TREIN.]]+$BC$1</f>
        <v>46156</v>
      </c>
      <c r="BD239" s="74">
        <v>46155</v>
      </c>
      <c r="BE239" s="16" cm="1">
        <f t="array" aca="1" ref="BE23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39" s="21">
        <f>Tabela1[[#This Row],[DATA PREV - DOSSIÊ]]+$BF$1</f>
        <v>46159</v>
      </c>
      <c r="BG239" s="74">
        <v>46155</v>
      </c>
      <c r="BH239" s="16" cm="1">
        <f t="array" aca="1" ref="BH23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239" s="21">
        <f>Tabela1[[#This Row],[DATA PREV - POSTAGEM]]+$BI$1</f>
        <v>46165</v>
      </c>
      <c r="BJ239" s="74">
        <v>46156</v>
      </c>
      <c r="BK239" s="16" cm="1">
        <f t="array" aca="1" ref="BK23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39" s="21">
        <f>Tabela1[[#This Row],[DATA PREV - APROV FINAL]]+$BL$1</f>
        <v>46166</v>
      </c>
      <c r="BM239" s="74">
        <v>46156</v>
      </c>
      <c r="BN239" s="16" cm="1">
        <f t="array" aca="1" ref="BN23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39" s="81" t="s">
        <v>719</v>
      </c>
    </row>
    <row r="240" spans="2:67" ht="18" hidden="1" customHeight="1" x14ac:dyDescent="0.35">
      <c r="B240" s="14" t="s">
        <v>79</v>
      </c>
      <c r="C240" s="16" t="s">
        <v>136</v>
      </c>
      <c r="D240" s="16" t="s">
        <v>108</v>
      </c>
      <c r="E240" s="16">
        <v>883</v>
      </c>
      <c r="F240" s="16" t="s">
        <v>491</v>
      </c>
      <c r="G240" s="16" cm="1">
        <f t="array" ref="G240">_xlfn.IFS(Tabela1[[#This Row],[STATUS PROCESSO MOBILIZAÇÃO]]="Finalizado",1,Tabela1[[#This Row],[STATUS PROCESSO MOBILIZAÇÃO]]="Cancelado",2,Tabela1[[#This Row],[STATUS PROCESSO MOBILIZAÇÃO]]="Em andamento",3)</f>
        <v>1</v>
      </c>
      <c r="H240" s="16" cm="1">
        <f t="array" aca="1" ref="H24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FORMS]]="",$AM240&gt;$AK$1),2,
AND(Tabela1[[#This Row],[STATUS PROCESSO MOBILIZAÇÃO]]="Em andamento",Tabela1[[#This Row],[DATA REAL - FORMS]]="",$AM240&lt;=$AK$1),3,
AND(Tabela1[[#This Row],[STATUS PROCESSO MOBILIZAÇÃO]]="Em andamento",Tabela1[[#This Row],[DATA REAL - FORMS]]&lt;&gt;""),1)</f>
        <v>1</v>
      </c>
      <c r="I240" s="16" cm="1">
        <f t="array" aca="1" ref="I24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EXAMES]]="",$AP240&gt;$AN$1),2,
AND(Tabela1[[#This Row],[STATUS PROCESSO MOBILIZAÇÃO]]="Em andamento",Tabela1[[#This Row],[DATA REAL - EXAMES]]="",$AP240&lt;=$AN$1),3,
AND(Tabela1[[#This Row],[STATUS PROCESSO MOBILIZAÇÃO]]="Em andamento",Tabela1[[#This Row],[DATA REAL - EXAMES]]&lt;&gt;""),1)</f>
        <v>1</v>
      </c>
      <c r="J240" s="16" cm="1">
        <f t="array" aca="1" ref="J24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ASO]]="",$AS240&gt;$AQ$1),2,
AND(Tabela1[[#This Row],[STATUS PROCESSO MOBILIZAÇÃO]]="Em andamento",Tabela1[[#This Row],[DATA REAL - ASO]]="",$AS240&lt;=$AQ$1),3,
AND(Tabela1[[#This Row],[STATUS PROCESSO MOBILIZAÇÃO]]="Em andamento",Tabela1[[#This Row],[DATA REAL - ASO]]&lt;&gt;""),1)</f>
        <v>1</v>
      </c>
      <c r="K240" s="16" cm="1">
        <f t="array" aca="1" ref="K24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TREINAMENTOS]]="",$AV240&gt;$AT$1),2,
AND(Tabela1[[#This Row],[STATUS PROCESSO MOBILIZAÇÃO]]="Em andamento",Tabela1[[#This Row],[DATA REAL - TREINAMENTOS]]="",$AV240&lt;=$AT$1),3,
AND(Tabela1[[#This Row],[STATUS PROCESSO MOBILIZAÇÃO]]="Em andamento",Tabela1[[#This Row],[DATA REAL - TREINAMENTOS]]&lt;&gt;""),1)</f>
        <v>1</v>
      </c>
      <c r="L240" s="16" cm="1">
        <f t="array" aca="1" ref="L24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TREIN.]]="",$AY240&gt;$AW$1),2,
AND(Tabela1[[#This Row],[STATUS PROCESSO MOBILIZAÇÃO]]="Em andamento",Tabela1[[#This Row],[DATA REAL - CONCL. TREIN.]]="",$AY240&lt;=$AW$1),3,
AND(Tabela1[[#This Row],[STATUS PROCESSO MOBILIZAÇÃO]]="Em andamento",Tabela1[[#This Row],[DATA REAL - CONCL. TREIN.]]&lt;&gt;""),1)</f>
        <v>1</v>
      </c>
      <c r="M240" s="16" cm="1">
        <f t="array" aca="1" ref="M24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CONTRATUAL]]="",$BB240&gt;$AZ$1),2,
AND(Tabela1[[#This Row],[STATUS PROCESSO MOBILIZAÇÃO]]="Em andamento",Tabela1[[#This Row],[DATA FIM - ALTER. CONTRATUAL]]="",$BB240&lt;=$AZ$1),3,
AND(Tabela1[[#This Row],[STATUS PROCESSO MOBILIZAÇÃO]]="Em andamento",Tabela1[[#This Row],[DATA FIM - ALTER. CONTRATUAL]]&lt;&gt;""),1)</f>
        <v>1</v>
      </c>
      <c r="N240" s="16" cm="1">
        <f t="array" aca="1" ref="N24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DOSSIÊ]]="",$BE240&gt;$BC$1),2,
AND(Tabela1[[#This Row],[STATUS PROCESSO MOBILIZAÇÃO]]="Em andamento",Tabela1[[#This Row],[DATA REAL - DOSSIÊ]]="",$BE240&lt;=$BC$1),3,
AND(Tabela1[[#This Row],[STATUS PROCESSO MOBILIZAÇÃO]]="Em andamento",Tabela1[[#This Row],[DATA REAL - DOSSIÊ]]&lt;&gt;""),1)</f>
        <v>1</v>
      </c>
      <c r="O240" s="16" cm="1">
        <f t="array" aca="1" ref="O24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POSTAGEM]]="",$BH240&gt;$BF$1),2,
AND(Tabela1[[#This Row],[STATUS PROCESSO MOBILIZAÇÃO]]="Em andamento",Tabela1[[#This Row],[DATA REAL - POSTAGEM]]="",$BH240&lt;=$BF$1),3,
AND(Tabela1[[#This Row],[STATUS PROCESSO MOBILIZAÇÃO]]="Em andamento",Tabela1[[#This Row],[DATA REAL - POSTAGEM]]&lt;&gt;""),1)</f>
        <v>1</v>
      </c>
      <c r="P240" s="16" cm="1">
        <f t="array" aca="1" ref="P24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FINAL]]="",$BK240&gt;$BI$1),2,
AND(Tabela1[[#This Row],[STATUS PROCESSO MOBILIZAÇÃO]]="Em andamento",Tabela1[[#This Row],[DATA REAL - APROV FINAL]]="",$BK240&lt;=$BI$1),3,
AND(Tabela1[[#This Row],[STATUS PROCESSO MOBILIZAÇÃO]]="Em andamento",Tabela1[[#This Row],[DATA REAL - APROV FINAL]]&lt;&gt;""),1)</f>
        <v>1</v>
      </c>
      <c r="Q240" s="16" cm="1">
        <f t="array" aca="1" ref="Q24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CRACHÁ]]="",$BN240&gt;$BL$1),2,
AND(Tabela1[[#This Row],[STATUS PROCESSO MOBILIZAÇÃO]]="Em andamento",Tabela1[[#This Row],[DATA REAL - CRACHÁ]]="",$BN240&lt;=$BL$1),3,
AND(Tabela1[[#This Row],[STATUS PROCESSO MOBILIZAÇÃO]]="Em andamento",Tabela1[[#This Row],[DATA REAL - CRACHÁ]]&lt;&gt;""),1)</f>
        <v>1</v>
      </c>
      <c r="R240" s="21">
        <f>IF(Tabela1[[#This Row],[DATA REAL - FORMS]]&lt;&gt;"",Tabela1[[#This Row],[DATA REAL - FORMS]]+30,Tabela1[[#This Row],[DATA PREV - FORMS]]+35)</f>
        <v>46176</v>
      </c>
      <c r="S24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46149</v>
      </c>
      <c r="T24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v>
      </c>
      <c r="U24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40" s="49">
        <f>MAX(Tabela1[[#This Row],[DATA REAL - POSTAGEM]],Tabela1[[#This Row],[DATA REAL - APROV FINAL]],Tabela1[[#This Row],[DATA REAL - CRACHÁ]])-MIN(Tabela1[[#This Row],[DATA REAL - POSTAGEM]],Tabela1[[#This Row],[DATA REAL - APROV FINAL]],Tabela1[[#This Row],[DATA REAL - CRACHÁ]])+1</f>
        <v>2</v>
      </c>
      <c r="W24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0" s="15" t="s">
        <v>515</v>
      </c>
      <c r="Y240" s="16" t="s">
        <v>130</v>
      </c>
      <c r="Z240" s="80" t="str">
        <f>_xlfn.XLOOKUP(Tabela1[[#This Row],[COO PHD]],TabControleEfetivo[NOME],TabControleEfetivo[email (PHD)],"")</f>
        <v>ronaldo.machado@phdengenharia.eng.br</v>
      </c>
      <c r="AA240" s="96" t="s">
        <v>131</v>
      </c>
      <c r="AB240" s="16" t="s">
        <v>97</v>
      </c>
      <c r="AC240" s="16" t="s">
        <v>132</v>
      </c>
      <c r="AD240" s="16" t="s">
        <v>132</v>
      </c>
      <c r="AE240" s="16" t="s">
        <v>282</v>
      </c>
      <c r="AF240" s="16" t="s">
        <v>720</v>
      </c>
      <c r="AG240" s="16" t="str">
        <f>_xlfn.XLOOKUP(Tabela1[[#This Row],[CÓD. CT]],Controle_Projetos[COD CT],Controle_Projetos[COD PHD],"")</f>
        <v>GERD-CT25-CONS</v>
      </c>
      <c r="AH240" s="21">
        <v>46146</v>
      </c>
      <c r="AI240" s="76">
        <v>46146</v>
      </c>
      <c r="AJ240" s="16" cm="1">
        <f t="array" aca="1" ref="AJ24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0" s="21">
        <v>46146</v>
      </c>
      <c r="AL240" s="74">
        <v>46146</v>
      </c>
      <c r="AM240" s="16" cm="1">
        <f t="array" aca="1" ref="AM24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0" s="21">
        <f>Tabela1[[#This Row],[DATA PREV - FORMS]]+$AN$1</f>
        <v>46153</v>
      </c>
      <c r="AO240" s="74">
        <v>46146</v>
      </c>
      <c r="AP240" s="16" cm="1">
        <f t="array" aca="1" ref="AP24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0" s="21">
        <f>Tabela1[[#This Row],[DATA PREV - EXAMES]]+$AQ$1</f>
        <v>46155</v>
      </c>
      <c r="AR240" s="74">
        <v>46146</v>
      </c>
      <c r="AS240" s="16" cm="1">
        <f t="array" aca="1" ref="AS24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40" s="21">
        <f>Tabela1[[#This Row],[DATA PREV - FORMS]]+$AT$1</f>
        <v>46147</v>
      </c>
      <c r="AU240" s="74">
        <v>46146</v>
      </c>
      <c r="AV240" s="16" cm="1">
        <f t="array" aca="1" ref="AV24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0" s="21">
        <f>Tabela1[[#This Row],[DATA PREV - TREINAMENTOS]]+$AW$1</f>
        <v>46154</v>
      </c>
      <c r="AX240" s="74">
        <v>46146</v>
      </c>
      <c r="AY240" s="16" cm="1">
        <f t="array" aca="1" ref="AY24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40" s="24">
        <v>46146</v>
      </c>
      <c r="BA240" s="74">
        <v>46146</v>
      </c>
      <c r="BB240" s="16" cm="1">
        <f t="array" aca="1" ref="BB24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0" s="21">
        <f>Tabela1[[#This Row],[DATA PREV - CONCL. TREIN.]]+$BC$1</f>
        <v>46156</v>
      </c>
      <c r="BD240" s="74">
        <v>46148</v>
      </c>
      <c r="BE240" s="16" cm="1">
        <f t="array" aca="1" ref="BE24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40" s="21">
        <f>Tabela1[[#This Row],[DATA PREV - DOSSIÊ]]+$BF$1</f>
        <v>46159</v>
      </c>
      <c r="BG240" s="74">
        <v>46148</v>
      </c>
      <c r="BH240" s="16" cm="1">
        <f t="array" aca="1" ref="BH24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240" s="21">
        <f>Tabela1[[#This Row],[DATA PREV - POSTAGEM]]+$BI$1</f>
        <v>46165</v>
      </c>
      <c r="BJ240" s="74">
        <v>46149</v>
      </c>
      <c r="BK240" s="16" cm="1">
        <f t="array" aca="1" ref="BK24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-15</v>
      </c>
      <c r="BL240" s="21">
        <f>Tabela1[[#This Row],[DATA PREV - APROV FINAL]]+$BL$1</f>
        <v>46166</v>
      </c>
      <c r="BM240" s="74">
        <v>46149</v>
      </c>
      <c r="BN240" s="16" cm="1">
        <f t="array" aca="1" ref="BN24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240" s="81" t="s">
        <v>721</v>
      </c>
    </row>
    <row r="241" spans="2:67" ht="18" hidden="1" customHeight="1" x14ac:dyDescent="0.35">
      <c r="B241" s="14" t="s">
        <v>119</v>
      </c>
      <c r="C241" s="16" t="s">
        <v>136</v>
      </c>
      <c r="D241" s="16" t="s">
        <v>119</v>
      </c>
      <c r="E241" s="16"/>
      <c r="F241" s="16" t="s">
        <v>419</v>
      </c>
      <c r="G241" s="16" cm="1">
        <f t="array" ref="G241">_xlfn.IFS(Tabela1[[#This Row],[STATUS PROCESSO MOBILIZAÇÃO]]="Finalizado",1,Tabela1[[#This Row],[STATUS PROCESSO MOBILIZAÇÃO]]="Cancelado",2,Tabela1[[#This Row],[STATUS PROCESSO MOBILIZAÇÃO]]="Em andamento",3)</f>
        <v>2</v>
      </c>
      <c r="H241" s="16" cm="1">
        <f t="array" aca="1" ref="H24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FORMS]]="",$AM241&gt;$AK$1),2,
AND(Tabela1[[#This Row],[STATUS PROCESSO MOBILIZAÇÃO]]="Em andamento",Tabela1[[#This Row],[DATA REAL - FORMS]]="",$AM241&lt;=$AK$1),3,
AND(Tabela1[[#This Row],[STATUS PROCESSO MOBILIZAÇÃO]]="Em andamento",Tabela1[[#This Row],[DATA REAL - FORMS]]&lt;&gt;""),1)</f>
        <v>0</v>
      </c>
      <c r="I241" s="16" cm="1">
        <f t="array" aca="1" ref="I24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EXAMES]]="",$AP241&gt;$AN$1),2,
AND(Tabela1[[#This Row],[STATUS PROCESSO MOBILIZAÇÃO]]="Em andamento",Tabela1[[#This Row],[DATA REAL - EXAMES]]="",$AP241&lt;=$AN$1),3,
AND(Tabela1[[#This Row],[STATUS PROCESSO MOBILIZAÇÃO]]="Em andamento",Tabela1[[#This Row],[DATA REAL - EXAMES]]&lt;&gt;""),1)</f>
        <v>1</v>
      </c>
      <c r="J241" s="16" cm="1">
        <f t="array" aca="1" ref="J24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ASO]]="",$AS241&gt;$AQ$1),2,
AND(Tabela1[[#This Row],[STATUS PROCESSO MOBILIZAÇÃO]]="Em andamento",Tabela1[[#This Row],[DATA REAL - ASO]]="",$AS241&lt;=$AQ$1),3,
AND(Tabela1[[#This Row],[STATUS PROCESSO MOBILIZAÇÃO]]="Em andamento",Tabela1[[#This Row],[DATA REAL - ASO]]&lt;&gt;""),1)</f>
        <v>1</v>
      </c>
      <c r="K241" s="16" cm="1">
        <f t="array" aca="1" ref="K24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TREINAMENTOS]]="",$AV241&gt;$AT$1),2,
AND(Tabela1[[#This Row],[STATUS PROCESSO MOBILIZAÇÃO]]="Em andamento",Tabela1[[#This Row],[DATA REAL - TREINAMENTOS]]="",$AV241&lt;=$AT$1),3,
AND(Tabela1[[#This Row],[STATUS PROCESSO MOBILIZAÇÃO]]="Em andamento",Tabela1[[#This Row],[DATA REAL - TREINAMENTOS]]&lt;&gt;""),1)</f>
        <v>1</v>
      </c>
      <c r="L241" s="16" cm="1">
        <f t="array" aca="1" ref="L24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TREIN.]]="",$AY241&gt;$AW$1),2,
AND(Tabela1[[#This Row],[STATUS PROCESSO MOBILIZAÇÃO]]="Em andamento",Tabela1[[#This Row],[DATA REAL - CONCL. TREIN.]]="",$AY241&lt;=$AW$1),3,
AND(Tabela1[[#This Row],[STATUS PROCESSO MOBILIZAÇÃO]]="Em andamento",Tabela1[[#This Row],[DATA REAL - CONCL. TREIN.]]&lt;&gt;""),1)</f>
        <v>0</v>
      </c>
      <c r="M241" s="16" cm="1">
        <f t="array" aca="1" ref="M24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CONTRATUAL]]="",$BB241&gt;$AZ$1),2,
AND(Tabela1[[#This Row],[STATUS PROCESSO MOBILIZAÇÃO]]="Em andamento",Tabela1[[#This Row],[DATA FIM - ALTER. CONTRATUAL]]="",$BB241&lt;=$AZ$1),3,
AND(Tabela1[[#This Row],[STATUS PROCESSO MOBILIZAÇÃO]]="Em andamento",Tabela1[[#This Row],[DATA FIM - ALTER. CONTRATUAL]]&lt;&gt;""),1)</f>
        <v>1</v>
      </c>
      <c r="N241" s="16" cm="1">
        <f t="array" aca="1" ref="N24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DOSSIÊ]]="",$BE241&gt;$BC$1),2,
AND(Tabela1[[#This Row],[STATUS PROCESSO MOBILIZAÇÃO]]="Em andamento",Tabela1[[#This Row],[DATA REAL - DOSSIÊ]]="",$BE241&lt;=$BC$1),3,
AND(Tabela1[[#This Row],[STATUS PROCESSO MOBILIZAÇÃO]]="Em andamento",Tabela1[[#This Row],[DATA REAL - DOSSIÊ]]&lt;&gt;""),1)</f>
        <v>0</v>
      </c>
      <c r="O241" s="16" cm="1">
        <f t="array" aca="1" ref="O24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POSTAGEM]]="",$BH241&gt;$BF$1),2,
AND(Tabela1[[#This Row],[STATUS PROCESSO MOBILIZAÇÃO]]="Em andamento",Tabela1[[#This Row],[DATA REAL - POSTAGEM]]="",$BH241&lt;=$BF$1),3,
AND(Tabela1[[#This Row],[STATUS PROCESSO MOBILIZAÇÃO]]="Em andamento",Tabela1[[#This Row],[DATA REAL - POSTAGEM]]&lt;&gt;""),1)</f>
        <v>0</v>
      </c>
      <c r="P241" s="16" cm="1">
        <f t="array" aca="1" ref="P24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FINAL]]="",$BK241&gt;$BI$1),2,
AND(Tabela1[[#This Row],[STATUS PROCESSO MOBILIZAÇÃO]]="Em andamento",Tabela1[[#This Row],[DATA REAL - APROV FINAL]]="",$BK241&lt;=$BI$1),3,
AND(Tabela1[[#This Row],[STATUS PROCESSO MOBILIZAÇÃO]]="Em andamento",Tabela1[[#This Row],[DATA REAL - APROV FINAL]]&lt;&gt;""),1)</f>
        <v>0</v>
      </c>
      <c r="Q241" s="16" cm="1">
        <f t="array" aca="1" ref="Q24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CRACHÁ]]="",$BN241&gt;$BL$1),2,
AND(Tabela1[[#This Row],[STATUS PROCESSO MOBILIZAÇÃO]]="Em andamento",Tabela1[[#This Row],[DATA REAL - CRACHÁ]]="",$BN241&lt;=$BL$1),3,
AND(Tabela1[[#This Row],[STATUS PROCESSO MOBILIZAÇÃO]]="Em andamento",Tabela1[[#This Row],[DATA REAL - CRACHÁ]]&lt;&gt;""),1)</f>
        <v>1</v>
      </c>
      <c r="R241" s="21">
        <f>IF(Tabela1[[#This Row],[DATA REAL - FORMS]]&lt;&gt;"",Tabela1[[#This Row],[DATA REAL - FORMS]]+30,Tabela1[[#This Row],[DATA PREV - FORMS]]+35)</f>
        <v>46183</v>
      </c>
      <c r="S24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46157</v>
      </c>
      <c r="T24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4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41" s="49">
        <f>MAX(Tabela1[[#This Row],[DATA REAL - POSTAGEM]],Tabela1[[#This Row],[DATA REAL - APROV FINAL]],Tabela1[[#This Row],[DATA REAL - CRACHÁ]])-MIN(Tabela1[[#This Row],[DATA REAL - POSTAGEM]],Tabela1[[#This Row],[DATA REAL - APROV FINAL]],Tabela1[[#This Row],[DATA REAL - CRACHÁ]])+1</f>
        <v>1</v>
      </c>
      <c r="W24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1" s="15"/>
      <c r="Y241" s="16" t="s">
        <v>84</v>
      </c>
      <c r="Z241" s="16" t="str">
        <f>_xlfn.XLOOKUP(Tabela1[[#This Row],[COO PHD]],TabControleEfetivo[NOME],TabControleEfetivo[email (PHD)],"")</f>
        <v/>
      </c>
      <c r="AA241" s="96" t="s">
        <v>86</v>
      </c>
      <c r="AB241" s="16" t="s">
        <v>632</v>
      </c>
      <c r="AC241" s="16" t="s">
        <v>132</v>
      </c>
      <c r="AD241" s="16" t="s">
        <v>132</v>
      </c>
      <c r="AE241" s="16" t="s">
        <v>337</v>
      </c>
      <c r="AF241" s="16" t="s">
        <v>379</v>
      </c>
      <c r="AG241" s="16" t="str">
        <f>_xlfn.XLOOKUP(Tabela1[[#This Row],[CÓD. CT]],Controle_Projetos[COD CT],Controle_Projetos[COD PHD],"")</f>
        <v>GERD-CT14-PIND</v>
      </c>
      <c r="AH241" s="21">
        <v>46148</v>
      </c>
      <c r="AI241" s="76">
        <v>46148</v>
      </c>
      <c r="AJ241" s="16" cm="1">
        <f t="array" aca="1" ref="AJ24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1" s="21">
        <v>46148</v>
      </c>
      <c r="AL241" s="74"/>
      <c r="AM241" s="16" cm="1">
        <f t="array" aca="1" ref="AM24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1" s="21">
        <f>Tabela1[[#This Row],[DATA PREV - FORMS]]+$AN$1</f>
        <v>46155</v>
      </c>
      <c r="AO241" s="74">
        <v>46148</v>
      </c>
      <c r="AP241" s="16" cm="1">
        <f t="array" aca="1" ref="AP24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1" s="21">
        <f>Tabela1[[#This Row],[DATA PREV - EXAMES]]+$AQ$1</f>
        <v>46157</v>
      </c>
      <c r="AR241" s="74">
        <v>46149</v>
      </c>
      <c r="AS241" s="16" cm="1">
        <f t="array" aca="1" ref="AS24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41" s="21">
        <f>Tabela1[[#This Row],[DATA PREV - FORMS]]+$AT$1</f>
        <v>46149</v>
      </c>
      <c r="AU241" s="74">
        <v>46148</v>
      </c>
      <c r="AV241" s="16" cm="1">
        <f t="array" aca="1" ref="AV24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1" s="21">
        <f>Tabela1[[#This Row],[DATA PREV - TREINAMENTOS]]+$AW$1</f>
        <v>46156</v>
      </c>
      <c r="AX241" s="74"/>
      <c r="AY241" s="16" cm="1">
        <f t="array" aca="1" ref="AY24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41" s="24">
        <v>46148</v>
      </c>
      <c r="BA241" s="74">
        <v>46148</v>
      </c>
      <c r="BB241" s="16" cm="1">
        <f t="array" aca="1" ref="BB24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1" s="21">
        <f>Tabela1[[#This Row],[DATA PREV - CONCL. TREIN.]]+$BC$1</f>
        <v>46158</v>
      </c>
      <c r="BD241" s="74"/>
      <c r="BE241" s="16" cm="1">
        <f t="array" aca="1" ref="BE24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41" s="21">
        <f>Tabela1[[#This Row],[DATA PREV - DOSSIÊ]]+$BF$1</f>
        <v>46161</v>
      </c>
      <c r="BG241" s="74"/>
      <c r="BH241" s="16" cm="1">
        <f t="array" aca="1" ref="BH24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41" s="21">
        <f>Tabela1[[#This Row],[DATA PREV - POSTAGEM]]+$BI$1</f>
        <v>46167</v>
      </c>
      <c r="BJ241" s="74"/>
      <c r="BK241" s="16" cm="1">
        <f t="array" aca="1" ref="BK24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41" s="21">
        <f>Tabela1[[#This Row],[DATA PREV - APROV FINAL]]+$BL$1</f>
        <v>46168</v>
      </c>
      <c r="BM241" s="74">
        <v>46157</v>
      </c>
      <c r="BN241" s="16" cm="1">
        <f t="array" aca="1" ref="BN24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41" s="81" t="s">
        <v>722</v>
      </c>
    </row>
    <row r="242" spans="2:67" ht="18" hidden="1" customHeight="1" x14ac:dyDescent="0.35">
      <c r="B242" s="14" t="s">
        <v>79</v>
      </c>
      <c r="C242" s="16" t="s">
        <v>136</v>
      </c>
      <c r="D242" s="16" t="s">
        <v>81</v>
      </c>
      <c r="E242" s="16">
        <v>1007</v>
      </c>
      <c r="F242" s="16" t="s">
        <v>451</v>
      </c>
      <c r="G242" s="16" cm="1">
        <f t="array" ref="G242">_xlfn.IFS(Tabela1[[#This Row],[STATUS PROCESSO MOBILIZAÇÃO]]="Finalizado",1,Tabela1[[#This Row],[STATUS PROCESSO MOBILIZAÇÃO]]="Cancelado",2,Tabela1[[#This Row],[STATUS PROCESSO MOBILIZAÇÃO]]="Em andamento",3)</f>
        <v>1</v>
      </c>
      <c r="H242" s="16" cm="1">
        <f t="array" aca="1" ref="H24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FORMS]]="",$AM242&gt;$AK$1),2,
AND(Tabela1[[#This Row],[STATUS PROCESSO MOBILIZAÇÃO]]="Em andamento",Tabela1[[#This Row],[DATA REAL - FORMS]]="",$AM242&lt;=$AK$1),3,
AND(Tabela1[[#This Row],[STATUS PROCESSO MOBILIZAÇÃO]]="Em andamento",Tabela1[[#This Row],[DATA REAL - FORMS]]&lt;&gt;""),1)</f>
        <v>1</v>
      </c>
      <c r="I242" s="16" cm="1">
        <f t="array" aca="1" ref="I24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EXAMES]]="",$AP242&gt;$AN$1),2,
AND(Tabela1[[#This Row],[STATUS PROCESSO MOBILIZAÇÃO]]="Em andamento",Tabela1[[#This Row],[DATA REAL - EXAMES]]="",$AP242&lt;=$AN$1),3,
AND(Tabela1[[#This Row],[STATUS PROCESSO MOBILIZAÇÃO]]="Em andamento",Tabela1[[#This Row],[DATA REAL - EXAMES]]&lt;&gt;""),1)</f>
        <v>1</v>
      </c>
      <c r="J242" s="16" cm="1">
        <f t="array" aca="1" ref="J24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ASO]]="",$AS242&gt;$AQ$1),2,
AND(Tabela1[[#This Row],[STATUS PROCESSO MOBILIZAÇÃO]]="Em andamento",Tabela1[[#This Row],[DATA REAL - ASO]]="",$AS242&lt;=$AQ$1),3,
AND(Tabela1[[#This Row],[STATUS PROCESSO MOBILIZAÇÃO]]="Em andamento",Tabela1[[#This Row],[DATA REAL - ASO]]&lt;&gt;""),1)</f>
        <v>1</v>
      </c>
      <c r="K242" s="16" cm="1">
        <f t="array" aca="1" ref="K24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TREINAMENTOS]]="",$AV242&gt;$AT$1),2,
AND(Tabela1[[#This Row],[STATUS PROCESSO MOBILIZAÇÃO]]="Em andamento",Tabela1[[#This Row],[DATA REAL - TREINAMENTOS]]="",$AV242&lt;=$AT$1),3,
AND(Tabela1[[#This Row],[STATUS PROCESSO MOBILIZAÇÃO]]="Em andamento",Tabela1[[#This Row],[DATA REAL - TREINAMENTOS]]&lt;&gt;""),1)</f>
        <v>1</v>
      </c>
      <c r="L242" s="16" cm="1">
        <f t="array" aca="1" ref="L24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TREIN.]]="",$AY242&gt;$AW$1),2,
AND(Tabela1[[#This Row],[STATUS PROCESSO MOBILIZAÇÃO]]="Em andamento",Tabela1[[#This Row],[DATA REAL - CONCL. TREIN.]]="",$AY242&lt;=$AW$1),3,
AND(Tabela1[[#This Row],[STATUS PROCESSO MOBILIZAÇÃO]]="Em andamento",Tabela1[[#This Row],[DATA REAL - CONCL. TREIN.]]&lt;&gt;""),1)</f>
        <v>1</v>
      </c>
      <c r="M242" s="16" cm="1">
        <f t="array" aca="1" ref="M24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CONTRATUAL]]="",$BB242&gt;$AZ$1),2,
AND(Tabela1[[#This Row],[STATUS PROCESSO MOBILIZAÇÃO]]="Em andamento",Tabela1[[#This Row],[DATA FIM - ALTER. CONTRATUAL]]="",$BB242&lt;=$AZ$1),3,
AND(Tabela1[[#This Row],[STATUS PROCESSO MOBILIZAÇÃO]]="Em andamento",Tabela1[[#This Row],[DATA FIM - ALTER. CONTRATUAL]]&lt;&gt;""),1)</f>
        <v>1</v>
      </c>
      <c r="N242" s="16" cm="1">
        <f t="array" aca="1" ref="N24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DOSSIÊ]]="",$BE242&gt;$BC$1),2,
AND(Tabela1[[#This Row],[STATUS PROCESSO MOBILIZAÇÃO]]="Em andamento",Tabela1[[#This Row],[DATA REAL - DOSSIÊ]]="",$BE242&lt;=$BC$1),3,
AND(Tabela1[[#This Row],[STATUS PROCESSO MOBILIZAÇÃO]]="Em andamento",Tabela1[[#This Row],[DATA REAL - DOSSIÊ]]&lt;&gt;""),1)</f>
        <v>1</v>
      </c>
      <c r="O242" s="16" cm="1">
        <f t="array" aca="1" ref="O24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POSTAGEM]]="",$BH242&gt;$BF$1),2,
AND(Tabela1[[#This Row],[STATUS PROCESSO MOBILIZAÇÃO]]="Em andamento",Tabela1[[#This Row],[DATA REAL - POSTAGEM]]="",$BH242&lt;=$BF$1),3,
AND(Tabela1[[#This Row],[STATUS PROCESSO MOBILIZAÇÃO]]="Em andamento",Tabela1[[#This Row],[DATA REAL - POSTAGEM]]&lt;&gt;""),1)</f>
        <v>1</v>
      </c>
      <c r="P242" s="16" cm="1">
        <f t="array" aca="1" ref="P24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FINAL]]="",$BK242&gt;$BI$1),2,
AND(Tabela1[[#This Row],[STATUS PROCESSO MOBILIZAÇÃO]]="Em andamento",Tabela1[[#This Row],[DATA REAL - APROV FINAL]]="",$BK242&lt;=$BI$1),3,
AND(Tabela1[[#This Row],[STATUS PROCESSO MOBILIZAÇÃO]]="Em andamento",Tabela1[[#This Row],[DATA REAL - APROV FINAL]]&lt;&gt;""),1)</f>
        <v>1</v>
      </c>
      <c r="Q242" s="16" cm="1">
        <f t="array" aca="1" ref="Q24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CRACHÁ]]="",$BN242&gt;$BL$1),2,
AND(Tabela1[[#This Row],[STATUS PROCESSO MOBILIZAÇÃO]]="Em andamento",Tabela1[[#This Row],[DATA REAL - CRACHÁ]]="",$BN242&lt;=$BL$1),3,
AND(Tabela1[[#This Row],[STATUS PROCESSO MOBILIZAÇÃO]]="Em andamento",Tabela1[[#This Row],[DATA REAL - CRACHÁ]]&lt;&gt;""),1)</f>
        <v>1</v>
      </c>
      <c r="R242" s="21">
        <f>IF(Tabela1[[#This Row],[DATA REAL - FORMS]]&lt;&gt;"",Tabela1[[#This Row],[DATA REAL - FORMS]]+30,Tabela1[[#This Row],[DATA PREV - FORMS]]+35)</f>
        <v>46191</v>
      </c>
      <c r="S24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46171</v>
      </c>
      <c r="T24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v>
      </c>
      <c r="U24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42" s="49">
        <f>MAX(Tabela1[[#This Row],[DATA REAL - POSTAGEM]],Tabela1[[#This Row],[DATA REAL - APROV FINAL]],Tabela1[[#This Row],[DATA REAL - CRACHÁ]])-MIN(Tabela1[[#This Row],[DATA REAL - POSTAGEM]],Tabela1[[#This Row],[DATA REAL - APROV FINAL]],Tabela1[[#This Row],[DATA REAL - CRACHÁ]])+1</f>
        <v>4</v>
      </c>
      <c r="W24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2" s="15" t="s">
        <v>110</v>
      </c>
      <c r="Y242" s="16" t="s">
        <v>84</v>
      </c>
      <c r="Z242" s="80" t="str">
        <f>_xlfn.XLOOKUP(Tabela1[[#This Row],[COO PHD]],TabControleEfetivo[NOME],TabControleEfetivo[email (PHD)],"")</f>
        <v>julio.cesar@phdengenharia.eng.br</v>
      </c>
      <c r="AA242" s="96" t="s">
        <v>86</v>
      </c>
      <c r="AB242" s="16" t="s">
        <v>97</v>
      </c>
      <c r="AC242" s="16" t="s">
        <v>98</v>
      </c>
      <c r="AD242" s="16" t="s">
        <v>89</v>
      </c>
      <c r="AE242" s="16" t="s">
        <v>723</v>
      </c>
      <c r="AF242" s="16" t="s">
        <v>112</v>
      </c>
      <c r="AG242" s="16" t="str">
        <f>_xlfn.XLOOKUP(Tabela1[[#This Row],[CÓD. CT]],Controle_Projetos[COD CT],Controle_Projetos[COD PHD],"")</f>
        <v>SALU-CT09-COBR</v>
      </c>
      <c r="AH242" s="21">
        <v>46161</v>
      </c>
      <c r="AI242" s="76">
        <v>46161</v>
      </c>
      <c r="AJ242" s="16" cm="1">
        <f t="array" aca="1" ref="AJ24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2" s="21">
        <v>46161</v>
      </c>
      <c r="AL242" s="74">
        <v>46161</v>
      </c>
      <c r="AM242" s="16" cm="1">
        <f t="array" aca="1" ref="AM24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2" s="21">
        <f>Tabela1[[#This Row],[DATA PREV - FORMS]]+$AN$1</f>
        <v>46168</v>
      </c>
      <c r="AO242" s="74">
        <v>46161</v>
      </c>
      <c r="AP242" s="16" cm="1">
        <f t="array" aca="1" ref="AP24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2" s="21">
        <f>Tabela1[[#This Row],[DATA PREV - EXAMES]]+$AQ$1</f>
        <v>46170</v>
      </c>
      <c r="AR242" s="74">
        <v>46168</v>
      </c>
      <c r="AS242" s="16" cm="1">
        <f t="array" aca="1" ref="AS24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42" s="21">
        <f>Tabela1[[#This Row],[DATA PREV - FORMS]]+$AT$1</f>
        <v>46162</v>
      </c>
      <c r="AU242" s="74">
        <v>46161</v>
      </c>
      <c r="AV242" s="16" cm="1">
        <f t="array" aca="1" ref="AV24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2" s="21">
        <f>Tabela1[[#This Row],[DATA PREV - TREINAMENTOS]]+$AW$1</f>
        <v>46169</v>
      </c>
      <c r="AX242" s="74">
        <v>46161</v>
      </c>
      <c r="AY242" s="16" cm="1">
        <f t="array" aca="1" ref="AY24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42" s="24">
        <v>46161</v>
      </c>
      <c r="BA242" s="74">
        <v>46161</v>
      </c>
      <c r="BB242" s="16" cm="1">
        <f t="array" aca="1" ref="BB24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2" s="21">
        <f>Tabela1[[#This Row],[DATA PREV - CONCL. TREIN.]]+$BC$1</f>
        <v>46171</v>
      </c>
      <c r="BD242" s="74">
        <v>46168</v>
      </c>
      <c r="BE242" s="16" cm="1">
        <f t="array" aca="1" ref="BE24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242" s="21">
        <f>Tabela1[[#This Row],[DATA PREV - DOSSIÊ]]+$BF$1</f>
        <v>46174</v>
      </c>
      <c r="BG242" s="74">
        <v>46168</v>
      </c>
      <c r="BH242" s="16" cm="1">
        <f t="array" aca="1" ref="BH24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42" s="21">
        <f>Tabela1[[#This Row],[DATA PREV - POSTAGEM]]+$BI$1</f>
        <v>46180</v>
      </c>
      <c r="BJ242" s="74">
        <v>46171</v>
      </c>
      <c r="BK242" s="16" cm="1">
        <f t="array" aca="1" ref="BK24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42" s="21">
        <f>Tabela1[[#This Row],[DATA PREV - APROV FINAL]]+$BL$1</f>
        <v>46181</v>
      </c>
      <c r="BM242" s="74">
        <v>46171</v>
      </c>
      <c r="BN242" s="16" cm="1">
        <f t="array" aca="1" ref="BN24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42" s="81" t="s">
        <v>724</v>
      </c>
    </row>
    <row r="243" spans="2:67" ht="18" hidden="1" customHeight="1" x14ac:dyDescent="0.35">
      <c r="B243" s="14" t="s">
        <v>79</v>
      </c>
      <c r="C243" s="16" t="s">
        <v>136</v>
      </c>
      <c r="D243" s="16" t="s">
        <v>108</v>
      </c>
      <c r="E243" s="16">
        <v>1029</v>
      </c>
      <c r="F243" s="16" t="s">
        <v>725</v>
      </c>
      <c r="G243" s="16" cm="1">
        <f t="array" ref="G243">_xlfn.IFS(Tabela1[[#This Row],[STATUS PROCESSO MOBILIZAÇÃO]]="Finalizado",1,Tabela1[[#This Row],[STATUS PROCESSO MOBILIZAÇÃO]]="Cancelado",2,Tabela1[[#This Row],[STATUS PROCESSO MOBILIZAÇÃO]]="Em andamento",3)</f>
        <v>1</v>
      </c>
      <c r="H243" s="16" cm="1">
        <f t="array" aca="1" ref="H24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FORMS]]="",$AM243&gt;$AK$1),2,
AND(Tabela1[[#This Row],[STATUS PROCESSO MOBILIZAÇÃO]]="Em andamento",Tabela1[[#This Row],[DATA REAL - FORMS]]="",$AM243&lt;=$AK$1),3,
AND(Tabela1[[#This Row],[STATUS PROCESSO MOBILIZAÇÃO]]="Em andamento",Tabela1[[#This Row],[DATA REAL - FORMS]]&lt;&gt;""),1)</f>
        <v>1</v>
      </c>
      <c r="I243" s="16" cm="1">
        <f t="array" aca="1" ref="I24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EXAMES]]="",$AP243&gt;$AN$1),2,
AND(Tabela1[[#This Row],[STATUS PROCESSO MOBILIZAÇÃO]]="Em andamento",Tabela1[[#This Row],[DATA REAL - EXAMES]]="",$AP243&lt;=$AN$1),3,
AND(Tabela1[[#This Row],[STATUS PROCESSO MOBILIZAÇÃO]]="Em andamento",Tabela1[[#This Row],[DATA REAL - EXAMES]]&lt;&gt;""),1)</f>
        <v>1</v>
      </c>
      <c r="J243" s="16" cm="1">
        <f t="array" aca="1" ref="J24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ASO]]="",$AS243&gt;$AQ$1),2,
AND(Tabela1[[#This Row],[STATUS PROCESSO MOBILIZAÇÃO]]="Em andamento",Tabela1[[#This Row],[DATA REAL - ASO]]="",$AS243&lt;=$AQ$1),3,
AND(Tabela1[[#This Row],[STATUS PROCESSO MOBILIZAÇÃO]]="Em andamento",Tabela1[[#This Row],[DATA REAL - ASO]]&lt;&gt;""),1)</f>
        <v>1</v>
      </c>
      <c r="K243" s="16" cm="1">
        <f t="array" aca="1" ref="K24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TREINAMENTOS]]="",$AV243&gt;$AT$1),2,
AND(Tabela1[[#This Row],[STATUS PROCESSO MOBILIZAÇÃO]]="Em andamento",Tabela1[[#This Row],[DATA REAL - TREINAMENTOS]]="",$AV243&lt;=$AT$1),3,
AND(Tabela1[[#This Row],[STATUS PROCESSO MOBILIZAÇÃO]]="Em andamento",Tabela1[[#This Row],[DATA REAL - TREINAMENTOS]]&lt;&gt;""),1)</f>
        <v>1</v>
      </c>
      <c r="L243" s="16" cm="1">
        <f t="array" aca="1" ref="L24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TREIN.]]="",$AY243&gt;$AW$1),2,
AND(Tabela1[[#This Row],[STATUS PROCESSO MOBILIZAÇÃO]]="Em andamento",Tabela1[[#This Row],[DATA REAL - CONCL. TREIN.]]="",$AY243&lt;=$AW$1),3,
AND(Tabela1[[#This Row],[STATUS PROCESSO MOBILIZAÇÃO]]="Em andamento",Tabela1[[#This Row],[DATA REAL - CONCL. TREIN.]]&lt;&gt;""),1)</f>
        <v>1</v>
      </c>
      <c r="M243" s="16" cm="1">
        <f t="array" aca="1" ref="M24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CONTRATUAL]]="",$BB243&gt;$AZ$1),2,
AND(Tabela1[[#This Row],[STATUS PROCESSO MOBILIZAÇÃO]]="Em andamento",Tabela1[[#This Row],[DATA FIM - ALTER. CONTRATUAL]]="",$BB243&lt;=$AZ$1),3,
AND(Tabela1[[#This Row],[STATUS PROCESSO MOBILIZAÇÃO]]="Em andamento",Tabela1[[#This Row],[DATA FIM - ALTER. CONTRATUAL]]&lt;&gt;""),1)</f>
        <v>1</v>
      </c>
      <c r="N243" s="16" cm="1">
        <f t="array" aca="1" ref="N24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DOSSIÊ]]="",$BE243&gt;$BC$1),2,
AND(Tabela1[[#This Row],[STATUS PROCESSO MOBILIZAÇÃO]]="Em andamento",Tabela1[[#This Row],[DATA REAL - DOSSIÊ]]="",$BE243&lt;=$BC$1),3,
AND(Tabela1[[#This Row],[STATUS PROCESSO MOBILIZAÇÃO]]="Em andamento",Tabela1[[#This Row],[DATA REAL - DOSSIÊ]]&lt;&gt;""),1)</f>
        <v>1</v>
      </c>
      <c r="O243" s="16" cm="1">
        <f t="array" aca="1" ref="O24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POSTAGEM]]="",$BH243&gt;$BF$1),2,
AND(Tabela1[[#This Row],[STATUS PROCESSO MOBILIZAÇÃO]]="Em andamento",Tabela1[[#This Row],[DATA REAL - POSTAGEM]]="",$BH243&lt;=$BF$1),3,
AND(Tabela1[[#This Row],[STATUS PROCESSO MOBILIZAÇÃO]]="Em andamento",Tabela1[[#This Row],[DATA REAL - POSTAGEM]]&lt;&gt;""),1)</f>
        <v>1</v>
      </c>
      <c r="P243" s="16" cm="1">
        <f t="array" aca="1" ref="P24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FINAL]]="",$BK243&gt;$BI$1),2,
AND(Tabela1[[#This Row],[STATUS PROCESSO MOBILIZAÇÃO]]="Em andamento",Tabela1[[#This Row],[DATA REAL - APROV FINAL]]="",$BK243&lt;=$BI$1),3,
AND(Tabela1[[#This Row],[STATUS PROCESSO MOBILIZAÇÃO]]="Em andamento",Tabela1[[#This Row],[DATA REAL - APROV FINAL]]&lt;&gt;""),1)</f>
        <v>1</v>
      </c>
      <c r="Q243" s="16" cm="1">
        <f t="array" aca="1" ref="Q24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CRACHÁ]]="",$BN243&gt;$BL$1),2,
AND(Tabela1[[#This Row],[STATUS PROCESSO MOBILIZAÇÃO]]="Em andamento",Tabela1[[#This Row],[DATA REAL - CRACHÁ]]="",$BN243&lt;=$BL$1),3,
AND(Tabela1[[#This Row],[STATUS PROCESSO MOBILIZAÇÃO]]="Em andamento",Tabela1[[#This Row],[DATA REAL - CRACHÁ]]&lt;&gt;""),1)</f>
        <v>1</v>
      </c>
      <c r="R243" s="21">
        <f>IF(Tabela1[[#This Row],[DATA REAL - FORMS]]&lt;&gt;"",Tabela1[[#This Row],[DATA REAL - FORMS]]+30,Tabela1[[#This Row],[DATA PREV - FORMS]]+35)</f>
        <v>46193</v>
      </c>
      <c r="S24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46176</v>
      </c>
      <c r="T24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4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243" s="49">
        <f>MAX(Tabela1[[#This Row],[DATA REAL - POSTAGEM]],Tabela1[[#This Row],[DATA REAL - APROV FINAL]],Tabela1[[#This Row],[DATA REAL - CRACHÁ]])-MIN(Tabela1[[#This Row],[DATA REAL - POSTAGEM]],Tabela1[[#This Row],[DATA REAL - APROV FINAL]],Tabela1[[#This Row],[DATA REAL - CRACHÁ]])+1</f>
        <v>7</v>
      </c>
      <c r="W24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3" s="15" t="s">
        <v>726</v>
      </c>
      <c r="Y243" s="16" t="s">
        <v>150</v>
      </c>
      <c r="Z243" s="80" t="s">
        <v>104</v>
      </c>
      <c r="AA243" s="95" t="s">
        <v>152</v>
      </c>
      <c r="AB243" s="16" t="s">
        <v>97</v>
      </c>
      <c r="AC243" s="16" t="s">
        <v>88</v>
      </c>
      <c r="AD243" s="16" t="s">
        <v>89</v>
      </c>
      <c r="AE243" s="86" t="s">
        <v>644</v>
      </c>
      <c r="AF243" s="86" t="s">
        <v>645</v>
      </c>
      <c r="AG243" s="16" t="str">
        <f>_xlfn.XLOOKUP(Tabela1[[#This Row],[CÓD. CT]],Controle_Projetos[COD CT],Controle_Projetos[COD PHD],"")</f>
        <v>IMCS-CT09-PLAN</v>
      </c>
      <c r="AH243" s="21">
        <v>46163</v>
      </c>
      <c r="AI243" s="76">
        <v>46163</v>
      </c>
      <c r="AJ243" s="16" cm="1">
        <f t="array" aca="1" ref="AJ24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3" s="21">
        <v>46163</v>
      </c>
      <c r="AL243" s="74">
        <v>46163</v>
      </c>
      <c r="AM243" s="16" cm="1">
        <f t="array" aca="1" ref="AM24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3" s="21">
        <f>Tabela1[[#This Row],[DATA PREV - FORMS]]+$AN$1</f>
        <v>46170</v>
      </c>
      <c r="AO243" s="74">
        <v>46163</v>
      </c>
      <c r="AP243" s="16" cm="1">
        <f t="array" aca="1" ref="AP24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3" s="21">
        <f>Tabela1[[#This Row],[DATA PREV - EXAMES]]+$AQ$1</f>
        <v>46172</v>
      </c>
      <c r="AR243" s="74">
        <v>46163</v>
      </c>
      <c r="AS243" s="16" cm="1">
        <f t="array" aca="1" ref="AS24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43" s="21">
        <f>Tabela1[[#This Row],[DATA PREV - FORMS]]+$AT$1</f>
        <v>46164</v>
      </c>
      <c r="AU243" s="74">
        <v>46163</v>
      </c>
      <c r="AV243" s="16" cm="1">
        <f t="array" aca="1" ref="AV24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3" s="21">
        <f>Tabela1[[#This Row],[DATA PREV - TREINAMENTOS]]+$AW$1</f>
        <v>46171</v>
      </c>
      <c r="AX243" s="74">
        <v>46168</v>
      </c>
      <c r="AY243" s="16" cm="1">
        <f t="array" aca="1" ref="AY24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243" s="24">
        <v>46163</v>
      </c>
      <c r="BA243" s="74">
        <v>46163</v>
      </c>
      <c r="BB243" s="16" cm="1">
        <f t="array" aca="1" ref="BB24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3" s="21">
        <f>Tabela1[[#This Row],[DATA PREV - CONCL. TREIN.]]+$BC$1</f>
        <v>46173</v>
      </c>
      <c r="BD243" s="74">
        <v>46168</v>
      </c>
      <c r="BE243" s="16" cm="1">
        <f t="array" aca="1" ref="BE24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243" s="21">
        <f>Tabela1[[#This Row],[DATA PREV - DOSSIÊ]]+$BF$1</f>
        <v>46176</v>
      </c>
      <c r="BG243" s="74">
        <v>46170</v>
      </c>
      <c r="BH243" s="16" cm="1">
        <f t="array" aca="1" ref="BH24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43" s="21">
        <f>Tabela1[[#This Row],[DATA PREV - POSTAGEM]]+$BI$1</f>
        <v>46182</v>
      </c>
      <c r="BJ243" s="74">
        <v>46174</v>
      </c>
      <c r="BK243" s="16" cm="1">
        <f t="array" aca="1" ref="BK24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243" s="21">
        <f>Tabela1[[#This Row],[DATA PREV - APROV FINAL]]+$BL$1</f>
        <v>46183</v>
      </c>
      <c r="BM243" s="74">
        <v>46176</v>
      </c>
      <c r="BN243" s="16" cm="1">
        <f t="array" aca="1" ref="BN24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43" s="81" t="s">
        <v>727</v>
      </c>
    </row>
    <row r="244" spans="2:67" ht="18" hidden="1" customHeight="1" x14ac:dyDescent="0.35">
      <c r="B244" s="14" t="s">
        <v>79</v>
      </c>
      <c r="C244" s="16" t="s">
        <v>136</v>
      </c>
      <c r="D244" s="16" t="s">
        <v>81</v>
      </c>
      <c r="E244" s="16">
        <v>1023</v>
      </c>
      <c r="F244" s="16" t="s">
        <v>217</v>
      </c>
      <c r="G244" s="16" cm="1">
        <f t="array" ref="G244">_xlfn.IFS(Tabela1[[#This Row],[STATUS PROCESSO MOBILIZAÇÃO]]="Finalizado",1,Tabela1[[#This Row],[STATUS PROCESSO MOBILIZAÇÃO]]="Cancelado",2,Tabela1[[#This Row],[STATUS PROCESSO MOBILIZAÇÃO]]="Em andamento",3)</f>
        <v>1</v>
      </c>
      <c r="H244" s="16" cm="1">
        <f t="array" aca="1" ref="H24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FORMS]]="",$AM244&gt;$AK$1),2,
AND(Tabela1[[#This Row],[STATUS PROCESSO MOBILIZAÇÃO]]="Em andamento",Tabela1[[#This Row],[DATA REAL - FORMS]]="",$AM244&lt;=$AK$1),3,
AND(Tabela1[[#This Row],[STATUS PROCESSO MOBILIZAÇÃO]]="Em andamento",Tabela1[[#This Row],[DATA REAL - FORMS]]&lt;&gt;""),1)</f>
        <v>1</v>
      </c>
      <c r="I244" s="16" cm="1">
        <f t="array" aca="1" ref="I24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EXAMES]]="",$AP244&gt;$AN$1),2,
AND(Tabela1[[#This Row],[STATUS PROCESSO MOBILIZAÇÃO]]="Em andamento",Tabela1[[#This Row],[DATA REAL - EXAMES]]="",$AP244&lt;=$AN$1),3,
AND(Tabela1[[#This Row],[STATUS PROCESSO MOBILIZAÇÃO]]="Em andamento",Tabela1[[#This Row],[DATA REAL - EXAMES]]&lt;&gt;""),1)</f>
        <v>1</v>
      </c>
      <c r="J244" s="16" cm="1">
        <f t="array" aca="1" ref="J24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ASO]]="",$AS244&gt;$AQ$1),2,
AND(Tabela1[[#This Row],[STATUS PROCESSO MOBILIZAÇÃO]]="Em andamento",Tabela1[[#This Row],[DATA REAL - ASO]]="",$AS244&lt;=$AQ$1),3,
AND(Tabela1[[#This Row],[STATUS PROCESSO MOBILIZAÇÃO]]="Em andamento",Tabela1[[#This Row],[DATA REAL - ASO]]&lt;&gt;""),1)</f>
        <v>1</v>
      </c>
      <c r="K244" s="16" cm="1">
        <f t="array" aca="1" ref="K24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TREINAMENTOS]]="",$AV244&gt;$AT$1),2,
AND(Tabela1[[#This Row],[STATUS PROCESSO MOBILIZAÇÃO]]="Em andamento",Tabela1[[#This Row],[DATA REAL - TREINAMENTOS]]="",$AV244&lt;=$AT$1),3,
AND(Tabela1[[#This Row],[STATUS PROCESSO MOBILIZAÇÃO]]="Em andamento",Tabela1[[#This Row],[DATA REAL - TREINAMENTOS]]&lt;&gt;""),1)</f>
        <v>1</v>
      </c>
      <c r="L244" s="16" cm="1">
        <f t="array" aca="1" ref="L24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TREIN.]]="",$AY244&gt;$AW$1),2,
AND(Tabela1[[#This Row],[STATUS PROCESSO MOBILIZAÇÃO]]="Em andamento",Tabela1[[#This Row],[DATA REAL - CONCL. TREIN.]]="",$AY244&lt;=$AW$1),3,
AND(Tabela1[[#This Row],[STATUS PROCESSO MOBILIZAÇÃO]]="Em andamento",Tabela1[[#This Row],[DATA REAL - CONCL. TREIN.]]&lt;&gt;""),1)</f>
        <v>1</v>
      </c>
      <c r="M244" s="16" cm="1">
        <f t="array" aca="1" ref="M24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CONTRATUAL]]="",$BB244&gt;$AZ$1),2,
AND(Tabela1[[#This Row],[STATUS PROCESSO MOBILIZAÇÃO]]="Em andamento",Tabela1[[#This Row],[DATA FIM - ALTER. CONTRATUAL]]="",$BB244&lt;=$AZ$1),3,
AND(Tabela1[[#This Row],[STATUS PROCESSO MOBILIZAÇÃO]]="Em andamento",Tabela1[[#This Row],[DATA FIM - ALTER. CONTRATUAL]]&lt;&gt;""),1)</f>
        <v>1</v>
      </c>
      <c r="N244" s="16" cm="1">
        <f t="array" aca="1" ref="N24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DOSSIÊ]]="",$BE244&gt;$BC$1),2,
AND(Tabela1[[#This Row],[STATUS PROCESSO MOBILIZAÇÃO]]="Em andamento",Tabela1[[#This Row],[DATA REAL - DOSSIÊ]]="",$BE244&lt;=$BC$1),3,
AND(Tabela1[[#This Row],[STATUS PROCESSO MOBILIZAÇÃO]]="Em andamento",Tabela1[[#This Row],[DATA REAL - DOSSIÊ]]&lt;&gt;""),1)</f>
        <v>1</v>
      </c>
      <c r="O244" s="16" cm="1">
        <f t="array" aca="1" ref="O24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POSTAGEM]]="",$BH244&gt;$BF$1),2,
AND(Tabela1[[#This Row],[STATUS PROCESSO MOBILIZAÇÃO]]="Em andamento",Tabela1[[#This Row],[DATA REAL - POSTAGEM]]="",$BH244&lt;=$BF$1),3,
AND(Tabela1[[#This Row],[STATUS PROCESSO MOBILIZAÇÃO]]="Em andamento",Tabela1[[#This Row],[DATA REAL - POSTAGEM]]&lt;&gt;""),1)</f>
        <v>1</v>
      </c>
      <c r="P244" s="16" cm="1">
        <f t="array" aca="1" ref="P24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FINAL]]="",$BK244&gt;$BI$1),2,
AND(Tabela1[[#This Row],[STATUS PROCESSO MOBILIZAÇÃO]]="Em andamento",Tabela1[[#This Row],[DATA REAL - APROV FINAL]]="",$BK244&lt;=$BI$1),3,
AND(Tabela1[[#This Row],[STATUS PROCESSO MOBILIZAÇÃO]]="Em andamento",Tabela1[[#This Row],[DATA REAL - APROV FINAL]]&lt;&gt;""),1)</f>
        <v>1</v>
      </c>
      <c r="Q244" s="16" cm="1">
        <f t="array" aca="1" ref="Q24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CRACHÁ]]="",$BN244&gt;$BL$1),2,
AND(Tabela1[[#This Row],[STATUS PROCESSO MOBILIZAÇÃO]]="Em andamento",Tabela1[[#This Row],[DATA REAL - CRACHÁ]]="",$BN244&lt;=$BL$1),3,
AND(Tabela1[[#This Row],[STATUS PROCESSO MOBILIZAÇÃO]]="Em andamento",Tabela1[[#This Row],[DATA REAL - CRACHÁ]]&lt;&gt;""),1)</f>
        <v>1</v>
      </c>
      <c r="R244" s="21">
        <f>IF(Tabela1[[#This Row],[DATA REAL - FORMS]]&lt;&gt;"",Tabela1[[#This Row],[DATA REAL - FORMS]]+30,Tabela1[[#This Row],[DATA PREV - FORMS]]+35)</f>
        <v>46193</v>
      </c>
      <c r="S24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46170</v>
      </c>
      <c r="T24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4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44" s="49">
        <f>MAX(Tabela1[[#This Row],[DATA REAL - POSTAGEM]],Tabela1[[#This Row],[DATA REAL - APROV FINAL]],Tabela1[[#This Row],[DATA REAL - CRACHÁ]])-MIN(Tabela1[[#This Row],[DATA REAL - POSTAGEM]],Tabela1[[#This Row],[DATA REAL - APROV FINAL]],Tabela1[[#This Row],[DATA REAL - CRACHÁ]])+1</f>
        <v>2</v>
      </c>
      <c r="W24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111</v>
      </c>
      <c r="X244" s="15" t="s">
        <v>726</v>
      </c>
      <c r="Y244" s="16" t="s">
        <v>150</v>
      </c>
      <c r="Z244" s="80" t="s">
        <v>104</v>
      </c>
      <c r="AA244" s="95" t="s">
        <v>152</v>
      </c>
      <c r="AB244" s="16" t="s">
        <v>97</v>
      </c>
      <c r="AC244" s="86" t="s">
        <v>89</v>
      </c>
      <c r="AD244" s="86" t="s">
        <v>89</v>
      </c>
      <c r="AE244" s="86" t="s">
        <v>633</v>
      </c>
      <c r="AF244" s="86" t="s">
        <v>634</v>
      </c>
      <c r="AG244" s="16" t="str">
        <f>_xlfn.XLOOKUP(Tabela1[[#This Row],[CÓD. CT]],Controle_Projetos[COD CT],Controle_Projetos[COD PHD],"")</f>
        <v>VABM-CT01-CONS</v>
      </c>
      <c r="AH244" s="21">
        <v>46163</v>
      </c>
      <c r="AI244" s="76"/>
      <c r="AJ244" s="16" cm="1">
        <f t="array" aca="1" ref="AJ24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4" s="21">
        <v>46163</v>
      </c>
      <c r="AL244" s="74">
        <v>46163</v>
      </c>
      <c r="AM244" s="16" cm="1">
        <f t="array" aca="1" ref="AM24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4" s="21">
        <f>Tabela1[[#This Row],[DATA PREV - FORMS]]+$AN$1</f>
        <v>46170</v>
      </c>
      <c r="AO244" s="74">
        <v>46163</v>
      </c>
      <c r="AP244" s="16" cm="1">
        <f t="array" aca="1" ref="AP24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4" s="21">
        <f>Tabela1[[#This Row],[DATA PREV - EXAMES]]+$AQ$1</f>
        <v>46172</v>
      </c>
      <c r="AR244" s="74">
        <v>46163</v>
      </c>
      <c r="AS244" s="16" cm="1">
        <f t="array" aca="1" ref="AS24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44" s="21">
        <f>Tabela1[[#This Row],[DATA PREV - FORMS]]+$AT$1</f>
        <v>46164</v>
      </c>
      <c r="AU244" s="74">
        <v>46163</v>
      </c>
      <c r="AV244" s="16" cm="1">
        <f t="array" aca="1" ref="AV24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4" s="21">
        <f>Tabela1[[#This Row],[DATA PREV - TREINAMENTOS]]+$AW$1</f>
        <v>46171</v>
      </c>
      <c r="AX244" s="74">
        <v>46163</v>
      </c>
      <c r="AY244" s="16" cm="1">
        <f t="array" aca="1" ref="AY24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44" s="24">
        <v>46163</v>
      </c>
      <c r="BA244" s="74">
        <v>46163</v>
      </c>
      <c r="BB244" s="16" cm="1">
        <f t="array" aca="1" ref="BB24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4" s="21">
        <f>Tabela1[[#This Row],[DATA PREV - CONCL. TREIN.]]+$BC$1</f>
        <v>46173</v>
      </c>
      <c r="BD244" s="74">
        <v>46169</v>
      </c>
      <c r="BE244" s="16" cm="1">
        <f t="array" aca="1" ref="BE24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44" s="21">
        <f>Tabela1[[#This Row],[DATA PREV - DOSSIÊ]]+$BF$1</f>
        <v>46176</v>
      </c>
      <c r="BG244" s="74">
        <v>46169</v>
      </c>
      <c r="BH244" s="16" cm="1">
        <f t="array" aca="1" ref="BH24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44" s="21">
        <f>Tabela1[[#This Row],[DATA PREV - POSTAGEM]]+$BI$1</f>
        <v>46182</v>
      </c>
      <c r="BJ244" s="74">
        <v>46170</v>
      </c>
      <c r="BK244" s="16" cm="1">
        <f t="array" aca="1" ref="BK24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44" s="21">
        <f>Tabela1[[#This Row],[DATA PREV - APROV FINAL]]+$BL$1</f>
        <v>46183</v>
      </c>
      <c r="BM244" s="74">
        <v>46170</v>
      </c>
      <c r="BN244" s="16" cm="1">
        <f t="array" aca="1" ref="BN24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44" s="81" t="s">
        <v>728</v>
      </c>
    </row>
    <row r="245" spans="2:67" ht="18" hidden="1" customHeight="1" x14ac:dyDescent="0.35">
      <c r="B245" s="14" t="s">
        <v>79</v>
      </c>
      <c r="C245" s="16" t="s">
        <v>136</v>
      </c>
      <c r="D245" s="16" t="s">
        <v>108</v>
      </c>
      <c r="E245" s="16"/>
      <c r="F245" s="16" t="s">
        <v>188</v>
      </c>
      <c r="G245" s="16" cm="1">
        <f t="array" ref="G245">_xlfn.IFS(Tabela1[[#This Row],[STATUS PROCESSO MOBILIZAÇÃO]]="Finalizado",1,Tabela1[[#This Row],[STATUS PROCESSO MOBILIZAÇÃO]]="Cancelado",2,Tabela1[[#This Row],[STATUS PROCESSO MOBILIZAÇÃO]]="Em andamento",3)</f>
        <v>1</v>
      </c>
      <c r="H245" s="16" cm="1">
        <f t="array" aca="1" ref="H24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FORMS]]="",$AM245&gt;$AK$1),2,
AND(Tabela1[[#This Row],[STATUS PROCESSO MOBILIZAÇÃO]]="Em andamento",Tabela1[[#This Row],[DATA REAL - FORMS]]="",$AM245&lt;=$AK$1),3,
AND(Tabela1[[#This Row],[STATUS PROCESSO MOBILIZAÇÃO]]="Em andamento",Tabela1[[#This Row],[DATA REAL - FORMS]]&lt;&gt;""),1)</f>
        <v>0</v>
      </c>
      <c r="I245" s="16" cm="1">
        <f t="array" aca="1" ref="I24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EXAMES]]="",$AP245&gt;$AN$1),2,
AND(Tabela1[[#This Row],[STATUS PROCESSO MOBILIZAÇÃO]]="Em andamento",Tabela1[[#This Row],[DATA REAL - EXAMES]]="",$AP245&lt;=$AN$1),3,
AND(Tabela1[[#This Row],[STATUS PROCESSO MOBILIZAÇÃO]]="Em andamento",Tabela1[[#This Row],[DATA REAL - EXAMES]]&lt;&gt;""),1)</f>
        <v>1</v>
      </c>
      <c r="J245" s="16" cm="1">
        <f t="array" aca="1" ref="J24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ASO]]="",$AS245&gt;$AQ$1),2,
AND(Tabela1[[#This Row],[STATUS PROCESSO MOBILIZAÇÃO]]="Em andamento",Tabela1[[#This Row],[DATA REAL - ASO]]="",$AS245&lt;=$AQ$1),3,
AND(Tabela1[[#This Row],[STATUS PROCESSO MOBILIZAÇÃO]]="Em andamento",Tabela1[[#This Row],[DATA REAL - ASO]]&lt;&gt;""),1)</f>
        <v>1</v>
      </c>
      <c r="K245" s="16" cm="1">
        <f t="array" aca="1" ref="K24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TREINAMENTOS]]="",$AV245&gt;$AT$1),2,
AND(Tabela1[[#This Row],[STATUS PROCESSO MOBILIZAÇÃO]]="Em andamento",Tabela1[[#This Row],[DATA REAL - TREINAMENTOS]]="",$AV245&lt;=$AT$1),3,
AND(Tabela1[[#This Row],[STATUS PROCESSO MOBILIZAÇÃO]]="Em andamento",Tabela1[[#This Row],[DATA REAL - TREINAMENTOS]]&lt;&gt;""),1)</f>
        <v>1</v>
      </c>
      <c r="L245" s="16" cm="1">
        <f t="array" aca="1" ref="L24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TREIN.]]="",$AY245&gt;$AW$1),2,
AND(Tabela1[[#This Row],[STATUS PROCESSO MOBILIZAÇÃO]]="Em andamento",Tabela1[[#This Row],[DATA REAL - CONCL. TREIN.]]="",$AY245&lt;=$AW$1),3,
AND(Tabela1[[#This Row],[STATUS PROCESSO MOBILIZAÇÃO]]="Em andamento",Tabela1[[#This Row],[DATA REAL - CONCL. TREIN.]]&lt;&gt;""),1)</f>
        <v>1</v>
      </c>
      <c r="M245" s="16" cm="1">
        <f t="array" aca="1" ref="M24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CONTRATUAL]]="",$BB245&gt;$AZ$1),2,
AND(Tabela1[[#This Row],[STATUS PROCESSO MOBILIZAÇÃO]]="Em andamento",Tabela1[[#This Row],[DATA FIM - ALTER. CONTRATUAL]]="",$BB245&lt;=$AZ$1),3,
AND(Tabela1[[#This Row],[STATUS PROCESSO MOBILIZAÇÃO]]="Em andamento",Tabela1[[#This Row],[DATA FIM - ALTER. CONTRATUAL]]&lt;&gt;""),1)</f>
        <v>1</v>
      </c>
      <c r="N245" s="16" cm="1">
        <f t="array" aca="1" ref="N24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DOSSIÊ]]="",$BE245&gt;$BC$1),2,
AND(Tabela1[[#This Row],[STATUS PROCESSO MOBILIZAÇÃO]]="Em andamento",Tabela1[[#This Row],[DATA REAL - DOSSIÊ]]="",$BE245&lt;=$BC$1),3,
AND(Tabela1[[#This Row],[STATUS PROCESSO MOBILIZAÇÃO]]="Em andamento",Tabela1[[#This Row],[DATA REAL - DOSSIÊ]]&lt;&gt;""),1)</f>
        <v>1</v>
      </c>
      <c r="O245" s="16" cm="1">
        <f t="array" aca="1" ref="O24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POSTAGEM]]="",$BH245&gt;$BF$1),2,
AND(Tabela1[[#This Row],[STATUS PROCESSO MOBILIZAÇÃO]]="Em andamento",Tabela1[[#This Row],[DATA REAL - POSTAGEM]]="",$BH245&lt;=$BF$1),3,
AND(Tabela1[[#This Row],[STATUS PROCESSO MOBILIZAÇÃO]]="Em andamento",Tabela1[[#This Row],[DATA REAL - POSTAGEM]]&lt;&gt;""),1)</f>
        <v>1</v>
      </c>
      <c r="P245" s="16" cm="1">
        <f t="array" aca="1" ref="P24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FINAL]]="",$BK245&gt;$BI$1),2,
AND(Tabela1[[#This Row],[STATUS PROCESSO MOBILIZAÇÃO]]="Em andamento",Tabela1[[#This Row],[DATA REAL - APROV FINAL]]="",$BK245&lt;=$BI$1),3,
AND(Tabela1[[#This Row],[STATUS PROCESSO MOBILIZAÇÃO]]="Em andamento",Tabela1[[#This Row],[DATA REAL - APROV FINAL]]&lt;&gt;""),1)</f>
        <v>1</v>
      </c>
      <c r="Q245" s="16" cm="1">
        <f t="array" aca="1" ref="Q24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CRACHÁ]]="",$BN245&gt;$BL$1),2,
AND(Tabela1[[#This Row],[STATUS PROCESSO MOBILIZAÇÃO]]="Em andamento",Tabela1[[#This Row],[DATA REAL - CRACHÁ]]="",$BN245&lt;=$BL$1),3,
AND(Tabela1[[#This Row],[STATUS PROCESSO MOBILIZAÇÃO]]="Em andamento",Tabela1[[#This Row],[DATA REAL - CRACHÁ]]&lt;&gt;""),1)</f>
        <v>1</v>
      </c>
      <c r="R245" s="21">
        <f>IF(Tabela1[[#This Row],[DATA REAL - FORMS]]&lt;&gt;"",Tabela1[[#This Row],[DATA REAL - FORMS]]+30,Tabela1[[#This Row],[DATA PREV - FORMS]]+35)</f>
        <v>46199</v>
      </c>
      <c r="S24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46181</v>
      </c>
      <c r="T24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17</v>
      </c>
      <c r="U24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4</v>
      </c>
      <c r="V245" s="49">
        <f>MAX(Tabela1[[#This Row],[DATA REAL - POSTAGEM]],Tabela1[[#This Row],[DATA REAL - APROV FINAL]],Tabela1[[#This Row],[DATA REAL - CRACHÁ]])-MIN(Tabela1[[#This Row],[DATA REAL - POSTAGEM]],Tabela1[[#This Row],[DATA REAL - APROV FINAL]],Tabela1[[#This Row],[DATA REAL - CRACHÁ]])+1</f>
        <v>12</v>
      </c>
      <c r="W24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5" s="16" t="s">
        <v>121</v>
      </c>
      <c r="Y245" s="16" t="s">
        <v>122</v>
      </c>
      <c r="Z245" s="80" t="str">
        <f>_xlfn.XLOOKUP(Tabela1[[#This Row],[COO PHD]],TabControleEfetivo[NOME],TabControleEfetivo[email (PHD)],"")</f>
        <v>thales.padua@phdengenharia.eng.br</v>
      </c>
      <c r="AA245" s="96" t="s">
        <v>124</v>
      </c>
      <c r="AB245" s="16" t="s">
        <v>87</v>
      </c>
      <c r="AC245" s="16" t="s">
        <v>153</v>
      </c>
      <c r="AD245" s="16" t="s">
        <v>153</v>
      </c>
      <c r="AE245" s="16" t="s">
        <v>437</v>
      </c>
      <c r="AF245" s="86" t="s">
        <v>438</v>
      </c>
      <c r="AG245" s="16" t="str">
        <f>_xlfn.XLOOKUP(Tabela1[[#This Row],[CÓD. CT]],Controle_Projetos[COD CT],Controle_Projetos[COD PHD],"")</f>
        <v>ADMB-CT10-GRMS</v>
      </c>
      <c r="AH245" s="21">
        <v>46164</v>
      </c>
      <c r="AI245" s="76">
        <v>46164</v>
      </c>
      <c r="AJ245" s="16" cm="1">
        <f t="array" aca="1" ref="AJ24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5" s="21">
        <v>46164</v>
      </c>
      <c r="AL245" s="74"/>
      <c r="AM245" s="16" cm="1">
        <f t="array" aca="1" ref="AM24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5" s="21">
        <f>Tabela1[[#This Row],[DATA PREV - FORMS]]+$AN$1</f>
        <v>46171</v>
      </c>
      <c r="AO245" s="74">
        <v>46164</v>
      </c>
      <c r="AP245" s="16" cm="1">
        <f t="array" aca="1" ref="AP24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5" s="21">
        <f>Tabela1[[#This Row],[DATA PREV - EXAMES]]+$AQ$1</f>
        <v>46173</v>
      </c>
      <c r="AR245" s="74">
        <v>46168</v>
      </c>
      <c r="AS245" s="16" cm="1">
        <f t="array" aca="1" ref="AS24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45" s="21">
        <f>Tabela1[[#This Row],[DATA PREV - FORMS]]+$AT$1</f>
        <v>46165</v>
      </c>
      <c r="AU245" s="74">
        <v>46164</v>
      </c>
      <c r="AV245" s="16" cm="1">
        <f t="array" aca="1" ref="AV24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5" s="21">
        <f>Tabela1[[#This Row],[DATA PREV - TREINAMENTOS]]+$AW$1</f>
        <v>46172</v>
      </c>
      <c r="AX245" s="74">
        <v>46164</v>
      </c>
      <c r="AY245" s="16" cm="1">
        <f t="array" aca="1" ref="AY24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45" s="24">
        <v>46164</v>
      </c>
      <c r="BA245" s="74">
        <v>46164</v>
      </c>
      <c r="BB245" s="16" cm="1">
        <f t="array" aca="1" ref="BB24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5" s="21">
        <f>Tabela1[[#This Row],[DATA PREV - CONCL. TREIN.]]+$BC$1</f>
        <v>46174</v>
      </c>
      <c r="BD245" s="74">
        <v>46168</v>
      </c>
      <c r="BE245" s="16" cm="1">
        <f t="array" aca="1" ref="BE24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45" s="21">
        <f>Tabela1[[#This Row],[DATA PREV - DOSSIÊ]]+$BF$1</f>
        <v>46177</v>
      </c>
      <c r="BG245" s="74">
        <v>46170</v>
      </c>
      <c r="BH245" s="16" cm="1">
        <f t="array" aca="1" ref="BH24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45" s="21">
        <f>Tabela1[[#This Row],[DATA PREV - POSTAGEM]]+$BI$1</f>
        <v>46183</v>
      </c>
      <c r="BJ245" s="74">
        <v>46171</v>
      </c>
      <c r="BK245" s="16" cm="1">
        <f t="array" aca="1" ref="BK24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45" s="21">
        <f>Tabela1[[#This Row],[DATA PREV - APROV FINAL]]+$BL$1</f>
        <v>46184</v>
      </c>
      <c r="BM245" s="74">
        <v>46181</v>
      </c>
      <c r="BN245" s="16" cm="1">
        <f t="array" aca="1" ref="BN24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45" s="81" t="s">
        <v>729</v>
      </c>
    </row>
    <row r="246" spans="2:67" ht="18" hidden="1" customHeight="1" x14ac:dyDescent="0.35">
      <c r="B246" s="14" t="s">
        <v>79</v>
      </c>
      <c r="C246" s="16" t="s">
        <v>136</v>
      </c>
      <c r="D246" s="16" t="s">
        <v>108</v>
      </c>
      <c r="E246" s="16">
        <v>1107</v>
      </c>
      <c r="F246" s="16" t="s">
        <v>579</v>
      </c>
      <c r="G246" s="16" cm="1">
        <f t="array" ref="G246">_xlfn.IFS(Tabela1[[#This Row],[STATUS PROCESSO MOBILIZAÇÃO]]="Finalizado",1,Tabela1[[#This Row],[STATUS PROCESSO MOBILIZAÇÃO]]="Cancelado",2,Tabela1[[#This Row],[STATUS PROCESSO MOBILIZAÇÃO]]="Em andamento",3)</f>
        <v>1</v>
      </c>
      <c r="H246" s="16" cm="1">
        <f t="array" aca="1" ref="H24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FORMS]]="",$AM246&gt;$AK$1),2,
AND(Tabela1[[#This Row],[STATUS PROCESSO MOBILIZAÇÃO]]="Em andamento",Tabela1[[#This Row],[DATA REAL - FORMS]]="",$AM246&lt;=$AK$1),3,
AND(Tabela1[[#This Row],[STATUS PROCESSO MOBILIZAÇÃO]]="Em andamento",Tabela1[[#This Row],[DATA REAL - FORMS]]&lt;&gt;""),1)</f>
        <v>1</v>
      </c>
      <c r="I246" s="16" cm="1">
        <f t="array" aca="1" ref="I24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EXAMES]]="",$AP246&gt;$AN$1),2,
AND(Tabela1[[#This Row],[STATUS PROCESSO MOBILIZAÇÃO]]="Em andamento",Tabela1[[#This Row],[DATA REAL - EXAMES]]="",$AP246&lt;=$AN$1),3,
AND(Tabela1[[#This Row],[STATUS PROCESSO MOBILIZAÇÃO]]="Em andamento",Tabela1[[#This Row],[DATA REAL - EXAMES]]&lt;&gt;""),1)</f>
        <v>1</v>
      </c>
      <c r="J246" s="16" cm="1">
        <f t="array" aca="1" ref="J24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ASO]]="",$AS246&gt;$AQ$1),2,
AND(Tabela1[[#This Row],[STATUS PROCESSO MOBILIZAÇÃO]]="Em andamento",Tabela1[[#This Row],[DATA REAL - ASO]]="",$AS246&lt;=$AQ$1),3,
AND(Tabela1[[#This Row],[STATUS PROCESSO MOBILIZAÇÃO]]="Em andamento",Tabela1[[#This Row],[DATA REAL - ASO]]&lt;&gt;""),1)</f>
        <v>1</v>
      </c>
      <c r="K246" s="16" cm="1">
        <f t="array" aca="1" ref="K24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TREINAMENTOS]]="",$AV246&gt;$AT$1),2,
AND(Tabela1[[#This Row],[STATUS PROCESSO MOBILIZAÇÃO]]="Em andamento",Tabela1[[#This Row],[DATA REAL - TREINAMENTOS]]="",$AV246&lt;=$AT$1),3,
AND(Tabela1[[#This Row],[STATUS PROCESSO MOBILIZAÇÃO]]="Em andamento",Tabela1[[#This Row],[DATA REAL - TREINAMENTOS]]&lt;&gt;""),1)</f>
        <v>1</v>
      </c>
      <c r="L246" s="16" cm="1">
        <f t="array" aca="1" ref="L24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TREIN.]]="",$AY246&gt;$AW$1),2,
AND(Tabela1[[#This Row],[STATUS PROCESSO MOBILIZAÇÃO]]="Em andamento",Tabela1[[#This Row],[DATA REAL - CONCL. TREIN.]]="",$AY246&lt;=$AW$1),3,
AND(Tabela1[[#This Row],[STATUS PROCESSO MOBILIZAÇÃO]]="Em andamento",Tabela1[[#This Row],[DATA REAL - CONCL. TREIN.]]&lt;&gt;""),1)</f>
        <v>1</v>
      </c>
      <c r="M246" s="16" cm="1">
        <f t="array" aca="1" ref="M24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CONTRATUAL]]="",$BB246&gt;$AZ$1),2,
AND(Tabela1[[#This Row],[STATUS PROCESSO MOBILIZAÇÃO]]="Em andamento",Tabela1[[#This Row],[DATA FIM - ALTER. CONTRATUAL]]="",$BB246&lt;=$AZ$1),3,
AND(Tabela1[[#This Row],[STATUS PROCESSO MOBILIZAÇÃO]]="Em andamento",Tabela1[[#This Row],[DATA FIM - ALTER. CONTRATUAL]]&lt;&gt;""),1)</f>
        <v>1</v>
      </c>
      <c r="N246" s="16" cm="1">
        <f t="array" aca="1" ref="N24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DOSSIÊ]]="",$BE246&gt;$BC$1),2,
AND(Tabela1[[#This Row],[STATUS PROCESSO MOBILIZAÇÃO]]="Em andamento",Tabela1[[#This Row],[DATA REAL - DOSSIÊ]]="",$BE246&lt;=$BC$1),3,
AND(Tabela1[[#This Row],[STATUS PROCESSO MOBILIZAÇÃO]]="Em andamento",Tabela1[[#This Row],[DATA REAL - DOSSIÊ]]&lt;&gt;""),1)</f>
        <v>1</v>
      </c>
      <c r="O246" s="16" cm="1">
        <f t="array" aca="1" ref="O24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POSTAGEM]]="",$BH246&gt;$BF$1),2,
AND(Tabela1[[#This Row],[STATUS PROCESSO MOBILIZAÇÃO]]="Em andamento",Tabela1[[#This Row],[DATA REAL - POSTAGEM]]="",$BH246&lt;=$BF$1),3,
AND(Tabela1[[#This Row],[STATUS PROCESSO MOBILIZAÇÃO]]="Em andamento",Tabela1[[#This Row],[DATA REAL - POSTAGEM]]&lt;&gt;""),1)</f>
        <v>1</v>
      </c>
      <c r="P246" s="16" cm="1">
        <f t="array" aca="1" ref="P24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FINAL]]="",$BK246&gt;$BI$1),2,
AND(Tabela1[[#This Row],[STATUS PROCESSO MOBILIZAÇÃO]]="Em andamento",Tabela1[[#This Row],[DATA REAL - APROV FINAL]]="",$BK246&lt;=$BI$1),3,
AND(Tabela1[[#This Row],[STATUS PROCESSO MOBILIZAÇÃO]]="Em andamento",Tabela1[[#This Row],[DATA REAL - APROV FINAL]]&lt;&gt;""),1)</f>
        <v>1</v>
      </c>
      <c r="Q246" s="16" cm="1">
        <f t="array" aca="1" ref="Q24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CRACHÁ]]="",$BN246&gt;$BL$1),2,
AND(Tabela1[[#This Row],[STATUS PROCESSO MOBILIZAÇÃO]]="Em andamento",Tabela1[[#This Row],[DATA REAL - CRACHÁ]]="",$BN246&lt;=$BL$1),3,
AND(Tabela1[[#This Row],[STATUS PROCESSO MOBILIZAÇÃO]]="Em andamento",Tabela1[[#This Row],[DATA REAL - CRACHÁ]]&lt;&gt;""),1)</f>
        <v>1</v>
      </c>
      <c r="R246" s="21">
        <f>IF(Tabela1[[#This Row],[DATA REAL - FORMS]]&lt;&gt;"",Tabela1[[#This Row],[DATA REAL - FORMS]]+30,Tabela1[[#This Row],[DATA PREV - FORMS]]+35)</f>
        <v>46214</v>
      </c>
      <c r="S24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46185</v>
      </c>
      <c r="T24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24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20</v>
      </c>
      <c r="V246" s="49">
        <f>MAX(Tabela1[[#This Row],[DATA REAL - POSTAGEM]],Tabela1[[#This Row],[DATA REAL - APROV FINAL]],Tabela1[[#This Row],[DATA REAL - CRACHÁ]])-MIN(Tabela1[[#This Row],[DATA REAL - POSTAGEM]],Tabela1[[#This Row],[DATA REAL - APROV FINAL]],Tabela1[[#This Row],[DATA REAL - CRACHÁ]])+1</f>
        <v>4</v>
      </c>
      <c r="W24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46" s="16" t="s">
        <v>110</v>
      </c>
      <c r="Y246" s="16" t="s">
        <v>84</v>
      </c>
      <c r="Z246" s="80" t="str">
        <f>_xlfn.XLOOKUP(Tabela1[[#This Row],[COO PHD]],TabControleEfetivo[NOME],TabControleEfetivo[email (PHD)],"")</f>
        <v>julio.cesar@phdengenharia.eng.br</v>
      </c>
      <c r="AA246" s="96" t="s">
        <v>86</v>
      </c>
      <c r="AB246" s="16" t="s">
        <v>97</v>
      </c>
      <c r="AC246" s="16" t="s">
        <v>649</v>
      </c>
      <c r="AD246" s="16" t="s">
        <v>89</v>
      </c>
      <c r="AE246" s="16" t="s">
        <v>650</v>
      </c>
      <c r="AF246" s="16" t="s">
        <v>651</v>
      </c>
      <c r="AG246" s="16" t="str">
        <f>_xlfn.XLOOKUP(Tabela1[[#This Row],[CÓD. CT]],Controle_Projetos[COD CT],Controle_Projetos[COD PHD],"")</f>
        <v>CIVM-CT01-PLAN</v>
      </c>
      <c r="AH246" s="21">
        <v>46164</v>
      </c>
      <c r="AI246" s="76">
        <v>46164</v>
      </c>
      <c r="AJ246" s="16" cm="1">
        <f t="array" aca="1" ref="AJ24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6" s="21">
        <v>46164</v>
      </c>
      <c r="AL246" s="74">
        <v>46184</v>
      </c>
      <c r="AM246" s="16" cm="1">
        <f t="array" aca="1" ref="AM24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21</v>
      </c>
      <c r="AN246" s="21">
        <f>Tabela1[[#This Row],[DATA PREV - FORMS]]+$AN$1</f>
        <v>46171</v>
      </c>
      <c r="AO246" s="74">
        <v>46164</v>
      </c>
      <c r="AP246" s="16" cm="1">
        <f t="array" aca="1" ref="AP24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6" s="21">
        <f>Tabela1[[#This Row],[DATA PREV - EXAMES]]+$AQ$1</f>
        <v>46173</v>
      </c>
      <c r="AR246" s="74">
        <v>46182</v>
      </c>
      <c r="AS246" s="16" cm="1">
        <f t="array" aca="1" ref="AS24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10</v>
      </c>
      <c r="AT246" s="21">
        <f>Tabela1[[#This Row],[DATA PREV - FORMS]]+$AT$1</f>
        <v>46165</v>
      </c>
      <c r="AU246" s="74">
        <v>46164</v>
      </c>
      <c r="AV246" s="16" cm="1">
        <f t="array" aca="1" ref="AV24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46" s="21">
        <f>Tabela1[[#This Row],[DATA PREV - TREINAMENTOS]]+$AW$1</f>
        <v>46172</v>
      </c>
      <c r="AX246" s="74">
        <v>46171</v>
      </c>
      <c r="AY246" s="16" cm="1">
        <f t="array" aca="1" ref="AY24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46" s="24">
        <v>46164</v>
      </c>
      <c r="BA246" s="74">
        <v>46164</v>
      </c>
      <c r="BB246" s="16" cm="1">
        <f t="array" aca="1" ref="BB24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6" s="21">
        <f>Tabela1[[#This Row],[DATA PREV - CONCL. TREIN.]]+$BC$1</f>
        <v>46174</v>
      </c>
      <c r="BD246" s="74">
        <v>46182</v>
      </c>
      <c r="BE246" s="16" cm="1">
        <f t="array" aca="1" ref="BE24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46" s="21">
        <f>Tabela1[[#This Row],[DATA PREV - DOSSIÊ]]+$BF$1</f>
        <v>46177</v>
      </c>
      <c r="BG246" s="74">
        <v>46182</v>
      </c>
      <c r="BH246" s="16" cm="1">
        <f t="array" aca="1" ref="BH24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46" s="21">
        <f>Tabela1[[#This Row],[DATA PREV - POSTAGEM]]+$BI$1</f>
        <v>46183</v>
      </c>
      <c r="BJ246" s="74">
        <v>46185</v>
      </c>
      <c r="BK246" s="16" cm="1">
        <f t="array" aca="1" ref="BK24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46" s="21">
        <f>Tabela1[[#This Row],[DATA PREV - APROV FINAL]]+$BL$1</f>
        <v>46184</v>
      </c>
      <c r="BM246" s="74">
        <v>46185</v>
      </c>
      <c r="BN246" s="16" cm="1">
        <f t="array" aca="1" ref="BN24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46" s="81" t="s">
        <v>730</v>
      </c>
    </row>
    <row r="247" spans="2:67" ht="18" hidden="1" customHeight="1" x14ac:dyDescent="0.35">
      <c r="B247" s="14" t="s">
        <v>79</v>
      </c>
      <c r="C247" s="16" t="s">
        <v>136</v>
      </c>
      <c r="D247" s="16" t="s">
        <v>81</v>
      </c>
      <c r="E247" s="16"/>
      <c r="F247" s="16" t="s">
        <v>731</v>
      </c>
      <c r="G247" s="16" cm="1">
        <f t="array" ref="G247">_xlfn.IFS(Tabela1[[#This Row],[STATUS PROCESSO MOBILIZAÇÃO]]="Finalizado",1,Tabela1[[#This Row],[STATUS PROCESSO MOBILIZAÇÃO]]="Cancelado",2,Tabela1[[#This Row],[STATUS PROCESSO MOBILIZAÇÃO]]="Em andamento",3)</f>
        <v>1</v>
      </c>
      <c r="H247" s="16" cm="1">
        <f t="array" aca="1" ref="H24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FORMS]]="",$AM247&gt;$AK$1),2,
AND(Tabela1[[#This Row],[STATUS PROCESSO MOBILIZAÇÃO]]="Em andamento",Tabela1[[#This Row],[DATA REAL - FORMS]]="",$AM247&lt;=$AK$1),3,
AND(Tabela1[[#This Row],[STATUS PROCESSO MOBILIZAÇÃO]]="Em andamento",Tabela1[[#This Row],[DATA REAL - FORMS]]&lt;&gt;""),1)</f>
        <v>0</v>
      </c>
      <c r="I247" s="16" cm="1">
        <f t="array" aca="1" ref="I24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EXAMES]]="",$AP247&gt;$AN$1),2,
AND(Tabela1[[#This Row],[STATUS PROCESSO MOBILIZAÇÃO]]="Em andamento",Tabela1[[#This Row],[DATA REAL - EXAMES]]="",$AP247&lt;=$AN$1),3,
AND(Tabela1[[#This Row],[STATUS PROCESSO MOBILIZAÇÃO]]="Em andamento",Tabela1[[#This Row],[DATA REAL - EXAMES]]&lt;&gt;""),1)</f>
        <v>1</v>
      </c>
      <c r="J247" s="16" cm="1">
        <f t="array" aca="1" ref="J24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ASO]]="",$AS247&gt;$AQ$1),2,
AND(Tabela1[[#This Row],[STATUS PROCESSO MOBILIZAÇÃO]]="Em andamento",Tabela1[[#This Row],[DATA REAL - ASO]]="",$AS247&lt;=$AQ$1),3,
AND(Tabela1[[#This Row],[STATUS PROCESSO MOBILIZAÇÃO]]="Em andamento",Tabela1[[#This Row],[DATA REAL - ASO]]&lt;&gt;""),1)</f>
        <v>1</v>
      </c>
      <c r="K247" s="16" cm="1">
        <f t="array" aca="1" ref="K24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TREINAMENTOS]]="",$AV247&gt;$AT$1),2,
AND(Tabela1[[#This Row],[STATUS PROCESSO MOBILIZAÇÃO]]="Em andamento",Tabela1[[#This Row],[DATA REAL - TREINAMENTOS]]="",$AV247&lt;=$AT$1),3,
AND(Tabela1[[#This Row],[STATUS PROCESSO MOBILIZAÇÃO]]="Em andamento",Tabela1[[#This Row],[DATA REAL - TREINAMENTOS]]&lt;&gt;""),1)</f>
        <v>1</v>
      </c>
      <c r="L247" s="16" cm="1">
        <f t="array" aca="1" ref="L24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TREIN.]]="",$AY247&gt;$AW$1),2,
AND(Tabela1[[#This Row],[STATUS PROCESSO MOBILIZAÇÃO]]="Em andamento",Tabela1[[#This Row],[DATA REAL - CONCL. TREIN.]]="",$AY247&lt;=$AW$1),3,
AND(Tabela1[[#This Row],[STATUS PROCESSO MOBILIZAÇÃO]]="Em andamento",Tabela1[[#This Row],[DATA REAL - CONCL. TREIN.]]&lt;&gt;""),1)</f>
        <v>1</v>
      </c>
      <c r="M247" s="16" cm="1">
        <f t="array" aca="1" ref="M24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CONTRATUAL]]="",$BB247&gt;$AZ$1),2,
AND(Tabela1[[#This Row],[STATUS PROCESSO MOBILIZAÇÃO]]="Em andamento",Tabela1[[#This Row],[DATA FIM - ALTER. CONTRATUAL]]="",$BB247&lt;=$AZ$1),3,
AND(Tabela1[[#This Row],[STATUS PROCESSO MOBILIZAÇÃO]]="Em andamento",Tabela1[[#This Row],[DATA FIM - ALTER. CONTRATUAL]]&lt;&gt;""),1)</f>
        <v>1</v>
      </c>
      <c r="N247" s="16" cm="1">
        <f t="array" aca="1" ref="N24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DOSSIÊ]]="",$BE247&gt;$BC$1),2,
AND(Tabela1[[#This Row],[STATUS PROCESSO MOBILIZAÇÃO]]="Em andamento",Tabela1[[#This Row],[DATA REAL - DOSSIÊ]]="",$BE247&lt;=$BC$1),3,
AND(Tabela1[[#This Row],[STATUS PROCESSO MOBILIZAÇÃO]]="Em andamento",Tabela1[[#This Row],[DATA REAL - DOSSIÊ]]&lt;&gt;""),1)</f>
        <v>1</v>
      </c>
      <c r="O247" s="16" cm="1">
        <f t="array" aca="1" ref="O24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POSTAGEM]]="",$BH247&gt;$BF$1),2,
AND(Tabela1[[#This Row],[STATUS PROCESSO MOBILIZAÇÃO]]="Em andamento",Tabela1[[#This Row],[DATA REAL - POSTAGEM]]="",$BH247&lt;=$BF$1),3,
AND(Tabela1[[#This Row],[STATUS PROCESSO MOBILIZAÇÃO]]="Em andamento",Tabela1[[#This Row],[DATA REAL - POSTAGEM]]&lt;&gt;""),1)</f>
        <v>1</v>
      </c>
      <c r="P247" s="16" cm="1">
        <f t="array" aca="1" ref="P24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FINAL]]="",$BK247&gt;$BI$1),2,
AND(Tabela1[[#This Row],[STATUS PROCESSO MOBILIZAÇÃO]]="Em andamento",Tabela1[[#This Row],[DATA REAL - APROV FINAL]]="",$BK247&lt;=$BI$1),3,
AND(Tabela1[[#This Row],[STATUS PROCESSO MOBILIZAÇÃO]]="Em andamento",Tabela1[[#This Row],[DATA REAL - APROV FINAL]]&lt;&gt;""),1)</f>
        <v>1</v>
      </c>
      <c r="Q247" s="16" cm="1">
        <f t="array" aca="1" ref="Q24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CRACHÁ]]="",$BN247&gt;$BL$1),2,
AND(Tabela1[[#This Row],[STATUS PROCESSO MOBILIZAÇÃO]]="Em andamento",Tabela1[[#This Row],[DATA REAL - CRACHÁ]]="",$BN247&lt;=$BL$1),3,
AND(Tabela1[[#This Row],[STATUS PROCESSO MOBILIZAÇÃO]]="Em andamento",Tabela1[[#This Row],[DATA REAL - CRACHÁ]]&lt;&gt;""),1)</f>
        <v>1</v>
      </c>
      <c r="R247" s="21">
        <f>IF(Tabela1[[#This Row],[DATA REAL - FORMS]]&lt;&gt;"",Tabela1[[#This Row],[DATA REAL - FORMS]]+30,Tabela1[[#This Row],[DATA PREV - FORMS]]+35)</f>
        <v>46209</v>
      </c>
      <c r="S24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46216</v>
      </c>
      <c r="T24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42</v>
      </c>
      <c r="U24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24</v>
      </c>
      <c r="V247" s="49">
        <f>MAX(Tabela1[[#This Row],[DATA REAL - POSTAGEM]],Tabela1[[#This Row],[DATA REAL - APROV FINAL]],Tabela1[[#This Row],[DATA REAL - CRACHÁ]])-MIN(Tabela1[[#This Row],[DATA REAL - POSTAGEM]],Tabela1[[#This Row],[DATA REAL - APROV FINAL]],Tabela1[[#This Row],[DATA REAL - CRACHÁ]])+1</f>
        <v>19</v>
      </c>
      <c r="W24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100</v>
      </c>
      <c r="X247" s="16"/>
      <c r="Y247" s="16" t="s">
        <v>84</v>
      </c>
      <c r="Z247" s="80" t="str">
        <f>_xlfn.XLOOKUP(Tabela1[[#This Row],[COO PHD]],TabControleEfetivo[NOME],TabControleEfetivo[email (PHD)],"")</f>
        <v/>
      </c>
      <c r="AA247" s="96" t="s">
        <v>86</v>
      </c>
      <c r="AB247" s="16" t="s">
        <v>632</v>
      </c>
      <c r="AC247" s="16" t="s">
        <v>235</v>
      </c>
      <c r="AD247" s="16" t="s">
        <v>732</v>
      </c>
      <c r="AE247" s="16" t="s">
        <v>733</v>
      </c>
      <c r="AF247" s="16" t="s">
        <v>734</v>
      </c>
      <c r="AG247" s="16" t="str">
        <f>_xlfn.XLOOKUP(Tabela1[[#This Row],[CÓD. CT]],Controle_Projetos[COD CT],Controle_Projetos[COD PHD],"")</f>
        <v>CCAP-CT19-ACEL</v>
      </c>
      <c r="AH247" s="21">
        <v>46174</v>
      </c>
      <c r="AI247" s="76"/>
      <c r="AJ247" s="16" cm="1">
        <f t="array" aca="1" ref="AJ24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7" s="21">
        <v>46174</v>
      </c>
      <c r="AL247" s="74"/>
      <c r="AM247" s="16" cm="1">
        <f t="array" aca="1" ref="AM24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47" s="21">
        <f>Tabela1[[#This Row],[DATA PREV - FORMS]]+$AN$1</f>
        <v>46181</v>
      </c>
      <c r="AO247" s="74">
        <v>46174</v>
      </c>
      <c r="AP247" s="16" cm="1">
        <f t="array" aca="1" ref="AP24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7" s="21">
        <f>Tabela1[[#This Row],[DATA PREV - EXAMES]]+$AQ$1</f>
        <v>46183</v>
      </c>
      <c r="AR247" s="74">
        <v>46181</v>
      </c>
      <c r="AS247" s="16" cm="1">
        <f t="array" aca="1" ref="AS24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47" s="21">
        <f>Tabela1[[#This Row],[DATA PREV - FORMS]]+$AT$1</f>
        <v>46175</v>
      </c>
      <c r="AU247" s="74">
        <v>46176</v>
      </c>
      <c r="AV247" s="16" cm="1">
        <f t="array" aca="1" ref="AV24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47" s="21">
        <f>Tabela1[[#This Row],[DATA PREV - TREINAMENTOS]]+$AW$1</f>
        <v>46182</v>
      </c>
      <c r="AX247" s="74">
        <v>46192</v>
      </c>
      <c r="AY247" s="16" cm="1">
        <f t="array" aca="1" ref="AY24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11</v>
      </c>
      <c r="AZ247" s="24">
        <v>46174</v>
      </c>
      <c r="BA247" s="74">
        <v>46174</v>
      </c>
      <c r="BB247" s="16" cm="1">
        <f t="array" aca="1" ref="BB24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7" s="21">
        <f>Tabela1[[#This Row],[DATA PREV - CONCL. TREIN.]]+$BC$1</f>
        <v>46184</v>
      </c>
      <c r="BD247" s="74">
        <v>46198</v>
      </c>
      <c r="BE247" s="16" cm="1">
        <f t="array" aca="1" ref="BE24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15</v>
      </c>
      <c r="BF247" s="21">
        <f>Tabela1[[#This Row],[DATA PREV - DOSSIÊ]]+$BF$1</f>
        <v>46187</v>
      </c>
      <c r="BG247" s="74">
        <v>46198</v>
      </c>
      <c r="BH247" s="16" cm="1">
        <f t="array" aca="1" ref="BH24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47" s="21">
        <f>Tabela1[[#This Row],[DATA PREV - POSTAGEM]]+$BI$1</f>
        <v>46193</v>
      </c>
      <c r="BJ247" s="74">
        <v>46216</v>
      </c>
      <c r="BK247" s="16" cm="1">
        <f t="array" aca="1" ref="BK24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24</v>
      </c>
      <c r="BL247" s="21">
        <f>Tabela1[[#This Row],[DATA PREV - APROV FINAL]]+$BL$1</f>
        <v>46194</v>
      </c>
      <c r="BM247" s="74">
        <v>46216</v>
      </c>
      <c r="BN247" s="16" cm="1">
        <f t="array" aca="1" ref="BN24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23</v>
      </c>
      <c r="BO247" s="81" t="s">
        <v>735</v>
      </c>
    </row>
    <row r="248" spans="2:67" ht="18" hidden="1" customHeight="1" x14ac:dyDescent="0.35">
      <c r="B248" s="14" t="s">
        <v>79</v>
      </c>
      <c r="C248" s="16" t="s">
        <v>136</v>
      </c>
      <c r="D248" s="16" t="s">
        <v>108</v>
      </c>
      <c r="E248" s="16">
        <v>1090</v>
      </c>
      <c r="F248" s="16" t="s">
        <v>736</v>
      </c>
      <c r="G248" s="16" cm="1">
        <f t="array" ref="G248">_xlfn.IFS(Tabela1[[#This Row],[STATUS PROCESSO MOBILIZAÇÃO]]="Finalizado",1,Tabela1[[#This Row],[STATUS PROCESSO MOBILIZAÇÃO]]="Cancelado",2,Tabela1[[#This Row],[STATUS PROCESSO MOBILIZAÇÃO]]="Em andamento",3)</f>
        <v>1</v>
      </c>
      <c r="H248" s="16" cm="1">
        <f t="array" aca="1" ref="H24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FORMS]]="",$AM248&gt;$AK$1),2,
AND(Tabela1[[#This Row],[STATUS PROCESSO MOBILIZAÇÃO]]="Em andamento",Tabela1[[#This Row],[DATA REAL - FORMS]]="",$AM248&lt;=$AK$1),3,
AND(Tabela1[[#This Row],[STATUS PROCESSO MOBILIZAÇÃO]]="Em andamento",Tabela1[[#This Row],[DATA REAL - FORMS]]&lt;&gt;""),1)</f>
        <v>1</v>
      </c>
      <c r="I248" s="16" cm="1">
        <f t="array" aca="1" ref="I24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EXAMES]]="",$AP248&gt;$AN$1),2,
AND(Tabela1[[#This Row],[STATUS PROCESSO MOBILIZAÇÃO]]="Em andamento",Tabela1[[#This Row],[DATA REAL - EXAMES]]="",$AP248&lt;=$AN$1),3,
AND(Tabela1[[#This Row],[STATUS PROCESSO MOBILIZAÇÃO]]="Em andamento",Tabela1[[#This Row],[DATA REAL - EXAMES]]&lt;&gt;""),1)</f>
        <v>1</v>
      </c>
      <c r="J248" s="16" cm="1">
        <f t="array" aca="1" ref="J24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ASO]]="",$AS248&gt;$AQ$1),2,
AND(Tabela1[[#This Row],[STATUS PROCESSO MOBILIZAÇÃO]]="Em andamento",Tabela1[[#This Row],[DATA REAL - ASO]]="",$AS248&lt;=$AQ$1),3,
AND(Tabela1[[#This Row],[STATUS PROCESSO MOBILIZAÇÃO]]="Em andamento",Tabela1[[#This Row],[DATA REAL - ASO]]&lt;&gt;""),1)</f>
        <v>1</v>
      </c>
      <c r="K248" s="16" cm="1">
        <f t="array" aca="1" ref="K24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TREINAMENTOS]]="",$AV248&gt;$AT$1),2,
AND(Tabela1[[#This Row],[STATUS PROCESSO MOBILIZAÇÃO]]="Em andamento",Tabela1[[#This Row],[DATA REAL - TREINAMENTOS]]="",$AV248&lt;=$AT$1),3,
AND(Tabela1[[#This Row],[STATUS PROCESSO MOBILIZAÇÃO]]="Em andamento",Tabela1[[#This Row],[DATA REAL - TREINAMENTOS]]&lt;&gt;""),1)</f>
        <v>1</v>
      </c>
      <c r="L248" s="16" cm="1">
        <f t="array" aca="1" ref="L24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TREIN.]]="",$AY248&gt;$AW$1),2,
AND(Tabela1[[#This Row],[STATUS PROCESSO MOBILIZAÇÃO]]="Em andamento",Tabela1[[#This Row],[DATA REAL - CONCL. TREIN.]]="",$AY248&lt;=$AW$1),3,
AND(Tabela1[[#This Row],[STATUS PROCESSO MOBILIZAÇÃO]]="Em andamento",Tabela1[[#This Row],[DATA REAL - CONCL. TREIN.]]&lt;&gt;""),1)</f>
        <v>1</v>
      </c>
      <c r="M248" s="16" cm="1">
        <f t="array" aca="1" ref="M24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CONTRATUAL]]="",$BB248&gt;$AZ$1),2,
AND(Tabela1[[#This Row],[STATUS PROCESSO MOBILIZAÇÃO]]="Em andamento",Tabela1[[#This Row],[DATA FIM - ALTER. CONTRATUAL]]="",$BB248&lt;=$AZ$1),3,
AND(Tabela1[[#This Row],[STATUS PROCESSO MOBILIZAÇÃO]]="Em andamento",Tabela1[[#This Row],[DATA FIM - ALTER. CONTRATUAL]]&lt;&gt;""),1)</f>
        <v>1</v>
      </c>
      <c r="N248" s="16" cm="1">
        <f t="array" aca="1" ref="N24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DOSSIÊ]]="",$BE248&gt;$BC$1),2,
AND(Tabela1[[#This Row],[STATUS PROCESSO MOBILIZAÇÃO]]="Em andamento",Tabela1[[#This Row],[DATA REAL - DOSSIÊ]]="",$BE248&lt;=$BC$1),3,
AND(Tabela1[[#This Row],[STATUS PROCESSO MOBILIZAÇÃO]]="Em andamento",Tabela1[[#This Row],[DATA REAL - DOSSIÊ]]&lt;&gt;""),1)</f>
        <v>1</v>
      </c>
      <c r="O248" s="16" cm="1">
        <f t="array" aca="1" ref="O24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POSTAGEM]]="",$BH248&gt;$BF$1),2,
AND(Tabela1[[#This Row],[STATUS PROCESSO MOBILIZAÇÃO]]="Em andamento",Tabela1[[#This Row],[DATA REAL - POSTAGEM]]="",$BH248&lt;=$BF$1),3,
AND(Tabela1[[#This Row],[STATUS PROCESSO MOBILIZAÇÃO]]="Em andamento",Tabela1[[#This Row],[DATA REAL - POSTAGEM]]&lt;&gt;""),1)</f>
        <v>1</v>
      </c>
      <c r="P248" s="16" cm="1">
        <f t="array" aca="1" ref="P24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FINAL]]="",$BK248&gt;$BI$1),2,
AND(Tabela1[[#This Row],[STATUS PROCESSO MOBILIZAÇÃO]]="Em andamento",Tabela1[[#This Row],[DATA REAL - APROV FINAL]]="",$BK248&lt;=$BI$1),3,
AND(Tabela1[[#This Row],[STATUS PROCESSO MOBILIZAÇÃO]]="Em andamento",Tabela1[[#This Row],[DATA REAL - APROV FINAL]]&lt;&gt;""),1)</f>
        <v>1</v>
      </c>
      <c r="Q248" s="16" cm="1">
        <f t="array" aca="1" ref="Q24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CRACHÁ]]="",$BN248&gt;$BL$1),2,
AND(Tabela1[[#This Row],[STATUS PROCESSO MOBILIZAÇÃO]]="Em andamento",Tabela1[[#This Row],[DATA REAL - CRACHÁ]]="",$BN248&lt;=$BL$1),3,
AND(Tabela1[[#This Row],[STATUS PROCESSO MOBILIZAÇÃO]]="Em andamento",Tabela1[[#This Row],[DATA REAL - CRACHÁ]]&lt;&gt;""),1)</f>
        <v>1</v>
      </c>
      <c r="R248" s="21">
        <f>IF(Tabela1[[#This Row],[DATA REAL - FORMS]]&lt;&gt;"",Tabela1[[#This Row],[DATA REAL - FORMS]]+30,Tabela1[[#This Row],[DATA PREV - FORMS]]+35)</f>
        <v>46212</v>
      </c>
      <c r="S24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46206</v>
      </c>
      <c r="T24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32</v>
      </c>
      <c r="U24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18</v>
      </c>
      <c r="V248" s="49">
        <f>MAX(Tabela1[[#This Row],[DATA REAL - POSTAGEM]],Tabela1[[#This Row],[DATA REAL - APROV FINAL]],Tabela1[[#This Row],[DATA REAL - CRACHÁ]])-MIN(Tabela1[[#This Row],[DATA REAL - POSTAGEM]],Tabela1[[#This Row],[DATA REAL - APROV FINAL]],Tabela1[[#This Row],[DATA REAL - CRACHÁ]])+1</f>
        <v>31</v>
      </c>
      <c r="W24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100</v>
      </c>
      <c r="X248" s="16" t="s">
        <v>737</v>
      </c>
      <c r="Y248" s="16"/>
      <c r="Z248" s="80" t="str">
        <f>_xlfn.XLOOKUP(Tabela1[[#This Row],[COO PHD]],TabControleEfetivo[NOME],TabControleEfetivo[email (PHD)],"")</f>
        <v>ivano.cruz@phdengenharia.eng.br</v>
      </c>
      <c r="AA248" s="16"/>
      <c r="AB248" s="16" t="s">
        <v>632</v>
      </c>
      <c r="AC248" s="16" t="s">
        <v>235</v>
      </c>
      <c r="AD248" s="16" t="s">
        <v>732</v>
      </c>
      <c r="AE248" s="16" t="s">
        <v>733</v>
      </c>
      <c r="AF248" s="16" t="s">
        <v>738</v>
      </c>
      <c r="AG248" s="16" t="str">
        <f>_xlfn.XLOOKUP(Tabela1[[#This Row],[CÓD. CT]],Controle_Projetos[COD CT],Controle_Projetos[COD PHD],"")</f>
        <v>CCAP-CT20-SUPR</v>
      </c>
      <c r="AH248" s="21">
        <v>46174</v>
      </c>
      <c r="AI248" s="76"/>
      <c r="AJ248" s="16" cm="1">
        <f t="array" aca="1" ref="AJ24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8" s="21">
        <v>46174</v>
      </c>
      <c r="AL248" s="74">
        <v>46182</v>
      </c>
      <c r="AM248" s="16" cm="1">
        <f t="array" aca="1" ref="AM24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248" s="21">
        <f>Tabela1[[#This Row],[DATA PREV - FORMS]]+$AN$1</f>
        <v>46181</v>
      </c>
      <c r="AO248" s="74">
        <v>46174</v>
      </c>
      <c r="AP248" s="16" cm="1">
        <f t="array" aca="1" ref="AP24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8" s="21">
        <f>Tabela1[[#This Row],[DATA PREV - EXAMES]]+$AQ$1</f>
        <v>46183</v>
      </c>
      <c r="AR248" s="74">
        <v>46181</v>
      </c>
      <c r="AS248" s="16" cm="1">
        <f t="array" aca="1" ref="AS24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48" s="21">
        <f>Tabela1[[#This Row],[DATA PREV - FORMS]]+$AT$1</f>
        <v>46175</v>
      </c>
      <c r="AU248" s="74">
        <v>46176</v>
      </c>
      <c r="AV248" s="16" cm="1">
        <f t="array" aca="1" ref="AV24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48" s="21">
        <f>Tabela1[[#This Row],[DATA PREV - TREINAMENTOS]]+$AW$1</f>
        <v>46182</v>
      </c>
      <c r="AX248" s="74">
        <v>46181</v>
      </c>
      <c r="AY248" s="16" cm="1">
        <f t="array" aca="1" ref="AY24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48" s="24">
        <v>46174</v>
      </c>
      <c r="BA248" s="74">
        <v>46174</v>
      </c>
      <c r="BB248" s="16" cm="1">
        <f t="array" aca="1" ref="BB24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8" s="21">
        <f>Tabela1[[#This Row],[DATA PREV - CONCL. TREIN.]]+$BC$1</f>
        <v>46184</v>
      </c>
      <c r="BD248" s="74">
        <v>46192</v>
      </c>
      <c r="BE248" s="16" cm="1">
        <f t="array" aca="1" ref="BE24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48" s="21">
        <f>Tabela1[[#This Row],[DATA PREV - DOSSIÊ]]+$BF$1</f>
        <v>46187</v>
      </c>
      <c r="BG248" s="74">
        <v>46192</v>
      </c>
      <c r="BH248" s="16" cm="1">
        <f t="array" aca="1" ref="BH24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48" s="21">
        <f>Tabela1[[#This Row],[DATA PREV - POSTAGEM]]+$BI$1</f>
        <v>46193</v>
      </c>
      <c r="BJ248" s="74">
        <v>46176</v>
      </c>
      <c r="BK248" s="16" cm="1">
        <f t="array" aca="1" ref="BK24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-16</v>
      </c>
      <c r="BL248" s="21">
        <f>Tabela1[[#This Row],[DATA PREV - APROV FINAL]]+$BL$1</f>
        <v>46194</v>
      </c>
      <c r="BM248" s="74">
        <v>46206</v>
      </c>
      <c r="BN248" s="16" cm="1">
        <f t="array" aca="1" ref="BN24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248" s="81" t="s">
        <v>739</v>
      </c>
    </row>
    <row r="249" spans="2:67" ht="18" hidden="1" customHeight="1" x14ac:dyDescent="0.35">
      <c r="B249" s="14" t="s">
        <v>79</v>
      </c>
      <c r="C249" s="16" t="s">
        <v>136</v>
      </c>
      <c r="D249" s="16" t="s">
        <v>108</v>
      </c>
      <c r="E249" s="16">
        <v>1089</v>
      </c>
      <c r="F249" s="16" t="s">
        <v>740</v>
      </c>
      <c r="G249" s="16" cm="1">
        <f t="array" ref="G249">_xlfn.IFS(Tabela1[[#This Row],[STATUS PROCESSO MOBILIZAÇÃO]]="Finalizado",1,Tabela1[[#This Row],[STATUS PROCESSO MOBILIZAÇÃO]]="Cancelado",2,Tabela1[[#This Row],[STATUS PROCESSO MOBILIZAÇÃO]]="Em andamento",3)</f>
        <v>1</v>
      </c>
      <c r="H249" s="16" cm="1">
        <f t="array" aca="1" ref="H24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FORMS]]="",$AM249&gt;$AK$1),2,
AND(Tabela1[[#This Row],[STATUS PROCESSO MOBILIZAÇÃO]]="Em andamento",Tabela1[[#This Row],[DATA REAL - FORMS]]="",$AM249&lt;=$AK$1),3,
AND(Tabela1[[#This Row],[STATUS PROCESSO MOBILIZAÇÃO]]="Em andamento",Tabela1[[#This Row],[DATA REAL - FORMS]]&lt;&gt;""),1)</f>
        <v>1</v>
      </c>
      <c r="I249" s="16" cm="1">
        <f t="array" aca="1" ref="I24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EXAMES]]="",$AP249&gt;$AN$1),2,
AND(Tabela1[[#This Row],[STATUS PROCESSO MOBILIZAÇÃO]]="Em andamento",Tabela1[[#This Row],[DATA REAL - EXAMES]]="",$AP249&lt;=$AN$1),3,
AND(Tabela1[[#This Row],[STATUS PROCESSO MOBILIZAÇÃO]]="Em andamento",Tabela1[[#This Row],[DATA REAL - EXAMES]]&lt;&gt;""),1)</f>
        <v>1</v>
      </c>
      <c r="J249" s="16" cm="1">
        <f t="array" aca="1" ref="J24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ASO]]="",$AS249&gt;$AQ$1),2,
AND(Tabela1[[#This Row],[STATUS PROCESSO MOBILIZAÇÃO]]="Em andamento",Tabela1[[#This Row],[DATA REAL - ASO]]="",$AS249&lt;=$AQ$1),3,
AND(Tabela1[[#This Row],[STATUS PROCESSO MOBILIZAÇÃO]]="Em andamento",Tabela1[[#This Row],[DATA REAL - ASO]]&lt;&gt;""),1)</f>
        <v>1</v>
      </c>
      <c r="K249" s="16" cm="1">
        <f t="array" aca="1" ref="K24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TREINAMENTOS]]="",$AV249&gt;$AT$1),2,
AND(Tabela1[[#This Row],[STATUS PROCESSO MOBILIZAÇÃO]]="Em andamento",Tabela1[[#This Row],[DATA REAL - TREINAMENTOS]]="",$AV249&lt;=$AT$1),3,
AND(Tabela1[[#This Row],[STATUS PROCESSO MOBILIZAÇÃO]]="Em andamento",Tabela1[[#This Row],[DATA REAL - TREINAMENTOS]]&lt;&gt;""),1)</f>
        <v>1</v>
      </c>
      <c r="L249" s="16" cm="1">
        <f t="array" aca="1" ref="L24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TREIN.]]="",$AY249&gt;$AW$1),2,
AND(Tabela1[[#This Row],[STATUS PROCESSO MOBILIZAÇÃO]]="Em andamento",Tabela1[[#This Row],[DATA REAL - CONCL. TREIN.]]="",$AY249&lt;=$AW$1),3,
AND(Tabela1[[#This Row],[STATUS PROCESSO MOBILIZAÇÃO]]="Em andamento",Tabela1[[#This Row],[DATA REAL - CONCL. TREIN.]]&lt;&gt;""),1)</f>
        <v>0</v>
      </c>
      <c r="M249" s="16" cm="1">
        <f t="array" aca="1" ref="M24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CONTRATUAL]]="",$BB249&gt;$AZ$1),2,
AND(Tabela1[[#This Row],[STATUS PROCESSO MOBILIZAÇÃO]]="Em andamento",Tabela1[[#This Row],[DATA FIM - ALTER. CONTRATUAL]]="",$BB249&lt;=$AZ$1),3,
AND(Tabela1[[#This Row],[STATUS PROCESSO MOBILIZAÇÃO]]="Em andamento",Tabela1[[#This Row],[DATA FIM - ALTER. CONTRATUAL]]&lt;&gt;""),1)</f>
        <v>1</v>
      </c>
      <c r="N249" s="16" cm="1">
        <f t="array" aca="1" ref="N24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DOSSIÊ]]="",$BE249&gt;$BC$1),2,
AND(Tabela1[[#This Row],[STATUS PROCESSO MOBILIZAÇÃO]]="Em andamento",Tabela1[[#This Row],[DATA REAL - DOSSIÊ]]="",$BE249&lt;=$BC$1),3,
AND(Tabela1[[#This Row],[STATUS PROCESSO MOBILIZAÇÃO]]="Em andamento",Tabela1[[#This Row],[DATA REAL - DOSSIÊ]]&lt;&gt;""),1)</f>
        <v>1</v>
      </c>
      <c r="O249" s="16" cm="1">
        <f t="array" aca="1" ref="O24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POSTAGEM]]="",$BH249&gt;$BF$1),2,
AND(Tabela1[[#This Row],[STATUS PROCESSO MOBILIZAÇÃO]]="Em andamento",Tabela1[[#This Row],[DATA REAL - POSTAGEM]]="",$BH249&lt;=$BF$1),3,
AND(Tabela1[[#This Row],[STATUS PROCESSO MOBILIZAÇÃO]]="Em andamento",Tabela1[[#This Row],[DATA REAL - POSTAGEM]]&lt;&gt;""),1)</f>
        <v>1</v>
      </c>
      <c r="P249" s="16" cm="1">
        <f t="array" aca="1" ref="P24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FINAL]]="",$BK249&gt;$BI$1),2,
AND(Tabela1[[#This Row],[STATUS PROCESSO MOBILIZAÇÃO]]="Em andamento",Tabela1[[#This Row],[DATA REAL - APROV FINAL]]="",$BK249&lt;=$BI$1),3,
AND(Tabela1[[#This Row],[STATUS PROCESSO MOBILIZAÇÃO]]="Em andamento",Tabela1[[#This Row],[DATA REAL - APROV FINAL]]&lt;&gt;""),1)</f>
        <v>1</v>
      </c>
      <c r="Q249" s="16" cm="1">
        <f t="array" aca="1" ref="Q24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CRACHÁ]]="",$BN249&gt;$BL$1),2,
AND(Tabela1[[#This Row],[STATUS PROCESSO MOBILIZAÇÃO]]="Em andamento",Tabela1[[#This Row],[DATA REAL - CRACHÁ]]="",$BN249&lt;=$BL$1),3,
AND(Tabela1[[#This Row],[STATUS PROCESSO MOBILIZAÇÃO]]="Em andamento",Tabela1[[#This Row],[DATA REAL - CRACHÁ]]&lt;&gt;""),1)</f>
        <v>1</v>
      </c>
      <c r="R249" s="21">
        <f>IF(Tabela1[[#This Row],[DATA REAL - FORMS]]&lt;&gt;"",Tabela1[[#This Row],[DATA REAL - FORMS]]+30,Tabela1[[#This Row],[DATA PREV - FORMS]]+35)</f>
        <v>46212</v>
      </c>
      <c r="S24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46182</v>
      </c>
      <c r="T24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24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49" s="49">
        <f>MAX(Tabela1[[#This Row],[DATA REAL - POSTAGEM]],Tabela1[[#This Row],[DATA REAL - APROV FINAL]],Tabela1[[#This Row],[DATA REAL - CRACHÁ]])-MIN(Tabela1[[#This Row],[DATA REAL - POSTAGEM]],Tabela1[[#This Row],[DATA REAL - APROV FINAL]],Tabela1[[#This Row],[DATA REAL - CRACHÁ]])+1</f>
        <v>1</v>
      </c>
      <c r="W24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100</v>
      </c>
      <c r="X249" s="16" t="s">
        <v>737</v>
      </c>
      <c r="Y249" s="16"/>
      <c r="Z249" s="80" t="str">
        <f>_xlfn.XLOOKUP(Tabela1[[#This Row],[COO PHD]],TabControleEfetivo[NOME],TabControleEfetivo[email (PHD)],"")</f>
        <v>ivano.cruz@phdengenharia.eng.br</v>
      </c>
      <c r="AA249" s="16"/>
      <c r="AB249" s="16" t="s">
        <v>632</v>
      </c>
      <c r="AC249" s="16" t="s">
        <v>235</v>
      </c>
      <c r="AD249" s="16"/>
      <c r="AE249" s="16" t="s">
        <v>741</v>
      </c>
      <c r="AF249" s="16" t="s">
        <v>738</v>
      </c>
      <c r="AG249" s="16" t="str">
        <f>_xlfn.XLOOKUP(Tabela1[[#This Row],[CÓD. CT]],Controle_Projetos[COD CT],Controle_Projetos[COD PHD],"")</f>
        <v>CCAP-CT20-SUPR</v>
      </c>
      <c r="AH249" s="21">
        <v>46174</v>
      </c>
      <c r="AI249" s="76"/>
      <c r="AJ249" s="16" cm="1">
        <f t="array" aca="1" ref="AJ24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49" s="21">
        <v>46174</v>
      </c>
      <c r="AL249" s="74">
        <v>46182</v>
      </c>
      <c r="AM249" s="16" cm="1">
        <f t="array" aca="1" ref="AM24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249" s="21">
        <f>Tabela1[[#This Row],[DATA PREV - FORMS]]+$AN$1</f>
        <v>46181</v>
      </c>
      <c r="AO249" s="74">
        <v>46174</v>
      </c>
      <c r="AP249" s="16" cm="1">
        <f t="array" aca="1" ref="AP24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49" s="21">
        <f>Tabela1[[#This Row],[DATA PREV - EXAMES]]+$AQ$1</f>
        <v>46183</v>
      </c>
      <c r="AR249" s="74">
        <v>46174</v>
      </c>
      <c r="AS249" s="16" cm="1">
        <f t="array" aca="1" ref="AS24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49" s="21">
        <f>Tabela1[[#This Row],[DATA PREV - FORMS]]+$AT$1</f>
        <v>46175</v>
      </c>
      <c r="AU249" s="74">
        <v>46176</v>
      </c>
      <c r="AV249" s="16" cm="1">
        <f t="array" aca="1" ref="AV24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49" s="21">
        <f>Tabela1[[#This Row],[DATA PREV - TREINAMENTOS]]+$AW$1</f>
        <v>46182</v>
      </c>
      <c r="AX249" s="74"/>
      <c r="AY249" s="16" cm="1">
        <f t="array" aca="1" ref="AY24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49" s="24">
        <v>46174</v>
      </c>
      <c r="BA249" s="74">
        <v>46174</v>
      </c>
      <c r="BB249" s="16" cm="1">
        <f t="array" aca="1" ref="BB24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49" s="21">
        <f>Tabela1[[#This Row],[DATA PREV - CONCL. TREIN.]]+$BC$1</f>
        <v>46184</v>
      </c>
      <c r="BD249" s="74">
        <v>46182</v>
      </c>
      <c r="BE249" s="16" cm="1">
        <f t="array" aca="1" ref="BE24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49" s="21">
        <f>Tabela1[[#This Row],[DATA PREV - DOSSIÊ]]+$BF$1</f>
        <v>46187</v>
      </c>
      <c r="BG249" s="74">
        <v>46182</v>
      </c>
      <c r="BH249" s="16" cm="1">
        <f t="array" aca="1" ref="BH24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49" s="21">
        <f>Tabela1[[#This Row],[DATA PREV - POSTAGEM]]+$BI$1</f>
        <v>46193</v>
      </c>
      <c r="BJ249" s="74">
        <v>46182</v>
      </c>
      <c r="BK249" s="16" cm="1">
        <f t="array" aca="1" ref="BK24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49" s="21">
        <f>Tabela1[[#This Row],[DATA PREV - APROV FINAL]]+$BL$1</f>
        <v>46194</v>
      </c>
      <c r="BM249" s="74">
        <v>46182</v>
      </c>
      <c r="BN249" s="16" cm="1">
        <f t="array" aca="1" ref="BN24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49" s="81" t="s">
        <v>742</v>
      </c>
    </row>
    <row r="250" spans="2:67" ht="18" hidden="1" customHeight="1" x14ac:dyDescent="0.35">
      <c r="B250" s="14" t="s">
        <v>119</v>
      </c>
      <c r="C250" s="16" t="s">
        <v>136</v>
      </c>
      <c r="D250" s="16" t="s">
        <v>119</v>
      </c>
      <c r="E250" s="16">
        <v>1109</v>
      </c>
      <c r="F250" s="16" t="s">
        <v>612</v>
      </c>
      <c r="G250" s="16" cm="1">
        <f t="array" ref="G250">_xlfn.IFS(Tabela1[[#This Row],[STATUS PROCESSO MOBILIZAÇÃO]]="Finalizado",1,Tabela1[[#This Row],[STATUS PROCESSO MOBILIZAÇÃO]]="Cancelado",2,Tabela1[[#This Row],[STATUS PROCESSO MOBILIZAÇÃO]]="Em andamento",3)</f>
        <v>2</v>
      </c>
      <c r="H250" s="16" cm="1">
        <f t="array" aca="1" ref="H25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FORMS]]="",$AM250&gt;$AK$1),2,
AND(Tabela1[[#This Row],[STATUS PROCESSO MOBILIZAÇÃO]]="Em andamento",Tabela1[[#This Row],[DATA REAL - FORMS]]="",$AM250&lt;=$AK$1),3,
AND(Tabela1[[#This Row],[STATUS PROCESSO MOBILIZAÇÃO]]="Em andamento",Tabela1[[#This Row],[DATA REAL - FORMS]]&lt;&gt;""),1)</f>
        <v>1</v>
      </c>
      <c r="I250" s="16" cm="1">
        <f t="array" aca="1" ref="I25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EXAMES]]="",$AP250&gt;$AN$1),2,
AND(Tabela1[[#This Row],[STATUS PROCESSO MOBILIZAÇÃO]]="Em andamento",Tabela1[[#This Row],[DATA REAL - EXAMES]]="",$AP250&lt;=$AN$1),3,
AND(Tabela1[[#This Row],[STATUS PROCESSO MOBILIZAÇÃO]]="Em andamento",Tabela1[[#This Row],[DATA REAL - EXAMES]]&lt;&gt;""),1)</f>
        <v>1</v>
      </c>
      <c r="J250" s="16" cm="1">
        <f t="array" aca="1" ref="J25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ASO]]="",$AS250&gt;$AQ$1),2,
AND(Tabela1[[#This Row],[STATUS PROCESSO MOBILIZAÇÃO]]="Em andamento",Tabela1[[#This Row],[DATA REAL - ASO]]="",$AS250&lt;=$AQ$1),3,
AND(Tabela1[[#This Row],[STATUS PROCESSO MOBILIZAÇÃO]]="Em andamento",Tabela1[[#This Row],[DATA REAL - ASO]]&lt;&gt;""),1)</f>
        <v>1</v>
      </c>
      <c r="K250" s="16" cm="1">
        <f t="array" aca="1" ref="K25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TREINAMENTOS]]="",$AV250&gt;$AT$1),2,
AND(Tabela1[[#This Row],[STATUS PROCESSO MOBILIZAÇÃO]]="Em andamento",Tabela1[[#This Row],[DATA REAL - TREINAMENTOS]]="",$AV250&lt;=$AT$1),3,
AND(Tabela1[[#This Row],[STATUS PROCESSO MOBILIZAÇÃO]]="Em andamento",Tabela1[[#This Row],[DATA REAL - TREINAMENTOS]]&lt;&gt;""),1)</f>
        <v>1</v>
      </c>
      <c r="L250" s="16" cm="1">
        <f t="array" aca="1" ref="L25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TREIN.]]="",$AY250&gt;$AW$1),2,
AND(Tabela1[[#This Row],[STATUS PROCESSO MOBILIZAÇÃO]]="Em andamento",Tabela1[[#This Row],[DATA REAL - CONCL. TREIN.]]="",$AY250&lt;=$AW$1),3,
AND(Tabela1[[#This Row],[STATUS PROCESSO MOBILIZAÇÃO]]="Em andamento",Tabela1[[#This Row],[DATA REAL - CONCL. TREIN.]]&lt;&gt;""),1)</f>
        <v>1</v>
      </c>
      <c r="M250" s="16" cm="1">
        <f t="array" aca="1" ref="M25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CONTRATUAL]]="",$BB250&gt;$AZ$1),2,
AND(Tabela1[[#This Row],[STATUS PROCESSO MOBILIZAÇÃO]]="Em andamento",Tabela1[[#This Row],[DATA FIM - ALTER. CONTRATUAL]]="",$BB250&lt;=$AZ$1),3,
AND(Tabela1[[#This Row],[STATUS PROCESSO MOBILIZAÇÃO]]="Em andamento",Tabela1[[#This Row],[DATA FIM - ALTER. CONTRATUAL]]&lt;&gt;""),1)</f>
        <v>1</v>
      </c>
      <c r="N250" s="16" cm="1">
        <f t="array" aca="1" ref="N25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DOSSIÊ]]="",$BE250&gt;$BC$1),2,
AND(Tabela1[[#This Row],[STATUS PROCESSO MOBILIZAÇÃO]]="Em andamento",Tabela1[[#This Row],[DATA REAL - DOSSIÊ]]="",$BE250&lt;=$BC$1),3,
AND(Tabela1[[#This Row],[STATUS PROCESSO MOBILIZAÇÃO]]="Em andamento",Tabela1[[#This Row],[DATA REAL - DOSSIÊ]]&lt;&gt;""),1)</f>
        <v>1</v>
      </c>
      <c r="O250" s="16" cm="1">
        <f t="array" aca="1" ref="O25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POSTAGEM]]="",$BH250&gt;$BF$1),2,
AND(Tabela1[[#This Row],[STATUS PROCESSO MOBILIZAÇÃO]]="Em andamento",Tabela1[[#This Row],[DATA REAL - POSTAGEM]]="",$BH250&lt;=$BF$1),3,
AND(Tabela1[[#This Row],[STATUS PROCESSO MOBILIZAÇÃO]]="Em andamento",Tabela1[[#This Row],[DATA REAL - POSTAGEM]]&lt;&gt;""),1)</f>
        <v>0</v>
      </c>
      <c r="P250" s="16" cm="1">
        <f t="array" aca="1" ref="P25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FINAL]]="",$BK250&gt;$BI$1),2,
AND(Tabela1[[#This Row],[STATUS PROCESSO MOBILIZAÇÃO]]="Em andamento",Tabela1[[#This Row],[DATA REAL - APROV FINAL]]="",$BK250&lt;=$BI$1),3,
AND(Tabela1[[#This Row],[STATUS PROCESSO MOBILIZAÇÃO]]="Em andamento",Tabela1[[#This Row],[DATA REAL - APROV FINAL]]&lt;&gt;""),1)</f>
        <v>0</v>
      </c>
      <c r="Q250" s="16" cm="1">
        <f t="array" aca="1" ref="Q25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CRACHÁ]]="",$BN250&gt;$BL$1),2,
AND(Tabela1[[#This Row],[STATUS PROCESSO MOBILIZAÇÃO]]="Em andamento",Tabela1[[#This Row],[DATA REAL - CRACHÁ]]="",$BN250&lt;=$BL$1),3,
AND(Tabela1[[#This Row],[STATUS PROCESSO MOBILIZAÇÃO]]="Em andamento",Tabela1[[#This Row],[DATA REAL - CRACHÁ]]&lt;&gt;""),1)</f>
        <v>1</v>
      </c>
      <c r="R250" s="21">
        <f>IF(Tabela1[[#This Row],[DATA REAL - FORMS]]&lt;&gt;"",Tabela1[[#This Row],[DATA REAL - FORMS]]+30,Tabela1[[#This Row],[DATA PREV - FORMS]]+35)</f>
        <v>46214</v>
      </c>
      <c r="S25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46190</v>
      </c>
      <c r="T25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25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50" s="49">
        <f>MAX(Tabela1[[#This Row],[DATA REAL - POSTAGEM]],Tabela1[[#This Row],[DATA REAL - APROV FINAL]],Tabela1[[#This Row],[DATA REAL - CRACHÁ]])-MIN(Tabela1[[#This Row],[DATA REAL - POSTAGEM]],Tabela1[[#This Row],[DATA REAL - APROV FINAL]],Tabela1[[#This Row],[DATA REAL - CRACHÁ]])+1</f>
        <v>1</v>
      </c>
      <c r="W25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0" s="16" t="s">
        <v>110</v>
      </c>
      <c r="Y250" s="16" t="s">
        <v>84</v>
      </c>
      <c r="Z250" s="80" t="str">
        <f>_xlfn.XLOOKUP(Tabela1[[#This Row],[COO PHD]],TabControleEfetivo[NOME],TabControleEfetivo[email (PHD)],"")</f>
        <v>julio.cesar@phdengenharia.eng.br</v>
      </c>
      <c r="AA250" s="96" t="s">
        <v>86</v>
      </c>
      <c r="AB250" s="16" t="s">
        <v>97</v>
      </c>
      <c r="AC250" s="16" t="s">
        <v>286</v>
      </c>
      <c r="AD250" s="16" t="s">
        <v>89</v>
      </c>
      <c r="AE250" s="16" t="s">
        <v>287</v>
      </c>
      <c r="AF250" s="16" t="s">
        <v>288</v>
      </c>
      <c r="AG250" s="16" t="str">
        <f>_xlfn.XLOOKUP(Tabela1[[#This Row],[CÓD. CT]],Controle_Projetos[COD CT],Controle_Projetos[COD PHD],"")</f>
        <v>CGCO-CT01-PLAN</v>
      </c>
      <c r="AH250" s="21">
        <v>46176</v>
      </c>
      <c r="AI250" s="76">
        <v>46176</v>
      </c>
      <c r="AJ250" s="16" cm="1">
        <f t="array" aca="1" ref="AJ25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0" s="21">
        <v>46176</v>
      </c>
      <c r="AL250" s="74">
        <v>46184</v>
      </c>
      <c r="AM250" s="16" cm="1">
        <f t="array" aca="1" ref="AM25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9</v>
      </c>
      <c r="AN250" s="21">
        <f>Tabela1[[#This Row],[DATA PREV - FORMS]]+$AN$1</f>
        <v>46183</v>
      </c>
      <c r="AO250" s="74">
        <v>46176</v>
      </c>
      <c r="AP250" s="16" cm="1">
        <f t="array" aca="1" ref="AP25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0" s="21">
        <f>Tabela1[[#This Row],[DATA PREV - EXAMES]]+$AQ$1</f>
        <v>46185</v>
      </c>
      <c r="AR250" s="74">
        <v>46184</v>
      </c>
      <c r="AS250" s="16" cm="1">
        <f t="array" aca="1" ref="AS25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50" s="21">
        <f>Tabela1[[#This Row],[DATA PREV - FORMS]]+$AT$1</f>
        <v>46177</v>
      </c>
      <c r="AU250" s="74">
        <v>46176</v>
      </c>
      <c r="AV250" s="16" cm="1">
        <f t="array" aca="1" ref="AV25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0" s="21">
        <f>Tabela1[[#This Row],[DATA PREV - TREINAMENTOS]]+$AW$1</f>
        <v>46184</v>
      </c>
      <c r="AX250" s="74">
        <v>46176</v>
      </c>
      <c r="AY250" s="16" cm="1">
        <f t="array" aca="1" ref="AY25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0" s="24">
        <v>46176</v>
      </c>
      <c r="BA250" s="74">
        <v>46176</v>
      </c>
      <c r="BB250" s="16" cm="1">
        <f t="array" aca="1" ref="BB25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0" s="21">
        <f>Tabela1[[#This Row],[DATA PREV - CONCL. TREIN.]]+$BC$1</f>
        <v>46186</v>
      </c>
      <c r="BD250" s="74">
        <v>46184</v>
      </c>
      <c r="BE250" s="16" cm="1">
        <f t="array" aca="1" ref="BE25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50" s="21">
        <f>Tabela1[[#This Row],[DATA PREV - DOSSIÊ]]+$BF$1</f>
        <v>46189</v>
      </c>
      <c r="BG250" s="74"/>
      <c r="BH250" s="16" cm="1">
        <f t="array" aca="1" ref="BH25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50" s="21">
        <f>Tabela1[[#This Row],[DATA PREV - POSTAGEM]]+$BI$1</f>
        <v>46195</v>
      </c>
      <c r="BJ250" s="74"/>
      <c r="BK250" s="16" cm="1">
        <f t="array" aca="1" ref="BK25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50" s="21">
        <f>Tabela1[[#This Row],[DATA PREV - APROV FINAL]]+$BL$1</f>
        <v>46196</v>
      </c>
      <c r="BM250" s="74">
        <v>46190</v>
      </c>
      <c r="BN250" s="16" cm="1">
        <f t="array" aca="1" ref="BN25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50" s="81" t="s">
        <v>743</v>
      </c>
    </row>
    <row r="251" spans="2:67" ht="18" hidden="1" customHeight="1" x14ac:dyDescent="0.35">
      <c r="B251" s="14" t="s">
        <v>79</v>
      </c>
      <c r="C251" s="16" t="s">
        <v>136</v>
      </c>
      <c r="D251" s="16" t="s">
        <v>108</v>
      </c>
      <c r="E251" s="16">
        <v>1099</v>
      </c>
      <c r="F251" s="16" t="s">
        <v>465</v>
      </c>
      <c r="G251" s="16" cm="1">
        <f t="array" ref="G251">_xlfn.IFS(Tabela1[[#This Row],[STATUS PROCESSO MOBILIZAÇÃO]]="Finalizado",1,Tabela1[[#This Row],[STATUS PROCESSO MOBILIZAÇÃO]]="Cancelado",2,Tabela1[[#This Row],[STATUS PROCESSO MOBILIZAÇÃO]]="Em andamento",3)</f>
        <v>1</v>
      </c>
      <c r="H251" s="16" cm="1">
        <f t="array" aca="1" ref="H25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FORMS]]="",$AM251&gt;$AK$1),2,
AND(Tabela1[[#This Row],[STATUS PROCESSO MOBILIZAÇÃO]]="Em andamento",Tabela1[[#This Row],[DATA REAL - FORMS]]="",$AM251&lt;=$AK$1),3,
AND(Tabela1[[#This Row],[STATUS PROCESSO MOBILIZAÇÃO]]="Em andamento",Tabela1[[#This Row],[DATA REAL - FORMS]]&lt;&gt;""),1)</f>
        <v>1</v>
      </c>
      <c r="I251" s="16" cm="1">
        <f t="array" aca="1" ref="I25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EXAMES]]="",$AP251&gt;$AN$1),2,
AND(Tabela1[[#This Row],[STATUS PROCESSO MOBILIZAÇÃO]]="Em andamento",Tabela1[[#This Row],[DATA REAL - EXAMES]]="",$AP251&lt;=$AN$1),3,
AND(Tabela1[[#This Row],[STATUS PROCESSO MOBILIZAÇÃO]]="Em andamento",Tabela1[[#This Row],[DATA REAL - EXAMES]]&lt;&gt;""),1)</f>
        <v>1</v>
      </c>
      <c r="J251" s="16" cm="1">
        <f t="array" aca="1" ref="J25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ASO]]="",$AS251&gt;$AQ$1),2,
AND(Tabela1[[#This Row],[STATUS PROCESSO MOBILIZAÇÃO]]="Em andamento",Tabela1[[#This Row],[DATA REAL - ASO]]="",$AS251&lt;=$AQ$1),3,
AND(Tabela1[[#This Row],[STATUS PROCESSO MOBILIZAÇÃO]]="Em andamento",Tabela1[[#This Row],[DATA REAL - ASO]]&lt;&gt;""),1)</f>
        <v>1</v>
      </c>
      <c r="K251" s="16" cm="1">
        <f t="array" aca="1" ref="K25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TREINAMENTOS]]="",$AV251&gt;$AT$1),2,
AND(Tabela1[[#This Row],[STATUS PROCESSO MOBILIZAÇÃO]]="Em andamento",Tabela1[[#This Row],[DATA REAL - TREINAMENTOS]]="",$AV251&lt;=$AT$1),3,
AND(Tabela1[[#This Row],[STATUS PROCESSO MOBILIZAÇÃO]]="Em andamento",Tabela1[[#This Row],[DATA REAL - TREINAMENTOS]]&lt;&gt;""),1)</f>
        <v>1</v>
      </c>
      <c r="L251" s="16" cm="1">
        <f t="array" aca="1" ref="L25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TREIN.]]="",$AY251&gt;$AW$1),2,
AND(Tabela1[[#This Row],[STATUS PROCESSO MOBILIZAÇÃO]]="Em andamento",Tabela1[[#This Row],[DATA REAL - CONCL. TREIN.]]="",$AY251&lt;=$AW$1),3,
AND(Tabela1[[#This Row],[STATUS PROCESSO MOBILIZAÇÃO]]="Em andamento",Tabela1[[#This Row],[DATA REAL - CONCL. TREIN.]]&lt;&gt;""),1)</f>
        <v>1</v>
      </c>
      <c r="M251" s="16" cm="1">
        <f t="array" aca="1" ref="M25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CONTRATUAL]]="",$BB251&gt;$AZ$1),2,
AND(Tabela1[[#This Row],[STATUS PROCESSO MOBILIZAÇÃO]]="Em andamento",Tabela1[[#This Row],[DATA FIM - ALTER. CONTRATUAL]]="",$BB251&lt;=$AZ$1),3,
AND(Tabela1[[#This Row],[STATUS PROCESSO MOBILIZAÇÃO]]="Em andamento",Tabela1[[#This Row],[DATA FIM - ALTER. CONTRATUAL]]&lt;&gt;""),1)</f>
        <v>1</v>
      </c>
      <c r="N251" s="16" cm="1">
        <f t="array" aca="1" ref="N25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DOSSIÊ]]="",$BE251&gt;$BC$1),2,
AND(Tabela1[[#This Row],[STATUS PROCESSO MOBILIZAÇÃO]]="Em andamento",Tabela1[[#This Row],[DATA REAL - DOSSIÊ]]="",$BE251&lt;=$BC$1),3,
AND(Tabela1[[#This Row],[STATUS PROCESSO MOBILIZAÇÃO]]="Em andamento",Tabela1[[#This Row],[DATA REAL - DOSSIÊ]]&lt;&gt;""),1)</f>
        <v>1</v>
      </c>
      <c r="O251" s="16" cm="1">
        <f t="array" aca="1" ref="O25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POSTAGEM]]="",$BH251&gt;$BF$1),2,
AND(Tabela1[[#This Row],[STATUS PROCESSO MOBILIZAÇÃO]]="Em andamento",Tabela1[[#This Row],[DATA REAL - POSTAGEM]]="",$BH251&lt;=$BF$1),3,
AND(Tabela1[[#This Row],[STATUS PROCESSO MOBILIZAÇÃO]]="Em andamento",Tabela1[[#This Row],[DATA REAL - POSTAGEM]]&lt;&gt;""),1)</f>
        <v>1</v>
      </c>
      <c r="P251" s="16" cm="1">
        <f t="array" aca="1" ref="P25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FINAL]]="",$BK251&gt;$BI$1),2,
AND(Tabela1[[#This Row],[STATUS PROCESSO MOBILIZAÇÃO]]="Em andamento",Tabela1[[#This Row],[DATA REAL - APROV FINAL]]="",$BK251&lt;=$BI$1),3,
AND(Tabela1[[#This Row],[STATUS PROCESSO MOBILIZAÇÃO]]="Em andamento",Tabela1[[#This Row],[DATA REAL - APROV FINAL]]&lt;&gt;""),1)</f>
        <v>1</v>
      </c>
      <c r="Q251" s="16" cm="1">
        <f t="array" aca="1" ref="Q25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CRACHÁ]]="",$BN251&gt;$BL$1),2,
AND(Tabela1[[#This Row],[STATUS PROCESSO MOBILIZAÇÃO]]="Em andamento",Tabela1[[#This Row],[DATA REAL - CRACHÁ]]="",$BN251&lt;=$BL$1),3,
AND(Tabela1[[#This Row],[STATUS PROCESSO MOBILIZAÇÃO]]="Em andamento",Tabela1[[#This Row],[DATA REAL - CRACHÁ]]&lt;&gt;""),1)</f>
        <v>1</v>
      </c>
      <c r="R251" s="21">
        <f>IF(Tabela1[[#This Row],[DATA REAL - FORMS]]&lt;&gt;"",Tabela1[[#This Row],[DATA REAL - FORMS]]+30,Tabela1[[#This Row],[DATA PREV - FORMS]]+35)</f>
        <v>46214</v>
      </c>
      <c r="S25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46211</v>
      </c>
      <c r="T25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v>
      </c>
      <c r="U25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51" s="49">
        <f>MAX(Tabela1[[#This Row],[DATA REAL - POSTAGEM]],Tabela1[[#This Row],[DATA REAL - APROV FINAL]],Tabela1[[#This Row],[DATA REAL - CRACHÁ]])-MIN(Tabela1[[#This Row],[DATA REAL - POSTAGEM]],Tabela1[[#This Row],[DATA REAL - APROV FINAL]],Tabela1[[#This Row],[DATA REAL - CRACHÁ]])+1</f>
        <v>27</v>
      </c>
      <c r="W25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1" s="15" t="s">
        <v>726</v>
      </c>
      <c r="Y251" s="16" t="s">
        <v>150</v>
      </c>
      <c r="Z251" s="80" t="s">
        <v>104</v>
      </c>
      <c r="AA251" s="95" t="s">
        <v>152</v>
      </c>
      <c r="AB251" s="16" t="s">
        <v>97</v>
      </c>
      <c r="AC251" s="16" t="s">
        <v>744</v>
      </c>
      <c r="AD251" s="16" t="s">
        <v>744</v>
      </c>
      <c r="AE251" s="16" t="s">
        <v>745</v>
      </c>
      <c r="AF251" s="16" t="s">
        <v>746</v>
      </c>
      <c r="AG251" s="16" t="str">
        <f>_xlfn.XLOOKUP(Tabela1[[#This Row],[CÓD. CT]],Controle_Projetos[COD CT],Controle_Projetos[COD PHD],"")</f>
        <v>ATNI-CT01-GERE</v>
      </c>
      <c r="AH251" s="21">
        <v>46183</v>
      </c>
      <c r="AI251" s="76">
        <v>46183</v>
      </c>
      <c r="AJ251" s="16" cm="1">
        <f t="array" aca="1" ref="AJ25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1" s="21">
        <v>46183</v>
      </c>
      <c r="AL251" s="74">
        <v>46184</v>
      </c>
      <c r="AM251" s="16" cm="1">
        <f t="array" aca="1" ref="AM25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251" s="21">
        <f>Tabela1[[#This Row],[DATA PREV - FORMS]]+$AN$1</f>
        <v>46190</v>
      </c>
      <c r="AO251" s="74">
        <v>46183</v>
      </c>
      <c r="AP251" s="16" cm="1">
        <f t="array" aca="1" ref="AP25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1" s="21">
        <f>Tabela1[[#This Row],[DATA PREV - EXAMES]]+$AQ$1</f>
        <v>46192</v>
      </c>
      <c r="AR251" s="74">
        <v>46185</v>
      </c>
      <c r="AS251" s="16" cm="1">
        <f t="array" aca="1" ref="AS25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51" s="21">
        <f>Tabela1[[#This Row],[DATA PREV - FORMS]]+$AT$1</f>
        <v>46184</v>
      </c>
      <c r="AU251" s="74">
        <v>46183</v>
      </c>
      <c r="AV251" s="16" cm="1">
        <f t="array" aca="1" ref="AV25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1" s="21">
        <f>Tabela1[[#This Row],[DATA PREV - TREINAMENTOS]]+$AW$1</f>
        <v>46191</v>
      </c>
      <c r="AX251" s="74">
        <v>46183</v>
      </c>
      <c r="AY251" s="16" cm="1">
        <f t="array" aca="1" ref="AY25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1" s="24">
        <v>46183</v>
      </c>
      <c r="BA251" s="74">
        <v>46183</v>
      </c>
      <c r="BB251" s="16" cm="1">
        <f t="array" aca="1" ref="BB25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1" s="21">
        <f>Tabela1[[#This Row],[DATA PREV - CONCL. TREIN.]]+$BC$1</f>
        <v>46193</v>
      </c>
      <c r="BD251" s="74">
        <v>46185</v>
      </c>
      <c r="BE251" s="16" cm="1">
        <f t="array" aca="1" ref="BE25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51" s="21">
        <f>Tabela1[[#This Row],[DATA PREV - DOSSIÊ]]+$BF$1</f>
        <v>46196</v>
      </c>
      <c r="BG251" s="74">
        <v>46185</v>
      </c>
      <c r="BH251" s="16" cm="1">
        <f t="array" aca="1" ref="BH25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251" s="21">
        <f>Tabela1[[#This Row],[DATA PREV - POSTAGEM]]+$BI$1</f>
        <v>46202</v>
      </c>
      <c r="BJ251" s="74">
        <v>46211</v>
      </c>
      <c r="BK251" s="16" cm="1">
        <f t="array" aca="1" ref="BK25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51" s="21">
        <f>Tabela1[[#This Row],[DATA PREV - APROV FINAL]]+$BL$1</f>
        <v>46203</v>
      </c>
      <c r="BM251" s="74">
        <v>46211</v>
      </c>
      <c r="BN251" s="16" cm="1">
        <f t="array" aca="1" ref="BN25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51" s="81" t="s">
        <v>747</v>
      </c>
    </row>
    <row r="252" spans="2:67" ht="18" hidden="1" customHeight="1" x14ac:dyDescent="0.35">
      <c r="B252" s="14" t="s">
        <v>79</v>
      </c>
      <c r="C252" s="16" t="s">
        <v>136</v>
      </c>
      <c r="D252" s="16" t="s">
        <v>108</v>
      </c>
      <c r="E252" s="16">
        <v>1100</v>
      </c>
      <c r="F252" s="16" t="s">
        <v>462</v>
      </c>
      <c r="G252" s="16" cm="1">
        <f t="array" ref="G252">_xlfn.IFS(Tabela1[[#This Row],[STATUS PROCESSO MOBILIZAÇÃO]]="Finalizado",1,Tabela1[[#This Row],[STATUS PROCESSO MOBILIZAÇÃO]]="Cancelado",2,Tabela1[[#This Row],[STATUS PROCESSO MOBILIZAÇÃO]]="Em andamento",3)</f>
        <v>1</v>
      </c>
      <c r="H252" s="16" cm="1">
        <f t="array" aca="1" ref="H25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FORMS]]="",$AM252&gt;$AK$1),2,
AND(Tabela1[[#This Row],[STATUS PROCESSO MOBILIZAÇÃO]]="Em andamento",Tabela1[[#This Row],[DATA REAL - FORMS]]="",$AM252&lt;=$AK$1),3,
AND(Tabela1[[#This Row],[STATUS PROCESSO MOBILIZAÇÃO]]="Em andamento",Tabela1[[#This Row],[DATA REAL - FORMS]]&lt;&gt;""),1)</f>
        <v>1</v>
      </c>
      <c r="I252" s="16" cm="1">
        <f t="array" aca="1" ref="I25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EXAMES]]="",$AP252&gt;$AN$1),2,
AND(Tabela1[[#This Row],[STATUS PROCESSO MOBILIZAÇÃO]]="Em andamento",Tabela1[[#This Row],[DATA REAL - EXAMES]]="",$AP252&lt;=$AN$1),3,
AND(Tabela1[[#This Row],[STATUS PROCESSO MOBILIZAÇÃO]]="Em andamento",Tabela1[[#This Row],[DATA REAL - EXAMES]]&lt;&gt;""),1)</f>
        <v>1</v>
      </c>
      <c r="J252" s="16" cm="1">
        <f t="array" aca="1" ref="J25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ASO]]="",$AS252&gt;$AQ$1),2,
AND(Tabela1[[#This Row],[STATUS PROCESSO MOBILIZAÇÃO]]="Em andamento",Tabela1[[#This Row],[DATA REAL - ASO]]="",$AS252&lt;=$AQ$1),3,
AND(Tabela1[[#This Row],[STATUS PROCESSO MOBILIZAÇÃO]]="Em andamento",Tabela1[[#This Row],[DATA REAL - ASO]]&lt;&gt;""),1)</f>
        <v>1</v>
      </c>
      <c r="K252" s="16" cm="1">
        <f t="array" aca="1" ref="K25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TREINAMENTOS]]="",$AV252&gt;$AT$1),2,
AND(Tabela1[[#This Row],[STATUS PROCESSO MOBILIZAÇÃO]]="Em andamento",Tabela1[[#This Row],[DATA REAL - TREINAMENTOS]]="",$AV252&lt;=$AT$1),3,
AND(Tabela1[[#This Row],[STATUS PROCESSO MOBILIZAÇÃO]]="Em andamento",Tabela1[[#This Row],[DATA REAL - TREINAMENTOS]]&lt;&gt;""),1)</f>
        <v>1</v>
      </c>
      <c r="L252" s="16" cm="1">
        <f t="array" aca="1" ref="L25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TREIN.]]="",$AY252&gt;$AW$1),2,
AND(Tabela1[[#This Row],[STATUS PROCESSO MOBILIZAÇÃO]]="Em andamento",Tabela1[[#This Row],[DATA REAL - CONCL. TREIN.]]="",$AY252&lt;=$AW$1),3,
AND(Tabela1[[#This Row],[STATUS PROCESSO MOBILIZAÇÃO]]="Em andamento",Tabela1[[#This Row],[DATA REAL - CONCL. TREIN.]]&lt;&gt;""),1)</f>
        <v>1</v>
      </c>
      <c r="M252" s="16" cm="1">
        <f t="array" aca="1" ref="M25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CONTRATUAL]]="",$BB252&gt;$AZ$1),2,
AND(Tabela1[[#This Row],[STATUS PROCESSO MOBILIZAÇÃO]]="Em andamento",Tabela1[[#This Row],[DATA FIM - ALTER. CONTRATUAL]]="",$BB252&lt;=$AZ$1),3,
AND(Tabela1[[#This Row],[STATUS PROCESSO MOBILIZAÇÃO]]="Em andamento",Tabela1[[#This Row],[DATA FIM - ALTER. CONTRATUAL]]&lt;&gt;""),1)</f>
        <v>1</v>
      </c>
      <c r="N252" s="16" cm="1">
        <f t="array" aca="1" ref="N25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DOSSIÊ]]="",$BE252&gt;$BC$1),2,
AND(Tabela1[[#This Row],[STATUS PROCESSO MOBILIZAÇÃO]]="Em andamento",Tabela1[[#This Row],[DATA REAL - DOSSIÊ]]="",$BE252&lt;=$BC$1),3,
AND(Tabela1[[#This Row],[STATUS PROCESSO MOBILIZAÇÃO]]="Em andamento",Tabela1[[#This Row],[DATA REAL - DOSSIÊ]]&lt;&gt;""),1)</f>
        <v>1</v>
      </c>
      <c r="O252" s="16" cm="1">
        <f t="array" aca="1" ref="O25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POSTAGEM]]="",$BH252&gt;$BF$1),2,
AND(Tabela1[[#This Row],[STATUS PROCESSO MOBILIZAÇÃO]]="Em andamento",Tabela1[[#This Row],[DATA REAL - POSTAGEM]]="",$BH252&lt;=$BF$1),3,
AND(Tabela1[[#This Row],[STATUS PROCESSO MOBILIZAÇÃO]]="Em andamento",Tabela1[[#This Row],[DATA REAL - POSTAGEM]]&lt;&gt;""),1)</f>
        <v>1</v>
      </c>
      <c r="P252" s="16" cm="1">
        <f t="array" aca="1" ref="P25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FINAL]]="",$BK252&gt;$BI$1),2,
AND(Tabela1[[#This Row],[STATUS PROCESSO MOBILIZAÇÃO]]="Em andamento",Tabela1[[#This Row],[DATA REAL - APROV FINAL]]="",$BK252&lt;=$BI$1),3,
AND(Tabela1[[#This Row],[STATUS PROCESSO MOBILIZAÇÃO]]="Em andamento",Tabela1[[#This Row],[DATA REAL - APROV FINAL]]&lt;&gt;""),1)</f>
        <v>1</v>
      </c>
      <c r="Q252" s="16" cm="1">
        <f t="array" aca="1" ref="Q25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CRACHÁ]]="",$BN252&gt;$BL$1),2,
AND(Tabela1[[#This Row],[STATUS PROCESSO MOBILIZAÇÃO]]="Em andamento",Tabela1[[#This Row],[DATA REAL - CRACHÁ]]="",$BN252&lt;=$BL$1),3,
AND(Tabela1[[#This Row],[STATUS PROCESSO MOBILIZAÇÃO]]="Em andamento",Tabela1[[#This Row],[DATA REAL - CRACHÁ]]&lt;&gt;""),1)</f>
        <v>1</v>
      </c>
      <c r="R252" s="21">
        <f>IF(Tabela1[[#This Row],[DATA REAL - FORMS]]&lt;&gt;"",Tabela1[[#This Row],[DATA REAL - FORMS]]+30,Tabela1[[#This Row],[DATA PREV - FORMS]]+35)</f>
        <v>46214</v>
      </c>
      <c r="S25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46216</v>
      </c>
      <c r="T25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33</v>
      </c>
      <c r="U25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52" s="49">
        <f>MAX(Tabela1[[#This Row],[DATA REAL - POSTAGEM]],Tabela1[[#This Row],[DATA REAL - APROV FINAL]],Tabela1[[#This Row],[DATA REAL - CRACHÁ]])-MIN(Tabela1[[#This Row],[DATA REAL - POSTAGEM]],Tabela1[[#This Row],[DATA REAL - APROV FINAL]],Tabela1[[#This Row],[DATA REAL - CRACHÁ]])+1</f>
        <v>32</v>
      </c>
      <c r="W25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2" s="15" t="s">
        <v>726</v>
      </c>
      <c r="Y252" s="16" t="s">
        <v>150</v>
      </c>
      <c r="Z252" s="80" t="s">
        <v>104</v>
      </c>
      <c r="AA252" s="95" t="s">
        <v>152</v>
      </c>
      <c r="AB252" s="16" t="s">
        <v>97</v>
      </c>
      <c r="AC252" s="16" t="s">
        <v>744</v>
      </c>
      <c r="AD252" s="16" t="s">
        <v>744</v>
      </c>
      <c r="AE252" s="16" t="s">
        <v>745</v>
      </c>
      <c r="AF252" s="16" t="s">
        <v>746</v>
      </c>
      <c r="AG252" s="16" t="str">
        <f>_xlfn.XLOOKUP(Tabela1[[#This Row],[CÓD. CT]],Controle_Projetos[COD CT],Controle_Projetos[COD PHD],"")</f>
        <v>ATNI-CT01-GERE</v>
      </c>
      <c r="AH252" s="21">
        <v>46183</v>
      </c>
      <c r="AI252" s="76">
        <v>46183</v>
      </c>
      <c r="AJ252" s="16" cm="1">
        <f t="array" aca="1" ref="AJ25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2" s="21">
        <v>46183</v>
      </c>
      <c r="AL252" s="74">
        <v>46184</v>
      </c>
      <c r="AM252" s="16" cm="1">
        <f t="array" aca="1" ref="AM25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252" s="21">
        <f>Tabela1[[#This Row],[DATA PREV - FORMS]]+$AN$1</f>
        <v>46190</v>
      </c>
      <c r="AO252" s="74">
        <v>46183</v>
      </c>
      <c r="AP252" s="16" cm="1">
        <f t="array" aca="1" ref="AP25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2" s="21">
        <f>Tabela1[[#This Row],[DATA PREV - EXAMES]]+$AQ$1</f>
        <v>46192</v>
      </c>
      <c r="AR252" s="74">
        <v>46185</v>
      </c>
      <c r="AS252" s="16" cm="1">
        <f t="array" aca="1" ref="AS25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52" s="21">
        <f>Tabela1[[#This Row],[DATA PREV - FORMS]]+$AT$1</f>
        <v>46184</v>
      </c>
      <c r="AU252" s="74">
        <v>46183</v>
      </c>
      <c r="AV252" s="16" cm="1">
        <f t="array" aca="1" ref="AV25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2" s="21">
        <f>Tabela1[[#This Row],[DATA PREV - TREINAMENTOS]]+$AW$1</f>
        <v>46191</v>
      </c>
      <c r="AX252" s="74">
        <v>46183</v>
      </c>
      <c r="AY252" s="16" cm="1">
        <f t="array" aca="1" ref="AY25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2" s="24">
        <v>46183</v>
      </c>
      <c r="BA252" s="74">
        <v>46183</v>
      </c>
      <c r="BB252" s="16" cm="1">
        <f t="array" aca="1" ref="BB25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2" s="21">
        <f>Tabela1[[#This Row],[DATA PREV - CONCL. TREIN.]]+$BC$1</f>
        <v>46193</v>
      </c>
      <c r="BD252" s="74">
        <v>46185</v>
      </c>
      <c r="BE252" s="16" cm="1">
        <f t="array" aca="1" ref="BE25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52" s="21">
        <f>Tabela1[[#This Row],[DATA PREV - DOSSIÊ]]+$BF$1</f>
        <v>46196</v>
      </c>
      <c r="BG252" s="74">
        <v>46185</v>
      </c>
      <c r="BH252" s="16" cm="1">
        <f t="array" aca="1" ref="BH25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252" s="21">
        <f>Tabela1[[#This Row],[DATA PREV - POSTAGEM]]+$BI$1</f>
        <v>46202</v>
      </c>
      <c r="BJ252" s="74">
        <v>46216</v>
      </c>
      <c r="BK252" s="16" cm="1">
        <f t="array" aca="1" ref="BK25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15</v>
      </c>
      <c r="BL252" s="21">
        <f>Tabela1[[#This Row],[DATA PREV - APROV FINAL]]+$BL$1</f>
        <v>46203</v>
      </c>
      <c r="BM252" s="74">
        <v>46216</v>
      </c>
      <c r="BN252" s="16" cm="1">
        <f t="array" aca="1" ref="BN25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252" s="81" t="s">
        <v>748</v>
      </c>
    </row>
    <row r="253" spans="2:67" ht="18" hidden="1" customHeight="1" x14ac:dyDescent="0.35">
      <c r="B253" s="14" t="s">
        <v>79</v>
      </c>
      <c r="C253" s="16" t="s">
        <v>136</v>
      </c>
      <c r="D253" s="16" t="s">
        <v>108</v>
      </c>
      <c r="E253" s="16">
        <v>1101</v>
      </c>
      <c r="F253" s="16" t="s">
        <v>749</v>
      </c>
      <c r="G253" s="16" cm="1">
        <f t="array" ref="G253">_xlfn.IFS(Tabela1[[#This Row],[STATUS PROCESSO MOBILIZAÇÃO]]="Finalizado",1,Tabela1[[#This Row],[STATUS PROCESSO MOBILIZAÇÃO]]="Cancelado",2,Tabela1[[#This Row],[STATUS PROCESSO MOBILIZAÇÃO]]="Em andamento",3)</f>
        <v>1</v>
      </c>
      <c r="H253" s="16" cm="1">
        <f t="array" aca="1" ref="H25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FORMS]]="",$AM253&gt;$AK$1),2,
AND(Tabela1[[#This Row],[STATUS PROCESSO MOBILIZAÇÃO]]="Em andamento",Tabela1[[#This Row],[DATA REAL - FORMS]]="",$AM253&lt;=$AK$1),3,
AND(Tabela1[[#This Row],[STATUS PROCESSO MOBILIZAÇÃO]]="Em andamento",Tabela1[[#This Row],[DATA REAL - FORMS]]&lt;&gt;""),1)</f>
        <v>1</v>
      </c>
      <c r="I253" s="16" cm="1">
        <f t="array" aca="1" ref="I25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EXAMES]]="",$AP253&gt;$AN$1),2,
AND(Tabela1[[#This Row],[STATUS PROCESSO MOBILIZAÇÃO]]="Em andamento",Tabela1[[#This Row],[DATA REAL - EXAMES]]="",$AP253&lt;=$AN$1),3,
AND(Tabela1[[#This Row],[STATUS PROCESSO MOBILIZAÇÃO]]="Em andamento",Tabela1[[#This Row],[DATA REAL - EXAMES]]&lt;&gt;""),1)</f>
        <v>1</v>
      </c>
      <c r="J253" s="16" cm="1">
        <f t="array" aca="1" ref="J25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ASO]]="",$AS253&gt;$AQ$1),2,
AND(Tabela1[[#This Row],[STATUS PROCESSO MOBILIZAÇÃO]]="Em andamento",Tabela1[[#This Row],[DATA REAL - ASO]]="",$AS253&lt;=$AQ$1),3,
AND(Tabela1[[#This Row],[STATUS PROCESSO MOBILIZAÇÃO]]="Em andamento",Tabela1[[#This Row],[DATA REAL - ASO]]&lt;&gt;""),1)</f>
        <v>1</v>
      </c>
      <c r="K253" s="16" cm="1">
        <f t="array" aca="1" ref="K25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TREINAMENTOS]]="",$AV253&gt;$AT$1),2,
AND(Tabela1[[#This Row],[STATUS PROCESSO MOBILIZAÇÃO]]="Em andamento",Tabela1[[#This Row],[DATA REAL - TREINAMENTOS]]="",$AV253&lt;=$AT$1),3,
AND(Tabela1[[#This Row],[STATUS PROCESSO MOBILIZAÇÃO]]="Em andamento",Tabela1[[#This Row],[DATA REAL - TREINAMENTOS]]&lt;&gt;""),1)</f>
        <v>1</v>
      </c>
      <c r="L253" s="16" cm="1">
        <f t="array" aca="1" ref="L25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TREIN.]]="",$AY253&gt;$AW$1),2,
AND(Tabela1[[#This Row],[STATUS PROCESSO MOBILIZAÇÃO]]="Em andamento",Tabela1[[#This Row],[DATA REAL - CONCL. TREIN.]]="",$AY253&lt;=$AW$1),3,
AND(Tabela1[[#This Row],[STATUS PROCESSO MOBILIZAÇÃO]]="Em andamento",Tabela1[[#This Row],[DATA REAL - CONCL. TREIN.]]&lt;&gt;""),1)</f>
        <v>1</v>
      </c>
      <c r="M253" s="16" cm="1">
        <f t="array" aca="1" ref="M25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CONTRATUAL]]="",$BB253&gt;$AZ$1),2,
AND(Tabela1[[#This Row],[STATUS PROCESSO MOBILIZAÇÃO]]="Em andamento",Tabela1[[#This Row],[DATA FIM - ALTER. CONTRATUAL]]="",$BB253&lt;=$AZ$1),3,
AND(Tabela1[[#This Row],[STATUS PROCESSO MOBILIZAÇÃO]]="Em andamento",Tabela1[[#This Row],[DATA FIM - ALTER. CONTRATUAL]]&lt;&gt;""),1)</f>
        <v>1</v>
      </c>
      <c r="N253" s="16" cm="1">
        <f t="array" aca="1" ref="N25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DOSSIÊ]]="",$BE253&gt;$BC$1),2,
AND(Tabela1[[#This Row],[STATUS PROCESSO MOBILIZAÇÃO]]="Em andamento",Tabela1[[#This Row],[DATA REAL - DOSSIÊ]]="",$BE253&lt;=$BC$1),3,
AND(Tabela1[[#This Row],[STATUS PROCESSO MOBILIZAÇÃO]]="Em andamento",Tabela1[[#This Row],[DATA REAL - DOSSIÊ]]&lt;&gt;""),1)</f>
        <v>1</v>
      </c>
      <c r="O253" s="16" cm="1">
        <f t="array" aca="1" ref="O25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POSTAGEM]]="",$BH253&gt;$BF$1),2,
AND(Tabela1[[#This Row],[STATUS PROCESSO MOBILIZAÇÃO]]="Em andamento",Tabela1[[#This Row],[DATA REAL - POSTAGEM]]="",$BH253&lt;=$BF$1),3,
AND(Tabela1[[#This Row],[STATUS PROCESSO MOBILIZAÇÃO]]="Em andamento",Tabela1[[#This Row],[DATA REAL - POSTAGEM]]&lt;&gt;""),1)</f>
        <v>1</v>
      </c>
      <c r="P253" s="16" cm="1">
        <f t="array" aca="1" ref="P25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FINAL]]="",$BK253&gt;$BI$1),2,
AND(Tabela1[[#This Row],[STATUS PROCESSO MOBILIZAÇÃO]]="Em andamento",Tabela1[[#This Row],[DATA REAL - APROV FINAL]]="",$BK253&lt;=$BI$1),3,
AND(Tabela1[[#This Row],[STATUS PROCESSO MOBILIZAÇÃO]]="Em andamento",Tabela1[[#This Row],[DATA REAL - APROV FINAL]]&lt;&gt;""),1)</f>
        <v>1</v>
      </c>
      <c r="Q253" s="16" cm="1">
        <f t="array" aca="1" ref="Q25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CRACHÁ]]="",$BN253&gt;$BL$1),2,
AND(Tabela1[[#This Row],[STATUS PROCESSO MOBILIZAÇÃO]]="Em andamento",Tabela1[[#This Row],[DATA REAL - CRACHÁ]]="",$BN253&lt;=$BL$1),3,
AND(Tabela1[[#This Row],[STATUS PROCESSO MOBILIZAÇÃO]]="Em andamento",Tabela1[[#This Row],[DATA REAL - CRACHÁ]]&lt;&gt;""),1)</f>
        <v>1</v>
      </c>
      <c r="R253" s="21">
        <f>IF(Tabela1[[#This Row],[DATA REAL - FORMS]]&lt;&gt;"",Tabela1[[#This Row],[DATA REAL - FORMS]]+30,Tabela1[[#This Row],[DATA PREV - FORMS]]+35)</f>
        <v>46214</v>
      </c>
      <c r="S25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46211</v>
      </c>
      <c r="T25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28</v>
      </c>
      <c r="U25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53" s="49">
        <f>MAX(Tabela1[[#This Row],[DATA REAL - POSTAGEM]],Tabela1[[#This Row],[DATA REAL - APROV FINAL]],Tabela1[[#This Row],[DATA REAL - CRACHÁ]])-MIN(Tabela1[[#This Row],[DATA REAL - POSTAGEM]],Tabela1[[#This Row],[DATA REAL - APROV FINAL]],Tabela1[[#This Row],[DATA REAL - CRACHÁ]])+1</f>
        <v>22</v>
      </c>
      <c r="W25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3" s="98" t="s">
        <v>726</v>
      </c>
      <c r="Y253" s="16" t="s">
        <v>150</v>
      </c>
      <c r="Z253" s="80" t="s">
        <v>104</v>
      </c>
      <c r="AA253" s="95" t="s">
        <v>152</v>
      </c>
      <c r="AB253" s="16" t="s">
        <v>97</v>
      </c>
      <c r="AC253" s="16" t="s">
        <v>744</v>
      </c>
      <c r="AD253" s="16" t="s">
        <v>744</v>
      </c>
      <c r="AE253" s="16" t="s">
        <v>745</v>
      </c>
      <c r="AF253" s="16" t="s">
        <v>746</v>
      </c>
      <c r="AG253" s="16" t="str">
        <f>_xlfn.XLOOKUP(Tabela1[[#This Row],[CÓD. CT]],Controle_Projetos[COD CT],Controle_Projetos[COD PHD],"")</f>
        <v>ATNI-CT01-GERE</v>
      </c>
      <c r="AH253" s="21">
        <v>46183</v>
      </c>
      <c r="AI253" s="76">
        <v>46183</v>
      </c>
      <c r="AJ253" s="16" cm="1">
        <f t="array" aca="1" ref="AJ25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3" s="21">
        <v>46183</v>
      </c>
      <c r="AL253" s="74">
        <v>46184</v>
      </c>
      <c r="AM253" s="16" cm="1">
        <f t="array" aca="1" ref="AM25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2</v>
      </c>
      <c r="AN253" s="21">
        <f>Tabela1[[#This Row],[DATA PREV - FORMS]]+$AN$1</f>
        <v>46190</v>
      </c>
      <c r="AO253" s="74">
        <v>46183</v>
      </c>
      <c r="AP253" s="16" cm="1">
        <f t="array" aca="1" ref="AP25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3" s="21">
        <f>Tabela1[[#This Row],[DATA PREV - EXAMES]]+$AQ$1</f>
        <v>46192</v>
      </c>
      <c r="AR253" s="74">
        <v>46185</v>
      </c>
      <c r="AS253" s="16" cm="1">
        <f t="array" aca="1" ref="AS25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53" s="21">
        <f>Tabela1[[#This Row],[DATA PREV - FORMS]]+$AT$1</f>
        <v>46184</v>
      </c>
      <c r="AU253" s="74">
        <v>46183</v>
      </c>
      <c r="AV253" s="16" cm="1">
        <f t="array" aca="1" ref="AV25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3" s="21">
        <f>Tabela1[[#This Row],[DATA PREV - TREINAMENTOS]]+$AW$1</f>
        <v>46191</v>
      </c>
      <c r="AX253" s="74">
        <v>46183</v>
      </c>
      <c r="AY253" s="16" cm="1">
        <f t="array" aca="1" ref="AY25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3" s="24">
        <v>46183</v>
      </c>
      <c r="BA253" s="74">
        <v>46183</v>
      </c>
      <c r="BB253" s="16" cm="1">
        <f t="array" aca="1" ref="BB25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3" s="21">
        <f>Tabela1[[#This Row],[DATA PREV - CONCL. TREIN.]]+$BC$1</f>
        <v>46193</v>
      </c>
      <c r="BD253" s="74">
        <v>46190</v>
      </c>
      <c r="BE253" s="16" cm="1">
        <f t="array" aca="1" ref="BE25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253" s="21">
        <f>Tabela1[[#This Row],[DATA PREV - DOSSIÊ]]+$BF$1</f>
        <v>46196</v>
      </c>
      <c r="BG253" s="74">
        <v>46190</v>
      </c>
      <c r="BH253" s="16" cm="1">
        <f t="array" aca="1" ref="BH25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53" s="21">
        <f>Tabela1[[#This Row],[DATA PREV - POSTAGEM]]+$BI$1</f>
        <v>46202</v>
      </c>
      <c r="BJ253" s="74">
        <v>46211</v>
      </c>
      <c r="BK253" s="16" cm="1">
        <f t="array" aca="1" ref="BK25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53" s="21">
        <f>Tabela1[[#This Row],[DATA PREV - APROV FINAL]]+$BL$1</f>
        <v>46203</v>
      </c>
      <c r="BM253" s="74">
        <v>46211</v>
      </c>
      <c r="BN253" s="16" cm="1">
        <f t="array" aca="1" ref="BN25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9</v>
      </c>
      <c r="BO253" s="127" t="s">
        <v>750</v>
      </c>
    </row>
    <row r="254" spans="2:67" ht="18" hidden="1" customHeight="1" x14ac:dyDescent="0.35">
      <c r="B254" s="14" t="s">
        <v>79</v>
      </c>
      <c r="C254" s="16" t="s">
        <v>136</v>
      </c>
      <c r="D254" s="16" t="s">
        <v>81</v>
      </c>
      <c r="E254" s="16">
        <v>1104</v>
      </c>
      <c r="F254" s="16" t="s">
        <v>545</v>
      </c>
      <c r="G254" s="16" cm="1">
        <f t="array" ref="G254">_xlfn.IFS(Tabela1[[#This Row],[STATUS PROCESSO MOBILIZAÇÃO]]="Finalizado",1,Tabela1[[#This Row],[STATUS PROCESSO MOBILIZAÇÃO]]="Cancelado",2,Tabela1[[#This Row],[STATUS PROCESSO MOBILIZAÇÃO]]="Em andamento",3)</f>
        <v>1</v>
      </c>
      <c r="H254" s="16" cm="1">
        <f t="array" aca="1" ref="H25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FORMS]]="",$AM254&gt;$AK$1),2,
AND(Tabela1[[#This Row],[STATUS PROCESSO MOBILIZAÇÃO]]="Em andamento",Tabela1[[#This Row],[DATA REAL - FORMS]]="",$AM254&lt;=$AK$1),3,
AND(Tabela1[[#This Row],[STATUS PROCESSO MOBILIZAÇÃO]]="Em andamento",Tabela1[[#This Row],[DATA REAL - FORMS]]&lt;&gt;""),1)</f>
        <v>1</v>
      </c>
      <c r="I254" s="16" cm="1">
        <f t="array" aca="1" ref="I25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EXAMES]]="",$AP254&gt;$AN$1),2,
AND(Tabela1[[#This Row],[STATUS PROCESSO MOBILIZAÇÃO]]="Em andamento",Tabela1[[#This Row],[DATA REAL - EXAMES]]="",$AP254&lt;=$AN$1),3,
AND(Tabela1[[#This Row],[STATUS PROCESSO MOBILIZAÇÃO]]="Em andamento",Tabela1[[#This Row],[DATA REAL - EXAMES]]&lt;&gt;""),1)</f>
        <v>1</v>
      </c>
      <c r="J254" s="16" cm="1">
        <f t="array" aca="1" ref="J25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ASO]]="",$AS254&gt;$AQ$1),2,
AND(Tabela1[[#This Row],[STATUS PROCESSO MOBILIZAÇÃO]]="Em andamento",Tabela1[[#This Row],[DATA REAL - ASO]]="",$AS254&lt;=$AQ$1),3,
AND(Tabela1[[#This Row],[STATUS PROCESSO MOBILIZAÇÃO]]="Em andamento",Tabela1[[#This Row],[DATA REAL - ASO]]&lt;&gt;""),1)</f>
        <v>1</v>
      </c>
      <c r="K254" s="16" cm="1">
        <f t="array" aca="1" ref="K25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TREINAMENTOS]]="",$AV254&gt;$AT$1),2,
AND(Tabela1[[#This Row],[STATUS PROCESSO MOBILIZAÇÃO]]="Em andamento",Tabela1[[#This Row],[DATA REAL - TREINAMENTOS]]="",$AV254&lt;=$AT$1),3,
AND(Tabela1[[#This Row],[STATUS PROCESSO MOBILIZAÇÃO]]="Em andamento",Tabela1[[#This Row],[DATA REAL - TREINAMENTOS]]&lt;&gt;""),1)</f>
        <v>1</v>
      </c>
      <c r="L254" s="16" cm="1">
        <f t="array" aca="1" ref="L25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TREIN.]]="",$AY254&gt;$AW$1),2,
AND(Tabela1[[#This Row],[STATUS PROCESSO MOBILIZAÇÃO]]="Em andamento",Tabela1[[#This Row],[DATA REAL - CONCL. TREIN.]]="",$AY254&lt;=$AW$1),3,
AND(Tabela1[[#This Row],[STATUS PROCESSO MOBILIZAÇÃO]]="Em andamento",Tabela1[[#This Row],[DATA REAL - CONCL. TREIN.]]&lt;&gt;""),1)</f>
        <v>1</v>
      </c>
      <c r="M254" s="16" cm="1">
        <f t="array" aca="1" ref="M25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CONTRATUAL]]="",$BB254&gt;$AZ$1),2,
AND(Tabela1[[#This Row],[STATUS PROCESSO MOBILIZAÇÃO]]="Em andamento",Tabela1[[#This Row],[DATA FIM - ALTER. CONTRATUAL]]="",$BB254&lt;=$AZ$1),3,
AND(Tabela1[[#This Row],[STATUS PROCESSO MOBILIZAÇÃO]]="Em andamento",Tabela1[[#This Row],[DATA FIM - ALTER. CONTRATUAL]]&lt;&gt;""),1)</f>
        <v>1</v>
      </c>
      <c r="N254" s="16" cm="1">
        <f t="array" aca="1" ref="N25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DOSSIÊ]]="",$BE254&gt;$BC$1),2,
AND(Tabela1[[#This Row],[STATUS PROCESSO MOBILIZAÇÃO]]="Em andamento",Tabela1[[#This Row],[DATA REAL - DOSSIÊ]]="",$BE254&lt;=$BC$1),3,
AND(Tabela1[[#This Row],[STATUS PROCESSO MOBILIZAÇÃO]]="Em andamento",Tabela1[[#This Row],[DATA REAL - DOSSIÊ]]&lt;&gt;""),1)</f>
        <v>1</v>
      </c>
      <c r="O254" s="16" cm="1">
        <f t="array" aca="1" ref="O25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POSTAGEM]]="",$BH254&gt;$BF$1),2,
AND(Tabela1[[#This Row],[STATUS PROCESSO MOBILIZAÇÃO]]="Em andamento",Tabela1[[#This Row],[DATA REAL - POSTAGEM]]="",$BH254&lt;=$BF$1),3,
AND(Tabela1[[#This Row],[STATUS PROCESSO MOBILIZAÇÃO]]="Em andamento",Tabela1[[#This Row],[DATA REAL - POSTAGEM]]&lt;&gt;""),1)</f>
        <v>1</v>
      </c>
      <c r="P254" s="16" cm="1">
        <f t="array" aca="1" ref="P25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FINAL]]="",$BK254&gt;$BI$1),2,
AND(Tabela1[[#This Row],[STATUS PROCESSO MOBILIZAÇÃO]]="Em andamento",Tabela1[[#This Row],[DATA REAL - APROV FINAL]]="",$BK254&lt;=$BI$1),3,
AND(Tabela1[[#This Row],[STATUS PROCESSO MOBILIZAÇÃO]]="Em andamento",Tabela1[[#This Row],[DATA REAL - APROV FINAL]]&lt;&gt;""),1)</f>
        <v>1</v>
      </c>
      <c r="Q254" s="16" cm="1">
        <f t="array" aca="1" ref="Q25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CRACHÁ]]="",$BN254&gt;$BL$1),2,
AND(Tabela1[[#This Row],[STATUS PROCESSO MOBILIZAÇÃO]]="Em andamento",Tabela1[[#This Row],[DATA REAL - CRACHÁ]]="",$BN254&lt;=$BL$1),3,
AND(Tabela1[[#This Row],[STATUS PROCESSO MOBILIZAÇÃO]]="Em andamento",Tabela1[[#This Row],[DATA REAL - CRACHÁ]]&lt;&gt;""),1)</f>
        <v>1</v>
      </c>
      <c r="R254" s="21">
        <f>IF(Tabela1[[#This Row],[DATA REAL - FORMS]]&lt;&gt;"",Tabela1[[#This Row],[DATA REAL - FORMS]]+30,Tabela1[[#This Row],[DATA PREV - FORMS]]+35)</f>
        <v>46214</v>
      </c>
      <c r="S25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46219</v>
      </c>
      <c r="T25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U25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54" s="49">
        <f>MAX(Tabela1[[#This Row],[DATA REAL - POSTAGEM]],Tabela1[[#This Row],[DATA REAL - APROV FINAL]],Tabela1[[#This Row],[DATA REAL - CRACHÁ]])-MIN(Tabela1[[#This Row],[DATA REAL - POSTAGEM]],Tabela1[[#This Row],[DATA REAL - APROV FINAL]],Tabela1[[#This Row],[DATA REAL - CRACHÁ]])+1</f>
        <v>30</v>
      </c>
      <c r="W25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254" s="16" t="s">
        <v>726</v>
      </c>
      <c r="Y254" s="16" t="s">
        <v>150</v>
      </c>
      <c r="Z254" s="80" t="s">
        <v>104</v>
      </c>
      <c r="AA254" s="95" t="s">
        <v>152</v>
      </c>
      <c r="AB254" s="16" t="s">
        <v>97</v>
      </c>
      <c r="AC254" s="16" t="s">
        <v>744</v>
      </c>
      <c r="AD254" s="16" t="s">
        <v>744</v>
      </c>
      <c r="AE254" s="16" t="s">
        <v>745</v>
      </c>
      <c r="AF254" s="16" t="s">
        <v>746</v>
      </c>
      <c r="AG254" s="16" t="str">
        <f>_xlfn.XLOOKUP(Tabela1[[#This Row],[CÓD. CT]],Controle_Projetos[COD CT],Controle_Projetos[COD PHD],"")</f>
        <v>ATNI-CT01-GERE</v>
      </c>
      <c r="AH254" s="21">
        <v>46184</v>
      </c>
      <c r="AI254" s="76">
        <v>46184</v>
      </c>
      <c r="AJ254" s="16" cm="1">
        <f t="array" aca="1" ref="AJ25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4" s="21">
        <v>46184</v>
      </c>
      <c r="AL254" s="74">
        <v>46184</v>
      </c>
      <c r="AM254" s="16" cm="1">
        <f t="array" aca="1" ref="AM25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4" s="21">
        <f>Tabela1[[#This Row],[DATA PREV - FORMS]]+$AN$1</f>
        <v>46191</v>
      </c>
      <c r="AO254" s="74">
        <v>46183</v>
      </c>
      <c r="AP254" s="16" cm="1">
        <f t="array" aca="1" ref="AP25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254" s="21">
        <f>Tabela1[[#This Row],[DATA PREV - EXAMES]]+$AQ$1</f>
        <v>46193</v>
      </c>
      <c r="AR254" s="74">
        <v>46190</v>
      </c>
      <c r="AS254" s="16" cm="1">
        <f t="array" aca="1" ref="AS25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54" s="21">
        <f>Tabela1[[#This Row],[DATA PREV - FORMS]]+$AT$1</f>
        <v>46185</v>
      </c>
      <c r="AU254" s="74">
        <v>46184</v>
      </c>
      <c r="AV254" s="16" cm="1">
        <f t="array" aca="1" ref="AV25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4" s="21">
        <f>Tabela1[[#This Row],[DATA PREV - TREINAMENTOS]]+$AW$1</f>
        <v>46192</v>
      </c>
      <c r="AX254" s="74">
        <v>46184</v>
      </c>
      <c r="AY254" s="16" cm="1">
        <f t="array" aca="1" ref="AY25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4" s="24">
        <v>46184</v>
      </c>
      <c r="BA254" s="74">
        <v>46184</v>
      </c>
      <c r="BB254" s="16" cm="1">
        <f t="array" aca="1" ref="BB25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4" s="21">
        <f>Tabela1[[#This Row],[DATA PREV - CONCL. TREIN.]]+$BC$1</f>
        <v>46194</v>
      </c>
      <c r="BD254" s="74">
        <v>46190</v>
      </c>
      <c r="BE254" s="16" cm="1">
        <f t="array" aca="1" ref="BE25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54" s="21">
        <f>Tabela1[[#This Row],[DATA PREV - DOSSIÊ]]+$BF$1</f>
        <v>46197</v>
      </c>
      <c r="BG254" s="74">
        <v>46190</v>
      </c>
      <c r="BH254" s="16" cm="1">
        <f t="array" aca="1" ref="BH25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54" s="21">
        <f>Tabela1[[#This Row],[DATA PREV - POSTAGEM]]+$BI$1</f>
        <v>46203</v>
      </c>
      <c r="BJ254" s="74">
        <v>46219</v>
      </c>
      <c r="BK254" s="16" cm="1">
        <f t="array" aca="1" ref="BK25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254" s="21">
        <f>Tabela1[[#This Row],[DATA PREV - APROV FINAL]]+$BL$1</f>
        <v>46204</v>
      </c>
      <c r="BM254" s="74">
        <v>46219</v>
      </c>
      <c r="BN254" s="16" cm="1">
        <f t="array" aca="1" ref="BN25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16</v>
      </c>
      <c r="BO254" s="127" t="s">
        <v>751</v>
      </c>
    </row>
    <row r="255" spans="2:67" ht="18" hidden="1" customHeight="1" x14ac:dyDescent="0.35">
      <c r="B255" s="14" t="s">
        <v>119</v>
      </c>
      <c r="C255" s="16" t="s">
        <v>136</v>
      </c>
      <c r="D255" s="16" t="s">
        <v>119</v>
      </c>
      <c r="E255" s="16">
        <v>1102</v>
      </c>
      <c r="F255" s="16" t="s">
        <v>399</v>
      </c>
      <c r="G255" s="16" cm="1">
        <f t="array" ref="G255">_xlfn.IFS(Tabela1[[#This Row],[STATUS PROCESSO MOBILIZAÇÃO]]="Finalizado",1,Tabela1[[#This Row],[STATUS PROCESSO MOBILIZAÇÃO]]="Cancelado",2,Tabela1[[#This Row],[STATUS PROCESSO MOBILIZAÇÃO]]="Em andamento",3)</f>
        <v>2</v>
      </c>
      <c r="H255" s="16" cm="1">
        <f t="array" aca="1" ref="H25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FORMS]]="",$AM255&gt;$AK$1),2,
AND(Tabela1[[#This Row],[STATUS PROCESSO MOBILIZAÇÃO]]="Em andamento",Tabela1[[#This Row],[DATA REAL - FORMS]]="",$AM255&lt;=$AK$1),3,
AND(Tabela1[[#This Row],[STATUS PROCESSO MOBILIZAÇÃO]]="Em andamento",Tabela1[[#This Row],[DATA REAL - FORMS]]&lt;&gt;""),1)</f>
        <v>1</v>
      </c>
      <c r="I255" s="16" cm="1">
        <f t="array" aca="1" ref="I25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EXAMES]]="",$AP255&gt;$AN$1),2,
AND(Tabela1[[#This Row],[STATUS PROCESSO MOBILIZAÇÃO]]="Em andamento",Tabela1[[#This Row],[DATA REAL - EXAMES]]="",$AP255&lt;=$AN$1),3,
AND(Tabela1[[#This Row],[STATUS PROCESSO MOBILIZAÇÃO]]="Em andamento",Tabela1[[#This Row],[DATA REAL - EXAMES]]&lt;&gt;""),1)</f>
        <v>1</v>
      </c>
      <c r="J255" s="16" cm="1">
        <f t="array" aca="1" ref="J25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ASO]]="",$AS255&gt;$AQ$1),2,
AND(Tabela1[[#This Row],[STATUS PROCESSO MOBILIZAÇÃO]]="Em andamento",Tabela1[[#This Row],[DATA REAL - ASO]]="",$AS255&lt;=$AQ$1),3,
AND(Tabela1[[#This Row],[STATUS PROCESSO MOBILIZAÇÃO]]="Em andamento",Tabela1[[#This Row],[DATA REAL - ASO]]&lt;&gt;""),1)</f>
        <v>1</v>
      </c>
      <c r="K255" s="16" cm="1">
        <f t="array" aca="1" ref="K25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TREINAMENTOS]]="",$AV255&gt;$AT$1),2,
AND(Tabela1[[#This Row],[STATUS PROCESSO MOBILIZAÇÃO]]="Em andamento",Tabela1[[#This Row],[DATA REAL - TREINAMENTOS]]="",$AV255&lt;=$AT$1),3,
AND(Tabela1[[#This Row],[STATUS PROCESSO MOBILIZAÇÃO]]="Em andamento",Tabela1[[#This Row],[DATA REAL - TREINAMENTOS]]&lt;&gt;""),1)</f>
        <v>1</v>
      </c>
      <c r="L255" s="16" cm="1">
        <f t="array" aca="1" ref="L25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TREIN.]]="",$AY255&gt;$AW$1),2,
AND(Tabela1[[#This Row],[STATUS PROCESSO MOBILIZAÇÃO]]="Em andamento",Tabela1[[#This Row],[DATA REAL - CONCL. TREIN.]]="",$AY255&lt;=$AW$1),3,
AND(Tabela1[[#This Row],[STATUS PROCESSO MOBILIZAÇÃO]]="Em andamento",Tabela1[[#This Row],[DATA REAL - CONCL. TREIN.]]&lt;&gt;""),1)</f>
        <v>1</v>
      </c>
      <c r="M255" s="16" cm="1">
        <f t="array" aca="1" ref="M25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CONTRATUAL]]="",$BB255&gt;$AZ$1),2,
AND(Tabela1[[#This Row],[STATUS PROCESSO MOBILIZAÇÃO]]="Em andamento",Tabela1[[#This Row],[DATA FIM - ALTER. CONTRATUAL]]="",$BB255&lt;=$AZ$1),3,
AND(Tabela1[[#This Row],[STATUS PROCESSO MOBILIZAÇÃO]]="Em andamento",Tabela1[[#This Row],[DATA FIM - ALTER. CONTRATUAL]]&lt;&gt;""),1)</f>
        <v>1</v>
      </c>
      <c r="N255" s="16" cm="1">
        <f t="array" aca="1" ref="N25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DOSSIÊ]]="",$BE255&gt;$BC$1),2,
AND(Tabela1[[#This Row],[STATUS PROCESSO MOBILIZAÇÃO]]="Em andamento",Tabela1[[#This Row],[DATA REAL - DOSSIÊ]]="",$BE255&lt;=$BC$1),3,
AND(Tabela1[[#This Row],[STATUS PROCESSO MOBILIZAÇÃO]]="Em andamento",Tabela1[[#This Row],[DATA REAL - DOSSIÊ]]&lt;&gt;""),1)</f>
        <v>1</v>
      </c>
      <c r="O255" s="16" cm="1">
        <f t="array" aca="1" ref="O25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POSTAGEM]]="",$BH255&gt;$BF$1),2,
AND(Tabela1[[#This Row],[STATUS PROCESSO MOBILIZAÇÃO]]="Em andamento",Tabela1[[#This Row],[DATA REAL - POSTAGEM]]="",$BH255&lt;=$BF$1),3,
AND(Tabela1[[#This Row],[STATUS PROCESSO MOBILIZAÇÃO]]="Em andamento",Tabela1[[#This Row],[DATA REAL - POSTAGEM]]&lt;&gt;""),1)</f>
        <v>1</v>
      </c>
      <c r="P255" s="16" cm="1">
        <f t="array" aca="1" ref="P25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FINAL]]="",$BK255&gt;$BI$1),2,
AND(Tabela1[[#This Row],[STATUS PROCESSO MOBILIZAÇÃO]]="Em andamento",Tabela1[[#This Row],[DATA REAL - APROV FINAL]]="",$BK255&lt;=$BI$1),3,
AND(Tabela1[[#This Row],[STATUS PROCESSO MOBILIZAÇÃO]]="Em andamento",Tabela1[[#This Row],[DATA REAL - APROV FINAL]]&lt;&gt;""),1)</f>
        <v>0</v>
      </c>
      <c r="Q255" s="16" cm="1">
        <f t="array" aca="1" ref="Q25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CRACHÁ]]="",$BN255&gt;$BL$1),2,
AND(Tabela1[[#This Row],[STATUS PROCESSO MOBILIZAÇÃO]]="Em andamento",Tabela1[[#This Row],[DATA REAL - CRACHÁ]]="",$BN255&lt;=$BL$1),3,
AND(Tabela1[[#This Row],[STATUS PROCESSO MOBILIZAÇÃO]]="Em andamento",Tabela1[[#This Row],[DATA REAL - CRACHÁ]]&lt;&gt;""),1)</f>
        <v>1</v>
      </c>
      <c r="R255" s="21">
        <f>IF(Tabela1[[#This Row],[DATA REAL - FORMS]]&lt;&gt;"",Tabela1[[#This Row],[DATA REAL - FORMS]]+30,Tabela1[[#This Row],[DATA PREV - FORMS]]+35)</f>
        <v>46214</v>
      </c>
      <c r="S25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46204</v>
      </c>
      <c r="T25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25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55" s="49">
        <f>MAX(Tabela1[[#This Row],[DATA REAL - POSTAGEM]],Tabela1[[#This Row],[DATA REAL - APROV FINAL]],Tabela1[[#This Row],[DATA REAL - CRACHÁ]])-MIN(Tabela1[[#This Row],[DATA REAL - POSTAGEM]],Tabela1[[#This Row],[DATA REAL - APROV FINAL]],Tabela1[[#This Row],[DATA REAL - CRACHÁ]])+1</f>
        <v>20</v>
      </c>
      <c r="W25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255" s="16" t="s">
        <v>726</v>
      </c>
      <c r="Y255" s="16" t="s">
        <v>150</v>
      </c>
      <c r="Z255" s="80" t="s">
        <v>104</v>
      </c>
      <c r="AA255" s="95" t="s">
        <v>152</v>
      </c>
      <c r="AB255" s="16" t="s">
        <v>97</v>
      </c>
      <c r="AC255" s="16" t="s">
        <v>744</v>
      </c>
      <c r="AD255" s="16" t="s">
        <v>744</v>
      </c>
      <c r="AE255" s="16" t="s">
        <v>745</v>
      </c>
      <c r="AF255" s="16" t="s">
        <v>746</v>
      </c>
      <c r="AG255" s="16" t="str">
        <f>_xlfn.XLOOKUP(Tabela1[[#This Row],[CÓD. CT]],Controle_Projetos[COD CT],Controle_Projetos[COD PHD],"")</f>
        <v>ATNI-CT01-GERE</v>
      </c>
      <c r="AH255" s="21">
        <v>46184</v>
      </c>
      <c r="AI255" s="76">
        <v>46184</v>
      </c>
      <c r="AJ255" s="16" cm="1">
        <f t="array" aca="1" ref="AJ25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5" s="21">
        <v>46184</v>
      </c>
      <c r="AL255" s="74">
        <v>46184</v>
      </c>
      <c r="AM255" s="16" cm="1">
        <f t="array" aca="1" ref="AM25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5" s="21">
        <f>Tabela1[[#This Row],[DATA PREV - FORMS]]+$AN$1</f>
        <v>46191</v>
      </c>
      <c r="AO255" s="74">
        <v>46183</v>
      </c>
      <c r="AP255" s="16" cm="1">
        <f t="array" aca="1" ref="AP25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255" s="21">
        <f>Tabela1[[#This Row],[DATA PREV - EXAMES]]+$AQ$1</f>
        <v>46193</v>
      </c>
      <c r="AR255" s="74">
        <v>46185</v>
      </c>
      <c r="AS255" s="16" cm="1">
        <f t="array" aca="1" ref="AS25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55" s="21">
        <f>Tabela1[[#This Row],[DATA PREV - FORMS]]+$AT$1</f>
        <v>46185</v>
      </c>
      <c r="AU255" s="74">
        <v>46184</v>
      </c>
      <c r="AV255" s="16" cm="1">
        <f t="array" aca="1" ref="AV25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5" s="21">
        <f>Tabela1[[#This Row],[DATA PREV - TREINAMENTOS]]+$AW$1</f>
        <v>46192</v>
      </c>
      <c r="AX255" s="74">
        <v>46184</v>
      </c>
      <c r="AY255" s="16" cm="1">
        <f t="array" aca="1" ref="AY25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5" s="24">
        <v>46184</v>
      </c>
      <c r="BA255" s="74">
        <v>46184</v>
      </c>
      <c r="BB255" s="16" cm="1">
        <f t="array" aca="1" ref="BB25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5" s="21">
        <f>Tabela1[[#This Row],[DATA PREV - CONCL. TREIN.]]+$BC$1</f>
        <v>46194</v>
      </c>
      <c r="BD255" s="74">
        <v>46185</v>
      </c>
      <c r="BE255" s="16" cm="1">
        <f t="array" aca="1" ref="BE25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55" s="21">
        <f>Tabela1[[#This Row],[DATA PREV - DOSSIÊ]]+$BF$1</f>
        <v>46197</v>
      </c>
      <c r="BG255" s="74">
        <v>46185</v>
      </c>
      <c r="BH255" s="16" cm="1">
        <f t="array" aca="1" ref="BH25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55" s="21">
        <f>Tabela1[[#This Row],[DATA PREV - POSTAGEM]]+$BI$1</f>
        <v>46203</v>
      </c>
      <c r="BJ255" s="74"/>
      <c r="BK255" s="16" cm="1">
        <f t="array" aca="1" ref="BK25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55" s="21">
        <f>Tabela1[[#This Row],[DATA PREV - APROV FINAL]]+$BL$1</f>
        <v>46204</v>
      </c>
      <c r="BM255" s="74">
        <v>46204</v>
      </c>
      <c r="BN255" s="16" cm="1">
        <f t="array" aca="1" ref="BN25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255" s="120" t="s">
        <v>752</v>
      </c>
    </row>
    <row r="256" spans="2:67" ht="18" hidden="1" customHeight="1" x14ac:dyDescent="0.35">
      <c r="B256" s="14" t="s">
        <v>79</v>
      </c>
      <c r="C256" s="16" t="s">
        <v>136</v>
      </c>
      <c r="D256" s="16" t="s">
        <v>108</v>
      </c>
      <c r="E256" s="16">
        <v>1103</v>
      </c>
      <c r="F256" s="16" t="s">
        <v>459</v>
      </c>
      <c r="G256" s="16" cm="1">
        <f t="array" ref="G256">_xlfn.IFS(Tabela1[[#This Row],[STATUS PROCESSO MOBILIZAÇÃO]]="Finalizado",1,Tabela1[[#This Row],[STATUS PROCESSO MOBILIZAÇÃO]]="Cancelado",2,Tabela1[[#This Row],[STATUS PROCESSO MOBILIZAÇÃO]]="Em andamento",3)</f>
        <v>1</v>
      </c>
      <c r="H256" s="16" cm="1">
        <f t="array" aca="1" ref="H25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FORMS]]="",$AM256&gt;$AK$1),2,
AND(Tabela1[[#This Row],[STATUS PROCESSO MOBILIZAÇÃO]]="Em andamento",Tabela1[[#This Row],[DATA REAL - FORMS]]="",$AM256&lt;=$AK$1),3,
AND(Tabela1[[#This Row],[STATUS PROCESSO MOBILIZAÇÃO]]="Em andamento",Tabela1[[#This Row],[DATA REAL - FORMS]]&lt;&gt;""),1)</f>
        <v>1</v>
      </c>
      <c r="I256" s="16" cm="1">
        <f t="array" aca="1" ref="I25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EXAMES]]="",$AP256&gt;$AN$1),2,
AND(Tabela1[[#This Row],[STATUS PROCESSO MOBILIZAÇÃO]]="Em andamento",Tabela1[[#This Row],[DATA REAL - EXAMES]]="",$AP256&lt;=$AN$1),3,
AND(Tabela1[[#This Row],[STATUS PROCESSO MOBILIZAÇÃO]]="Em andamento",Tabela1[[#This Row],[DATA REAL - EXAMES]]&lt;&gt;""),1)</f>
        <v>1</v>
      </c>
      <c r="J256" s="16" cm="1">
        <f t="array" aca="1" ref="J25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ASO]]="",$AS256&gt;$AQ$1),2,
AND(Tabela1[[#This Row],[STATUS PROCESSO MOBILIZAÇÃO]]="Em andamento",Tabela1[[#This Row],[DATA REAL - ASO]]="",$AS256&lt;=$AQ$1),3,
AND(Tabela1[[#This Row],[STATUS PROCESSO MOBILIZAÇÃO]]="Em andamento",Tabela1[[#This Row],[DATA REAL - ASO]]&lt;&gt;""),1)</f>
        <v>1</v>
      </c>
      <c r="K256" s="16" cm="1">
        <f t="array" aca="1" ref="K25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TREINAMENTOS]]="",$AV256&gt;$AT$1),2,
AND(Tabela1[[#This Row],[STATUS PROCESSO MOBILIZAÇÃO]]="Em andamento",Tabela1[[#This Row],[DATA REAL - TREINAMENTOS]]="",$AV256&lt;=$AT$1),3,
AND(Tabela1[[#This Row],[STATUS PROCESSO MOBILIZAÇÃO]]="Em andamento",Tabela1[[#This Row],[DATA REAL - TREINAMENTOS]]&lt;&gt;""),1)</f>
        <v>1</v>
      </c>
      <c r="L256" s="16" cm="1">
        <f t="array" aca="1" ref="L25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TREIN.]]="",$AY256&gt;$AW$1),2,
AND(Tabela1[[#This Row],[STATUS PROCESSO MOBILIZAÇÃO]]="Em andamento",Tabela1[[#This Row],[DATA REAL - CONCL. TREIN.]]="",$AY256&lt;=$AW$1),3,
AND(Tabela1[[#This Row],[STATUS PROCESSO MOBILIZAÇÃO]]="Em andamento",Tabela1[[#This Row],[DATA REAL - CONCL. TREIN.]]&lt;&gt;""),1)</f>
        <v>1</v>
      </c>
      <c r="M256" s="16" cm="1">
        <f t="array" aca="1" ref="M25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CONTRATUAL]]="",$BB256&gt;$AZ$1),2,
AND(Tabela1[[#This Row],[STATUS PROCESSO MOBILIZAÇÃO]]="Em andamento",Tabela1[[#This Row],[DATA FIM - ALTER. CONTRATUAL]]="",$BB256&lt;=$AZ$1),3,
AND(Tabela1[[#This Row],[STATUS PROCESSO MOBILIZAÇÃO]]="Em andamento",Tabela1[[#This Row],[DATA FIM - ALTER. CONTRATUAL]]&lt;&gt;""),1)</f>
        <v>1</v>
      </c>
      <c r="N256" s="16" cm="1">
        <f t="array" aca="1" ref="N25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DOSSIÊ]]="",$BE256&gt;$BC$1),2,
AND(Tabela1[[#This Row],[STATUS PROCESSO MOBILIZAÇÃO]]="Em andamento",Tabela1[[#This Row],[DATA REAL - DOSSIÊ]]="",$BE256&lt;=$BC$1),3,
AND(Tabela1[[#This Row],[STATUS PROCESSO MOBILIZAÇÃO]]="Em andamento",Tabela1[[#This Row],[DATA REAL - DOSSIÊ]]&lt;&gt;""),1)</f>
        <v>1</v>
      </c>
      <c r="O256" s="16" cm="1">
        <f t="array" aca="1" ref="O25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POSTAGEM]]="",$BH256&gt;$BF$1),2,
AND(Tabela1[[#This Row],[STATUS PROCESSO MOBILIZAÇÃO]]="Em andamento",Tabela1[[#This Row],[DATA REAL - POSTAGEM]]="",$BH256&lt;=$BF$1),3,
AND(Tabela1[[#This Row],[STATUS PROCESSO MOBILIZAÇÃO]]="Em andamento",Tabela1[[#This Row],[DATA REAL - POSTAGEM]]&lt;&gt;""),1)</f>
        <v>1</v>
      </c>
      <c r="P256" s="16" cm="1">
        <f t="array" aca="1" ref="P25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FINAL]]="",$BK256&gt;$BI$1),2,
AND(Tabela1[[#This Row],[STATUS PROCESSO MOBILIZAÇÃO]]="Em andamento",Tabela1[[#This Row],[DATA REAL - APROV FINAL]]="",$BK256&lt;=$BI$1),3,
AND(Tabela1[[#This Row],[STATUS PROCESSO MOBILIZAÇÃO]]="Em andamento",Tabela1[[#This Row],[DATA REAL - APROV FINAL]]&lt;&gt;""),1)</f>
        <v>1</v>
      </c>
      <c r="Q256" s="16" cm="1">
        <f t="array" aca="1" ref="Q25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CRACHÁ]]="",$BN256&gt;$BL$1),2,
AND(Tabela1[[#This Row],[STATUS PROCESSO MOBILIZAÇÃO]]="Em andamento",Tabela1[[#This Row],[DATA REAL - CRACHÁ]]="",$BN256&lt;=$BL$1),3,
AND(Tabela1[[#This Row],[STATUS PROCESSO MOBILIZAÇÃO]]="Em andamento",Tabela1[[#This Row],[DATA REAL - CRACHÁ]]&lt;&gt;""),1)</f>
        <v>1</v>
      </c>
      <c r="R256" s="21">
        <f>IF(Tabela1[[#This Row],[DATA REAL - FORMS]]&lt;&gt;"",Tabela1[[#This Row],[DATA REAL - FORMS]]+30,Tabela1[[#This Row],[DATA PREV - FORMS]]+35)</f>
        <v>46214</v>
      </c>
      <c r="S25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46224</v>
      </c>
      <c r="T25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41</v>
      </c>
      <c r="U25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56" s="49">
        <f>MAX(Tabela1[[#This Row],[DATA REAL - POSTAGEM]],Tabela1[[#This Row],[DATA REAL - APROV FINAL]],Tabela1[[#This Row],[DATA REAL - CRACHÁ]])-MIN(Tabela1[[#This Row],[DATA REAL - POSTAGEM]],Tabela1[[#This Row],[DATA REAL - APROV FINAL]],Tabela1[[#This Row],[DATA REAL - CRACHÁ]])+1</f>
        <v>35</v>
      </c>
      <c r="W25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X256" s="16" t="s">
        <v>726</v>
      </c>
      <c r="Y256" s="16" t="s">
        <v>150</v>
      </c>
      <c r="Z256" s="80" t="s">
        <v>104</v>
      </c>
      <c r="AA256" s="95" t="s">
        <v>152</v>
      </c>
      <c r="AB256" s="16" t="s">
        <v>97</v>
      </c>
      <c r="AC256" s="16" t="s">
        <v>744</v>
      </c>
      <c r="AD256" s="16" t="s">
        <v>744</v>
      </c>
      <c r="AE256" s="16" t="s">
        <v>745</v>
      </c>
      <c r="AF256" s="16" t="s">
        <v>746</v>
      </c>
      <c r="AG256" s="16" t="str">
        <f>_xlfn.XLOOKUP(Tabela1[[#This Row],[CÓD. CT]],Controle_Projetos[COD CT],Controle_Projetos[COD PHD],"")</f>
        <v>ATNI-CT01-GERE</v>
      </c>
      <c r="AH256" s="21">
        <v>46184</v>
      </c>
      <c r="AI256" s="76">
        <v>46184</v>
      </c>
      <c r="AJ256" s="16" cm="1">
        <f t="array" aca="1" ref="AJ25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6" s="21">
        <v>46184</v>
      </c>
      <c r="AL256" s="74">
        <v>46184</v>
      </c>
      <c r="AM256" s="16" cm="1">
        <f t="array" aca="1" ref="AM25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6" s="21">
        <f>Tabela1[[#This Row],[DATA PREV - FORMS]]+$AN$1</f>
        <v>46191</v>
      </c>
      <c r="AO256" s="74">
        <v>46183</v>
      </c>
      <c r="AP256" s="16" cm="1">
        <f t="array" aca="1" ref="AP25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-7</v>
      </c>
      <c r="AQ256" s="21">
        <f>Tabela1[[#This Row],[DATA PREV - EXAMES]]+$AQ$1</f>
        <v>46193</v>
      </c>
      <c r="AR256" s="74">
        <v>46190</v>
      </c>
      <c r="AS256" s="16" cm="1">
        <f t="array" aca="1" ref="AS25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56" s="21">
        <f>Tabela1[[#This Row],[DATA PREV - FORMS]]+$AT$1</f>
        <v>46185</v>
      </c>
      <c r="AU256" s="74">
        <v>46184</v>
      </c>
      <c r="AV256" s="16" cm="1">
        <f t="array" aca="1" ref="AV25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6" s="21">
        <f>Tabela1[[#This Row],[DATA PREV - TREINAMENTOS]]+$AW$1</f>
        <v>46192</v>
      </c>
      <c r="AX256" s="74">
        <v>46184</v>
      </c>
      <c r="AY256" s="16" cm="1">
        <f t="array" aca="1" ref="AY25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6" s="24">
        <v>46184</v>
      </c>
      <c r="BA256" s="74">
        <v>46184</v>
      </c>
      <c r="BB256" s="16" cm="1">
        <f t="array" aca="1" ref="BB25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6" s="21">
        <f>Tabela1[[#This Row],[DATA PREV - CONCL. TREIN.]]+$BC$1</f>
        <v>46194</v>
      </c>
      <c r="BD256" s="74">
        <v>46190</v>
      </c>
      <c r="BE256" s="16" cm="1">
        <f t="array" aca="1" ref="BE25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56" s="21">
        <f>Tabela1[[#This Row],[DATA PREV - DOSSIÊ]]+$BF$1</f>
        <v>46197</v>
      </c>
      <c r="BG256" s="74">
        <v>46190</v>
      </c>
      <c r="BH256" s="16" cm="1">
        <f t="array" aca="1" ref="BH25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56" s="21">
        <f>Tabela1[[#This Row],[DATA PREV - POSTAGEM]]+$BI$1</f>
        <v>46203</v>
      </c>
      <c r="BJ256" s="74">
        <v>46224</v>
      </c>
      <c r="BK256" s="16" cm="1">
        <f t="array" aca="1" ref="BK25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22</v>
      </c>
      <c r="BL256" s="21">
        <f>Tabela1[[#This Row],[DATA PREV - APROV FINAL]]+$BL$1</f>
        <v>46204</v>
      </c>
      <c r="BM256" s="74">
        <v>46224</v>
      </c>
      <c r="BN256" s="16" cm="1">
        <f t="array" aca="1" ref="BN25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21</v>
      </c>
      <c r="BO256" s="119" t="s">
        <v>753</v>
      </c>
    </row>
    <row r="257" spans="2:67" ht="18" hidden="1" customHeight="1" x14ac:dyDescent="0.35">
      <c r="B257" s="14" t="s">
        <v>79</v>
      </c>
      <c r="C257" s="16" t="s">
        <v>136</v>
      </c>
      <c r="D257" s="16" t="s">
        <v>81</v>
      </c>
      <c r="E257" s="16">
        <v>1124</v>
      </c>
      <c r="F257" s="16" t="s">
        <v>754</v>
      </c>
      <c r="G257" s="16" cm="1">
        <f t="array" ref="G257">_xlfn.IFS(Tabela1[[#This Row],[STATUS PROCESSO MOBILIZAÇÃO]]="Finalizado",1,Tabela1[[#This Row],[STATUS PROCESSO MOBILIZAÇÃO]]="Cancelado",2,Tabela1[[#This Row],[STATUS PROCESSO MOBILIZAÇÃO]]="Em andamento",3)</f>
        <v>1</v>
      </c>
      <c r="H257" s="16" cm="1">
        <f t="array" aca="1" ref="H25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FORMS]]="",$AM257&gt;$AK$1),2,
AND(Tabela1[[#This Row],[STATUS PROCESSO MOBILIZAÇÃO]]="Em andamento",Tabela1[[#This Row],[DATA REAL - FORMS]]="",$AM257&lt;=$AK$1),3,
AND(Tabela1[[#This Row],[STATUS PROCESSO MOBILIZAÇÃO]]="Em andamento",Tabela1[[#This Row],[DATA REAL - FORMS]]&lt;&gt;""),1)</f>
        <v>1</v>
      </c>
      <c r="I257" s="16" cm="1">
        <f t="array" aca="1" ref="I25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EXAMES]]="",$AP257&gt;$AN$1),2,
AND(Tabela1[[#This Row],[STATUS PROCESSO MOBILIZAÇÃO]]="Em andamento",Tabela1[[#This Row],[DATA REAL - EXAMES]]="",$AP257&lt;=$AN$1),3,
AND(Tabela1[[#This Row],[STATUS PROCESSO MOBILIZAÇÃO]]="Em andamento",Tabela1[[#This Row],[DATA REAL - EXAMES]]&lt;&gt;""),1)</f>
        <v>1</v>
      </c>
      <c r="J257" s="16" cm="1">
        <f t="array" aca="1" ref="J25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ASO]]="",$AS257&gt;$AQ$1),2,
AND(Tabela1[[#This Row],[STATUS PROCESSO MOBILIZAÇÃO]]="Em andamento",Tabela1[[#This Row],[DATA REAL - ASO]]="",$AS257&lt;=$AQ$1),3,
AND(Tabela1[[#This Row],[STATUS PROCESSO MOBILIZAÇÃO]]="Em andamento",Tabela1[[#This Row],[DATA REAL - ASO]]&lt;&gt;""),1)</f>
        <v>1</v>
      </c>
      <c r="K257" s="16" cm="1">
        <f t="array" aca="1" ref="K25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TREINAMENTOS]]="",$AV257&gt;$AT$1),2,
AND(Tabela1[[#This Row],[STATUS PROCESSO MOBILIZAÇÃO]]="Em andamento",Tabela1[[#This Row],[DATA REAL - TREINAMENTOS]]="",$AV257&lt;=$AT$1),3,
AND(Tabela1[[#This Row],[STATUS PROCESSO MOBILIZAÇÃO]]="Em andamento",Tabela1[[#This Row],[DATA REAL - TREINAMENTOS]]&lt;&gt;""),1)</f>
        <v>1</v>
      </c>
      <c r="L257" s="16" cm="1">
        <f t="array" aca="1" ref="L25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TREIN.]]="",$AY257&gt;$AW$1),2,
AND(Tabela1[[#This Row],[STATUS PROCESSO MOBILIZAÇÃO]]="Em andamento",Tabela1[[#This Row],[DATA REAL - CONCL. TREIN.]]="",$AY257&lt;=$AW$1),3,
AND(Tabela1[[#This Row],[STATUS PROCESSO MOBILIZAÇÃO]]="Em andamento",Tabela1[[#This Row],[DATA REAL - CONCL. TREIN.]]&lt;&gt;""),1)</f>
        <v>1</v>
      </c>
      <c r="M257" s="16" cm="1">
        <f t="array" aca="1" ref="M25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CONTRATUAL]]="",$BB257&gt;$AZ$1),2,
AND(Tabela1[[#This Row],[STATUS PROCESSO MOBILIZAÇÃO]]="Em andamento",Tabela1[[#This Row],[DATA FIM - ALTER. CONTRATUAL]]="",$BB257&lt;=$AZ$1),3,
AND(Tabela1[[#This Row],[STATUS PROCESSO MOBILIZAÇÃO]]="Em andamento",Tabela1[[#This Row],[DATA FIM - ALTER. CONTRATUAL]]&lt;&gt;""),1)</f>
        <v>1</v>
      </c>
      <c r="N257" s="16" cm="1">
        <f t="array" aca="1" ref="N25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DOSSIÊ]]="",$BE257&gt;$BC$1),2,
AND(Tabela1[[#This Row],[STATUS PROCESSO MOBILIZAÇÃO]]="Em andamento",Tabela1[[#This Row],[DATA REAL - DOSSIÊ]]="",$BE257&lt;=$BC$1),3,
AND(Tabela1[[#This Row],[STATUS PROCESSO MOBILIZAÇÃO]]="Em andamento",Tabela1[[#This Row],[DATA REAL - DOSSIÊ]]&lt;&gt;""),1)</f>
        <v>1</v>
      </c>
      <c r="O257" s="16" cm="1">
        <f t="array" aca="1" ref="O25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POSTAGEM]]="",$BH257&gt;$BF$1),2,
AND(Tabela1[[#This Row],[STATUS PROCESSO MOBILIZAÇÃO]]="Em andamento",Tabela1[[#This Row],[DATA REAL - POSTAGEM]]="",$BH257&lt;=$BF$1),3,
AND(Tabela1[[#This Row],[STATUS PROCESSO MOBILIZAÇÃO]]="Em andamento",Tabela1[[#This Row],[DATA REAL - POSTAGEM]]&lt;&gt;""),1)</f>
        <v>1</v>
      </c>
      <c r="P257" s="16" cm="1">
        <f t="array" aca="1" ref="P25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FINAL]]="",$BK257&gt;$BI$1),2,
AND(Tabela1[[#This Row],[STATUS PROCESSO MOBILIZAÇÃO]]="Em andamento",Tabela1[[#This Row],[DATA REAL - APROV FINAL]]="",$BK257&lt;=$BI$1),3,
AND(Tabela1[[#This Row],[STATUS PROCESSO MOBILIZAÇÃO]]="Em andamento",Tabela1[[#This Row],[DATA REAL - APROV FINAL]]&lt;&gt;""),1)</f>
        <v>1</v>
      </c>
      <c r="Q257" s="16" cm="1">
        <f t="array" aca="1" ref="Q25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CRACHÁ]]="",$BN257&gt;$BL$1),2,
AND(Tabela1[[#This Row],[STATUS PROCESSO MOBILIZAÇÃO]]="Em andamento",Tabela1[[#This Row],[DATA REAL - CRACHÁ]]="",$BN257&lt;=$BL$1),3,
AND(Tabela1[[#This Row],[STATUS PROCESSO MOBILIZAÇÃO]]="Em andamento",Tabela1[[#This Row],[DATA REAL - CRACHÁ]]&lt;&gt;""),1)</f>
        <v>1</v>
      </c>
      <c r="R257" s="21">
        <f>IF(Tabela1[[#This Row],[DATA REAL - FORMS]]&lt;&gt;"",Tabela1[[#This Row],[DATA REAL - FORMS]]+30,Tabela1[[#This Row],[DATA PREV - FORMS]]+35)</f>
        <v>46220</v>
      </c>
      <c r="S25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46205</v>
      </c>
      <c r="T25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25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13</v>
      </c>
      <c r="V257" s="49">
        <f>MAX(Tabela1[[#This Row],[DATA REAL - POSTAGEM]],Tabela1[[#This Row],[DATA REAL - APROV FINAL]],Tabela1[[#This Row],[DATA REAL - CRACHÁ]])-MIN(Tabela1[[#This Row],[DATA REAL - POSTAGEM]],Tabela1[[#This Row],[DATA REAL - APROV FINAL]],Tabela1[[#This Row],[DATA REAL - CRACHÁ]])+1</f>
        <v>2</v>
      </c>
      <c r="W25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7" s="16" t="s">
        <v>110</v>
      </c>
      <c r="Y257" s="16" t="s">
        <v>84</v>
      </c>
      <c r="Z257" s="80" t="str">
        <f>_xlfn.XLOOKUP(Tabela1[[#This Row],[COO PHD]],TabControleEfetivo[NOME],TabControleEfetivo[email (PHD)],"")</f>
        <v>julio.cesar@phdengenharia.eng.br</v>
      </c>
      <c r="AA257" s="96" t="s">
        <v>86</v>
      </c>
      <c r="AB257" s="16" t="s">
        <v>97</v>
      </c>
      <c r="AC257" s="86" t="s">
        <v>622</v>
      </c>
      <c r="AD257" s="16" t="s">
        <v>89</v>
      </c>
      <c r="AE257" s="16" t="s">
        <v>116</v>
      </c>
      <c r="AF257" s="16" t="s">
        <v>117</v>
      </c>
      <c r="AG257" s="86" t="str">
        <f>_xlfn.XLOOKUP(Tabela1[[#This Row],[CÓD. CT]],Controle_Projetos[COD CT],Controle_Projetos[COD PHD],"")</f>
        <v>GCES-CT01-PLAN</v>
      </c>
      <c r="AH257" s="21">
        <v>46190</v>
      </c>
      <c r="AI257" s="76">
        <v>46190</v>
      </c>
      <c r="AJ257" s="16" cm="1">
        <f t="array" aca="1" ref="AJ25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7" s="21">
        <v>46190</v>
      </c>
      <c r="AL257" s="74">
        <v>46190</v>
      </c>
      <c r="AM257" s="16" cm="1">
        <f t="array" aca="1" ref="AM25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7" s="21">
        <f>Tabela1[[#This Row],[DATA PREV - FORMS]]+$AN$1</f>
        <v>46197</v>
      </c>
      <c r="AO257" s="74">
        <v>46198</v>
      </c>
      <c r="AP257" s="16" cm="1">
        <f t="array" aca="1" ref="AP25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2</v>
      </c>
      <c r="AQ257" s="21">
        <f>Tabela1[[#This Row],[DATA PREV - EXAMES]]+$AQ$1</f>
        <v>46199</v>
      </c>
      <c r="AR257" s="74">
        <v>46202</v>
      </c>
      <c r="AS257" s="16" cm="1">
        <f t="array" aca="1" ref="AS25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57" s="21">
        <f>Tabela1[[#This Row],[DATA PREV - FORMS]]+$AT$1</f>
        <v>46191</v>
      </c>
      <c r="AU257" s="74">
        <v>46190</v>
      </c>
      <c r="AV257" s="16" cm="1">
        <f t="array" aca="1" ref="AV25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7" s="21">
        <f>Tabela1[[#This Row],[DATA PREV - TREINAMENTOS]]+$AW$1</f>
        <v>46198</v>
      </c>
      <c r="AX257" s="74">
        <v>46190</v>
      </c>
      <c r="AY257" s="16" cm="1">
        <f t="array" aca="1" ref="AY25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7" s="24">
        <v>46190</v>
      </c>
      <c r="BA257" s="74">
        <v>46190</v>
      </c>
      <c r="BB257" s="16" cm="1">
        <f t="array" aca="1" ref="BB25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7" s="21">
        <f>Tabela1[[#This Row],[DATA PREV - CONCL. TREIN.]]+$BC$1</f>
        <v>46200</v>
      </c>
      <c r="BD257" s="74">
        <v>46203</v>
      </c>
      <c r="BE257" s="16" cm="1">
        <f t="array" aca="1" ref="BE25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257" s="21">
        <f>Tabela1[[#This Row],[DATA PREV - DOSSIÊ]]+$BF$1</f>
        <v>46203</v>
      </c>
      <c r="BG257" s="74">
        <v>46204</v>
      </c>
      <c r="BH257" s="16" cm="1">
        <f t="array" aca="1" ref="BH25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57" s="21">
        <f>Tabela1[[#This Row],[DATA PREV - POSTAGEM]]+$BI$1</f>
        <v>46209</v>
      </c>
      <c r="BJ257" s="74">
        <v>46205</v>
      </c>
      <c r="BK257" s="16" cm="1">
        <f t="array" aca="1" ref="BK25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57" s="21">
        <f>Tabela1[[#This Row],[DATA PREV - APROV FINAL]]+$BL$1</f>
        <v>46210</v>
      </c>
      <c r="BM257" s="74">
        <v>46205</v>
      </c>
      <c r="BN257" s="16" cm="1">
        <f t="array" aca="1" ref="BN25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57" s="81" t="s">
        <v>755</v>
      </c>
    </row>
    <row r="258" spans="2:67" ht="18" hidden="1" customHeight="1" x14ac:dyDescent="0.35">
      <c r="B258" s="14" t="s">
        <v>79</v>
      </c>
      <c r="C258" s="16" t="s">
        <v>136</v>
      </c>
      <c r="D258" s="16" t="s">
        <v>108</v>
      </c>
      <c r="E258" s="16"/>
      <c r="F258" s="16" t="s">
        <v>756</v>
      </c>
      <c r="G258" s="16" cm="1">
        <f t="array" ref="G258">_xlfn.IFS(Tabela1[[#This Row],[STATUS PROCESSO MOBILIZAÇÃO]]="Finalizado",1,Tabela1[[#This Row],[STATUS PROCESSO MOBILIZAÇÃO]]="Cancelado",2,Tabela1[[#This Row],[STATUS PROCESSO MOBILIZAÇÃO]]="Em andamento",3)</f>
        <v>1</v>
      </c>
      <c r="H258" s="16" cm="1">
        <f t="array" aca="1" ref="H25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FORMS]]="",$AM258&gt;$AK$1),2,
AND(Tabela1[[#This Row],[STATUS PROCESSO MOBILIZAÇÃO]]="Em andamento",Tabela1[[#This Row],[DATA REAL - FORMS]]="",$AM258&lt;=$AK$1),3,
AND(Tabela1[[#This Row],[STATUS PROCESSO MOBILIZAÇÃO]]="Em andamento",Tabela1[[#This Row],[DATA REAL - FORMS]]&lt;&gt;""),1)</f>
        <v>1</v>
      </c>
      <c r="I258" s="16" cm="1">
        <f t="array" aca="1" ref="I25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EXAMES]]="",$AP258&gt;$AN$1),2,
AND(Tabela1[[#This Row],[STATUS PROCESSO MOBILIZAÇÃO]]="Em andamento",Tabela1[[#This Row],[DATA REAL - EXAMES]]="",$AP258&lt;=$AN$1),3,
AND(Tabela1[[#This Row],[STATUS PROCESSO MOBILIZAÇÃO]]="Em andamento",Tabela1[[#This Row],[DATA REAL - EXAMES]]&lt;&gt;""),1)</f>
        <v>1</v>
      </c>
      <c r="J258" s="16" cm="1">
        <f t="array" aca="1" ref="J25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ASO]]="",$AS258&gt;$AQ$1),2,
AND(Tabela1[[#This Row],[STATUS PROCESSO MOBILIZAÇÃO]]="Em andamento",Tabela1[[#This Row],[DATA REAL - ASO]]="",$AS258&lt;=$AQ$1),3,
AND(Tabela1[[#This Row],[STATUS PROCESSO MOBILIZAÇÃO]]="Em andamento",Tabela1[[#This Row],[DATA REAL - ASO]]&lt;&gt;""),1)</f>
        <v>1</v>
      </c>
      <c r="K258" s="16" cm="1">
        <f t="array" aca="1" ref="K25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TREINAMENTOS]]="",$AV258&gt;$AT$1),2,
AND(Tabela1[[#This Row],[STATUS PROCESSO MOBILIZAÇÃO]]="Em andamento",Tabela1[[#This Row],[DATA REAL - TREINAMENTOS]]="",$AV258&lt;=$AT$1),3,
AND(Tabela1[[#This Row],[STATUS PROCESSO MOBILIZAÇÃO]]="Em andamento",Tabela1[[#This Row],[DATA REAL - TREINAMENTOS]]&lt;&gt;""),1)</f>
        <v>1</v>
      </c>
      <c r="L258" s="16" cm="1">
        <f t="array" aca="1" ref="L25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TREIN.]]="",$AY258&gt;$AW$1),2,
AND(Tabela1[[#This Row],[STATUS PROCESSO MOBILIZAÇÃO]]="Em andamento",Tabela1[[#This Row],[DATA REAL - CONCL. TREIN.]]="",$AY258&lt;=$AW$1),3,
AND(Tabela1[[#This Row],[STATUS PROCESSO MOBILIZAÇÃO]]="Em andamento",Tabela1[[#This Row],[DATA REAL - CONCL. TREIN.]]&lt;&gt;""),1)</f>
        <v>1</v>
      </c>
      <c r="M258" s="16" cm="1">
        <f t="array" aca="1" ref="M25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CONTRATUAL]]="",$BB258&gt;$AZ$1),2,
AND(Tabela1[[#This Row],[STATUS PROCESSO MOBILIZAÇÃO]]="Em andamento",Tabela1[[#This Row],[DATA FIM - ALTER. CONTRATUAL]]="",$BB258&lt;=$AZ$1),3,
AND(Tabela1[[#This Row],[STATUS PROCESSO MOBILIZAÇÃO]]="Em andamento",Tabela1[[#This Row],[DATA FIM - ALTER. CONTRATUAL]]&lt;&gt;""),1)</f>
        <v>1</v>
      </c>
      <c r="N258" s="16" cm="1">
        <f t="array" aca="1" ref="N25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DOSSIÊ]]="",$BE258&gt;$BC$1),2,
AND(Tabela1[[#This Row],[STATUS PROCESSO MOBILIZAÇÃO]]="Em andamento",Tabela1[[#This Row],[DATA REAL - DOSSIÊ]]="",$BE258&lt;=$BC$1),3,
AND(Tabela1[[#This Row],[STATUS PROCESSO MOBILIZAÇÃO]]="Em andamento",Tabela1[[#This Row],[DATA REAL - DOSSIÊ]]&lt;&gt;""),1)</f>
        <v>1</v>
      </c>
      <c r="O258" s="16" cm="1">
        <f t="array" aca="1" ref="O25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POSTAGEM]]="",$BH258&gt;$BF$1),2,
AND(Tabela1[[#This Row],[STATUS PROCESSO MOBILIZAÇÃO]]="Em andamento",Tabela1[[#This Row],[DATA REAL - POSTAGEM]]="",$BH258&lt;=$BF$1),3,
AND(Tabela1[[#This Row],[STATUS PROCESSO MOBILIZAÇÃO]]="Em andamento",Tabela1[[#This Row],[DATA REAL - POSTAGEM]]&lt;&gt;""),1)</f>
        <v>1</v>
      </c>
      <c r="P258" s="16" cm="1">
        <f t="array" aca="1" ref="P25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FINAL]]="",$BK258&gt;$BI$1),2,
AND(Tabela1[[#This Row],[STATUS PROCESSO MOBILIZAÇÃO]]="Em andamento",Tabela1[[#This Row],[DATA REAL - APROV FINAL]]="",$BK258&lt;=$BI$1),3,
AND(Tabela1[[#This Row],[STATUS PROCESSO MOBILIZAÇÃO]]="Em andamento",Tabela1[[#This Row],[DATA REAL - APROV FINAL]]&lt;&gt;""),1)</f>
        <v>1</v>
      </c>
      <c r="Q258" s="16" cm="1">
        <f t="array" aca="1" ref="Q25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CRACHÁ]]="",$BN258&gt;$BL$1),2,
AND(Tabela1[[#This Row],[STATUS PROCESSO MOBILIZAÇÃO]]="Em andamento",Tabela1[[#This Row],[DATA REAL - CRACHÁ]]="",$BN258&lt;=$BL$1),3,
AND(Tabela1[[#This Row],[STATUS PROCESSO MOBILIZAÇÃO]]="Em andamento",Tabela1[[#This Row],[DATA REAL - CRACHÁ]]&lt;&gt;""),1)</f>
        <v>1</v>
      </c>
      <c r="R258" s="21">
        <f>IF(Tabela1[[#This Row],[DATA REAL - FORMS]]&lt;&gt;"",Tabela1[[#This Row],[DATA REAL - FORMS]]+30,Tabela1[[#This Row],[DATA PREV - FORMS]]+35)</f>
        <v>46227</v>
      </c>
      <c r="S25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46219</v>
      </c>
      <c r="T25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22</v>
      </c>
      <c r="U25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58" s="49">
        <f>MAX(Tabela1[[#This Row],[DATA REAL - POSTAGEM]],Tabela1[[#This Row],[DATA REAL - APROV FINAL]],Tabela1[[#This Row],[DATA REAL - CRACHÁ]])-MIN(Tabela1[[#This Row],[DATA REAL - POSTAGEM]],Tabela1[[#This Row],[DATA REAL - APROV FINAL]],Tabela1[[#This Row],[DATA REAL - CRACHÁ]])+1</f>
        <v>17</v>
      </c>
      <c r="W25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8" s="16" t="s">
        <v>726</v>
      </c>
      <c r="Y258" s="16" t="s">
        <v>150</v>
      </c>
      <c r="Z258" s="80" t="s">
        <v>104</v>
      </c>
      <c r="AA258" s="95" t="s">
        <v>152</v>
      </c>
      <c r="AB258" s="16" t="s">
        <v>97</v>
      </c>
      <c r="AC258" s="16" t="s">
        <v>744</v>
      </c>
      <c r="AD258" s="16" t="s">
        <v>744</v>
      </c>
      <c r="AE258" s="16" t="s">
        <v>745</v>
      </c>
      <c r="AF258" s="16" t="s">
        <v>746</v>
      </c>
      <c r="AG258" s="16" t="str">
        <f>_xlfn.XLOOKUP(Tabela1[[#This Row],[CÓD. CT]],Controle_Projetos[COD CT],Controle_Projetos[COD PHD],"")</f>
        <v>ATNI-CT01-GERE</v>
      </c>
      <c r="AH258" s="21">
        <v>46197</v>
      </c>
      <c r="AI258" s="76">
        <v>46197</v>
      </c>
      <c r="AJ258" s="16" cm="1">
        <f t="array" aca="1" ref="AJ25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8" s="21">
        <v>46197</v>
      </c>
      <c r="AL258" s="74">
        <v>46197</v>
      </c>
      <c r="AM258" s="16" cm="1">
        <f t="array" aca="1" ref="AM25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8" s="21">
        <f>Tabela1[[#This Row],[DATA PREV - FORMS]]+$AN$1</f>
        <v>46204</v>
      </c>
      <c r="AO258" s="74">
        <v>46197</v>
      </c>
      <c r="AP258" s="16" cm="1">
        <f t="array" aca="1" ref="AP25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8" s="21">
        <f>Tabela1[[#This Row],[DATA PREV - EXAMES]]+$AQ$1</f>
        <v>46206</v>
      </c>
      <c r="AR258" s="74">
        <v>46197</v>
      </c>
      <c r="AS258" s="16" cm="1">
        <f t="array" aca="1" ref="AS25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58" s="21">
        <f>Tabela1[[#This Row],[DATA PREV - FORMS]]+$AT$1</f>
        <v>46198</v>
      </c>
      <c r="AU258" s="74">
        <v>46197</v>
      </c>
      <c r="AV258" s="16" cm="1">
        <f t="array" aca="1" ref="AV25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8" s="21">
        <f>Tabela1[[#This Row],[DATA PREV - TREINAMENTOS]]+$AW$1</f>
        <v>46205</v>
      </c>
      <c r="AX258" s="74">
        <v>46197</v>
      </c>
      <c r="AY258" s="16" cm="1">
        <f t="array" aca="1" ref="AY25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58" s="24">
        <v>46197</v>
      </c>
      <c r="BA258" s="74">
        <v>46197</v>
      </c>
      <c r="BB258" s="16" cm="1">
        <f t="array" aca="1" ref="BB25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8" s="21">
        <f>Tabela1[[#This Row],[DATA PREV - CONCL. TREIN.]]+$BC$1</f>
        <v>46207</v>
      </c>
      <c r="BD258" s="74">
        <v>46203</v>
      </c>
      <c r="BE258" s="16" cm="1">
        <f t="array" aca="1" ref="BE25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58" s="21">
        <f>Tabela1[[#This Row],[DATA PREV - DOSSIÊ]]+$BF$1</f>
        <v>46210</v>
      </c>
      <c r="BG258" s="74">
        <v>46203</v>
      </c>
      <c r="BH258" s="16" cm="1">
        <f t="array" aca="1" ref="BH25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58" s="21">
        <f>Tabela1[[#This Row],[DATA PREV - POSTAGEM]]+$BI$1</f>
        <v>46216</v>
      </c>
      <c r="BJ258" s="74">
        <v>46219</v>
      </c>
      <c r="BK258" s="16" cm="1">
        <f t="array" aca="1" ref="BK25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258" s="21">
        <f>Tabela1[[#This Row],[DATA PREV - APROV FINAL]]+$BL$1</f>
        <v>46217</v>
      </c>
      <c r="BM258" s="74">
        <v>46219</v>
      </c>
      <c r="BN258" s="16" cm="1">
        <f t="array" aca="1" ref="BN25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v>
      </c>
      <c r="BO258" s="81" t="s">
        <v>757</v>
      </c>
    </row>
    <row r="259" spans="2:67" ht="18" hidden="1" customHeight="1" x14ac:dyDescent="0.35">
      <c r="B259" s="14" t="s">
        <v>79</v>
      </c>
      <c r="C259" s="16" t="s">
        <v>136</v>
      </c>
      <c r="D259" s="16" t="s">
        <v>81</v>
      </c>
      <c r="E259" s="16">
        <v>1149</v>
      </c>
      <c r="F259" s="16" t="s">
        <v>758</v>
      </c>
      <c r="G259" s="16" cm="1">
        <f t="array" ref="G259">_xlfn.IFS(Tabela1[[#This Row],[STATUS PROCESSO MOBILIZAÇÃO]]="Finalizado",1,Tabela1[[#This Row],[STATUS PROCESSO MOBILIZAÇÃO]]="Cancelado",2,Tabela1[[#This Row],[STATUS PROCESSO MOBILIZAÇÃO]]="Em andamento",3)</f>
        <v>1</v>
      </c>
      <c r="H259" s="16" cm="1">
        <f t="array" aca="1" ref="H25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FORMS]]="",$AM259&gt;$AK$1),2,
AND(Tabela1[[#This Row],[STATUS PROCESSO MOBILIZAÇÃO]]="Em andamento",Tabela1[[#This Row],[DATA REAL - FORMS]]="",$AM259&lt;=$AK$1),3,
AND(Tabela1[[#This Row],[STATUS PROCESSO MOBILIZAÇÃO]]="Em andamento",Tabela1[[#This Row],[DATA REAL - FORMS]]&lt;&gt;""),1)</f>
        <v>1</v>
      </c>
      <c r="I259" s="16" cm="1">
        <f t="array" aca="1" ref="I25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EXAMES]]="",$AP259&gt;$AN$1),2,
AND(Tabela1[[#This Row],[STATUS PROCESSO MOBILIZAÇÃO]]="Em andamento",Tabela1[[#This Row],[DATA REAL - EXAMES]]="",$AP259&lt;=$AN$1),3,
AND(Tabela1[[#This Row],[STATUS PROCESSO MOBILIZAÇÃO]]="Em andamento",Tabela1[[#This Row],[DATA REAL - EXAMES]]&lt;&gt;""),1)</f>
        <v>1</v>
      </c>
      <c r="J259" s="16" cm="1">
        <f t="array" aca="1" ref="J25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ASO]]="",$AS259&gt;$AQ$1),2,
AND(Tabela1[[#This Row],[STATUS PROCESSO MOBILIZAÇÃO]]="Em andamento",Tabela1[[#This Row],[DATA REAL - ASO]]="",$AS259&lt;=$AQ$1),3,
AND(Tabela1[[#This Row],[STATUS PROCESSO MOBILIZAÇÃO]]="Em andamento",Tabela1[[#This Row],[DATA REAL - ASO]]&lt;&gt;""),1)</f>
        <v>1</v>
      </c>
      <c r="K259" s="16" cm="1">
        <f t="array" aca="1" ref="K25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TREINAMENTOS]]="",$AV259&gt;$AT$1),2,
AND(Tabela1[[#This Row],[STATUS PROCESSO MOBILIZAÇÃO]]="Em andamento",Tabela1[[#This Row],[DATA REAL - TREINAMENTOS]]="",$AV259&lt;=$AT$1),3,
AND(Tabela1[[#This Row],[STATUS PROCESSO MOBILIZAÇÃO]]="Em andamento",Tabela1[[#This Row],[DATA REAL - TREINAMENTOS]]&lt;&gt;""),1)</f>
        <v>1</v>
      </c>
      <c r="L259" s="16" cm="1">
        <f t="array" aca="1" ref="L25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TREIN.]]="",$AY259&gt;$AW$1),2,
AND(Tabela1[[#This Row],[STATUS PROCESSO MOBILIZAÇÃO]]="Em andamento",Tabela1[[#This Row],[DATA REAL - CONCL. TREIN.]]="",$AY259&lt;=$AW$1),3,
AND(Tabela1[[#This Row],[STATUS PROCESSO MOBILIZAÇÃO]]="Em andamento",Tabela1[[#This Row],[DATA REAL - CONCL. TREIN.]]&lt;&gt;""),1)</f>
        <v>1</v>
      </c>
      <c r="M259" s="16" cm="1">
        <f t="array" aca="1" ref="M25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CONTRATUAL]]="",$BB259&gt;$AZ$1),2,
AND(Tabela1[[#This Row],[STATUS PROCESSO MOBILIZAÇÃO]]="Em andamento",Tabela1[[#This Row],[DATA FIM - ALTER. CONTRATUAL]]="",$BB259&lt;=$AZ$1),3,
AND(Tabela1[[#This Row],[STATUS PROCESSO MOBILIZAÇÃO]]="Em andamento",Tabela1[[#This Row],[DATA FIM - ALTER. CONTRATUAL]]&lt;&gt;""),1)</f>
        <v>1</v>
      </c>
      <c r="N259" s="16" cm="1">
        <f t="array" aca="1" ref="N25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DOSSIÊ]]="",$BE259&gt;$BC$1),2,
AND(Tabela1[[#This Row],[STATUS PROCESSO MOBILIZAÇÃO]]="Em andamento",Tabela1[[#This Row],[DATA REAL - DOSSIÊ]]="",$BE259&lt;=$BC$1),3,
AND(Tabela1[[#This Row],[STATUS PROCESSO MOBILIZAÇÃO]]="Em andamento",Tabela1[[#This Row],[DATA REAL - DOSSIÊ]]&lt;&gt;""),1)</f>
        <v>1</v>
      </c>
      <c r="O259" s="16" cm="1">
        <f t="array" aca="1" ref="O25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POSTAGEM]]="",$BH259&gt;$BF$1),2,
AND(Tabela1[[#This Row],[STATUS PROCESSO MOBILIZAÇÃO]]="Em andamento",Tabela1[[#This Row],[DATA REAL - POSTAGEM]]="",$BH259&lt;=$BF$1),3,
AND(Tabela1[[#This Row],[STATUS PROCESSO MOBILIZAÇÃO]]="Em andamento",Tabela1[[#This Row],[DATA REAL - POSTAGEM]]&lt;&gt;""),1)</f>
        <v>1</v>
      </c>
      <c r="P259" s="16" cm="1">
        <f t="array" aca="1" ref="P25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FINAL]]="",$BK259&gt;$BI$1),2,
AND(Tabela1[[#This Row],[STATUS PROCESSO MOBILIZAÇÃO]]="Em andamento",Tabela1[[#This Row],[DATA REAL - APROV FINAL]]="",$BK259&lt;=$BI$1),3,
AND(Tabela1[[#This Row],[STATUS PROCESSO MOBILIZAÇÃO]]="Em andamento",Tabela1[[#This Row],[DATA REAL - APROV FINAL]]&lt;&gt;""),1)</f>
        <v>1</v>
      </c>
      <c r="Q259" s="16" cm="1">
        <f t="array" aca="1" ref="Q25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CRACHÁ]]="",$BN259&gt;$BL$1),2,
AND(Tabela1[[#This Row],[STATUS PROCESSO MOBILIZAÇÃO]]="Em andamento",Tabela1[[#This Row],[DATA REAL - CRACHÁ]]="",$BN259&lt;=$BL$1),3,
AND(Tabela1[[#This Row],[STATUS PROCESSO MOBILIZAÇÃO]]="Em andamento",Tabela1[[#This Row],[DATA REAL - CRACHÁ]]&lt;&gt;""),1)</f>
        <v>1</v>
      </c>
      <c r="R259" s="21">
        <f>IF(Tabela1[[#This Row],[DATA REAL - FORMS]]&lt;&gt;"",Tabela1[[#This Row],[DATA REAL - FORMS]]+30,Tabela1[[#This Row],[DATA PREV - FORMS]]+35)</f>
        <v>46228</v>
      </c>
      <c r="S25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46219</v>
      </c>
      <c r="T25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25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259" s="49">
        <f>MAX(Tabela1[[#This Row],[DATA REAL - POSTAGEM]],Tabela1[[#This Row],[DATA REAL - APROV FINAL]],Tabela1[[#This Row],[DATA REAL - CRACHÁ]])-MIN(Tabela1[[#This Row],[DATA REAL - POSTAGEM]],Tabela1[[#This Row],[DATA REAL - APROV FINAL]],Tabela1[[#This Row],[DATA REAL - CRACHÁ]])+1</f>
        <v>8</v>
      </c>
      <c r="W25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59" s="16" t="s">
        <v>149</v>
      </c>
      <c r="Y259" s="16" t="s">
        <v>150</v>
      </c>
      <c r="Z259" s="80" t="str">
        <f>_xlfn.XLOOKUP(Tabela1[[#This Row],[COO PHD]],TabControleEfetivo[NOME],TabControleEfetivo[email (PHD)],"")</f>
        <v>diogo.soares@phdengenharia.eng.br</v>
      </c>
      <c r="AA259" s="95" t="s">
        <v>152</v>
      </c>
      <c r="AB259" s="16" t="s">
        <v>632</v>
      </c>
      <c r="AC259" s="16" t="s">
        <v>455</v>
      </c>
      <c r="AD259" s="16" t="s">
        <v>455</v>
      </c>
      <c r="AE259" s="16" t="s">
        <v>669</v>
      </c>
      <c r="AF259" s="16" t="s">
        <v>670</v>
      </c>
      <c r="AG259" s="16" t="str">
        <f>_xlfn.XLOOKUP(Tabela1[[#This Row],[CÓD. CT]],Controle_Projetos[COD CT],Controle_Projetos[COD PHD],"")</f>
        <v>AURA-CT03-BORB</v>
      </c>
      <c r="AH259" s="21">
        <v>46198</v>
      </c>
      <c r="AI259" s="76">
        <v>46198</v>
      </c>
      <c r="AJ259" s="16" cm="1">
        <f t="array" aca="1" ref="AJ25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59" s="21">
        <v>46198</v>
      </c>
      <c r="AL259" s="76">
        <v>46198</v>
      </c>
      <c r="AM259" s="16" cm="1">
        <f t="array" aca="1" ref="AM25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59" s="21">
        <f>Tabela1[[#This Row],[DATA PREV - FORMS]]+$AN$1</f>
        <v>46205</v>
      </c>
      <c r="AO259" s="74">
        <v>46198</v>
      </c>
      <c r="AP259" s="16" cm="1">
        <f t="array" aca="1" ref="AP25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59" s="21">
        <f>Tabela1[[#This Row],[DATA PREV - EXAMES]]+$AQ$1</f>
        <v>46207</v>
      </c>
      <c r="AR259" s="74">
        <v>46199</v>
      </c>
      <c r="AS259" s="16" cm="1">
        <f t="array" aca="1" ref="AS25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59" s="21">
        <f>Tabela1[[#This Row],[DATA PREV - FORMS]]+$AT$1</f>
        <v>46199</v>
      </c>
      <c r="AU259" s="74">
        <v>46198</v>
      </c>
      <c r="AV259" s="16" cm="1">
        <f t="array" aca="1" ref="AV25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59" s="21">
        <f>Tabela1[[#This Row],[DATA PREV - TREINAMENTOS]]+$AW$1</f>
        <v>46206</v>
      </c>
      <c r="AX259" s="74">
        <v>46199</v>
      </c>
      <c r="AY259" s="16" cm="1">
        <f t="array" aca="1" ref="AY25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59" s="24">
        <v>46198</v>
      </c>
      <c r="BA259" s="74">
        <v>46198</v>
      </c>
      <c r="BB259" s="16" cm="1">
        <f t="array" aca="1" ref="BB25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59" s="21">
        <f>Tabela1[[#This Row],[DATA PREV - CONCL. TREIN.]]+$BC$1</f>
        <v>46208</v>
      </c>
      <c r="BD259" s="74">
        <v>46212</v>
      </c>
      <c r="BE259" s="16" cm="1">
        <f t="array" aca="1" ref="BE25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59" s="21">
        <f>Tabela1[[#This Row],[DATA PREV - DOSSIÊ]]+$BF$1</f>
        <v>46211</v>
      </c>
      <c r="BG259" s="74">
        <v>46212</v>
      </c>
      <c r="BH259" s="16" cm="1">
        <f t="array" aca="1" ref="BH25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59" s="21">
        <f>Tabela1[[#This Row],[DATA PREV - POSTAGEM]]+$BI$1</f>
        <v>46217</v>
      </c>
      <c r="BJ259" s="74">
        <v>46219</v>
      </c>
      <c r="BK259" s="16" cm="1">
        <f t="array" aca="1" ref="BK25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59" s="21">
        <f>Tabela1[[#This Row],[DATA PREV - APROV FINAL]]+$BL$1</f>
        <v>46218</v>
      </c>
      <c r="BM259" s="74">
        <v>46219</v>
      </c>
      <c r="BN259" s="16" cm="1">
        <f t="array" aca="1" ref="BN25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59" s="81" t="s">
        <v>759</v>
      </c>
    </row>
    <row r="260" spans="2:67" ht="18" hidden="1" customHeight="1" x14ac:dyDescent="0.35">
      <c r="B260" s="14" t="s">
        <v>79</v>
      </c>
      <c r="C260" s="16" t="s">
        <v>136</v>
      </c>
      <c r="D260" s="16" t="s">
        <v>108</v>
      </c>
      <c r="E260" s="16">
        <v>1162</v>
      </c>
      <c r="F260" s="16" t="s">
        <v>223</v>
      </c>
      <c r="G260" s="16" cm="1">
        <f t="array" ref="G260">_xlfn.IFS(Tabela1[[#This Row],[STATUS PROCESSO MOBILIZAÇÃO]]="Finalizado",1,Tabela1[[#This Row],[STATUS PROCESSO MOBILIZAÇÃO]]="Cancelado",2,Tabela1[[#This Row],[STATUS PROCESSO MOBILIZAÇÃO]]="Em andamento",3)</f>
        <v>1</v>
      </c>
      <c r="H260" s="16" cm="1">
        <f t="array" aca="1" ref="H26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FORMS]]="",$AM260&gt;$AK$1),2,
AND(Tabela1[[#This Row],[STATUS PROCESSO MOBILIZAÇÃO]]="Em andamento",Tabela1[[#This Row],[DATA REAL - FORMS]]="",$AM260&lt;=$AK$1),3,
AND(Tabela1[[#This Row],[STATUS PROCESSO MOBILIZAÇÃO]]="Em andamento",Tabela1[[#This Row],[DATA REAL - FORMS]]&lt;&gt;""),1)</f>
        <v>1</v>
      </c>
      <c r="I260" s="16" cm="1">
        <f t="array" aca="1" ref="I26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EXAMES]]="",$AP260&gt;$AN$1),2,
AND(Tabela1[[#This Row],[STATUS PROCESSO MOBILIZAÇÃO]]="Em andamento",Tabela1[[#This Row],[DATA REAL - EXAMES]]="",$AP260&lt;=$AN$1),3,
AND(Tabela1[[#This Row],[STATUS PROCESSO MOBILIZAÇÃO]]="Em andamento",Tabela1[[#This Row],[DATA REAL - EXAMES]]&lt;&gt;""),1)</f>
        <v>1</v>
      </c>
      <c r="J260" s="16" cm="1">
        <f t="array" aca="1" ref="J26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ASO]]="",$AS260&gt;$AQ$1),2,
AND(Tabela1[[#This Row],[STATUS PROCESSO MOBILIZAÇÃO]]="Em andamento",Tabela1[[#This Row],[DATA REAL - ASO]]="",$AS260&lt;=$AQ$1),3,
AND(Tabela1[[#This Row],[STATUS PROCESSO MOBILIZAÇÃO]]="Em andamento",Tabela1[[#This Row],[DATA REAL - ASO]]&lt;&gt;""),1)</f>
        <v>0</v>
      </c>
      <c r="K260" s="16" cm="1">
        <f t="array" aca="1" ref="K26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TREINAMENTOS]]="",$AV260&gt;$AT$1),2,
AND(Tabela1[[#This Row],[STATUS PROCESSO MOBILIZAÇÃO]]="Em andamento",Tabela1[[#This Row],[DATA REAL - TREINAMENTOS]]="",$AV260&lt;=$AT$1),3,
AND(Tabela1[[#This Row],[STATUS PROCESSO MOBILIZAÇÃO]]="Em andamento",Tabela1[[#This Row],[DATA REAL - TREINAMENTOS]]&lt;&gt;""),1)</f>
        <v>1</v>
      </c>
      <c r="L260" s="16" cm="1">
        <f t="array" aca="1" ref="L26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TREIN.]]="",$AY260&gt;$AW$1),2,
AND(Tabela1[[#This Row],[STATUS PROCESSO MOBILIZAÇÃO]]="Em andamento",Tabela1[[#This Row],[DATA REAL - CONCL. TREIN.]]="",$AY260&lt;=$AW$1),3,
AND(Tabela1[[#This Row],[STATUS PROCESSO MOBILIZAÇÃO]]="Em andamento",Tabela1[[#This Row],[DATA REAL - CONCL. TREIN.]]&lt;&gt;""),1)</f>
        <v>1</v>
      </c>
      <c r="M260" s="16" cm="1">
        <f t="array" aca="1" ref="M26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CONTRATUAL]]="",$BB260&gt;$AZ$1),2,
AND(Tabela1[[#This Row],[STATUS PROCESSO MOBILIZAÇÃO]]="Em andamento",Tabela1[[#This Row],[DATA FIM - ALTER. CONTRATUAL]]="",$BB260&lt;=$AZ$1),3,
AND(Tabela1[[#This Row],[STATUS PROCESSO MOBILIZAÇÃO]]="Em andamento",Tabela1[[#This Row],[DATA FIM - ALTER. CONTRATUAL]]&lt;&gt;""),1)</f>
        <v>1</v>
      </c>
      <c r="N260" s="16" cm="1">
        <f t="array" aca="1" ref="N26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DOSSIÊ]]="",$BE260&gt;$BC$1),2,
AND(Tabela1[[#This Row],[STATUS PROCESSO MOBILIZAÇÃO]]="Em andamento",Tabela1[[#This Row],[DATA REAL - DOSSIÊ]]="",$BE260&lt;=$BC$1),3,
AND(Tabela1[[#This Row],[STATUS PROCESSO MOBILIZAÇÃO]]="Em andamento",Tabela1[[#This Row],[DATA REAL - DOSSIÊ]]&lt;&gt;""),1)</f>
        <v>1</v>
      </c>
      <c r="O260" s="16" cm="1">
        <f t="array" aca="1" ref="O26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POSTAGEM]]="",$BH260&gt;$BF$1),2,
AND(Tabela1[[#This Row],[STATUS PROCESSO MOBILIZAÇÃO]]="Em andamento",Tabela1[[#This Row],[DATA REAL - POSTAGEM]]="",$BH260&lt;=$BF$1),3,
AND(Tabela1[[#This Row],[STATUS PROCESSO MOBILIZAÇÃO]]="Em andamento",Tabela1[[#This Row],[DATA REAL - POSTAGEM]]&lt;&gt;""),1)</f>
        <v>1</v>
      </c>
      <c r="P260" s="16" cm="1">
        <f t="array" aca="1" ref="P26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FINAL]]="",$BK260&gt;$BI$1),2,
AND(Tabela1[[#This Row],[STATUS PROCESSO MOBILIZAÇÃO]]="Em andamento",Tabela1[[#This Row],[DATA REAL - APROV FINAL]]="",$BK260&lt;=$BI$1),3,
AND(Tabela1[[#This Row],[STATUS PROCESSO MOBILIZAÇÃO]]="Em andamento",Tabela1[[#This Row],[DATA REAL - APROV FINAL]]&lt;&gt;""),1)</f>
        <v>1</v>
      </c>
      <c r="Q260" s="16" cm="1">
        <f t="array" aca="1" ref="Q26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CRACHÁ]]="",$BN260&gt;$BL$1),2,
AND(Tabela1[[#This Row],[STATUS PROCESSO MOBILIZAÇÃO]]="Em andamento",Tabela1[[#This Row],[DATA REAL - CRACHÁ]]="",$BN260&lt;=$BL$1),3,
AND(Tabela1[[#This Row],[STATUS PROCESSO MOBILIZAÇÃO]]="Em andamento",Tabela1[[#This Row],[DATA REAL - CRACHÁ]]&lt;&gt;""),1)</f>
        <v>1</v>
      </c>
      <c r="R260" s="21">
        <f>IF(Tabela1[[#This Row],[DATA REAL - FORMS]]&lt;&gt;"",Tabela1[[#This Row],[DATA REAL - FORMS]]+30,Tabela1[[#This Row],[DATA PREV - FORMS]]+35)</f>
        <v>46235</v>
      </c>
      <c r="S26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46232</v>
      </c>
      <c r="T26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27</v>
      </c>
      <c r="U26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260" s="49">
        <f>MAX(Tabela1[[#This Row],[DATA REAL - POSTAGEM]],Tabela1[[#This Row],[DATA REAL - APROV FINAL]],Tabela1[[#This Row],[DATA REAL - CRACHÁ]])-MIN(Tabela1[[#This Row],[DATA REAL - POSTAGEM]],Tabela1[[#This Row],[DATA REAL - APROV FINAL]],Tabela1[[#This Row],[DATA REAL - CRACHÁ]])+1</f>
        <v>23</v>
      </c>
      <c r="W26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0" s="16" t="s">
        <v>149</v>
      </c>
      <c r="Y260" s="16" t="s">
        <v>150</v>
      </c>
      <c r="Z260" s="80" t="str">
        <f>_xlfn.XLOOKUP(Tabela1[[#This Row],[COO PHD]],TabControleEfetivo[NOME],TabControleEfetivo[email (PHD)],"")</f>
        <v>diogo.soares@phdengenharia.eng.br</v>
      </c>
      <c r="AA260" s="95" t="s">
        <v>152</v>
      </c>
      <c r="AB260" s="16" t="s">
        <v>97</v>
      </c>
      <c r="AC260" s="16" t="s">
        <v>455</v>
      </c>
      <c r="AD260" s="16" t="s">
        <v>455</v>
      </c>
      <c r="AE260" s="16" t="s">
        <v>456</v>
      </c>
      <c r="AF260" s="16" t="s">
        <v>659</v>
      </c>
      <c r="AG260" s="16" t="str">
        <f>_xlfn.XLOOKUP(Tabela1[[#This Row],[CÓD. CT]],Controle_Projetos[COD CT],Controle_Projetos[COD PHD],"")</f>
        <v>AURA-CT04-ALMA</v>
      </c>
      <c r="AH260" s="21">
        <v>46205</v>
      </c>
      <c r="AI260" s="76">
        <v>46205</v>
      </c>
      <c r="AJ260" s="16" cm="1">
        <f t="array" aca="1" ref="AJ26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0" s="21">
        <v>46205</v>
      </c>
      <c r="AL260" s="74">
        <v>46205</v>
      </c>
      <c r="AM260" s="16" cm="1">
        <f t="array" aca="1" ref="AM26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0" s="21">
        <f>Tabela1[[#This Row],[DATA PREV - FORMS]]+$AN$1</f>
        <v>46212</v>
      </c>
      <c r="AO260" s="74">
        <v>46205</v>
      </c>
      <c r="AP260" s="16" cm="1">
        <f t="array" aca="1" ref="AP26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0" s="21">
        <f>Tabela1[[#This Row],[DATA PREV - EXAMES]]+$AQ$1</f>
        <v>46214</v>
      </c>
      <c r="AR260" s="74"/>
      <c r="AS260" s="16" cm="1">
        <f t="array" aca="1" ref="AS26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60" s="21">
        <f>Tabela1[[#This Row],[DATA PREV - FORMS]]+$AT$1</f>
        <v>46206</v>
      </c>
      <c r="AU260" s="74">
        <v>46205</v>
      </c>
      <c r="AV260" s="16" cm="1">
        <f t="array" aca="1" ref="AV26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0" s="21">
        <f>Tabela1[[#This Row],[DATA PREV - TREINAMENTOS]]+$AW$1</f>
        <v>46213</v>
      </c>
      <c r="AX260" s="74">
        <v>46205</v>
      </c>
      <c r="AY260" s="16" cm="1">
        <f t="array" aca="1" ref="AY26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0" s="21">
        <v>46205</v>
      </c>
      <c r="BA260" s="74">
        <v>46205</v>
      </c>
      <c r="BB260" s="16" cm="1">
        <f t="array" aca="1" ref="BB26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0" s="21">
        <f>Tabela1[[#This Row],[DATA PREV - CONCL. TREIN.]]+$BC$1</f>
        <v>46215</v>
      </c>
      <c r="BD260" s="74">
        <v>46210</v>
      </c>
      <c r="BE260" s="16" cm="1">
        <f t="array" aca="1" ref="BE26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260" s="21">
        <f>Tabela1[[#This Row],[DATA PREV - DOSSIÊ]]+$BF$1</f>
        <v>46218</v>
      </c>
      <c r="BG260" s="74">
        <v>46210</v>
      </c>
      <c r="BH260" s="16" cm="1">
        <f t="array" aca="1" ref="BH26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260" s="21">
        <f>Tabela1[[#This Row],[DATA PREV - POSTAGEM]]+$BI$1</f>
        <v>46224</v>
      </c>
      <c r="BJ260" s="74">
        <v>46231</v>
      </c>
      <c r="BK260" s="16" cm="1">
        <f t="array" aca="1" ref="BK26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8</v>
      </c>
      <c r="BL260" s="21">
        <f>Tabela1[[#This Row],[DATA PREV - APROV FINAL]]+$BL$1</f>
        <v>46225</v>
      </c>
      <c r="BM260" s="74">
        <v>46232</v>
      </c>
      <c r="BN260" s="16" cm="1">
        <f t="array" aca="1" ref="BN26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260" s="81" t="s">
        <v>760</v>
      </c>
    </row>
    <row r="261" spans="2:67" ht="18" hidden="1" customHeight="1" x14ac:dyDescent="0.35">
      <c r="B261" s="14" t="s">
        <v>79</v>
      </c>
      <c r="C261" s="16" t="s">
        <v>136</v>
      </c>
      <c r="D261" s="16" t="s">
        <v>81</v>
      </c>
      <c r="E261" s="16">
        <v>1171</v>
      </c>
      <c r="F261" s="16" t="s">
        <v>382</v>
      </c>
      <c r="G261" s="16" cm="1">
        <f t="array" ref="G261">_xlfn.IFS(Tabela1[[#This Row],[STATUS PROCESSO MOBILIZAÇÃO]]="Finalizado",1,Tabela1[[#This Row],[STATUS PROCESSO MOBILIZAÇÃO]]="Cancelado",2,Tabela1[[#This Row],[STATUS PROCESSO MOBILIZAÇÃO]]="Em andamento",3)</f>
        <v>1</v>
      </c>
      <c r="H261" s="16" cm="1">
        <f t="array" aca="1" ref="H26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FORMS]]="",$AM261&gt;$AK$1),2,
AND(Tabela1[[#This Row],[STATUS PROCESSO MOBILIZAÇÃO]]="Em andamento",Tabela1[[#This Row],[DATA REAL - FORMS]]="",$AM261&lt;=$AK$1),3,
AND(Tabela1[[#This Row],[STATUS PROCESSO MOBILIZAÇÃO]]="Em andamento",Tabela1[[#This Row],[DATA REAL - FORMS]]&lt;&gt;""),1)</f>
        <v>1</v>
      </c>
      <c r="I261" s="16" cm="1">
        <f t="array" aca="1" ref="I26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EXAMES]]="",$AP261&gt;$AN$1),2,
AND(Tabela1[[#This Row],[STATUS PROCESSO MOBILIZAÇÃO]]="Em andamento",Tabela1[[#This Row],[DATA REAL - EXAMES]]="",$AP261&lt;=$AN$1),3,
AND(Tabela1[[#This Row],[STATUS PROCESSO MOBILIZAÇÃO]]="Em andamento",Tabela1[[#This Row],[DATA REAL - EXAMES]]&lt;&gt;""),1)</f>
        <v>1</v>
      </c>
      <c r="J261" s="16" cm="1">
        <f t="array" aca="1" ref="J26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ASO]]="",$AS261&gt;$AQ$1),2,
AND(Tabela1[[#This Row],[STATUS PROCESSO MOBILIZAÇÃO]]="Em andamento",Tabela1[[#This Row],[DATA REAL - ASO]]="",$AS261&lt;=$AQ$1),3,
AND(Tabela1[[#This Row],[STATUS PROCESSO MOBILIZAÇÃO]]="Em andamento",Tabela1[[#This Row],[DATA REAL - ASO]]&lt;&gt;""),1)</f>
        <v>1</v>
      </c>
      <c r="K261" s="16" cm="1">
        <f t="array" aca="1" ref="K26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TREINAMENTOS]]="",$AV261&gt;$AT$1),2,
AND(Tabela1[[#This Row],[STATUS PROCESSO MOBILIZAÇÃO]]="Em andamento",Tabela1[[#This Row],[DATA REAL - TREINAMENTOS]]="",$AV261&lt;=$AT$1),3,
AND(Tabela1[[#This Row],[STATUS PROCESSO MOBILIZAÇÃO]]="Em andamento",Tabela1[[#This Row],[DATA REAL - TREINAMENTOS]]&lt;&gt;""),1)</f>
        <v>1</v>
      </c>
      <c r="L261" s="16" cm="1">
        <f t="array" aca="1" ref="L26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TREIN.]]="",$AY261&gt;$AW$1),2,
AND(Tabela1[[#This Row],[STATUS PROCESSO MOBILIZAÇÃO]]="Em andamento",Tabela1[[#This Row],[DATA REAL - CONCL. TREIN.]]="",$AY261&lt;=$AW$1),3,
AND(Tabela1[[#This Row],[STATUS PROCESSO MOBILIZAÇÃO]]="Em andamento",Tabela1[[#This Row],[DATA REAL - CONCL. TREIN.]]&lt;&gt;""),1)</f>
        <v>1</v>
      </c>
      <c r="M261" s="16" cm="1">
        <f t="array" aca="1" ref="M26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CONTRATUAL]]="",$BB261&gt;$AZ$1),2,
AND(Tabela1[[#This Row],[STATUS PROCESSO MOBILIZAÇÃO]]="Em andamento",Tabela1[[#This Row],[DATA FIM - ALTER. CONTRATUAL]]="",$BB261&lt;=$AZ$1),3,
AND(Tabela1[[#This Row],[STATUS PROCESSO MOBILIZAÇÃO]]="Em andamento",Tabela1[[#This Row],[DATA FIM - ALTER. CONTRATUAL]]&lt;&gt;""),1)</f>
        <v>1</v>
      </c>
      <c r="N261" s="16" cm="1">
        <f t="array" aca="1" ref="N26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DOSSIÊ]]="",$BE261&gt;$BC$1),2,
AND(Tabela1[[#This Row],[STATUS PROCESSO MOBILIZAÇÃO]]="Em andamento",Tabela1[[#This Row],[DATA REAL - DOSSIÊ]]="",$BE261&lt;=$BC$1),3,
AND(Tabela1[[#This Row],[STATUS PROCESSO MOBILIZAÇÃO]]="Em andamento",Tabela1[[#This Row],[DATA REAL - DOSSIÊ]]&lt;&gt;""),1)</f>
        <v>1</v>
      </c>
      <c r="O261" s="16" cm="1">
        <f t="array" aca="1" ref="O26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POSTAGEM]]="",$BH261&gt;$BF$1),2,
AND(Tabela1[[#This Row],[STATUS PROCESSO MOBILIZAÇÃO]]="Em andamento",Tabela1[[#This Row],[DATA REAL - POSTAGEM]]="",$BH261&lt;=$BF$1),3,
AND(Tabela1[[#This Row],[STATUS PROCESSO MOBILIZAÇÃO]]="Em andamento",Tabela1[[#This Row],[DATA REAL - POSTAGEM]]&lt;&gt;""),1)</f>
        <v>1</v>
      </c>
      <c r="P261" s="16" cm="1">
        <f t="array" aca="1" ref="P26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FINAL]]="",$BK261&gt;$BI$1),2,
AND(Tabela1[[#This Row],[STATUS PROCESSO MOBILIZAÇÃO]]="Em andamento",Tabela1[[#This Row],[DATA REAL - APROV FINAL]]="",$BK261&lt;=$BI$1),3,
AND(Tabela1[[#This Row],[STATUS PROCESSO MOBILIZAÇÃO]]="Em andamento",Tabela1[[#This Row],[DATA REAL - APROV FINAL]]&lt;&gt;""),1)</f>
        <v>1</v>
      </c>
      <c r="Q261" s="16" cm="1">
        <f t="array" aca="1" ref="Q26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CRACHÁ]]="",$BN261&gt;$BL$1),2,
AND(Tabela1[[#This Row],[STATUS PROCESSO MOBILIZAÇÃO]]="Em andamento",Tabela1[[#This Row],[DATA REAL - CRACHÁ]]="",$BN261&lt;=$BL$1),3,
AND(Tabela1[[#This Row],[STATUS PROCESSO MOBILIZAÇÃO]]="Em andamento",Tabela1[[#This Row],[DATA REAL - CRACHÁ]]&lt;&gt;""),1)</f>
        <v>1</v>
      </c>
      <c r="R261" s="21">
        <f>IF(Tabela1[[#This Row],[DATA REAL - FORMS]]&lt;&gt;"",Tabela1[[#This Row],[DATA REAL - FORMS]]+30,Tabela1[[#This Row],[DATA PREV - FORMS]]+35)</f>
        <v>46240</v>
      </c>
      <c r="S26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46221</v>
      </c>
      <c r="T26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U26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61" s="49">
        <f>MAX(Tabela1[[#This Row],[DATA REAL - POSTAGEM]],Tabela1[[#This Row],[DATA REAL - APROV FINAL]],Tabela1[[#This Row],[DATA REAL - CRACHÁ]])-MIN(Tabela1[[#This Row],[DATA REAL - POSTAGEM]],Tabela1[[#This Row],[DATA REAL - APROV FINAL]],Tabela1[[#This Row],[DATA REAL - CRACHÁ]])+1</f>
        <v>9</v>
      </c>
      <c r="W26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1" s="16"/>
      <c r="Y261" s="16" t="s">
        <v>84</v>
      </c>
      <c r="Z261" s="16" t="str">
        <f>_xlfn.XLOOKUP(Tabela1[[#This Row],[COO PHD]],TabControleEfetivo[NOME],TabControleEfetivo[email (PHD)],"")</f>
        <v/>
      </c>
      <c r="AA261" s="96" t="s">
        <v>86</v>
      </c>
      <c r="AB261" s="16" t="s">
        <v>97</v>
      </c>
      <c r="AC261" s="16" t="s">
        <v>235</v>
      </c>
      <c r="AD261" s="16" t="s">
        <v>732</v>
      </c>
      <c r="AE261" s="16" t="s">
        <v>733</v>
      </c>
      <c r="AF261" s="16" t="s">
        <v>734</v>
      </c>
      <c r="AG261" s="16" t="str">
        <f>_xlfn.XLOOKUP(Tabela1[[#This Row],[CÓD. CT]],Controle_Projetos[COD CT],Controle_Projetos[COD PHD],"")</f>
        <v>CCAP-CT19-ACEL</v>
      </c>
      <c r="AH261" s="21">
        <v>46210</v>
      </c>
      <c r="AI261" s="76">
        <v>46210</v>
      </c>
      <c r="AJ261" s="16" cm="1">
        <f t="array" aca="1" ref="AJ26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1" s="21">
        <v>46210</v>
      </c>
      <c r="AL261" s="76">
        <v>46210</v>
      </c>
      <c r="AM261" s="16" cm="1">
        <f t="array" aca="1" ref="AM26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1" s="21">
        <f>Tabela1[[#This Row],[DATA PREV - FORMS]]+$AN$1</f>
        <v>46217</v>
      </c>
      <c r="AO261" s="74">
        <v>46210</v>
      </c>
      <c r="AP261" s="16" cm="1">
        <f t="array" aca="1" ref="AP26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1" s="21">
        <f>Tabela1[[#This Row],[DATA PREV - EXAMES]]+$AQ$1</f>
        <v>46219</v>
      </c>
      <c r="AR261" s="74">
        <v>46211</v>
      </c>
      <c r="AS261" s="16" cm="1">
        <f t="array" aca="1" ref="AS26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61" s="21">
        <f>Tabela1[[#This Row],[DATA PREV - FORMS]]+$AT$1</f>
        <v>46211</v>
      </c>
      <c r="AU261" s="74">
        <v>46210</v>
      </c>
      <c r="AV261" s="16" cm="1">
        <f t="array" aca="1" ref="AV26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1" s="21">
        <f>Tabela1[[#This Row],[DATA PREV - TREINAMENTOS]]+$AW$1</f>
        <v>46218</v>
      </c>
      <c r="AX261" s="74">
        <v>46212</v>
      </c>
      <c r="AY261" s="16" cm="1">
        <f t="array" aca="1" ref="AY26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61" s="24">
        <v>46210</v>
      </c>
      <c r="BA261" s="74">
        <v>46210</v>
      </c>
      <c r="BB261" s="16" cm="1">
        <f t="array" aca="1" ref="BB26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1" s="21">
        <f>Tabela1[[#This Row],[DATA PREV - CONCL. TREIN.]]+$BC$1</f>
        <v>46220</v>
      </c>
      <c r="BD261" s="74">
        <v>46212</v>
      </c>
      <c r="BE261" s="16" cm="1">
        <f t="array" aca="1" ref="BE26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61" s="21">
        <f>Tabela1[[#This Row],[DATA PREV - DOSSIÊ]]+$BF$1</f>
        <v>46223</v>
      </c>
      <c r="BG261" s="74">
        <v>46213</v>
      </c>
      <c r="BH261" s="16" cm="1">
        <f t="array" aca="1" ref="BH26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261" s="21">
        <f>Tabela1[[#This Row],[DATA PREV - POSTAGEM]]+$BI$1</f>
        <v>46229</v>
      </c>
      <c r="BJ261" s="74">
        <v>46221</v>
      </c>
      <c r="BK261" s="16" cm="1">
        <f t="array" aca="1" ref="BK26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261" s="21">
        <f>Tabela1[[#This Row],[DATA PREV - APROV FINAL]]+$BL$1</f>
        <v>46230</v>
      </c>
      <c r="BM261" s="74">
        <v>46221</v>
      </c>
      <c r="BN261" s="16" cm="1">
        <f t="array" aca="1" ref="BN26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261" s="81" t="s">
        <v>761</v>
      </c>
    </row>
    <row r="262" spans="2:67" ht="18" hidden="1" customHeight="1" x14ac:dyDescent="0.35">
      <c r="B262" s="14" t="s">
        <v>79</v>
      </c>
      <c r="C262" s="16" t="s">
        <v>136</v>
      </c>
      <c r="D262" s="16" t="s">
        <v>81</v>
      </c>
      <c r="E262" s="16">
        <v>1174</v>
      </c>
      <c r="F262" s="16" t="s">
        <v>217</v>
      </c>
      <c r="G262" s="16" cm="1">
        <f t="array" ref="G262">_xlfn.IFS(Tabela1[[#This Row],[STATUS PROCESSO MOBILIZAÇÃO]]="Finalizado",1,Tabela1[[#This Row],[STATUS PROCESSO MOBILIZAÇÃO]]="Cancelado",2,Tabela1[[#This Row],[STATUS PROCESSO MOBILIZAÇÃO]]="Em andamento",3)</f>
        <v>1</v>
      </c>
      <c r="H262" s="16" cm="1">
        <f t="array" aca="1" ref="H26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FORMS]]="",$AM262&gt;$AK$1),2,
AND(Tabela1[[#This Row],[STATUS PROCESSO MOBILIZAÇÃO]]="Em andamento",Tabela1[[#This Row],[DATA REAL - FORMS]]="",$AM262&lt;=$AK$1),3,
AND(Tabela1[[#This Row],[STATUS PROCESSO MOBILIZAÇÃO]]="Em andamento",Tabela1[[#This Row],[DATA REAL - FORMS]]&lt;&gt;""),1)</f>
        <v>1</v>
      </c>
      <c r="I262" s="16" cm="1">
        <f t="array" aca="1" ref="I26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EXAMES]]="",$AP262&gt;$AN$1),2,
AND(Tabela1[[#This Row],[STATUS PROCESSO MOBILIZAÇÃO]]="Em andamento",Tabela1[[#This Row],[DATA REAL - EXAMES]]="",$AP262&lt;=$AN$1),3,
AND(Tabela1[[#This Row],[STATUS PROCESSO MOBILIZAÇÃO]]="Em andamento",Tabela1[[#This Row],[DATA REAL - EXAMES]]&lt;&gt;""),1)</f>
        <v>1</v>
      </c>
      <c r="J262" s="16" cm="1">
        <f t="array" aca="1" ref="J26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ASO]]="",$AS262&gt;$AQ$1),2,
AND(Tabela1[[#This Row],[STATUS PROCESSO MOBILIZAÇÃO]]="Em andamento",Tabela1[[#This Row],[DATA REAL - ASO]]="",$AS262&lt;=$AQ$1),3,
AND(Tabela1[[#This Row],[STATUS PROCESSO MOBILIZAÇÃO]]="Em andamento",Tabela1[[#This Row],[DATA REAL - ASO]]&lt;&gt;""),1)</f>
        <v>1</v>
      </c>
      <c r="K262" s="16" cm="1">
        <f t="array" aca="1" ref="K26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TREINAMENTOS]]="",$AV262&gt;$AT$1),2,
AND(Tabela1[[#This Row],[STATUS PROCESSO MOBILIZAÇÃO]]="Em andamento",Tabela1[[#This Row],[DATA REAL - TREINAMENTOS]]="",$AV262&lt;=$AT$1),3,
AND(Tabela1[[#This Row],[STATUS PROCESSO MOBILIZAÇÃO]]="Em andamento",Tabela1[[#This Row],[DATA REAL - TREINAMENTOS]]&lt;&gt;""),1)</f>
        <v>1</v>
      </c>
      <c r="L262" s="16" cm="1">
        <f t="array" aca="1" ref="L26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TREIN.]]="",$AY262&gt;$AW$1),2,
AND(Tabela1[[#This Row],[STATUS PROCESSO MOBILIZAÇÃO]]="Em andamento",Tabela1[[#This Row],[DATA REAL - CONCL. TREIN.]]="",$AY262&lt;=$AW$1),3,
AND(Tabela1[[#This Row],[STATUS PROCESSO MOBILIZAÇÃO]]="Em andamento",Tabela1[[#This Row],[DATA REAL - CONCL. TREIN.]]&lt;&gt;""),1)</f>
        <v>1</v>
      </c>
      <c r="M262" s="16" cm="1">
        <f t="array" aca="1" ref="M26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CONTRATUAL]]="",$BB262&gt;$AZ$1),2,
AND(Tabela1[[#This Row],[STATUS PROCESSO MOBILIZAÇÃO]]="Em andamento",Tabela1[[#This Row],[DATA FIM - ALTER. CONTRATUAL]]="",$BB262&lt;=$AZ$1),3,
AND(Tabela1[[#This Row],[STATUS PROCESSO MOBILIZAÇÃO]]="Em andamento",Tabela1[[#This Row],[DATA FIM - ALTER. CONTRATUAL]]&lt;&gt;""),1)</f>
        <v>1</v>
      </c>
      <c r="N262" s="16" cm="1">
        <f t="array" aca="1" ref="N26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DOSSIÊ]]="",$BE262&gt;$BC$1),2,
AND(Tabela1[[#This Row],[STATUS PROCESSO MOBILIZAÇÃO]]="Em andamento",Tabela1[[#This Row],[DATA REAL - DOSSIÊ]]="",$BE262&lt;=$BC$1),3,
AND(Tabela1[[#This Row],[STATUS PROCESSO MOBILIZAÇÃO]]="Em andamento",Tabela1[[#This Row],[DATA REAL - DOSSIÊ]]&lt;&gt;""),1)</f>
        <v>1</v>
      </c>
      <c r="O262" s="16" cm="1">
        <f t="array" aca="1" ref="O26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POSTAGEM]]="",$BH262&gt;$BF$1),2,
AND(Tabela1[[#This Row],[STATUS PROCESSO MOBILIZAÇÃO]]="Em andamento",Tabela1[[#This Row],[DATA REAL - POSTAGEM]]="",$BH262&lt;=$BF$1),3,
AND(Tabela1[[#This Row],[STATUS PROCESSO MOBILIZAÇÃO]]="Em andamento",Tabela1[[#This Row],[DATA REAL - POSTAGEM]]&lt;&gt;""),1)</f>
        <v>1</v>
      </c>
      <c r="P262" s="16" cm="1">
        <f t="array" aca="1" ref="P26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FINAL]]="",$BK262&gt;$BI$1),2,
AND(Tabela1[[#This Row],[STATUS PROCESSO MOBILIZAÇÃO]]="Em andamento",Tabela1[[#This Row],[DATA REAL - APROV FINAL]]="",$BK262&lt;=$BI$1),3,
AND(Tabela1[[#This Row],[STATUS PROCESSO MOBILIZAÇÃO]]="Em andamento",Tabela1[[#This Row],[DATA REAL - APROV FINAL]]&lt;&gt;""),1)</f>
        <v>1</v>
      </c>
      <c r="Q262" s="16" cm="1">
        <f t="array" aca="1" ref="Q26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CRACHÁ]]="",$BN262&gt;$BL$1),2,
AND(Tabela1[[#This Row],[STATUS PROCESSO MOBILIZAÇÃO]]="Em andamento",Tabela1[[#This Row],[DATA REAL - CRACHÁ]]="",$BN262&lt;=$BL$1),3,
AND(Tabela1[[#This Row],[STATUS PROCESSO MOBILIZAÇÃO]]="Em andamento",Tabela1[[#This Row],[DATA REAL - CRACHÁ]]&lt;&gt;""),1)</f>
        <v>1</v>
      </c>
      <c r="R262" s="21">
        <f>IF(Tabela1[[#This Row],[DATA REAL - FORMS]]&lt;&gt;"",Tabela1[[#This Row],[DATA REAL - FORMS]]+30,Tabela1[[#This Row],[DATA PREV - FORMS]]+35)</f>
        <v>46241</v>
      </c>
      <c r="S26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46212</v>
      </c>
      <c r="T26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v>
      </c>
      <c r="U26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62" s="49">
        <f>MAX(Tabela1[[#This Row],[DATA REAL - POSTAGEM]],Tabela1[[#This Row],[DATA REAL - APROV FINAL]],Tabela1[[#This Row],[DATA REAL - CRACHÁ]])-MIN(Tabela1[[#This Row],[DATA REAL - POSTAGEM]],Tabela1[[#This Row],[DATA REAL - APROV FINAL]],Tabela1[[#This Row],[DATA REAL - CRACHÁ]])+1</f>
        <v>2</v>
      </c>
      <c r="W26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2" s="16"/>
      <c r="Y262" s="16" t="s">
        <v>84</v>
      </c>
      <c r="Z262" s="16" t="str">
        <f>_xlfn.XLOOKUP(Tabela1[[#This Row],[COO PHD]],TabControleEfetivo[NOME],TabControleEfetivo[email (PHD)],"")</f>
        <v/>
      </c>
      <c r="AA262" s="96" t="s">
        <v>86</v>
      </c>
      <c r="AB262" s="16" t="s">
        <v>97</v>
      </c>
      <c r="AC262" s="16" t="s">
        <v>615</v>
      </c>
      <c r="AD262" s="16" t="s">
        <v>615</v>
      </c>
      <c r="AE262" s="16" t="s">
        <v>262</v>
      </c>
      <c r="AF262" s="16" t="s">
        <v>616</v>
      </c>
      <c r="AG262" s="16" t="str">
        <f>_xlfn.XLOOKUP(Tabela1[[#This Row],[CÓD. CT]],Controle_Projetos[COD CT],Controle_Projetos[COD PHD],"")</f>
        <v>HERC-CT01-GERE</v>
      </c>
      <c r="AH262" s="21">
        <v>46211</v>
      </c>
      <c r="AI262" s="76">
        <v>46211</v>
      </c>
      <c r="AJ262" s="16" cm="1">
        <f t="array" aca="1" ref="AJ26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2" s="21">
        <v>46211</v>
      </c>
      <c r="AL262" s="74">
        <v>46211</v>
      </c>
      <c r="AM262" s="16" cm="1">
        <f t="array" aca="1" ref="AM26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2" s="21">
        <f>Tabela1[[#This Row],[DATA PREV - FORMS]]+$AN$1</f>
        <v>46218</v>
      </c>
      <c r="AO262" s="74">
        <v>46211</v>
      </c>
      <c r="AP262" s="16" cm="1">
        <f t="array" aca="1" ref="AP26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2" s="21">
        <f>Tabela1[[#This Row],[DATA PREV - EXAMES]]+$AQ$1</f>
        <v>46220</v>
      </c>
      <c r="AR262" s="74">
        <v>46211</v>
      </c>
      <c r="AS262" s="16" cm="1">
        <f t="array" aca="1" ref="AS26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62" s="21">
        <f>Tabela1[[#This Row],[DATA PREV - FORMS]]+$AT$1</f>
        <v>46212</v>
      </c>
      <c r="AU262" s="74">
        <v>46211</v>
      </c>
      <c r="AV262" s="16" cm="1">
        <f t="array" aca="1" ref="AV26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2" s="21">
        <f>Tabela1[[#This Row],[DATA PREV - TREINAMENTOS]]+$AW$1</f>
        <v>46219</v>
      </c>
      <c r="AX262" s="74">
        <v>46211</v>
      </c>
      <c r="AY262" s="16" cm="1">
        <f t="array" aca="1" ref="AY26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2" s="24">
        <v>46211</v>
      </c>
      <c r="BA262" s="74">
        <v>46211</v>
      </c>
      <c r="BB262" s="16" cm="1">
        <f t="array" aca="1" ref="BB26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2" s="21">
        <f>Tabela1[[#This Row],[DATA PREV - CONCL. TREIN.]]+$BC$1</f>
        <v>46221</v>
      </c>
      <c r="BD262" s="74">
        <v>46211</v>
      </c>
      <c r="BE262" s="16" cm="1">
        <f t="array" aca="1" ref="BE26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62" s="21">
        <f>Tabela1[[#This Row],[DATA PREV - DOSSIÊ]]+$BF$1</f>
        <v>46224</v>
      </c>
      <c r="BG262" s="74">
        <v>46211</v>
      </c>
      <c r="BH262" s="16" cm="1">
        <f t="array" aca="1" ref="BH26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62" s="21">
        <f>Tabela1[[#This Row],[DATA PREV - POSTAGEM]]+$BI$1</f>
        <v>46230</v>
      </c>
      <c r="BJ262" s="74">
        <v>46212</v>
      </c>
      <c r="BK262" s="16" cm="1">
        <f t="array" aca="1" ref="BK26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-17</v>
      </c>
      <c r="BL262" s="21">
        <f>Tabela1[[#This Row],[DATA PREV - APROV FINAL]]+$BL$1</f>
        <v>46231</v>
      </c>
      <c r="BM262" s="74">
        <v>46212</v>
      </c>
      <c r="BN262" s="16" cm="1">
        <f t="array" aca="1" ref="BN26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-18</v>
      </c>
      <c r="BO262" s="81" t="s">
        <v>762</v>
      </c>
    </row>
    <row r="263" spans="2:67" ht="18" hidden="1" customHeight="1" x14ac:dyDescent="0.35">
      <c r="B263" s="14" t="s">
        <v>79</v>
      </c>
      <c r="C263" s="16" t="s">
        <v>136</v>
      </c>
      <c r="D263" s="16" t="s">
        <v>108</v>
      </c>
      <c r="E263" s="16"/>
      <c r="F263" s="16" t="s">
        <v>445</v>
      </c>
      <c r="G263" s="16" cm="1">
        <f t="array" ref="G263">_xlfn.IFS(Tabela1[[#This Row],[STATUS PROCESSO MOBILIZAÇÃO]]="Finalizado",1,Tabela1[[#This Row],[STATUS PROCESSO MOBILIZAÇÃO]]="Cancelado",2,Tabela1[[#This Row],[STATUS PROCESSO MOBILIZAÇÃO]]="Em andamento",3)</f>
        <v>1</v>
      </c>
      <c r="H263" s="16" cm="1">
        <f t="array" aca="1" ref="H26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FORMS]]="",$AM263&gt;$AK$1),2,
AND(Tabela1[[#This Row],[STATUS PROCESSO MOBILIZAÇÃO]]="Em andamento",Tabela1[[#This Row],[DATA REAL - FORMS]]="",$AM263&lt;=$AK$1),3,
AND(Tabela1[[#This Row],[STATUS PROCESSO MOBILIZAÇÃO]]="Em andamento",Tabela1[[#This Row],[DATA REAL - FORMS]]&lt;&gt;""),1)</f>
        <v>0</v>
      </c>
      <c r="I263" s="16" cm="1">
        <f t="array" aca="1" ref="I26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EXAMES]]="",$AP263&gt;$AN$1),2,
AND(Tabela1[[#This Row],[STATUS PROCESSO MOBILIZAÇÃO]]="Em andamento",Tabela1[[#This Row],[DATA REAL - EXAMES]]="",$AP263&lt;=$AN$1),3,
AND(Tabela1[[#This Row],[STATUS PROCESSO MOBILIZAÇÃO]]="Em andamento",Tabela1[[#This Row],[DATA REAL - EXAMES]]&lt;&gt;""),1)</f>
        <v>1</v>
      </c>
      <c r="J263" s="16" cm="1">
        <f t="array" aca="1" ref="J26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ASO]]="",$AS263&gt;$AQ$1),2,
AND(Tabela1[[#This Row],[STATUS PROCESSO MOBILIZAÇÃO]]="Em andamento",Tabela1[[#This Row],[DATA REAL - ASO]]="",$AS263&lt;=$AQ$1),3,
AND(Tabela1[[#This Row],[STATUS PROCESSO MOBILIZAÇÃO]]="Em andamento",Tabela1[[#This Row],[DATA REAL - ASO]]&lt;&gt;""),1)</f>
        <v>1</v>
      </c>
      <c r="K263" s="16" cm="1">
        <f t="array" aca="1" ref="K26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TREINAMENTOS]]="",$AV263&gt;$AT$1),2,
AND(Tabela1[[#This Row],[STATUS PROCESSO MOBILIZAÇÃO]]="Em andamento",Tabela1[[#This Row],[DATA REAL - TREINAMENTOS]]="",$AV263&lt;=$AT$1),3,
AND(Tabela1[[#This Row],[STATUS PROCESSO MOBILIZAÇÃO]]="Em andamento",Tabela1[[#This Row],[DATA REAL - TREINAMENTOS]]&lt;&gt;""),1)</f>
        <v>1</v>
      </c>
      <c r="L263" s="16" cm="1">
        <f t="array" aca="1" ref="L26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TREIN.]]="",$AY263&gt;$AW$1),2,
AND(Tabela1[[#This Row],[STATUS PROCESSO MOBILIZAÇÃO]]="Em andamento",Tabela1[[#This Row],[DATA REAL - CONCL. TREIN.]]="",$AY263&lt;=$AW$1),3,
AND(Tabela1[[#This Row],[STATUS PROCESSO MOBILIZAÇÃO]]="Em andamento",Tabela1[[#This Row],[DATA REAL - CONCL. TREIN.]]&lt;&gt;""),1)</f>
        <v>1</v>
      </c>
      <c r="M263" s="16" cm="1">
        <f t="array" aca="1" ref="M26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CONTRATUAL]]="",$BB263&gt;$AZ$1),2,
AND(Tabela1[[#This Row],[STATUS PROCESSO MOBILIZAÇÃO]]="Em andamento",Tabela1[[#This Row],[DATA FIM - ALTER. CONTRATUAL]]="",$BB263&lt;=$AZ$1),3,
AND(Tabela1[[#This Row],[STATUS PROCESSO MOBILIZAÇÃO]]="Em andamento",Tabela1[[#This Row],[DATA FIM - ALTER. CONTRATUAL]]&lt;&gt;""),1)</f>
        <v>1</v>
      </c>
      <c r="N263" s="16" cm="1">
        <f t="array" aca="1" ref="N26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DOSSIÊ]]="",$BE263&gt;$BC$1),2,
AND(Tabela1[[#This Row],[STATUS PROCESSO MOBILIZAÇÃO]]="Em andamento",Tabela1[[#This Row],[DATA REAL - DOSSIÊ]]="",$BE263&lt;=$BC$1),3,
AND(Tabela1[[#This Row],[STATUS PROCESSO MOBILIZAÇÃO]]="Em andamento",Tabela1[[#This Row],[DATA REAL - DOSSIÊ]]&lt;&gt;""),1)</f>
        <v>1</v>
      </c>
      <c r="O263" s="16" cm="1">
        <f t="array" aca="1" ref="O26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POSTAGEM]]="",$BH263&gt;$BF$1),2,
AND(Tabela1[[#This Row],[STATUS PROCESSO MOBILIZAÇÃO]]="Em andamento",Tabela1[[#This Row],[DATA REAL - POSTAGEM]]="",$BH263&lt;=$BF$1),3,
AND(Tabela1[[#This Row],[STATUS PROCESSO MOBILIZAÇÃO]]="Em andamento",Tabela1[[#This Row],[DATA REAL - POSTAGEM]]&lt;&gt;""),1)</f>
        <v>1</v>
      </c>
      <c r="P263" s="16" cm="1">
        <f t="array" aca="1" ref="P26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FINAL]]="",$BK263&gt;$BI$1),2,
AND(Tabela1[[#This Row],[STATUS PROCESSO MOBILIZAÇÃO]]="Em andamento",Tabela1[[#This Row],[DATA REAL - APROV FINAL]]="",$BK263&lt;=$BI$1),3,
AND(Tabela1[[#This Row],[STATUS PROCESSO MOBILIZAÇÃO]]="Em andamento",Tabela1[[#This Row],[DATA REAL - APROV FINAL]]&lt;&gt;""),1)</f>
        <v>1</v>
      </c>
      <c r="Q263" s="16" cm="1">
        <f t="array" aca="1" ref="Q26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CRACHÁ]]="",$BN263&gt;$BL$1),2,
AND(Tabela1[[#This Row],[STATUS PROCESSO MOBILIZAÇÃO]]="Em andamento",Tabela1[[#This Row],[DATA REAL - CRACHÁ]]="",$BN263&lt;=$BL$1),3,
AND(Tabela1[[#This Row],[STATUS PROCESSO MOBILIZAÇÃO]]="Em andamento",Tabela1[[#This Row],[DATA REAL - CRACHÁ]]&lt;&gt;""),1)</f>
        <v>1</v>
      </c>
      <c r="R263" s="21">
        <f>IF(Tabela1[[#This Row],[DATA REAL - FORMS]]&lt;&gt;"",Tabela1[[#This Row],[DATA REAL - FORMS]]+30,Tabela1[[#This Row],[DATA PREV - FORMS]]+35)</f>
        <v>46251</v>
      </c>
      <c r="S26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46224</v>
      </c>
      <c r="T26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26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63" s="49">
        <f>MAX(Tabela1[[#This Row],[DATA REAL - POSTAGEM]],Tabela1[[#This Row],[DATA REAL - APROV FINAL]],Tabela1[[#This Row],[DATA REAL - CRACHÁ]])-MIN(Tabela1[[#This Row],[DATA REAL - POSTAGEM]],Tabela1[[#This Row],[DATA REAL - APROV FINAL]],Tabela1[[#This Row],[DATA REAL - CRACHÁ]])+1</f>
        <v>2</v>
      </c>
      <c r="W26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3" s="16"/>
      <c r="Y263" s="16" t="s">
        <v>122</v>
      </c>
      <c r="Z263" s="16" t="str">
        <f>_xlfn.XLOOKUP(Tabela1[[#This Row],[COO PHD]],TabControleEfetivo[NOME],TabControleEfetivo[email (PHD)],"")</f>
        <v/>
      </c>
      <c r="AA263" s="95" t="s">
        <v>124</v>
      </c>
      <c r="AB263" s="16" t="s">
        <v>97</v>
      </c>
      <c r="AC263" s="16" t="s">
        <v>89</v>
      </c>
      <c r="AD263" s="16" t="s">
        <v>89</v>
      </c>
      <c r="AE263" s="16" t="s">
        <v>596</v>
      </c>
      <c r="AF263" s="16" t="s">
        <v>763</v>
      </c>
      <c r="AG263" s="16" t="str">
        <f>_xlfn.XLOOKUP(Tabela1[[#This Row],[CÓD. CT]],Controle_Projetos[COD CT],Controle_Projetos[COD PHD],"")</f>
        <v/>
      </c>
      <c r="AH263" s="21">
        <v>46216</v>
      </c>
      <c r="AI263" s="76">
        <v>46216</v>
      </c>
      <c r="AJ263" s="16" cm="1">
        <f t="array" aca="1" ref="AJ26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3" s="21">
        <v>46216</v>
      </c>
      <c r="AL263" s="74"/>
      <c r="AM263" s="16" cm="1">
        <f t="array" aca="1" ref="AM26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3" s="21">
        <f>Tabela1[[#This Row],[DATA PREV - FORMS]]+$AN$1</f>
        <v>46223</v>
      </c>
      <c r="AO263" s="74">
        <v>46216</v>
      </c>
      <c r="AP263" s="16" cm="1">
        <f t="array" aca="1" ref="AP26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3" s="21">
        <f>Tabela1[[#This Row],[DATA PREV - EXAMES]]+$AQ$1</f>
        <v>46225</v>
      </c>
      <c r="AR263" s="74">
        <v>46220</v>
      </c>
      <c r="AS263" s="16" cm="1">
        <f t="array" aca="1" ref="AS26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63" s="21">
        <f>Tabela1[[#This Row],[DATA PREV - FORMS]]+$AT$1</f>
        <v>46217</v>
      </c>
      <c r="AU263" s="74">
        <v>46216</v>
      </c>
      <c r="AV263" s="16" cm="1">
        <f t="array" aca="1" ref="AV26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3" s="21">
        <f>Tabela1[[#This Row],[DATA PREV - TREINAMENTOS]]+$AW$1</f>
        <v>46224</v>
      </c>
      <c r="AX263" s="74">
        <v>46216</v>
      </c>
      <c r="AY263" s="16" cm="1">
        <f t="array" aca="1" ref="AY26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3" s="24">
        <v>46216</v>
      </c>
      <c r="BA263" s="74">
        <v>46216</v>
      </c>
      <c r="BB263" s="16" cm="1">
        <f t="array" aca="1" ref="BB26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3" s="21">
        <f>Tabela1[[#This Row],[DATA PREV - CONCL. TREIN.]]+$BC$1</f>
        <v>46226</v>
      </c>
      <c r="BD263" s="74">
        <v>46223</v>
      </c>
      <c r="BE263" s="16" cm="1">
        <f t="array" aca="1" ref="BE26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263" s="21">
        <f>Tabela1[[#This Row],[DATA PREV - DOSSIÊ]]+$BF$1</f>
        <v>46229</v>
      </c>
      <c r="BG263" s="74">
        <v>46223</v>
      </c>
      <c r="BH263" s="16" cm="1">
        <f t="array" aca="1" ref="BH26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63" s="21">
        <f>Tabela1[[#This Row],[DATA PREV - POSTAGEM]]+$BI$1</f>
        <v>46235</v>
      </c>
      <c r="BJ263" s="74">
        <v>46224</v>
      </c>
      <c r="BK263" s="16" cm="1">
        <f t="array" aca="1" ref="BK26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63" s="21">
        <f>Tabela1[[#This Row],[DATA PREV - APROV FINAL]]+$BL$1</f>
        <v>46236</v>
      </c>
      <c r="BM263" s="74">
        <v>46224</v>
      </c>
      <c r="BN263" s="16" cm="1">
        <f t="array" aca="1" ref="BN26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63" s="81" t="s">
        <v>764</v>
      </c>
    </row>
    <row r="264" spans="2:67" ht="18" hidden="1" customHeight="1" x14ac:dyDescent="0.35">
      <c r="B264" s="14" t="s">
        <v>79</v>
      </c>
      <c r="C264" s="16" t="s">
        <v>136</v>
      </c>
      <c r="D264" s="16" t="s">
        <v>108</v>
      </c>
      <c r="E264" s="16">
        <v>1186</v>
      </c>
      <c r="F264" s="16" t="s">
        <v>399</v>
      </c>
      <c r="G264" s="16" cm="1">
        <f t="array" ref="G264">_xlfn.IFS(Tabela1[[#This Row],[STATUS PROCESSO MOBILIZAÇÃO]]="Finalizado",1,Tabela1[[#This Row],[STATUS PROCESSO MOBILIZAÇÃO]]="Cancelado",2,Tabela1[[#This Row],[STATUS PROCESSO MOBILIZAÇÃO]]="Em andamento",3)</f>
        <v>1</v>
      </c>
      <c r="H264" s="16" cm="1">
        <f t="array" aca="1" ref="H26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FORMS]]="",$AM264&gt;$AK$1),2,
AND(Tabela1[[#This Row],[STATUS PROCESSO MOBILIZAÇÃO]]="Em andamento",Tabela1[[#This Row],[DATA REAL - FORMS]]="",$AM264&lt;=$AK$1),3,
AND(Tabela1[[#This Row],[STATUS PROCESSO MOBILIZAÇÃO]]="Em andamento",Tabela1[[#This Row],[DATA REAL - FORMS]]&lt;&gt;""),1)</f>
        <v>1</v>
      </c>
      <c r="I264" s="16" cm="1">
        <f t="array" aca="1" ref="I26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EXAMES]]="",$AP264&gt;$AN$1),2,
AND(Tabela1[[#This Row],[STATUS PROCESSO MOBILIZAÇÃO]]="Em andamento",Tabela1[[#This Row],[DATA REAL - EXAMES]]="",$AP264&lt;=$AN$1),3,
AND(Tabela1[[#This Row],[STATUS PROCESSO MOBILIZAÇÃO]]="Em andamento",Tabela1[[#This Row],[DATA REAL - EXAMES]]&lt;&gt;""),1)</f>
        <v>1</v>
      </c>
      <c r="J264" s="16" cm="1">
        <f t="array" aca="1" ref="J26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ASO]]="",$AS264&gt;$AQ$1),2,
AND(Tabela1[[#This Row],[STATUS PROCESSO MOBILIZAÇÃO]]="Em andamento",Tabela1[[#This Row],[DATA REAL - ASO]]="",$AS264&lt;=$AQ$1),3,
AND(Tabela1[[#This Row],[STATUS PROCESSO MOBILIZAÇÃO]]="Em andamento",Tabela1[[#This Row],[DATA REAL - ASO]]&lt;&gt;""),1)</f>
        <v>1</v>
      </c>
      <c r="K264" s="16" cm="1">
        <f t="array" aca="1" ref="K26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TREINAMENTOS]]="",$AV264&gt;$AT$1),2,
AND(Tabela1[[#This Row],[STATUS PROCESSO MOBILIZAÇÃO]]="Em andamento",Tabela1[[#This Row],[DATA REAL - TREINAMENTOS]]="",$AV264&lt;=$AT$1),3,
AND(Tabela1[[#This Row],[STATUS PROCESSO MOBILIZAÇÃO]]="Em andamento",Tabela1[[#This Row],[DATA REAL - TREINAMENTOS]]&lt;&gt;""),1)</f>
        <v>1</v>
      </c>
      <c r="L264" s="16" cm="1">
        <f t="array" aca="1" ref="L26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TREIN.]]="",$AY264&gt;$AW$1),2,
AND(Tabela1[[#This Row],[STATUS PROCESSO MOBILIZAÇÃO]]="Em andamento",Tabela1[[#This Row],[DATA REAL - CONCL. TREIN.]]="",$AY264&lt;=$AW$1),3,
AND(Tabela1[[#This Row],[STATUS PROCESSO MOBILIZAÇÃO]]="Em andamento",Tabela1[[#This Row],[DATA REAL - CONCL. TREIN.]]&lt;&gt;""),1)</f>
        <v>1</v>
      </c>
      <c r="M264" s="16" cm="1">
        <f t="array" aca="1" ref="M26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CONTRATUAL]]="",$BB264&gt;$AZ$1),2,
AND(Tabela1[[#This Row],[STATUS PROCESSO MOBILIZAÇÃO]]="Em andamento",Tabela1[[#This Row],[DATA FIM - ALTER. CONTRATUAL]]="",$BB264&lt;=$AZ$1),3,
AND(Tabela1[[#This Row],[STATUS PROCESSO MOBILIZAÇÃO]]="Em andamento",Tabela1[[#This Row],[DATA FIM - ALTER. CONTRATUAL]]&lt;&gt;""),1)</f>
        <v>1</v>
      </c>
      <c r="N264" s="16" cm="1">
        <f t="array" aca="1" ref="N26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DOSSIÊ]]="",$BE264&gt;$BC$1),2,
AND(Tabela1[[#This Row],[STATUS PROCESSO MOBILIZAÇÃO]]="Em andamento",Tabela1[[#This Row],[DATA REAL - DOSSIÊ]]="",$BE264&lt;=$BC$1),3,
AND(Tabela1[[#This Row],[STATUS PROCESSO MOBILIZAÇÃO]]="Em andamento",Tabela1[[#This Row],[DATA REAL - DOSSIÊ]]&lt;&gt;""),1)</f>
        <v>1</v>
      </c>
      <c r="O264" s="16" cm="1">
        <f t="array" aca="1" ref="O26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POSTAGEM]]="",$BH264&gt;$BF$1),2,
AND(Tabela1[[#This Row],[STATUS PROCESSO MOBILIZAÇÃO]]="Em andamento",Tabela1[[#This Row],[DATA REAL - POSTAGEM]]="",$BH264&lt;=$BF$1),3,
AND(Tabela1[[#This Row],[STATUS PROCESSO MOBILIZAÇÃO]]="Em andamento",Tabela1[[#This Row],[DATA REAL - POSTAGEM]]&lt;&gt;""),1)</f>
        <v>1</v>
      </c>
      <c r="P264" s="16" cm="1">
        <f t="array" aca="1" ref="P26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FINAL]]="",$BK264&gt;$BI$1),2,
AND(Tabela1[[#This Row],[STATUS PROCESSO MOBILIZAÇÃO]]="Em andamento",Tabela1[[#This Row],[DATA REAL - APROV FINAL]]="",$BK264&lt;=$BI$1),3,
AND(Tabela1[[#This Row],[STATUS PROCESSO MOBILIZAÇÃO]]="Em andamento",Tabela1[[#This Row],[DATA REAL - APROV FINAL]]&lt;&gt;""),1)</f>
        <v>1</v>
      </c>
      <c r="Q264" s="16" cm="1">
        <f t="array" aca="1" ref="Q26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CRACHÁ]]="",$BN264&gt;$BL$1),2,
AND(Tabela1[[#This Row],[STATUS PROCESSO MOBILIZAÇÃO]]="Em andamento",Tabela1[[#This Row],[DATA REAL - CRACHÁ]]="",$BN264&lt;=$BL$1),3,
AND(Tabela1[[#This Row],[STATUS PROCESSO MOBILIZAÇÃO]]="Em andamento",Tabela1[[#This Row],[DATA REAL - CRACHÁ]]&lt;&gt;""),1)</f>
        <v>1</v>
      </c>
      <c r="R264" s="21">
        <f>IF(Tabela1[[#This Row],[DATA REAL - FORMS]]&lt;&gt;"",Tabela1[[#This Row],[DATA REAL - FORMS]]+30,Tabela1[[#This Row],[DATA PREV - FORMS]]+35)</f>
        <v>46247</v>
      </c>
      <c r="S26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46231</v>
      </c>
      <c r="T26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26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64" s="49">
        <f>MAX(Tabela1[[#This Row],[DATA REAL - POSTAGEM]],Tabela1[[#This Row],[DATA REAL - APROV FINAL]],Tabela1[[#This Row],[DATA REAL - CRACHÁ]])-MIN(Tabela1[[#This Row],[DATA REAL - POSTAGEM]],Tabela1[[#This Row],[DATA REAL - APROV FINAL]],Tabela1[[#This Row],[DATA REAL - CRACHÁ]])+1</f>
        <v>2</v>
      </c>
      <c r="W26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4" s="16" t="s">
        <v>149</v>
      </c>
      <c r="Y264" s="16" t="s">
        <v>150</v>
      </c>
      <c r="Z264" s="80" t="str">
        <f>_xlfn.XLOOKUP(Tabela1[[#This Row],[COO PHD]],TabControleEfetivo[NOME],TabControleEfetivo[email (PHD)],"")</f>
        <v>diogo.soares@phdengenharia.eng.br</v>
      </c>
      <c r="AA264" s="95" t="s">
        <v>152</v>
      </c>
      <c r="AB264" s="16" t="s">
        <v>97</v>
      </c>
      <c r="AC264" s="16" t="s">
        <v>153</v>
      </c>
      <c r="AD264" s="16" t="s">
        <v>153</v>
      </c>
      <c r="AE264" s="16" t="s">
        <v>529</v>
      </c>
      <c r="AF264" s="16" t="s">
        <v>530</v>
      </c>
      <c r="AG264" s="16" t="str">
        <f>_xlfn.XLOOKUP(Tabela1[[#This Row],[CÓD. CT]],Controle_Projetos[COD CT],Controle_Projetos[COD PHD],"")</f>
        <v>ADMB-CT16-PORT</v>
      </c>
      <c r="AH264" s="21">
        <v>46217</v>
      </c>
      <c r="AI264" s="76">
        <v>46217</v>
      </c>
      <c r="AJ264" s="16" cm="1">
        <f t="array" aca="1" ref="AJ26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4" s="21">
        <v>46217</v>
      </c>
      <c r="AL264" s="74">
        <v>46217</v>
      </c>
      <c r="AM264" s="16" cm="1">
        <f t="array" aca="1" ref="AM26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4" s="21">
        <f>Tabela1[[#This Row],[DATA PREV - FORMS]]+$AN$1</f>
        <v>46224</v>
      </c>
      <c r="AO264" s="74">
        <v>46217</v>
      </c>
      <c r="AP264" s="16" cm="1">
        <f t="array" aca="1" ref="AP26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4" s="21">
        <f>Tabela1[[#This Row],[DATA PREV - EXAMES]]+$AQ$1</f>
        <v>46226</v>
      </c>
      <c r="AR264" s="74">
        <v>46218</v>
      </c>
      <c r="AS264" s="16" cm="1">
        <f t="array" aca="1" ref="AS26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-7</v>
      </c>
      <c r="AT264" s="21">
        <f>Tabela1[[#This Row],[DATA PREV - FORMS]]+$AT$1</f>
        <v>46218</v>
      </c>
      <c r="AU264" s="74">
        <v>46217</v>
      </c>
      <c r="AV264" s="16" cm="1">
        <f t="array" aca="1" ref="AV26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4" s="21">
        <f>Tabela1[[#This Row],[DATA PREV - TREINAMENTOS]]+$AW$1</f>
        <v>46225</v>
      </c>
      <c r="AX264" s="74">
        <v>46218</v>
      </c>
      <c r="AY264" s="16" cm="1">
        <f t="array" aca="1" ref="AY26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64" s="24">
        <v>46217</v>
      </c>
      <c r="BA264" s="74">
        <v>46217</v>
      </c>
      <c r="BB264" s="16" cm="1">
        <f t="array" aca="1" ref="BB26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4" s="21">
        <f>Tabela1[[#This Row],[DATA PREV - CONCL. TREIN.]]+$BC$1</f>
        <v>46227</v>
      </c>
      <c r="BD264" s="74">
        <v>46218</v>
      </c>
      <c r="BE264" s="16" cm="1">
        <f t="array" aca="1" ref="BE26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64" s="21">
        <f>Tabela1[[#This Row],[DATA PREV - DOSSIÊ]]+$BF$1</f>
        <v>46230</v>
      </c>
      <c r="BG264" s="74">
        <v>46230</v>
      </c>
      <c r="BH264" s="16" cm="1">
        <f t="array" aca="1" ref="BH26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v>
      </c>
      <c r="BI264" s="21">
        <f>Tabela1[[#This Row],[DATA PREV - POSTAGEM]]+$BI$1</f>
        <v>46236</v>
      </c>
      <c r="BJ264" s="74">
        <v>46231</v>
      </c>
      <c r="BK264" s="16" cm="1">
        <f t="array" aca="1" ref="BK26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264" s="21">
        <f>Tabela1[[#This Row],[DATA PREV - APROV FINAL]]+$BL$1</f>
        <v>46237</v>
      </c>
      <c r="BM264" s="74">
        <v>46231</v>
      </c>
      <c r="BN264" s="16" cm="1">
        <f t="array" aca="1" ref="BN26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64" s="81" t="s">
        <v>765</v>
      </c>
    </row>
    <row r="265" spans="2:67" ht="18" hidden="1" customHeight="1" x14ac:dyDescent="0.35">
      <c r="B265" s="14" t="s">
        <v>79</v>
      </c>
      <c r="C265" s="16" t="s">
        <v>136</v>
      </c>
      <c r="D265" s="16" t="s">
        <v>108</v>
      </c>
      <c r="E265" s="16">
        <v>1195</v>
      </c>
      <c r="F265" s="16" t="s">
        <v>477</v>
      </c>
      <c r="G265" s="16" cm="1">
        <f t="array" ref="G265">_xlfn.IFS(Tabela1[[#This Row],[STATUS PROCESSO MOBILIZAÇÃO]]="Finalizado",1,Tabela1[[#This Row],[STATUS PROCESSO MOBILIZAÇÃO]]="Cancelado",2,Tabela1[[#This Row],[STATUS PROCESSO MOBILIZAÇÃO]]="Em andamento",3)</f>
        <v>1</v>
      </c>
      <c r="H265" s="16" cm="1">
        <f t="array" aca="1" ref="H26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FORMS]]="",$AM265&gt;$AK$1),2,
AND(Tabela1[[#This Row],[STATUS PROCESSO MOBILIZAÇÃO]]="Em andamento",Tabela1[[#This Row],[DATA REAL - FORMS]]="",$AM265&lt;=$AK$1),3,
AND(Tabela1[[#This Row],[STATUS PROCESSO MOBILIZAÇÃO]]="Em andamento",Tabela1[[#This Row],[DATA REAL - FORMS]]&lt;&gt;""),1)</f>
        <v>1</v>
      </c>
      <c r="I265" s="16" cm="1">
        <f t="array" aca="1" ref="I26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EXAMES]]="",$AP265&gt;$AN$1),2,
AND(Tabela1[[#This Row],[STATUS PROCESSO MOBILIZAÇÃO]]="Em andamento",Tabela1[[#This Row],[DATA REAL - EXAMES]]="",$AP265&lt;=$AN$1),3,
AND(Tabela1[[#This Row],[STATUS PROCESSO MOBILIZAÇÃO]]="Em andamento",Tabela1[[#This Row],[DATA REAL - EXAMES]]&lt;&gt;""),1)</f>
        <v>1</v>
      </c>
      <c r="J265" s="16" cm="1">
        <f t="array" aca="1" ref="J26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ASO]]="",$AS265&gt;$AQ$1),2,
AND(Tabela1[[#This Row],[STATUS PROCESSO MOBILIZAÇÃO]]="Em andamento",Tabela1[[#This Row],[DATA REAL - ASO]]="",$AS265&lt;=$AQ$1),3,
AND(Tabela1[[#This Row],[STATUS PROCESSO MOBILIZAÇÃO]]="Em andamento",Tabela1[[#This Row],[DATA REAL - ASO]]&lt;&gt;""),1)</f>
        <v>1</v>
      </c>
      <c r="K265" s="16" cm="1">
        <f t="array" aca="1" ref="K26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TREINAMENTOS]]="",$AV265&gt;$AT$1),2,
AND(Tabela1[[#This Row],[STATUS PROCESSO MOBILIZAÇÃO]]="Em andamento",Tabela1[[#This Row],[DATA REAL - TREINAMENTOS]]="",$AV265&lt;=$AT$1),3,
AND(Tabela1[[#This Row],[STATUS PROCESSO MOBILIZAÇÃO]]="Em andamento",Tabela1[[#This Row],[DATA REAL - TREINAMENTOS]]&lt;&gt;""),1)</f>
        <v>1</v>
      </c>
      <c r="L265" s="16" cm="1">
        <f t="array" aca="1" ref="L26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TREIN.]]="",$AY265&gt;$AW$1),2,
AND(Tabela1[[#This Row],[STATUS PROCESSO MOBILIZAÇÃO]]="Em andamento",Tabela1[[#This Row],[DATA REAL - CONCL. TREIN.]]="",$AY265&lt;=$AW$1),3,
AND(Tabela1[[#This Row],[STATUS PROCESSO MOBILIZAÇÃO]]="Em andamento",Tabela1[[#This Row],[DATA REAL - CONCL. TREIN.]]&lt;&gt;""),1)</f>
        <v>1</v>
      </c>
      <c r="M265" s="16" cm="1">
        <f t="array" aca="1" ref="M26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CONTRATUAL]]="",$BB265&gt;$AZ$1),2,
AND(Tabela1[[#This Row],[STATUS PROCESSO MOBILIZAÇÃO]]="Em andamento",Tabela1[[#This Row],[DATA FIM - ALTER. CONTRATUAL]]="",$BB265&lt;=$AZ$1),3,
AND(Tabela1[[#This Row],[STATUS PROCESSO MOBILIZAÇÃO]]="Em andamento",Tabela1[[#This Row],[DATA FIM - ALTER. CONTRATUAL]]&lt;&gt;""),1)</f>
        <v>1</v>
      </c>
      <c r="N265" s="16" cm="1">
        <f t="array" aca="1" ref="N26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DOSSIÊ]]="",$BE265&gt;$BC$1),2,
AND(Tabela1[[#This Row],[STATUS PROCESSO MOBILIZAÇÃO]]="Em andamento",Tabela1[[#This Row],[DATA REAL - DOSSIÊ]]="",$BE265&lt;=$BC$1),3,
AND(Tabela1[[#This Row],[STATUS PROCESSO MOBILIZAÇÃO]]="Em andamento",Tabela1[[#This Row],[DATA REAL - DOSSIÊ]]&lt;&gt;""),1)</f>
        <v>1</v>
      </c>
      <c r="O265" s="16" cm="1">
        <f t="array" aca="1" ref="O26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POSTAGEM]]="",$BH265&gt;$BF$1),2,
AND(Tabela1[[#This Row],[STATUS PROCESSO MOBILIZAÇÃO]]="Em andamento",Tabela1[[#This Row],[DATA REAL - POSTAGEM]]="",$BH265&lt;=$BF$1),3,
AND(Tabela1[[#This Row],[STATUS PROCESSO MOBILIZAÇÃO]]="Em andamento",Tabela1[[#This Row],[DATA REAL - POSTAGEM]]&lt;&gt;""),1)</f>
        <v>1</v>
      </c>
      <c r="P265" s="16" cm="1">
        <f t="array" aca="1" ref="P26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FINAL]]="",$BK265&gt;$BI$1),2,
AND(Tabela1[[#This Row],[STATUS PROCESSO MOBILIZAÇÃO]]="Em andamento",Tabela1[[#This Row],[DATA REAL - APROV FINAL]]="",$BK265&lt;=$BI$1),3,
AND(Tabela1[[#This Row],[STATUS PROCESSO MOBILIZAÇÃO]]="Em andamento",Tabela1[[#This Row],[DATA REAL - APROV FINAL]]&lt;&gt;""),1)</f>
        <v>1</v>
      </c>
      <c r="Q265" s="16" cm="1">
        <f t="array" aca="1" ref="Q26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CRACHÁ]]="",$BN265&gt;$BL$1),2,
AND(Tabela1[[#This Row],[STATUS PROCESSO MOBILIZAÇÃO]]="Em andamento",Tabela1[[#This Row],[DATA REAL - CRACHÁ]]="",$BN265&lt;=$BL$1),3,
AND(Tabela1[[#This Row],[STATUS PROCESSO MOBILIZAÇÃO]]="Em andamento",Tabela1[[#This Row],[DATA REAL - CRACHÁ]]&lt;&gt;""),1)</f>
        <v>1</v>
      </c>
      <c r="R265" s="21">
        <f>IF(Tabela1[[#This Row],[DATA REAL - FORMS]]&lt;&gt;"",Tabela1[[#This Row],[DATA REAL - FORMS]]+30,Tabela1[[#This Row],[DATA PREV - FORMS]]+35)</f>
        <v>46253</v>
      </c>
      <c r="S26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46232</v>
      </c>
      <c r="T26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6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65" s="49">
        <f>MAX(Tabela1[[#This Row],[DATA REAL - POSTAGEM]],Tabela1[[#This Row],[DATA REAL - APROV FINAL]],Tabela1[[#This Row],[DATA REAL - CRACHÁ]])-MIN(Tabela1[[#This Row],[DATA REAL - POSTAGEM]],Tabela1[[#This Row],[DATA REAL - APROV FINAL]],Tabela1[[#This Row],[DATA REAL - CRACHÁ]])+1</f>
        <v>10</v>
      </c>
      <c r="W26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5" s="16" t="s">
        <v>149</v>
      </c>
      <c r="Y265" s="16" t="s">
        <v>150</v>
      </c>
      <c r="Z265" s="80" t="str">
        <f>_xlfn.XLOOKUP(Tabela1[[#This Row],[COO PHD]],TabControleEfetivo[NOME],TabControleEfetivo[email (PHD)],"")</f>
        <v>diogo.soares@phdengenharia.eng.br</v>
      </c>
      <c r="AA265" s="96" t="s">
        <v>152</v>
      </c>
      <c r="AB265" s="16" t="s">
        <v>97</v>
      </c>
      <c r="AC265" s="16" t="s">
        <v>455</v>
      </c>
      <c r="AD265" s="16" t="s">
        <v>455</v>
      </c>
      <c r="AE265" s="86" t="s">
        <v>712</v>
      </c>
      <c r="AF265" s="16" t="s">
        <v>713</v>
      </c>
      <c r="AG265" s="16" t="str">
        <f>_xlfn.XLOOKUP(Tabela1[[#This Row],[CÓD. CT]],Controle_Projetos[COD CT],Controle_Projetos[COD PHD],"")</f>
        <v>AURA-CT02-GUAT</v>
      </c>
      <c r="AH265" s="21">
        <v>46223</v>
      </c>
      <c r="AI265" s="76">
        <v>46223</v>
      </c>
      <c r="AJ265" s="16" cm="1">
        <f t="array" aca="1" ref="AJ26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5" s="21">
        <v>46223</v>
      </c>
      <c r="AL265" s="74">
        <v>46223</v>
      </c>
      <c r="AM265" s="16" cm="1">
        <f t="array" aca="1" ref="AM26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5" s="21">
        <f>Tabela1[[#This Row],[DATA PREV - FORMS]]+$AN$1</f>
        <v>46230</v>
      </c>
      <c r="AO265" s="74">
        <v>46223</v>
      </c>
      <c r="AP265" s="16" cm="1">
        <f t="array" aca="1" ref="AP26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5" s="21">
        <f>Tabela1[[#This Row],[DATA PREV - EXAMES]]+$AQ$1</f>
        <v>46232</v>
      </c>
      <c r="AR265" s="74">
        <v>46223</v>
      </c>
      <c r="AS265" s="16" cm="1">
        <f t="array" aca="1" ref="AS26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65" s="21">
        <f>Tabela1[[#This Row],[DATA PREV - FORMS]]+$AT$1</f>
        <v>46224</v>
      </c>
      <c r="AU265" s="74">
        <v>46223</v>
      </c>
      <c r="AV265" s="16" cm="1">
        <f t="array" aca="1" ref="AV26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5" s="21">
        <f>Tabela1[[#This Row],[DATA PREV - TREINAMENTOS]]+$AW$1</f>
        <v>46231</v>
      </c>
      <c r="AX265" s="74">
        <v>46223</v>
      </c>
      <c r="AY265" s="16" cm="1">
        <f t="array" aca="1" ref="AY26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5" s="24">
        <v>46223</v>
      </c>
      <c r="BA265" s="74">
        <v>46223</v>
      </c>
      <c r="BB265" s="16" cm="1">
        <f t="array" aca="1" ref="BB26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5" s="21">
        <f>Tabela1[[#This Row],[DATA PREV - CONCL. TREIN.]]+$BC$1</f>
        <v>46233</v>
      </c>
      <c r="BD265" s="74">
        <v>46223</v>
      </c>
      <c r="BE265" s="16" cm="1">
        <f t="array" aca="1" ref="BE26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65" s="21">
        <f>Tabela1[[#This Row],[DATA PREV - DOSSIÊ]]+$BF$1</f>
        <v>46236</v>
      </c>
      <c r="BG265" s="74">
        <v>46223</v>
      </c>
      <c r="BH265" s="16" cm="1">
        <f t="array" aca="1" ref="BH26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65" s="21">
        <f>Tabela1[[#This Row],[DATA PREV - POSTAGEM]]+$BI$1</f>
        <v>46242</v>
      </c>
      <c r="BJ265" s="74">
        <v>46232</v>
      </c>
      <c r="BK265" s="16" cm="1">
        <f t="array" aca="1" ref="BK26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65" s="21">
        <f>Tabela1[[#This Row],[DATA PREV - APROV FINAL]]+$BL$1</f>
        <v>46243</v>
      </c>
      <c r="BM265" s="74">
        <v>46232</v>
      </c>
      <c r="BN265" s="16" cm="1">
        <f t="array" aca="1" ref="BN26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65" s="81" t="s">
        <v>766</v>
      </c>
    </row>
    <row r="266" spans="2:67" ht="18" hidden="1" customHeight="1" x14ac:dyDescent="0.35">
      <c r="B266" s="14" t="s">
        <v>79</v>
      </c>
      <c r="C266" s="16" t="s">
        <v>136</v>
      </c>
      <c r="D266" s="16" t="s">
        <v>108</v>
      </c>
      <c r="E266" s="16"/>
      <c r="F266" s="16" t="s">
        <v>603</v>
      </c>
      <c r="G266" s="16" cm="1">
        <f t="array" ref="G266">_xlfn.IFS(Tabela1[[#This Row],[STATUS PROCESSO MOBILIZAÇÃO]]="Finalizado",1,Tabela1[[#This Row],[STATUS PROCESSO MOBILIZAÇÃO]]="Cancelado",2,Tabela1[[#This Row],[STATUS PROCESSO MOBILIZAÇÃO]]="Em andamento",3)</f>
        <v>1</v>
      </c>
      <c r="H266" s="16" cm="1">
        <f t="array" aca="1" ref="H26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FORMS]]="",$AM266&gt;$AK$1),2,
AND(Tabela1[[#This Row],[STATUS PROCESSO MOBILIZAÇÃO]]="Em andamento",Tabela1[[#This Row],[DATA REAL - FORMS]]="",$AM266&lt;=$AK$1),3,
AND(Tabela1[[#This Row],[STATUS PROCESSO MOBILIZAÇÃO]]="Em andamento",Tabela1[[#This Row],[DATA REAL - FORMS]]&lt;&gt;""),1)</f>
        <v>0</v>
      </c>
      <c r="I266" s="16" cm="1">
        <f t="array" aca="1" ref="I26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EXAMES]]="",$AP266&gt;$AN$1),2,
AND(Tabela1[[#This Row],[STATUS PROCESSO MOBILIZAÇÃO]]="Em andamento",Tabela1[[#This Row],[DATA REAL - EXAMES]]="",$AP266&lt;=$AN$1),3,
AND(Tabela1[[#This Row],[STATUS PROCESSO MOBILIZAÇÃO]]="Em andamento",Tabela1[[#This Row],[DATA REAL - EXAMES]]&lt;&gt;""),1)</f>
        <v>1</v>
      </c>
      <c r="J266" s="16" cm="1">
        <f t="array" aca="1" ref="J26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ASO]]="",$AS266&gt;$AQ$1),2,
AND(Tabela1[[#This Row],[STATUS PROCESSO MOBILIZAÇÃO]]="Em andamento",Tabela1[[#This Row],[DATA REAL - ASO]]="",$AS266&lt;=$AQ$1),3,
AND(Tabela1[[#This Row],[STATUS PROCESSO MOBILIZAÇÃO]]="Em andamento",Tabela1[[#This Row],[DATA REAL - ASO]]&lt;&gt;""),1)</f>
        <v>1</v>
      </c>
      <c r="K266" s="16" cm="1">
        <f t="array" aca="1" ref="K26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TREINAMENTOS]]="",$AV266&gt;$AT$1),2,
AND(Tabela1[[#This Row],[STATUS PROCESSO MOBILIZAÇÃO]]="Em andamento",Tabela1[[#This Row],[DATA REAL - TREINAMENTOS]]="",$AV266&lt;=$AT$1),3,
AND(Tabela1[[#This Row],[STATUS PROCESSO MOBILIZAÇÃO]]="Em andamento",Tabela1[[#This Row],[DATA REAL - TREINAMENTOS]]&lt;&gt;""),1)</f>
        <v>1</v>
      </c>
      <c r="L266" s="16" cm="1">
        <f t="array" aca="1" ref="L26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TREIN.]]="",$AY266&gt;$AW$1),2,
AND(Tabela1[[#This Row],[STATUS PROCESSO MOBILIZAÇÃO]]="Em andamento",Tabela1[[#This Row],[DATA REAL - CONCL. TREIN.]]="",$AY266&lt;=$AW$1),3,
AND(Tabela1[[#This Row],[STATUS PROCESSO MOBILIZAÇÃO]]="Em andamento",Tabela1[[#This Row],[DATA REAL - CONCL. TREIN.]]&lt;&gt;""),1)</f>
        <v>1</v>
      </c>
      <c r="M266" s="16" cm="1">
        <f t="array" aca="1" ref="M26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CONTRATUAL]]="",$BB266&gt;$AZ$1),2,
AND(Tabela1[[#This Row],[STATUS PROCESSO MOBILIZAÇÃO]]="Em andamento",Tabela1[[#This Row],[DATA FIM - ALTER. CONTRATUAL]]="",$BB266&lt;=$AZ$1),3,
AND(Tabela1[[#This Row],[STATUS PROCESSO MOBILIZAÇÃO]]="Em andamento",Tabela1[[#This Row],[DATA FIM - ALTER. CONTRATUAL]]&lt;&gt;""),1)</f>
        <v>1</v>
      </c>
      <c r="N266" s="16" cm="1">
        <f t="array" aca="1" ref="N26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DOSSIÊ]]="",$BE266&gt;$BC$1),2,
AND(Tabela1[[#This Row],[STATUS PROCESSO MOBILIZAÇÃO]]="Em andamento",Tabela1[[#This Row],[DATA REAL - DOSSIÊ]]="",$BE266&lt;=$BC$1),3,
AND(Tabela1[[#This Row],[STATUS PROCESSO MOBILIZAÇÃO]]="Em andamento",Tabela1[[#This Row],[DATA REAL - DOSSIÊ]]&lt;&gt;""),1)</f>
        <v>1</v>
      </c>
      <c r="O266" s="16" cm="1">
        <f t="array" aca="1" ref="O26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POSTAGEM]]="",$BH266&gt;$BF$1),2,
AND(Tabela1[[#This Row],[STATUS PROCESSO MOBILIZAÇÃO]]="Em andamento",Tabela1[[#This Row],[DATA REAL - POSTAGEM]]="",$BH266&lt;=$BF$1),3,
AND(Tabela1[[#This Row],[STATUS PROCESSO MOBILIZAÇÃO]]="Em andamento",Tabela1[[#This Row],[DATA REAL - POSTAGEM]]&lt;&gt;""),1)</f>
        <v>1</v>
      </c>
      <c r="P266" s="16" cm="1">
        <f t="array" aca="1" ref="P26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FINAL]]="",$BK266&gt;$BI$1),2,
AND(Tabela1[[#This Row],[STATUS PROCESSO MOBILIZAÇÃO]]="Em andamento",Tabela1[[#This Row],[DATA REAL - APROV FINAL]]="",$BK266&lt;=$BI$1),3,
AND(Tabela1[[#This Row],[STATUS PROCESSO MOBILIZAÇÃO]]="Em andamento",Tabela1[[#This Row],[DATA REAL - APROV FINAL]]&lt;&gt;""),1)</f>
        <v>1</v>
      </c>
      <c r="Q266" s="16" cm="1">
        <f t="array" aca="1" ref="Q26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CRACHÁ]]="",$BN266&gt;$BL$1),2,
AND(Tabela1[[#This Row],[STATUS PROCESSO MOBILIZAÇÃO]]="Em andamento",Tabela1[[#This Row],[DATA REAL - CRACHÁ]]="",$BN266&lt;=$BL$1),3,
AND(Tabela1[[#This Row],[STATUS PROCESSO MOBILIZAÇÃO]]="Em andamento",Tabela1[[#This Row],[DATA REAL - CRACHÁ]]&lt;&gt;""),1)</f>
        <v>1</v>
      </c>
      <c r="R266" s="21">
        <f>IF(Tabela1[[#This Row],[DATA REAL - FORMS]]&lt;&gt;"",Tabela1[[#This Row],[DATA REAL - FORMS]]+30,Tabela1[[#This Row],[DATA PREV - FORMS]]+35)</f>
        <v>46266</v>
      </c>
      <c r="S266"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46244</v>
      </c>
      <c r="T26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6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10</v>
      </c>
      <c r="V266" s="49">
        <f>MAX(Tabela1[[#This Row],[DATA REAL - POSTAGEM]],Tabela1[[#This Row],[DATA REAL - APROV FINAL]],Tabela1[[#This Row],[DATA REAL - CRACHÁ]])-MIN(Tabela1[[#This Row],[DATA REAL - POSTAGEM]],Tabela1[[#This Row],[DATA REAL - APROV FINAL]],Tabela1[[#This Row],[DATA REAL - CRACHÁ]])+1</f>
        <v>4</v>
      </c>
      <c r="W26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66" s="16"/>
      <c r="Y266" s="16" t="s">
        <v>122</v>
      </c>
      <c r="Z266" s="16" t="str">
        <f>_xlfn.XLOOKUP(Tabela1[[#This Row],[COO PHD]],TabControleEfetivo[NOME],TabControleEfetivo[email (PHD)],"")</f>
        <v/>
      </c>
      <c r="AA266" s="96" t="s">
        <v>124</v>
      </c>
      <c r="AB266" s="16" t="s">
        <v>632</v>
      </c>
      <c r="AC266" s="16" t="s">
        <v>89</v>
      </c>
      <c r="AD266" s="16" t="s">
        <v>89</v>
      </c>
      <c r="AE266" s="16" t="s">
        <v>596</v>
      </c>
      <c r="AF266" s="16" t="s">
        <v>763</v>
      </c>
      <c r="AG266" s="16" t="str">
        <f>_xlfn.XLOOKUP(Tabela1[[#This Row],[CÓD. CT]],Controle_Projetos[COD CT],Controle_Projetos[COD PHD],"")</f>
        <v/>
      </c>
      <c r="AH266" s="21">
        <v>46231</v>
      </c>
      <c r="AI266" s="76">
        <v>46231</v>
      </c>
      <c r="AJ266" s="16" cm="1">
        <f t="array" aca="1" ref="AJ26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6" s="21">
        <v>46231</v>
      </c>
      <c r="AL266" s="74"/>
      <c r="AM266" s="16" cm="1">
        <f t="array" aca="1" ref="AM26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6" s="21">
        <f>Tabela1[[#This Row],[DATA PREV - FORMS]]+$AN$1</f>
        <v>46238</v>
      </c>
      <c r="AO266" s="74">
        <v>46231</v>
      </c>
      <c r="AP266" s="16" cm="1">
        <f t="array" aca="1" ref="AP26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6" s="21">
        <f>Tabela1[[#This Row],[DATA PREV - EXAMES]]+$AQ$1</f>
        <v>46240</v>
      </c>
      <c r="AR266" s="74">
        <v>46241</v>
      </c>
      <c r="AS266" s="16" cm="1">
        <f t="array" aca="1" ref="AS26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66" s="21">
        <f>Tabela1[[#This Row],[DATA PREV - FORMS]]+$AT$1</f>
        <v>46232</v>
      </c>
      <c r="AU266" s="74">
        <v>46231</v>
      </c>
      <c r="AV266" s="16" cm="1">
        <f t="array" aca="1" ref="AV26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6" s="21">
        <f>Tabela1[[#This Row],[DATA PREV - TREINAMENTOS]]+$AW$1</f>
        <v>46239</v>
      </c>
      <c r="AX266" s="74">
        <v>46231</v>
      </c>
      <c r="AY266" s="16" cm="1">
        <f t="array" aca="1" ref="AY26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6" s="24">
        <v>46231</v>
      </c>
      <c r="BA266" s="74">
        <v>46231</v>
      </c>
      <c r="BB266" s="16" cm="1">
        <f t="array" aca="1" ref="BB26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6" s="21">
        <f>Tabela1[[#This Row],[DATA PREV - CONCL. TREIN.]]+$BC$1</f>
        <v>46241</v>
      </c>
      <c r="BD266" s="74">
        <v>46241</v>
      </c>
      <c r="BE266" s="16" cm="1">
        <f t="array" aca="1" ref="BE26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66" s="21">
        <f>Tabela1[[#This Row],[DATA PREV - DOSSIÊ]]+$BF$1</f>
        <v>46244</v>
      </c>
      <c r="BG266" s="74">
        <v>46241</v>
      </c>
      <c r="BH266" s="16" cm="1">
        <f t="array" aca="1" ref="BH26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66" s="21">
        <f>Tabela1[[#This Row],[DATA PREV - POSTAGEM]]+$BI$1</f>
        <v>46250</v>
      </c>
      <c r="BJ266" s="74">
        <v>46244</v>
      </c>
      <c r="BK266" s="16" cm="1">
        <f t="array" aca="1" ref="BK26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-5</v>
      </c>
      <c r="BL266" s="21">
        <f>Tabela1[[#This Row],[DATA PREV - APROV FINAL]]+$BL$1</f>
        <v>46251</v>
      </c>
      <c r="BM266" s="74">
        <v>46244</v>
      </c>
      <c r="BN266" s="16" cm="1">
        <f t="array" aca="1" ref="BN26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66" s="81" t="s">
        <v>767</v>
      </c>
    </row>
    <row r="267" spans="2:67" ht="18" hidden="1" customHeight="1" x14ac:dyDescent="0.35">
      <c r="B267" s="14" t="s">
        <v>79</v>
      </c>
      <c r="C267" s="16" t="s">
        <v>136</v>
      </c>
      <c r="D267" s="16" t="s">
        <v>108</v>
      </c>
      <c r="E267" s="16"/>
      <c r="F267" s="16" t="s">
        <v>428</v>
      </c>
      <c r="G267" s="16" cm="1">
        <f t="array" ref="G267">_xlfn.IFS(Tabela1[[#This Row],[STATUS PROCESSO MOBILIZAÇÃO]]="Finalizado",1,Tabela1[[#This Row],[STATUS PROCESSO MOBILIZAÇÃO]]="Cancelado",2,Tabela1[[#This Row],[STATUS PROCESSO MOBILIZAÇÃO]]="Em andamento",3)</f>
        <v>1</v>
      </c>
      <c r="H267" s="16" cm="1">
        <f t="array" aca="1" ref="H26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FORMS]]="",$AM267&gt;$AK$1),2,
AND(Tabela1[[#This Row],[STATUS PROCESSO MOBILIZAÇÃO]]="Em andamento",Tabela1[[#This Row],[DATA REAL - FORMS]]="",$AM267&lt;=$AK$1),3,
AND(Tabela1[[#This Row],[STATUS PROCESSO MOBILIZAÇÃO]]="Em andamento",Tabela1[[#This Row],[DATA REAL - FORMS]]&lt;&gt;""),1)</f>
        <v>0</v>
      </c>
      <c r="I267" s="16" cm="1">
        <f t="array" aca="1" ref="I26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EXAMES]]="",$AP267&gt;$AN$1),2,
AND(Tabela1[[#This Row],[STATUS PROCESSO MOBILIZAÇÃO]]="Em andamento",Tabela1[[#This Row],[DATA REAL - EXAMES]]="",$AP267&lt;=$AN$1),3,
AND(Tabela1[[#This Row],[STATUS PROCESSO MOBILIZAÇÃO]]="Em andamento",Tabela1[[#This Row],[DATA REAL - EXAMES]]&lt;&gt;""),1)</f>
        <v>1</v>
      </c>
      <c r="J267" s="16" cm="1">
        <f t="array" aca="1" ref="J26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ASO]]="",$AS267&gt;$AQ$1),2,
AND(Tabela1[[#This Row],[STATUS PROCESSO MOBILIZAÇÃO]]="Em andamento",Tabela1[[#This Row],[DATA REAL - ASO]]="",$AS267&lt;=$AQ$1),3,
AND(Tabela1[[#This Row],[STATUS PROCESSO MOBILIZAÇÃO]]="Em andamento",Tabela1[[#This Row],[DATA REAL - ASO]]&lt;&gt;""),1)</f>
        <v>1</v>
      </c>
      <c r="K267" s="16" cm="1">
        <f t="array" aca="1" ref="K26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TREINAMENTOS]]="",$AV267&gt;$AT$1),2,
AND(Tabela1[[#This Row],[STATUS PROCESSO MOBILIZAÇÃO]]="Em andamento",Tabela1[[#This Row],[DATA REAL - TREINAMENTOS]]="",$AV267&lt;=$AT$1),3,
AND(Tabela1[[#This Row],[STATUS PROCESSO MOBILIZAÇÃO]]="Em andamento",Tabela1[[#This Row],[DATA REAL - TREINAMENTOS]]&lt;&gt;""),1)</f>
        <v>1</v>
      </c>
      <c r="L267" s="16" cm="1">
        <f t="array" aca="1" ref="L26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TREIN.]]="",$AY267&gt;$AW$1),2,
AND(Tabela1[[#This Row],[STATUS PROCESSO MOBILIZAÇÃO]]="Em andamento",Tabela1[[#This Row],[DATA REAL - CONCL. TREIN.]]="",$AY267&lt;=$AW$1),3,
AND(Tabela1[[#This Row],[STATUS PROCESSO MOBILIZAÇÃO]]="Em andamento",Tabela1[[#This Row],[DATA REAL - CONCL. TREIN.]]&lt;&gt;""),1)</f>
        <v>1</v>
      </c>
      <c r="M267" s="16" cm="1">
        <f t="array" aca="1" ref="M26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CONTRATUAL]]="",$BB267&gt;$AZ$1),2,
AND(Tabela1[[#This Row],[STATUS PROCESSO MOBILIZAÇÃO]]="Em andamento",Tabela1[[#This Row],[DATA FIM - ALTER. CONTRATUAL]]="",$BB267&lt;=$AZ$1),3,
AND(Tabela1[[#This Row],[STATUS PROCESSO MOBILIZAÇÃO]]="Em andamento",Tabela1[[#This Row],[DATA FIM - ALTER. CONTRATUAL]]&lt;&gt;""),1)</f>
        <v>1</v>
      </c>
      <c r="N267" s="16" cm="1">
        <f t="array" aca="1" ref="N26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DOSSIÊ]]="",$BE267&gt;$BC$1),2,
AND(Tabela1[[#This Row],[STATUS PROCESSO MOBILIZAÇÃO]]="Em andamento",Tabela1[[#This Row],[DATA REAL - DOSSIÊ]]="",$BE267&lt;=$BC$1),3,
AND(Tabela1[[#This Row],[STATUS PROCESSO MOBILIZAÇÃO]]="Em andamento",Tabela1[[#This Row],[DATA REAL - DOSSIÊ]]&lt;&gt;""),1)</f>
        <v>1</v>
      </c>
      <c r="O267" s="16" cm="1">
        <f t="array" aca="1" ref="O26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POSTAGEM]]="",$BH267&gt;$BF$1),2,
AND(Tabela1[[#This Row],[STATUS PROCESSO MOBILIZAÇÃO]]="Em andamento",Tabela1[[#This Row],[DATA REAL - POSTAGEM]]="",$BH267&lt;=$BF$1),3,
AND(Tabela1[[#This Row],[STATUS PROCESSO MOBILIZAÇÃO]]="Em andamento",Tabela1[[#This Row],[DATA REAL - POSTAGEM]]&lt;&gt;""),1)</f>
        <v>1</v>
      </c>
      <c r="P267" s="16" cm="1">
        <f t="array" aca="1" ref="P26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FINAL]]="",$BK267&gt;$BI$1),2,
AND(Tabela1[[#This Row],[STATUS PROCESSO MOBILIZAÇÃO]]="Em andamento",Tabela1[[#This Row],[DATA REAL - APROV FINAL]]="",$BK267&lt;=$BI$1),3,
AND(Tabela1[[#This Row],[STATUS PROCESSO MOBILIZAÇÃO]]="Em andamento",Tabela1[[#This Row],[DATA REAL - APROV FINAL]]&lt;&gt;""),1)</f>
        <v>1</v>
      </c>
      <c r="Q267" s="16" cm="1">
        <f t="array" aca="1" ref="Q26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CRACHÁ]]="",$BN267&gt;$BL$1),2,
AND(Tabela1[[#This Row],[STATUS PROCESSO MOBILIZAÇÃO]]="Em andamento",Tabela1[[#This Row],[DATA REAL - CRACHÁ]]="",$BN267&lt;=$BL$1),3,
AND(Tabela1[[#This Row],[STATUS PROCESSO MOBILIZAÇÃO]]="Em andamento",Tabela1[[#This Row],[DATA REAL - CRACHÁ]]&lt;&gt;""),1)</f>
        <v>1</v>
      </c>
      <c r="R267" s="21">
        <f>IF(Tabela1[[#This Row],[DATA REAL - FORMS]]&lt;&gt;"",Tabela1[[#This Row],[DATA REAL - FORMS]]+30,Tabela1[[#This Row],[DATA PREV - FORMS]]+35)</f>
        <v>46266</v>
      </c>
      <c r="S267"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46251</v>
      </c>
      <c r="T26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20</v>
      </c>
      <c r="U26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16</v>
      </c>
      <c r="V267" s="49">
        <f>MAX(Tabela1[[#This Row],[DATA REAL - POSTAGEM]],Tabela1[[#This Row],[DATA REAL - APROV FINAL]],Tabela1[[#This Row],[DATA REAL - CRACHÁ]])-MIN(Tabela1[[#This Row],[DATA REAL - POSTAGEM]],Tabela1[[#This Row],[DATA REAL - APROV FINAL]],Tabela1[[#This Row],[DATA REAL - CRACHÁ]])+1</f>
        <v>5</v>
      </c>
      <c r="W26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X267" s="16" t="s">
        <v>726</v>
      </c>
      <c r="Y267" s="16" t="s">
        <v>150</v>
      </c>
      <c r="Z267" s="80" t="s">
        <v>104</v>
      </c>
      <c r="AA267" s="95" t="s">
        <v>152</v>
      </c>
      <c r="AB267" s="16" t="s">
        <v>97</v>
      </c>
      <c r="AC267" s="16" t="s">
        <v>768</v>
      </c>
      <c r="AD267" s="16" t="s">
        <v>768</v>
      </c>
      <c r="AE267" s="16" t="s">
        <v>633</v>
      </c>
      <c r="AF267" s="16" t="s">
        <v>406</v>
      </c>
      <c r="AG267" s="16" t="str">
        <f>_xlfn.XLOOKUP(Tabela1[[#This Row],[CÓD. CT]],Controle_Projetos[COD CT],Controle_Projetos[COD PHD],"")</f>
        <v>VALE-CT01-OC01</v>
      </c>
      <c r="AH267" s="21">
        <v>46231</v>
      </c>
      <c r="AI267" s="76"/>
      <c r="AJ267" s="16" cm="1">
        <f t="array" aca="1" ref="AJ26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7" s="21">
        <v>46231</v>
      </c>
      <c r="AL267" s="74"/>
      <c r="AM267" s="16" cm="1">
        <f t="array" aca="1" ref="AM26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7" s="21">
        <f>Tabela1[[#This Row],[DATA PREV - FORMS]]+$AN$1</f>
        <v>46238</v>
      </c>
      <c r="AO267" s="74">
        <v>46231</v>
      </c>
      <c r="AP267" s="16" cm="1">
        <f t="array" aca="1" ref="AP26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7" s="21">
        <f>Tabela1[[#This Row],[DATA PREV - EXAMES]]+$AQ$1</f>
        <v>46240</v>
      </c>
      <c r="AR267" s="74">
        <v>46241</v>
      </c>
      <c r="AS267" s="16" cm="1">
        <f t="array" aca="1" ref="AS26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67" s="21">
        <f>Tabela1[[#This Row],[DATA PREV - FORMS]]+$AT$1</f>
        <v>46232</v>
      </c>
      <c r="AU267" s="74">
        <v>46231</v>
      </c>
      <c r="AV267" s="16" cm="1">
        <f t="array" aca="1" ref="AV26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7" s="21">
        <f>Tabela1[[#This Row],[DATA PREV - TREINAMENTOS]]+$AW$1</f>
        <v>46239</v>
      </c>
      <c r="AX267" s="74">
        <v>46238</v>
      </c>
      <c r="AY267" s="16" cm="1">
        <f t="array" aca="1" ref="AY26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67" s="24">
        <v>46231</v>
      </c>
      <c r="BA267" s="74">
        <v>46231</v>
      </c>
      <c r="BB267" s="16" cm="1">
        <f t="array" aca="1" ref="BB26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7" s="21">
        <f>Tabela1[[#This Row],[DATA PREV - CONCL. TREIN.]]+$BC$1</f>
        <v>46241</v>
      </c>
      <c r="BD267" s="74">
        <v>46247</v>
      </c>
      <c r="BE267" s="16" cm="1">
        <f t="array" aca="1" ref="BE26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67" s="21">
        <f>Tabela1[[#This Row],[DATA PREV - DOSSIÊ]]+$BF$1</f>
        <v>46244</v>
      </c>
      <c r="BG267" s="74">
        <v>46247</v>
      </c>
      <c r="BH267" s="16" cm="1">
        <f t="array" aca="1" ref="BH26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67" s="21">
        <f>Tabela1[[#This Row],[DATA PREV - POSTAGEM]]+$BI$1</f>
        <v>46250</v>
      </c>
      <c r="BJ267" s="74">
        <v>46249</v>
      </c>
      <c r="BK267" s="16" cm="1">
        <f t="array" aca="1" ref="BK26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0</v>
      </c>
      <c r="BL267" s="21">
        <f>Tabela1[[#This Row],[DATA PREV - APROV FINAL]]+$BL$1</f>
        <v>46251</v>
      </c>
      <c r="BM267" s="74">
        <v>46251</v>
      </c>
      <c r="BN267" s="16" cm="1">
        <f t="array" aca="1" ref="BN26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v>
      </c>
      <c r="BO267" s="81" t="s">
        <v>769</v>
      </c>
    </row>
    <row r="268" spans="2:67" ht="18" hidden="1" customHeight="1" x14ac:dyDescent="0.35">
      <c r="B268" s="14" t="s">
        <v>79</v>
      </c>
      <c r="C268" s="16" t="s">
        <v>136</v>
      </c>
      <c r="D268" s="16" t="s">
        <v>108</v>
      </c>
      <c r="E268" s="16"/>
      <c r="F268" s="16" t="s">
        <v>270</v>
      </c>
      <c r="G268" s="16" cm="1">
        <f t="array" ref="G268">_xlfn.IFS(Tabela1[[#This Row],[STATUS PROCESSO MOBILIZAÇÃO]]="Finalizado",1,Tabela1[[#This Row],[STATUS PROCESSO MOBILIZAÇÃO]]="Cancelado",2,Tabela1[[#This Row],[STATUS PROCESSO MOBILIZAÇÃO]]="Em andamento",3)</f>
        <v>1</v>
      </c>
      <c r="H268" s="16" cm="1">
        <f t="array" aca="1" ref="H26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FORMS]]="",$AM268&gt;$AK$1),2,
AND(Tabela1[[#This Row],[STATUS PROCESSO MOBILIZAÇÃO]]="Em andamento",Tabela1[[#This Row],[DATA REAL - FORMS]]="",$AM268&lt;=$AK$1),3,
AND(Tabela1[[#This Row],[STATUS PROCESSO MOBILIZAÇÃO]]="Em andamento",Tabela1[[#This Row],[DATA REAL - FORMS]]&lt;&gt;""),1)</f>
        <v>0</v>
      </c>
      <c r="I268" s="16" cm="1">
        <f t="array" aca="1" ref="I26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EXAMES]]="",$AP268&gt;$AN$1),2,
AND(Tabela1[[#This Row],[STATUS PROCESSO MOBILIZAÇÃO]]="Em andamento",Tabela1[[#This Row],[DATA REAL - EXAMES]]="",$AP268&lt;=$AN$1),3,
AND(Tabela1[[#This Row],[STATUS PROCESSO MOBILIZAÇÃO]]="Em andamento",Tabela1[[#This Row],[DATA REAL - EXAMES]]&lt;&gt;""),1)</f>
        <v>1</v>
      </c>
      <c r="J268" s="16" cm="1">
        <f t="array" aca="1" ref="J26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ASO]]="",$AS268&gt;$AQ$1),2,
AND(Tabela1[[#This Row],[STATUS PROCESSO MOBILIZAÇÃO]]="Em andamento",Tabela1[[#This Row],[DATA REAL - ASO]]="",$AS268&lt;=$AQ$1),3,
AND(Tabela1[[#This Row],[STATUS PROCESSO MOBILIZAÇÃO]]="Em andamento",Tabela1[[#This Row],[DATA REAL - ASO]]&lt;&gt;""),1)</f>
        <v>1</v>
      </c>
      <c r="K268" s="16" cm="1">
        <f t="array" aca="1" ref="K26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TREINAMENTOS]]="",$AV268&gt;$AT$1),2,
AND(Tabela1[[#This Row],[STATUS PROCESSO MOBILIZAÇÃO]]="Em andamento",Tabela1[[#This Row],[DATA REAL - TREINAMENTOS]]="",$AV268&lt;=$AT$1),3,
AND(Tabela1[[#This Row],[STATUS PROCESSO MOBILIZAÇÃO]]="Em andamento",Tabela1[[#This Row],[DATA REAL - TREINAMENTOS]]&lt;&gt;""),1)</f>
        <v>1</v>
      </c>
      <c r="L268" s="16" cm="1">
        <f t="array" aca="1" ref="L26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TREIN.]]="",$AY268&gt;$AW$1),2,
AND(Tabela1[[#This Row],[STATUS PROCESSO MOBILIZAÇÃO]]="Em andamento",Tabela1[[#This Row],[DATA REAL - CONCL. TREIN.]]="",$AY268&lt;=$AW$1),3,
AND(Tabela1[[#This Row],[STATUS PROCESSO MOBILIZAÇÃO]]="Em andamento",Tabela1[[#This Row],[DATA REAL - CONCL. TREIN.]]&lt;&gt;""),1)</f>
        <v>1</v>
      </c>
      <c r="M268" s="16" cm="1">
        <f t="array" aca="1" ref="M26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CONTRATUAL]]="",$BB268&gt;$AZ$1),2,
AND(Tabela1[[#This Row],[STATUS PROCESSO MOBILIZAÇÃO]]="Em andamento",Tabela1[[#This Row],[DATA FIM - ALTER. CONTRATUAL]]="",$BB268&lt;=$AZ$1),3,
AND(Tabela1[[#This Row],[STATUS PROCESSO MOBILIZAÇÃO]]="Em andamento",Tabela1[[#This Row],[DATA FIM - ALTER. CONTRATUAL]]&lt;&gt;""),1)</f>
        <v>1</v>
      </c>
      <c r="N268" s="16" cm="1">
        <f t="array" aca="1" ref="N26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DOSSIÊ]]="",$BE268&gt;$BC$1),2,
AND(Tabela1[[#This Row],[STATUS PROCESSO MOBILIZAÇÃO]]="Em andamento",Tabela1[[#This Row],[DATA REAL - DOSSIÊ]]="",$BE268&lt;=$BC$1),3,
AND(Tabela1[[#This Row],[STATUS PROCESSO MOBILIZAÇÃO]]="Em andamento",Tabela1[[#This Row],[DATA REAL - DOSSIÊ]]&lt;&gt;""),1)</f>
        <v>1</v>
      </c>
      <c r="O268" s="16" cm="1">
        <f t="array" aca="1" ref="O26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POSTAGEM]]="",$BH268&gt;$BF$1),2,
AND(Tabela1[[#This Row],[STATUS PROCESSO MOBILIZAÇÃO]]="Em andamento",Tabela1[[#This Row],[DATA REAL - POSTAGEM]]="",$BH268&lt;=$BF$1),3,
AND(Tabela1[[#This Row],[STATUS PROCESSO MOBILIZAÇÃO]]="Em andamento",Tabela1[[#This Row],[DATA REAL - POSTAGEM]]&lt;&gt;""),1)</f>
        <v>1</v>
      </c>
      <c r="P268" s="16" cm="1">
        <f t="array" aca="1" ref="P26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FINAL]]="",$BK268&gt;$BI$1),2,
AND(Tabela1[[#This Row],[STATUS PROCESSO MOBILIZAÇÃO]]="Em andamento",Tabela1[[#This Row],[DATA REAL - APROV FINAL]]="",$BK268&lt;=$BI$1),3,
AND(Tabela1[[#This Row],[STATUS PROCESSO MOBILIZAÇÃO]]="Em andamento",Tabela1[[#This Row],[DATA REAL - APROV FINAL]]&lt;&gt;""),1)</f>
        <v>1</v>
      </c>
      <c r="Q268" s="16" cm="1">
        <f t="array" aca="1" ref="Q26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CRACHÁ]]="",$BN268&gt;$BL$1),2,
AND(Tabela1[[#This Row],[STATUS PROCESSO MOBILIZAÇÃO]]="Em andamento",Tabela1[[#This Row],[DATA REAL - CRACHÁ]]="",$BN268&lt;=$BL$1),3,
AND(Tabela1[[#This Row],[STATUS PROCESSO MOBILIZAÇÃO]]="Em andamento",Tabela1[[#This Row],[DATA REAL - CRACHÁ]]&lt;&gt;""),1)</f>
        <v>1</v>
      </c>
      <c r="R268" s="21">
        <f>IF(Tabela1[[#This Row],[DATA REAL - FORMS]]&lt;&gt;"",Tabela1[[#This Row],[DATA REAL - FORMS]]+30,Tabela1[[#This Row],[DATA PREV - FORMS]]+35)</f>
        <v>46266</v>
      </c>
      <c r="S26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46239</v>
      </c>
      <c r="T26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8</v>
      </c>
      <c r="U26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7</v>
      </c>
      <c r="V268" s="49">
        <f>MAX(Tabela1[[#This Row],[DATA REAL - POSTAGEM]],Tabela1[[#This Row],[DATA REAL - APROV FINAL]],Tabela1[[#This Row],[DATA REAL - CRACHÁ]])-MIN(Tabela1[[#This Row],[DATA REAL - POSTAGEM]],Tabela1[[#This Row],[DATA REAL - APROV FINAL]],Tabela1[[#This Row],[DATA REAL - CRACHÁ]])+1</f>
        <v>2</v>
      </c>
      <c r="W26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X268" s="16" t="s">
        <v>726</v>
      </c>
      <c r="Y268" s="16" t="s">
        <v>150</v>
      </c>
      <c r="Z268" s="80" t="s">
        <v>104</v>
      </c>
      <c r="AA268" s="95" t="s">
        <v>152</v>
      </c>
      <c r="AB268" s="16" t="s">
        <v>97</v>
      </c>
      <c r="AC268" s="16" t="s">
        <v>768</v>
      </c>
      <c r="AD268" s="16" t="s">
        <v>768</v>
      </c>
      <c r="AE268" s="16" t="s">
        <v>633</v>
      </c>
      <c r="AF268" s="16" t="s">
        <v>406</v>
      </c>
      <c r="AG268" s="16" t="str">
        <f>_xlfn.XLOOKUP(Tabela1[[#This Row],[CÓD. CT]],Controle_Projetos[COD CT],Controle_Projetos[COD PHD],"")</f>
        <v>VALE-CT01-OC01</v>
      </c>
      <c r="AH268" s="21">
        <v>46231</v>
      </c>
      <c r="AI268" s="76"/>
      <c r="AJ268" s="16" cm="1">
        <f t="array" aca="1" ref="AJ26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8" s="21">
        <v>46231</v>
      </c>
      <c r="AL268" s="74"/>
      <c r="AM268" s="16" cm="1">
        <f t="array" aca="1" ref="AM26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8" s="21">
        <f>Tabela1[[#This Row],[DATA PREV - FORMS]]+$AN$1</f>
        <v>46238</v>
      </c>
      <c r="AO268" s="74">
        <v>46231</v>
      </c>
      <c r="AP268" s="16" cm="1">
        <f t="array" aca="1" ref="AP26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8" s="21">
        <f>Tabela1[[#This Row],[DATA PREV - EXAMES]]+$AQ$1</f>
        <v>46240</v>
      </c>
      <c r="AR268" s="74">
        <v>46238</v>
      </c>
      <c r="AS268" s="16" cm="1">
        <f t="array" aca="1" ref="AS26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68" s="21">
        <f>Tabela1[[#This Row],[DATA PREV - FORMS]]+$AT$1</f>
        <v>46232</v>
      </c>
      <c r="AU268" s="74">
        <v>46231</v>
      </c>
      <c r="AV268" s="16" cm="1">
        <f t="array" aca="1" ref="AV26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8" s="21">
        <f>Tabela1[[#This Row],[DATA PREV - TREINAMENTOS]]+$AW$1</f>
        <v>46239</v>
      </c>
      <c r="AX268" s="74">
        <v>46238</v>
      </c>
      <c r="AY268" s="16" cm="1">
        <f t="array" aca="1" ref="AY26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68" s="24">
        <v>46231</v>
      </c>
      <c r="BA268" s="74">
        <v>46231</v>
      </c>
      <c r="BB268" s="16" cm="1">
        <f t="array" aca="1" ref="BB26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8" s="21">
        <f>Tabela1[[#This Row],[DATA PREV - CONCL. TREIN.]]+$BC$1</f>
        <v>46241</v>
      </c>
      <c r="BD268" s="74">
        <v>46238</v>
      </c>
      <c r="BE268" s="16" cm="1">
        <f t="array" aca="1" ref="BE26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-2</v>
      </c>
      <c r="BF268" s="21">
        <f>Tabela1[[#This Row],[DATA PREV - DOSSIÊ]]+$BF$1</f>
        <v>46244</v>
      </c>
      <c r="BG268" s="74">
        <v>46238</v>
      </c>
      <c r="BH268" s="16" cm="1">
        <f t="array" aca="1" ref="BH26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-5</v>
      </c>
      <c r="BI268" s="21">
        <f>Tabela1[[#This Row],[DATA PREV - POSTAGEM]]+$BI$1</f>
        <v>46250</v>
      </c>
      <c r="BJ268" s="74">
        <v>46239</v>
      </c>
      <c r="BK268" s="16" cm="1">
        <f t="array" aca="1" ref="BK26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-10</v>
      </c>
      <c r="BL268" s="21">
        <f>Tabela1[[#This Row],[DATA PREV - APROV FINAL]]+$BL$1</f>
        <v>46251</v>
      </c>
      <c r="BM268" s="74">
        <v>46239</v>
      </c>
      <c r="BN268" s="16" cm="1">
        <f t="array" aca="1" ref="BN26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-11</v>
      </c>
      <c r="BO268" s="81" t="s">
        <v>770</v>
      </c>
    </row>
    <row r="269" spans="2:67" ht="18" hidden="1" customHeight="1" x14ac:dyDescent="0.35">
      <c r="B269" s="14" t="s">
        <v>79</v>
      </c>
      <c r="C269" s="16" t="s">
        <v>136</v>
      </c>
      <c r="D269" s="16" t="s">
        <v>81</v>
      </c>
      <c r="E269" s="16"/>
      <c r="F269" s="16" t="s">
        <v>217</v>
      </c>
      <c r="G269" s="16" cm="1">
        <f t="array" ref="G269">_xlfn.IFS(Tabela1[[#This Row],[STATUS PROCESSO MOBILIZAÇÃO]]="Finalizado",1,Tabela1[[#This Row],[STATUS PROCESSO MOBILIZAÇÃO]]="Cancelado",2,Tabela1[[#This Row],[STATUS PROCESSO MOBILIZAÇÃO]]="Em andamento",3)</f>
        <v>1</v>
      </c>
      <c r="H269" s="16" cm="1">
        <f t="array" aca="1" ref="H26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FORMS]]="",$AM269&gt;$AK$1),2,
AND(Tabela1[[#This Row],[STATUS PROCESSO MOBILIZAÇÃO]]="Em andamento",Tabela1[[#This Row],[DATA REAL - FORMS]]="",$AM269&lt;=$AK$1),3,
AND(Tabela1[[#This Row],[STATUS PROCESSO MOBILIZAÇÃO]]="Em andamento",Tabela1[[#This Row],[DATA REAL - FORMS]]&lt;&gt;""),1)</f>
        <v>0</v>
      </c>
      <c r="I269" s="16" cm="1">
        <f t="array" aca="1" ref="I26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EXAMES]]="",$AP269&gt;$AN$1),2,
AND(Tabela1[[#This Row],[STATUS PROCESSO MOBILIZAÇÃO]]="Em andamento",Tabela1[[#This Row],[DATA REAL - EXAMES]]="",$AP269&lt;=$AN$1),3,
AND(Tabela1[[#This Row],[STATUS PROCESSO MOBILIZAÇÃO]]="Em andamento",Tabela1[[#This Row],[DATA REAL - EXAMES]]&lt;&gt;""),1)</f>
        <v>1</v>
      </c>
      <c r="J269" s="16" cm="1">
        <f t="array" aca="1" ref="J26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ASO]]="",$AS269&gt;$AQ$1),2,
AND(Tabela1[[#This Row],[STATUS PROCESSO MOBILIZAÇÃO]]="Em andamento",Tabela1[[#This Row],[DATA REAL - ASO]]="",$AS269&lt;=$AQ$1),3,
AND(Tabela1[[#This Row],[STATUS PROCESSO MOBILIZAÇÃO]]="Em andamento",Tabela1[[#This Row],[DATA REAL - ASO]]&lt;&gt;""),1)</f>
        <v>1</v>
      </c>
      <c r="K269" s="16" cm="1">
        <f t="array" aca="1" ref="K26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TREINAMENTOS]]="",$AV269&gt;$AT$1),2,
AND(Tabela1[[#This Row],[STATUS PROCESSO MOBILIZAÇÃO]]="Em andamento",Tabela1[[#This Row],[DATA REAL - TREINAMENTOS]]="",$AV269&lt;=$AT$1),3,
AND(Tabela1[[#This Row],[STATUS PROCESSO MOBILIZAÇÃO]]="Em andamento",Tabela1[[#This Row],[DATA REAL - TREINAMENTOS]]&lt;&gt;""),1)</f>
        <v>1</v>
      </c>
      <c r="L269" s="16" cm="1">
        <f t="array" aca="1" ref="L26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TREIN.]]="",$AY269&gt;$AW$1),2,
AND(Tabela1[[#This Row],[STATUS PROCESSO MOBILIZAÇÃO]]="Em andamento",Tabela1[[#This Row],[DATA REAL - CONCL. TREIN.]]="",$AY269&lt;=$AW$1),3,
AND(Tabela1[[#This Row],[STATUS PROCESSO MOBILIZAÇÃO]]="Em andamento",Tabela1[[#This Row],[DATA REAL - CONCL. TREIN.]]&lt;&gt;""),1)</f>
        <v>1</v>
      </c>
      <c r="M269" s="16" cm="1">
        <f t="array" aca="1" ref="M26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CONTRATUAL]]="",$BB269&gt;$AZ$1),2,
AND(Tabela1[[#This Row],[STATUS PROCESSO MOBILIZAÇÃO]]="Em andamento",Tabela1[[#This Row],[DATA FIM - ALTER. CONTRATUAL]]="",$BB269&lt;=$AZ$1),3,
AND(Tabela1[[#This Row],[STATUS PROCESSO MOBILIZAÇÃO]]="Em andamento",Tabela1[[#This Row],[DATA FIM - ALTER. CONTRATUAL]]&lt;&gt;""),1)</f>
        <v>1</v>
      </c>
      <c r="N269" s="16" cm="1">
        <f t="array" aca="1" ref="N26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DOSSIÊ]]="",$BE269&gt;$BC$1),2,
AND(Tabela1[[#This Row],[STATUS PROCESSO MOBILIZAÇÃO]]="Em andamento",Tabela1[[#This Row],[DATA REAL - DOSSIÊ]]="",$BE269&lt;=$BC$1),3,
AND(Tabela1[[#This Row],[STATUS PROCESSO MOBILIZAÇÃO]]="Em andamento",Tabela1[[#This Row],[DATA REAL - DOSSIÊ]]&lt;&gt;""),1)</f>
        <v>1</v>
      </c>
      <c r="O269" s="16" cm="1">
        <f t="array" aca="1" ref="O26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POSTAGEM]]="",$BH269&gt;$BF$1),2,
AND(Tabela1[[#This Row],[STATUS PROCESSO MOBILIZAÇÃO]]="Em andamento",Tabela1[[#This Row],[DATA REAL - POSTAGEM]]="",$BH269&lt;=$BF$1),3,
AND(Tabela1[[#This Row],[STATUS PROCESSO MOBILIZAÇÃO]]="Em andamento",Tabela1[[#This Row],[DATA REAL - POSTAGEM]]&lt;&gt;""),1)</f>
        <v>1</v>
      </c>
      <c r="P269" s="16" cm="1">
        <f t="array" aca="1" ref="P26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FINAL]]="",$BK269&gt;$BI$1),2,
AND(Tabela1[[#This Row],[STATUS PROCESSO MOBILIZAÇÃO]]="Em andamento",Tabela1[[#This Row],[DATA REAL - APROV FINAL]]="",$BK269&lt;=$BI$1),3,
AND(Tabela1[[#This Row],[STATUS PROCESSO MOBILIZAÇÃO]]="Em andamento",Tabela1[[#This Row],[DATA REAL - APROV FINAL]]&lt;&gt;""),1)</f>
        <v>1</v>
      </c>
      <c r="Q269" s="16" cm="1">
        <f t="array" aca="1" ref="Q26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CRACHÁ]]="",$BN269&gt;$BL$1),2,
AND(Tabela1[[#This Row],[STATUS PROCESSO MOBILIZAÇÃO]]="Em andamento",Tabela1[[#This Row],[DATA REAL - CRACHÁ]]="",$BN269&lt;=$BL$1),3,
AND(Tabela1[[#This Row],[STATUS PROCESSO MOBILIZAÇÃO]]="Em andamento",Tabela1[[#This Row],[DATA REAL - CRACHÁ]]&lt;&gt;""),1)</f>
        <v>1</v>
      </c>
      <c r="R269" s="21">
        <f>IF(Tabela1[[#This Row],[DATA REAL - FORMS]]&lt;&gt;"",Tabela1[[#This Row],[DATA REAL - FORMS]]+30,Tabela1[[#This Row],[DATA PREV - FORMS]]+35)</f>
        <v>46266</v>
      </c>
      <c r="S26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46231</v>
      </c>
      <c r="T26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U26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69" s="49">
        <f>MAX(Tabela1[[#This Row],[DATA REAL - POSTAGEM]],Tabela1[[#This Row],[DATA REAL - APROV FINAL]],Tabela1[[#This Row],[DATA REAL - CRACHÁ]])-MIN(Tabela1[[#This Row],[DATA REAL - POSTAGEM]],Tabela1[[#This Row],[DATA REAL - APROV FINAL]],Tabela1[[#This Row],[DATA REAL - CRACHÁ]])+1</f>
        <v>1</v>
      </c>
      <c r="W26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43</v>
      </c>
      <c r="X269" s="16" t="s">
        <v>726</v>
      </c>
      <c r="Y269" s="16" t="s">
        <v>150</v>
      </c>
      <c r="Z269" s="80" t="s">
        <v>104</v>
      </c>
      <c r="AA269" s="95" t="s">
        <v>152</v>
      </c>
      <c r="AB269" s="16" t="s">
        <v>97</v>
      </c>
      <c r="AC269" s="16" t="s">
        <v>768</v>
      </c>
      <c r="AD269" s="16" t="s">
        <v>768</v>
      </c>
      <c r="AE269" s="16" t="s">
        <v>633</v>
      </c>
      <c r="AF269" s="16" t="s">
        <v>406</v>
      </c>
      <c r="AG269" s="16" t="str">
        <f>_xlfn.XLOOKUP(Tabela1[[#This Row],[CÓD. CT]],Controle_Projetos[COD CT],Controle_Projetos[COD PHD],"")</f>
        <v>VALE-CT01-OC01</v>
      </c>
      <c r="AH269" s="21">
        <v>46231</v>
      </c>
      <c r="AI269" s="76"/>
      <c r="AJ269" s="16" cm="1">
        <f t="array" aca="1" ref="AJ26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69" s="21">
        <v>46231</v>
      </c>
      <c r="AL269" s="74"/>
      <c r="AM269" s="16" cm="1">
        <f t="array" aca="1" ref="AM26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69" s="21">
        <f>Tabela1[[#This Row],[DATA PREV - FORMS]]+$AN$1</f>
        <v>46238</v>
      </c>
      <c r="AO269" s="74">
        <v>46231</v>
      </c>
      <c r="AP269" s="16" cm="1">
        <f t="array" aca="1" ref="AP26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69" s="21">
        <f>Tabela1[[#This Row],[DATA PREV - EXAMES]]+$AQ$1</f>
        <v>46240</v>
      </c>
      <c r="AR269" s="74">
        <v>46231</v>
      </c>
      <c r="AS269" s="16" cm="1">
        <f t="array" aca="1" ref="AS26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69" s="21">
        <f>Tabela1[[#This Row],[DATA PREV - FORMS]]+$AT$1</f>
        <v>46232</v>
      </c>
      <c r="AU269" s="74">
        <v>46231</v>
      </c>
      <c r="AV269" s="16" cm="1">
        <f t="array" aca="1" ref="AV26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69" s="21">
        <f>Tabela1[[#This Row],[DATA PREV - TREINAMENTOS]]+$AW$1</f>
        <v>46239</v>
      </c>
      <c r="AX269" s="74">
        <v>46231</v>
      </c>
      <c r="AY269" s="16" cm="1">
        <f t="array" aca="1" ref="AY26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69" s="24">
        <v>46231</v>
      </c>
      <c r="BA269" s="74">
        <v>46231</v>
      </c>
      <c r="BB269" s="16" cm="1">
        <f t="array" aca="1" ref="BB26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69" s="21">
        <f>Tabela1[[#This Row],[DATA PREV - CONCL. TREIN.]]+$BC$1</f>
        <v>46241</v>
      </c>
      <c r="BD269" s="74">
        <v>46231</v>
      </c>
      <c r="BE269" s="16" cm="1">
        <f t="array" aca="1" ref="BE26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69" s="21">
        <f>Tabela1[[#This Row],[DATA PREV - DOSSIÊ]]+$BF$1</f>
        <v>46244</v>
      </c>
      <c r="BG269" s="74">
        <v>46231</v>
      </c>
      <c r="BH269" s="16" cm="1">
        <f t="array" aca="1" ref="BH26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69" s="21">
        <f>Tabela1[[#This Row],[DATA PREV - POSTAGEM]]+$BI$1</f>
        <v>46250</v>
      </c>
      <c r="BJ269" s="74">
        <v>46231</v>
      </c>
      <c r="BK269" s="16" cm="1">
        <f t="array" aca="1" ref="BK26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-18</v>
      </c>
      <c r="BL269" s="21">
        <f>Tabela1[[#This Row],[DATA PREV - APROV FINAL]]+$BL$1</f>
        <v>46251</v>
      </c>
      <c r="BM269" s="74">
        <v>46231</v>
      </c>
      <c r="BN269" s="16" cm="1">
        <f t="array" aca="1" ref="BN26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-19</v>
      </c>
      <c r="BO269" s="81" t="s">
        <v>771</v>
      </c>
    </row>
    <row r="270" spans="2:67" ht="18" hidden="1" customHeight="1" x14ac:dyDescent="0.35">
      <c r="B270" s="14" t="s">
        <v>79</v>
      </c>
      <c r="C270" s="16" t="s">
        <v>136</v>
      </c>
      <c r="D270" s="16" t="s">
        <v>108</v>
      </c>
      <c r="E270" s="16"/>
      <c r="F270" s="16" t="s">
        <v>382</v>
      </c>
      <c r="G270" s="16" cm="1">
        <f t="array" ref="G270">_xlfn.IFS(Tabela1[[#This Row],[STATUS PROCESSO MOBILIZAÇÃO]]="Finalizado",1,Tabela1[[#This Row],[STATUS PROCESSO MOBILIZAÇÃO]]="Cancelado",2,Tabela1[[#This Row],[STATUS PROCESSO MOBILIZAÇÃO]]="Em andamento",3)</f>
        <v>1</v>
      </c>
      <c r="H270" s="16" cm="1">
        <f t="array" aca="1" ref="H27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FORMS]]="",$AM270&gt;$AK$1),2,
AND(Tabela1[[#This Row],[STATUS PROCESSO MOBILIZAÇÃO]]="Em andamento",Tabela1[[#This Row],[DATA REAL - FORMS]]="",$AM270&lt;=$AK$1),3,
AND(Tabela1[[#This Row],[STATUS PROCESSO MOBILIZAÇÃO]]="Em andamento",Tabela1[[#This Row],[DATA REAL - FORMS]]&lt;&gt;""),1)</f>
        <v>0</v>
      </c>
      <c r="I270" s="16" cm="1">
        <f t="array" aca="1" ref="I27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EXAMES]]="",$AP270&gt;$AN$1),2,
AND(Tabela1[[#This Row],[STATUS PROCESSO MOBILIZAÇÃO]]="Em andamento",Tabela1[[#This Row],[DATA REAL - EXAMES]]="",$AP270&lt;=$AN$1),3,
AND(Tabela1[[#This Row],[STATUS PROCESSO MOBILIZAÇÃO]]="Em andamento",Tabela1[[#This Row],[DATA REAL - EXAMES]]&lt;&gt;""),1)</f>
        <v>1</v>
      </c>
      <c r="J270" s="16" cm="1">
        <f t="array" aca="1" ref="J27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ASO]]="",$AS270&gt;$AQ$1),2,
AND(Tabela1[[#This Row],[STATUS PROCESSO MOBILIZAÇÃO]]="Em andamento",Tabela1[[#This Row],[DATA REAL - ASO]]="",$AS270&lt;=$AQ$1),3,
AND(Tabela1[[#This Row],[STATUS PROCESSO MOBILIZAÇÃO]]="Em andamento",Tabela1[[#This Row],[DATA REAL - ASO]]&lt;&gt;""),1)</f>
        <v>1</v>
      </c>
      <c r="K270" s="16" cm="1">
        <f t="array" aca="1" ref="K27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TREINAMENTOS]]="",$AV270&gt;$AT$1),2,
AND(Tabela1[[#This Row],[STATUS PROCESSO MOBILIZAÇÃO]]="Em andamento",Tabela1[[#This Row],[DATA REAL - TREINAMENTOS]]="",$AV270&lt;=$AT$1),3,
AND(Tabela1[[#This Row],[STATUS PROCESSO MOBILIZAÇÃO]]="Em andamento",Tabela1[[#This Row],[DATA REAL - TREINAMENTOS]]&lt;&gt;""),1)</f>
        <v>1</v>
      </c>
      <c r="L270" s="16" cm="1">
        <f t="array" aca="1" ref="L27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TREIN.]]="",$AY270&gt;$AW$1),2,
AND(Tabela1[[#This Row],[STATUS PROCESSO MOBILIZAÇÃO]]="Em andamento",Tabela1[[#This Row],[DATA REAL - CONCL. TREIN.]]="",$AY270&lt;=$AW$1),3,
AND(Tabela1[[#This Row],[STATUS PROCESSO MOBILIZAÇÃO]]="Em andamento",Tabela1[[#This Row],[DATA REAL - CONCL. TREIN.]]&lt;&gt;""),1)</f>
        <v>1</v>
      </c>
      <c r="M270" s="16" cm="1">
        <f t="array" aca="1" ref="M27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CONTRATUAL]]="",$BB270&gt;$AZ$1),2,
AND(Tabela1[[#This Row],[STATUS PROCESSO MOBILIZAÇÃO]]="Em andamento",Tabela1[[#This Row],[DATA FIM - ALTER. CONTRATUAL]]="",$BB270&lt;=$AZ$1),3,
AND(Tabela1[[#This Row],[STATUS PROCESSO MOBILIZAÇÃO]]="Em andamento",Tabela1[[#This Row],[DATA FIM - ALTER. CONTRATUAL]]&lt;&gt;""),1)</f>
        <v>1</v>
      </c>
      <c r="N270" s="16" cm="1">
        <f t="array" aca="1" ref="N27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DOSSIÊ]]="",$BE270&gt;$BC$1),2,
AND(Tabela1[[#This Row],[STATUS PROCESSO MOBILIZAÇÃO]]="Em andamento",Tabela1[[#This Row],[DATA REAL - DOSSIÊ]]="",$BE270&lt;=$BC$1),3,
AND(Tabela1[[#This Row],[STATUS PROCESSO MOBILIZAÇÃO]]="Em andamento",Tabela1[[#This Row],[DATA REAL - DOSSIÊ]]&lt;&gt;""),1)</f>
        <v>1</v>
      </c>
      <c r="O270" s="16" cm="1">
        <f t="array" aca="1" ref="O27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POSTAGEM]]="",$BH270&gt;$BF$1),2,
AND(Tabela1[[#This Row],[STATUS PROCESSO MOBILIZAÇÃO]]="Em andamento",Tabela1[[#This Row],[DATA REAL - POSTAGEM]]="",$BH270&lt;=$BF$1),3,
AND(Tabela1[[#This Row],[STATUS PROCESSO MOBILIZAÇÃO]]="Em andamento",Tabela1[[#This Row],[DATA REAL - POSTAGEM]]&lt;&gt;""),1)</f>
        <v>1</v>
      </c>
      <c r="P270" s="16" cm="1">
        <f t="array" aca="1" ref="P27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FINAL]]="",$BK270&gt;$BI$1),2,
AND(Tabela1[[#This Row],[STATUS PROCESSO MOBILIZAÇÃO]]="Em andamento",Tabela1[[#This Row],[DATA REAL - APROV FINAL]]="",$BK270&lt;=$BI$1),3,
AND(Tabela1[[#This Row],[STATUS PROCESSO MOBILIZAÇÃO]]="Em andamento",Tabela1[[#This Row],[DATA REAL - APROV FINAL]]&lt;&gt;""),1)</f>
        <v>1</v>
      </c>
      <c r="Q270" s="16" cm="1">
        <f t="array" aca="1" ref="Q27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CRACHÁ]]="",$BN270&gt;$BL$1),2,
AND(Tabela1[[#This Row],[STATUS PROCESSO MOBILIZAÇÃO]]="Em andamento",Tabela1[[#This Row],[DATA REAL - CRACHÁ]]="",$BN270&lt;=$BL$1),3,
AND(Tabela1[[#This Row],[STATUS PROCESSO MOBILIZAÇÃO]]="Em andamento",Tabela1[[#This Row],[DATA REAL - CRACHÁ]]&lt;&gt;""),1)</f>
        <v>1</v>
      </c>
      <c r="R270" s="21">
        <f>IF(Tabela1[[#This Row],[DATA REAL - FORMS]]&lt;&gt;"",Tabela1[[#This Row],[DATA REAL - FORMS]]+30,Tabela1[[#This Row],[DATA PREV - FORMS]]+35)</f>
        <v>46267</v>
      </c>
      <c r="S27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46239</v>
      </c>
      <c r="T27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7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70" s="49">
        <f>MAX(Tabela1[[#This Row],[DATA REAL - POSTAGEM]],Tabela1[[#This Row],[DATA REAL - APROV FINAL]],Tabela1[[#This Row],[DATA REAL - CRACHÁ]])-MIN(Tabela1[[#This Row],[DATA REAL - POSTAGEM]],Tabela1[[#This Row],[DATA REAL - APROV FINAL]],Tabela1[[#This Row],[DATA REAL - CRACHÁ]])+1</f>
        <v>2</v>
      </c>
      <c r="W27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0" s="16" t="s">
        <v>726</v>
      </c>
      <c r="Y270" s="16" t="s">
        <v>150</v>
      </c>
      <c r="Z270" s="80" t="s">
        <v>104</v>
      </c>
      <c r="AA270" s="95" t="s">
        <v>152</v>
      </c>
      <c r="AB270" s="16" t="s">
        <v>97</v>
      </c>
      <c r="AC270" s="16" t="s">
        <v>768</v>
      </c>
      <c r="AD270" s="16" t="s">
        <v>768</v>
      </c>
      <c r="AE270" s="16" t="s">
        <v>633</v>
      </c>
      <c r="AF270" s="16" t="s">
        <v>406</v>
      </c>
      <c r="AG270" s="16" t="str">
        <f>_xlfn.XLOOKUP(Tabela1[[#This Row],[CÓD. CT]],Controle_Projetos[COD CT],Controle_Projetos[COD PHD],"")</f>
        <v>VALE-CT01-OC01</v>
      </c>
      <c r="AH270" s="21">
        <v>46232</v>
      </c>
      <c r="AI270" s="76">
        <v>46232</v>
      </c>
      <c r="AJ270" s="16" cm="1">
        <f t="array" aca="1" ref="AJ27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0" s="21">
        <v>46232</v>
      </c>
      <c r="AL270" s="74"/>
      <c r="AM270" s="16" cm="1">
        <f t="array" aca="1" ref="AM27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0" s="21">
        <f>Tabela1[[#This Row],[DATA PREV - FORMS]]+$AN$1</f>
        <v>46239</v>
      </c>
      <c r="AO270" s="74">
        <v>46232</v>
      </c>
      <c r="AP270" s="16" cm="1">
        <f t="array" aca="1" ref="AP27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0" s="21">
        <f>Tabela1[[#This Row],[DATA PREV - EXAMES]]+$AQ$1</f>
        <v>46241</v>
      </c>
      <c r="AR270" s="74">
        <v>46238</v>
      </c>
      <c r="AS270" s="16" cm="1">
        <f t="array" aca="1" ref="AS27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70" s="21">
        <f>Tabela1[[#This Row],[DATA PREV - FORMS]]+$AT$1</f>
        <v>46233</v>
      </c>
      <c r="AU270" s="74">
        <v>46232</v>
      </c>
      <c r="AV270" s="16" cm="1">
        <f t="array" aca="1" ref="AV27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0" s="21">
        <f>Tabela1[[#This Row],[DATA PREV - TREINAMENTOS]]+$AW$1</f>
        <v>46240</v>
      </c>
      <c r="AX270" s="74">
        <v>46232</v>
      </c>
      <c r="AY270" s="16" cm="1">
        <f t="array" aca="1" ref="AY27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70" s="24">
        <v>46232</v>
      </c>
      <c r="BA270" s="74">
        <v>46232</v>
      </c>
      <c r="BB270" s="16" cm="1">
        <f t="array" aca="1" ref="BB27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0" s="21">
        <f>Tabela1[[#This Row],[DATA PREV - CONCL. TREIN.]]+$BC$1</f>
        <v>46242</v>
      </c>
      <c r="BD270" s="74">
        <v>46238</v>
      </c>
      <c r="BE270" s="16" cm="1">
        <f t="array" aca="1" ref="BE27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70" s="21">
        <f>Tabela1[[#This Row],[DATA PREV - DOSSIÊ]]+$BF$1</f>
        <v>46245</v>
      </c>
      <c r="BG270" s="74">
        <v>46238</v>
      </c>
      <c r="BH270" s="16" cm="1">
        <f t="array" aca="1" ref="BH27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70" s="21">
        <f>Tabela1[[#This Row],[DATA PREV - POSTAGEM]]+$BI$1</f>
        <v>46251</v>
      </c>
      <c r="BJ270" s="74">
        <v>46239</v>
      </c>
      <c r="BK270" s="16" cm="1">
        <f t="array" aca="1" ref="BK27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70" s="21">
        <f>Tabela1[[#This Row],[DATA PREV - APROV FINAL]]+$BL$1</f>
        <v>46252</v>
      </c>
      <c r="BM270" s="74">
        <v>46239</v>
      </c>
      <c r="BN270" s="16" cm="1">
        <f t="array" aca="1" ref="BN27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70" s="81" t="s">
        <v>772</v>
      </c>
    </row>
    <row r="271" spans="2:67" ht="18" hidden="1" customHeight="1" x14ac:dyDescent="0.35">
      <c r="B271" s="14" t="s">
        <v>79</v>
      </c>
      <c r="C271" s="16" t="s">
        <v>136</v>
      </c>
      <c r="D271" s="16" t="s">
        <v>108</v>
      </c>
      <c r="E271" s="16"/>
      <c r="F271" s="16" t="s">
        <v>399</v>
      </c>
      <c r="G271" s="16" cm="1">
        <f t="array" ref="G271">_xlfn.IFS(Tabela1[[#This Row],[STATUS PROCESSO MOBILIZAÇÃO]]="Finalizado",1,Tabela1[[#This Row],[STATUS PROCESSO MOBILIZAÇÃO]]="Cancelado",2,Tabela1[[#This Row],[STATUS PROCESSO MOBILIZAÇÃO]]="Em andamento",3)</f>
        <v>1</v>
      </c>
      <c r="H271" s="16" cm="1">
        <f t="array" aca="1" ref="H27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FORMS]]="",$AM271&gt;$AK$1),2,
AND(Tabela1[[#This Row],[STATUS PROCESSO MOBILIZAÇÃO]]="Em andamento",Tabela1[[#This Row],[DATA REAL - FORMS]]="",$AM271&lt;=$AK$1),3,
AND(Tabela1[[#This Row],[STATUS PROCESSO MOBILIZAÇÃO]]="Em andamento",Tabela1[[#This Row],[DATA REAL - FORMS]]&lt;&gt;""),1)</f>
        <v>0</v>
      </c>
      <c r="I271" s="16" cm="1">
        <f t="array" aca="1" ref="I27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EXAMES]]="",$AP271&gt;$AN$1),2,
AND(Tabela1[[#This Row],[STATUS PROCESSO MOBILIZAÇÃO]]="Em andamento",Tabela1[[#This Row],[DATA REAL - EXAMES]]="",$AP271&lt;=$AN$1),3,
AND(Tabela1[[#This Row],[STATUS PROCESSO MOBILIZAÇÃO]]="Em andamento",Tabela1[[#This Row],[DATA REAL - EXAMES]]&lt;&gt;""),1)</f>
        <v>1</v>
      </c>
      <c r="J271" s="16" cm="1">
        <f t="array" aca="1" ref="J27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ASO]]="",$AS271&gt;$AQ$1),2,
AND(Tabela1[[#This Row],[STATUS PROCESSO MOBILIZAÇÃO]]="Em andamento",Tabela1[[#This Row],[DATA REAL - ASO]]="",$AS271&lt;=$AQ$1),3,
AND(Tabela1[[#This Row],[STATUS PROCESSO MOBILIZAÇÃO]]="Em andamento",Tabela1[[#This Row],[DATA REAL - ASO]]&lt;&gt;""),1)</f>
        <v>1</v>
      </c>
      <c r="K271" s="16" cm="1">
        <f t="array" aca="1" ref="K27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TREINAMENTOS]]="",$AV271&gt;$AT$1),2,
AND(Tabela1[[#This Row],[STATUS PROCESSO MOBILIZAÇÃO]]="Em andamento",Tabela1[[#This Row],[DATA REAL - TREINAMENTOS]]="",$AV271&lt;=$AT$1),3,
AND(Tabela1[[#This Row],[STATUS PROCESSO MOBILIZAÇÃO]]="Em andamento",Tabela1[[#This Row],[DATA REAL - TREINAMENTOS]]&lt;&gt;""),1)</f>
        <v>1</v>
      </c>
      <c r="L271" s="16" cm="1">
        <f t="array" aca="1" ref="L27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TREIN.]]="",$AY271&gt;$AW$1),2,
AND(Tabela1[[#This Row],[STATUS PROCESSO MOBILIZAÇÃO]]="Em andamento",Tabela1[[#This Row],[DATA REAL - CONCL. TREIN.]]="",$AY271&lt;=$AW$1),3,
AND(Tabela1[[#This Row],[STATUS PROCESSO MOBILIZAÇÃO]]="Em andamento",Tabela1[[#This Row],[DATA REAL - CONCL. TREIN.]]&lt;&gt;""),1)</f>
        <v>1</v>
      </c>
      <c r="M271" s="16" cm="1">
        <f t="array" aca="1" ref="M27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CONTRATUAL]]="",$BB271&gt;$AZ$1),2,
AND(Tabela1[[#This Row],[STATUS PROCESSO MOBILIZAÇÃO]]="Em andamento",Tabela1[[#This Row],[DATA FIM - ALTER. CONTRATUAL]]="",$BB271&lt;=$AZ$1),3,
AND(Tabela1[[#This Row],[STATUS PROCESSO MOBILIZAÇÃO]]="Em andamento",Tabela1[[#This Row],[DATA FIM - ALTER. CONTRATUAL]]&lt;&gt;""),1)</f>
        <v>1</v>
      </c>
      <c r="N271" s="16" cm="1">
        <f t="array" aca="1" ref="N27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DOSSIÊ]]="",$BE271&gt;$BC$1),2,
AND(Tabela1[[#This Row],[STATUS PROCESSO MOBILIZAÇÃO]]="Em andamento",Tabela1[[#This Row],[DATA REAL - DOSSIÊ]]="",$BE271&lt;=$BC$1),3,
AND(Tabela1[[#This Row],[STATUS PROCESSO MOBILIZAÇÃO]]="Em andamento",Tabela1[[#This Row],[DATA REAL - DOSSIÊ]]&lt;&gt;""),1)</f>
        <v>1</v>
      </c>
      <c r="O271" s="16" cm="1">
        <f t="array" aca="1" ref="O27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POSTAGEM]]="",$BH271&gt;$BF$1),2,
AND(Tabela1[[#This Row],[STATUS PROCESSO MOBILIZAÇÃO]]="Em andamento",Tabela1[[#This Row],[DATA REAL - POSTAGEM]]="",$BH271&lt;=$BF$1),3,
AND(Tabela1[[#This Row],[STATUS PROCESSO MOBILIZAÇÃO]]="Em andamento",Tabela1[[#This Row],[DATA REAL - POSTAGEM]]&lt;&gt;""),1)</f>
        <v>1</v>
      </c>
      <c r="P271" s="16" cm="1">
        <f t="array" aca="1" ref="P27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FINAL]]="",$BK271&gt;$BI$1),2,
AND(Tabela1[[#This Row],[STATUS PROCESSO MOBILIZAÇÃO]]="Em andamento",Tabela1[[#This Row],[DATA REAL - APROV FINAL]]="",$BK271&lt;=$BI$1),3,
AND(Tabela1[[#This Row],[STATUS PROCESSO MOBILIZAÇÃO]]="Em andamento",Tabela1[[#This Row],[DATA REAL - APROV FINAL]]&lt;&gt;""),1)</f>
        <v>1</v>
      </c>
      <c r="Q271" s="16" cm="1">
        <f t="array" aca="1" ref="Q27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CRACHÁ]]="",$BN271&gt;$BL$1),2,
AND(Tabela1[[#This Row],[STATUS PROCESSO MOBILIZAÇÃO]]="Em andamento",Tabela1[[#This Row],[DATA REAL - CRACHÁ]]="",$BN271&lt;=$BL$1),3,
AND(Tabela1[[#This Row],[STATUS PROCESSO MOBILIZAÇÃO]]="Em andamento",Tabela1[[#This Row],[DATA REAL - CRACHÁ]]&lt;&gt;""),1)</f>
        <v>1</v>
      </c>
      <c r="R271" s="21">
        <f>IF(Tabela1[[#This Row],[DATA REAL - FORMS]]&lt;&gt;"",Tabela1[[#This Row],[DATA REAL - FORMS]]+30,Tabela1[[#This Row],[DATA PREV - FORMS]]+35)</f>
        <v>46269</v>
      </c>
      <c r="S27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46249</v>
      </c>
      <c r="T27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15</v>
      </c>
      <c r="U27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271" s="49">
        <f>MAX(Tabela1[[#This Row],[DATA REAL - POSTAGEM]],Tabela1[[#This Row],[DATA REAL - APROV FINAL]],Tabela1[[#This Row],[DATA REAL - CRACHÁ]])-MIN(Tabela1[[#This Row],[DATA REAL - POSTAGEM]],Tabela1[[#This Row],[DATA REAL - APROV FINAL]],Tabela1[[#This Row],[DATA REAL - CRACHÁ]])+1</f>
        <v>2</v>
      </c>
      <c r="W27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1" s="16"/>
      <c r="Y271" s="16" t="s">
        <v>122</v>
      </c>
      <c r="Z271" s="16" t="str">
        <f>_xlfn.XLOOKUP(Tabela1[[#This Row],[COO PHD]],TabControleEfetivo[NOME],TabControleEfetivo[email (PHD)],"")</f>
        <v/>
      </c>
      <c r="AA271" s="96" t="s">
        <v>124</v>
      </c>
      <c r="AB271" s="16" t="s">
        <v>97</v>
      </c>
      <c r="AC271" s="16" t="s">
        <v>89</v>
      </c>
      <c r="AD271" s="16" t="s">
        <v>89</v>
      </c>
      <c r="AE271" s="86" t="s">
        <v>596</v>
      </c>
      <c r="AF271" s="16" t="s">
        <v>763</v>
      </c>
      <c r="AG271" s="16" t="str">
        <f>_xlfn.XLOOKUP(Tabela1[[#This Row],[CÓD. CT]],Controle_Projetos[COD CT],Controle_Projetos[COD PHD],"")</f>
        <v/>
      </c>
      <c r="AH271" s="21">
        <v>46234</v>
      </c>
      <c r="AI271" s="76">
        <v>46234</v>
      </c>
      <c r="AJ271" s="16" cm="1">
        <f t="array" aca="1" ref="AJ27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1" s="21">
        <v>46234</v>
      </c>
      <c r="AL271" s="74"/>
      <c r="AM271" s="16" cm="1">
        <f t="array" aca="1" ref="AM27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1" s="21">
        <f>Tabela1[[#This Row],[DATA PREV - FORMS]]+$AN$1</f>
        <v>46241</v>
      </c>
      <c r="AO271" s="74">
        <v>46234</v>
      </c>
      <c r="AP271" s="16" cm="1">
        <f t="array" aca="1" ref="AP27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1" s="21">
        <f>Tabela1[[#This Row],[DATA PREV - EXAMES]]+$AQ$1</f>
        <v>46243</v>
      </c>
      <c r="AR271" s="74">
        <v>46246</v>
      </c>
      <c r="AS271" s="16" cm="1">
        <f t="array" aca="1" ref="AS27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4</v>
      </c>
      <c r="AT271" s="21">
        <f>Tabela1[[#This Row],[DATA PREV - FORMS]]+$AT$1</f>
        <v>46235</v>
      </c>
      <c r="AU271" s="74">
        <v>46234</v>
      </c>
      <c r="AV271" s="16" cm="1">
        <f t="array" aca="1" ref="AV27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1" s="21">
        <f>Tabela1[[#This Row],[DATA PREV - TREINAMENTOS]]+$AW$1</f>
        <v>46242</v>
      </c>
      <c r="AX271" s="74">
        <v>46239</v>
      </c>
      <c r="AY271" s="16" cm="1">
        <f t="array" aca="1" ref="AY27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271" s="24">
        <v>46234</v>
      </c>
      <c r="BA271" s="74">
        <v>46234</v>
      </c>
      <c r="BB271" s="16" cm="1">
        <f t="array" aca="1" ref="BB27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1" s="21">
        <f>Tabela1[[#This Row],[DATA PREV - CONCL. TREIN.]]+$BC$1</f>
        <v>46244</v>
      </c>
      <c r="BD271" s="74">
        <v>46248</v>
      </c>
      <c r="BE271" s="16" cm="1">
        <f t="array" aca="1" ref="BE27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71" s="21">
        <f>Tabela1[[#This Row],[DATA PREV - DOSSIÊ]]+$BF$1</f>
        <v>46247</v>
      </c>
      <c r="BG271" s="74">
        <v>46248</v>
      </c>
      <c r="BH271" s="16" cm="1">
        <f t="array" aca="1" ref="BH27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71" s="21">
        <f>Tabela1[[#This Row],[DATA PREV - POSTAGEM]]+$BI$1</f>
        <v>46253</v>
      </c>
      <c r="BJ271" s="74">
        <v>46249</v>
      </c>
      <c r="BK271" s="16" cm="1">
        <f t="array" aca="1" ref="BK27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71" s="21">
        <f>Tabela1[[#This Row],[DATA PREV - APROV FINAL]]+$BL$1</f>
        <v>46254</v>
      </c>
      <c r="BM271" s="74">
        <v>46249</v>
      </c>
      <c r="BN271" s="16" cm="1">
        <f t="array" aca="1" ref="BN27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v>
      </c>
      <c r="BO271" s="81" t="s">
        <v>773</v>
      </c>
    </row>
    <row r="272" spans="2:67" ht="18" hidden="1" customHeight="1" x14ac:dyDescent="0.35">
      <c r="B272" s="14" t="s">
        <v>79</v>
      </c>
      <c r="C272" s="16" t="s">
        <v>136</v>
      </c>
      <c r="D272" s="16" t="s">
        <v>108</v>
      </c>
      <c r="E272" s="16"/>
      <c r="F272" s="16" t="s">
        <v>129</v>
      </c>
      <c r="G272" s="16" cm="1">
        <f t="array" ref="G272">_xlfn.IFS(Tabela1[[#This Row],[STATUS PROCESSO MOBILIZAÇÃO]]="Finalizado",1,Tabela1[[#This Row],[STATUS PROCESSO MOBILIZAÇÃO]]="Cancelado",2,Tabela1[[#This Row],[STATUS PROCESSO MOBILIZAÇÃO]]="Em andamento",3)</f>
        <v>1</v>
      </c>
      <c r="H272" s="16" cm="1">
        <f t="array" aca="1" ref="H27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FORMS]]="",$AM272&gt;$AK$1),2,
AND(Tabela1[[#This Row],[STATUS PROCESSO MOBILIZAÇÃO]]="Em andamento",Tabela1[[#This Row],[DATA REAL - FORMS]]="",$AM272&lt;=$AK$1),3,
AND(Tabela1[[#This Row],[STATUS PROCESSO MOBILIZAÇÃO]]="Em andamento",Tabela1[[#This Row],[DATA REAL - FORMS]]&lt;&gt;""),1)</f>
        <v>0</v>
      </c>
      <c r="I272" s="16" cm="1">
        <f t="array" aca="1" ref="I27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EXAMES]]="",$AP272&gt;$AN$1),2,
AND(Tabela1[[#This Row],[STATUS PROCESSO MOBILIZAÇÃO]]="Em andamento",Tabela1[[#This Row],[DATA REAL - EXAMES]]="",$AP272&lt;=$AN$1),3,
AND(Tabela1[[#This Row],[STATUS PROCESSO MOBILIZAÇÃO]]="Em andamento",Tabela1[[#This Row],[DATA REAL - EXAMES]]&lt;&gt;""),1)</f>
        <v>1</v>
      </c>
      <c r="J272" s="16" cm="1">
        <f t="array" aca="1" ref="J27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ASO]]="",$AS272&gt;$AQ$1),2,
AND(Tabela1[[#This Row],[STATUS PROCESSO MOBILIZAÇÃO]]="Em andamento",Tabela1[[#This Row],[DATA REAL - ASO]]="",$AS272&lt;=$AQ$1),3,
AND(Tabela1[[#This Row],[STATUS PROCESSO MOBILIZAÇÃO]]="Em andamento",Tabela1[[#This Row],[DATA REAL - ASO]]&lt;&gt;""),1)</f>
        <v>1</v>
      </c>
      <c r="K272" s="16" cm="1">
        <f t="array" aca="1" ref="K27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TREINAMENTOS]]="",$AV272&gt;$AT$1),2,
AND(Tabela1[[#This Row],[STATUS PROCESSO MOBILIZAÇÃO]]="Em andamento",Tabela1[[#This Row],[DATA REAL - TREINAMENTOS]]="",$AV272&lt;=$AT$1),3,
AND(Tabela1[[#This Row],[STATUS PROCESSO MOBILIZAÇÃO]]="Em andamento",Tabela1[[#This Row],[DATA REAL - TREINAMENTOS]]&lt;&gt;""),1)</f>
        <v>1</v>
      </c>
      <c r="L272" s="16" cm="1">
        <f t="array" aca="1" ref="L27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TREIN.]]="",$AY272&gt;$AW$1),2,
AND(Tabela1[[#This Row],[STATUS PROCESSO MOBILIZAÇÃO]]="Em andamento",Tabela1[[#This Row],[DATA REAL - CONCL. TREIN.]]="",$AY272&lt;=$AW$1),3,
AND(Tabela1[[#This Row],[STATUS PROCESSO MOBILIZAÇÃO]]="Em andamento",Tabela1[[#This Row],[DATA REAL - CONCL. TREIN.]]&lt;&gt;""),1)</f>
        <v>1</v>
      </c>
      <c r="M272" s="16" cm="1">
        <f t="array" aca="1" ref="M27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CONTRATUAL]]="",$BB272&gt;$AZ$1),2,
AND(Tabela1[[#This Row],[STATUS PROCESSO MOBILIZAÇÃO]]="Em andamento",Tabela1[[#This Row],[DATA FIM - ALTER. CONTRATUAL]]="",$BB272&lt;=$AZ$1),3,
AND(Tabela1[[#This Row],[STATUS PROCESSO MOBILIZAÇÃO]]="Em andamento",Tabela1[[#This Row],[DATA FIM - ALTER. CONTRATUAL]]&lt;&gt;""),1)</f>
        <v>1</v>
      </c>
      <c r="N272" s="16" cm="1">
        <f t="array" aca="1" ref="N27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DOSSIÊ]]="",$BE272&gt;$BC$1),2,
AND(Tabela1[[#This Row],[STATUS PROCESSO MOBILIZAÇÃO]]="Em andamento",Tabela1[[#This Row],[DATA REAL - DOSSIÊ]]="",$BE272&lt;=$BC$1),3,
AND(Tabela1[[#This Row],[STATUS PROCESSO MOBILIZAÇÃO]]="Em andamento",Tabela1[[#This Row],[DATA REAL - DOSSIÊ]]&lt;&gt;""),1)</f>
        <v>1</v>
      </c>
      <c r="O272" s="16" cm="1">
        <f t="array" aca="1" ref="O27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POSTAGEM]]="",$BH272&gt;$BF$1),2,
AND(Tabela1[[#This Row],[STATUS PROCESSO MOBILIZAÇÃO]]="Em andamento",Tabela1[[#This Row],[DATA REAL - POSTAGEM]]="",$BH272&lt;=$BF$1),3,
AND(Tabela1[[#This Row],[STATUS PROCESSO MOBILIZAÇÃO]]="Em andamento",Tabela1[[#This Row],[DATA REAL - POSTAGEM]]&lt;&gt;""),1)</f>
        <v>1</v>
      </c>
      <c r="P272" s="16" cm="1">
        <f t="array" aca="1" ref="P27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FINAL]]="",$BK272&gt;$BI$1),2,
AND(Tabela1[[#This Row],[STATUS PROCESSO MOBILIZAÇÃO]]="Em andamento",Tabela1[[#This Row],[DATA REAL - APROV FINAL]]="",$BK272&lt;=$BI$1),3,
AND(Tabela1[[#This Row],[STATUS PROCESSO MOBILIZAÇÃO]]="Em andamento",Tabela1[[#This Row],[DATA REAL - APROV FINAL]]&lt;&gt;""),1)</f>
        <v>1</v>
      </c>
      <c r="Q272" s="16" cm="1">
        <f t="array" aca="1" ref="Q27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CRACHÁ]]="",$BN272&gt;$BL$1),2,
AND(Tabela1[[#This Row],[STATUS PROCESSO MOBILIZAÇÃO]]="Em andamento",Tabela1[[#This Row],[DATA REAL - CRACHÁ]]="",$BN272&lt;=$BL$1),3,
AND(Tabela1[[#This Row],[STATUS PROCESSO MOBILIZAÇÃO]]="Em andamento",Tabela1[[#This Row],[DATA REAL - CRACHÁ]]&lt;&gt;""),1)</f>
        <v>1</v>
      </c>
      <c r="R272" s="21">
        <f>IF(Tabela1[[#This Row],[DATA REAL - FORMS]]&lt;&gt;"",Tabela1[[#This Row],[DATA REAL - FORMS]]+30,Tabela1[[#This Row],[DATA PREV - FORMS]]+35)</f>
        <v>46273</v>
      </c>
      <c r="S27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46251</v>
      </c>
      <c r="T27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7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72" s="49">
        <f>MAX(Tabela1[[#This Row],[DATA REAL - POSTAGEM]],Tabela1[[#This Row],[DATA REAL - APROV FINAL]],Tabela1[[#This Row],[DATA REAL - CRACHÁ]])-MIN(Tabela1[[#This Row],[DATA REAL - POSTAGEM]],Tabela1[[#This Row],[DATA REAL - APROV FINAL]],Tabela1[[#This Row],[DATA REAL - CRACHÁ]])+1</f>
        <v>5</v>
      </c>
      <c r="W27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X272" s="16" t="s">
        <v>726</v>
      </c>
      <c r="Y272" s="16" t="s">
        <v>150</v>
      </c>
      <c r="Z272" s="80" t="s">
        <v>104</v>
      </c>
      <c r="AA272" s="95" t="s">
        <v>152</v>
      </c>
      <c r="AB272" s="16" t="s">
        <v>97</v>
      </c>
      <c r="AC272" s="16" t="s">
        <v>768</v>
      </c>
      <c r="AD272" s="16" t="s">
        <v>768</v>
      </c>
      <c r="AE272" s="16" t="s">
        <v>633</v>
      </c>
      <c r="AF272" s="16" t="s">
        <v>406</v>
      </c>
      <c r="AG272" s="16" t="str">
        <f>_xlfn.XLOOKUP(Tabela1[[#This Row],[CÓD. CT]],Controle_Projetos[COD CT],Controle_Projetos[COD PHD],"")</f>
        <v>VALE-CT01-OC01</v>
      </c>
      <c r="AH272" s="21">
        <v>46238</v>
      </c>
      <c r="AI272" s="76"/>
      <c r="AJ272" s="16" cm="1">
        <f t="array" aca="1" ref="AJ27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2" s="21">
        <v>46238</v>
      </c>
      <c r="AL272" s="74"/>
      <c r="AM272" s="16" cm="1">
        <f t="array" aca="1" ref="AM27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2" s="21">
        <f>Tabela1[[#This Row],[DATA PREV - FORMS]]+$AN$1</f>
        <v>46245</v>
      </c>
      <c r="AO272" s="74">
        <v>46238</v>
      </c>
      <c r="AP272" s="16" cm="1">
        <f t="array" aca="1" ref="AP27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2" s="21">
        <f>Tabela1[[#This Row],[DATA PREV - EXAMES]]+$AQ$1</f>
        <v>46247</v>
      </c>
      <c r="AR272" s="74">
        <v>46244</v>
      </c>
      <c r="AS272" s="16" cm="1">
        <f t="array" aca="1" ref="AS27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72" s="21">
        <f>Tabela1[[#This Row],[DATA PREV - FORMS]]+$AT$1</f>
        <v>46239</v>
      </c>
      <c r="AU272" s="74">
        <v>46238</v>
      </c>
      <c r="AV272" s="16" cm="1">
        <f t="array" aca="1" ref="AV27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2" s="21">
        <f>Tabela1[[#This Row],[DATA PREV - TREINAMENTOS]]+$AW$1</f>
        <v>46246</v>
      </c>
      <c r="AX272" s="74">
        <v>46244</v>
      </c>
      <c r="AY272" s="16" cm="1">
        <f t="array" aca="1" ref="AY27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72" s="24">
        <v>46238</v>
      </c>
      <c r="BA272" s="74">
        <v>46238</v>
      </c>
      <c r="BB272" s="16" cm="1">
        <f t="array" aca="1" ref="BB27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2" s="21">
        <f>Tabela1[[#This Row],[DATA PREV - CONCL. TREIN.]]+$BC$1</f>
        <v>46248</v>
      </c>
      <c r="BD272" s="74">
        <v>46247</v>
      </c>
      <c r="BE272" s="16" cm="1">
        <f t="array" aca="1" ref="BE27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72" s="21">
        <f>Tabela1[[#This Row],[DATA PREV - DOSSIÊ]]+$BF$1</f>
        <v>46251</v>
      </c>
      <c r="BG272" s="74">
        <v>46247</v>
      </c>
      <c r="BH272" s="16" cm="1">
        <f t="array" aca="1" ref="BH27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272" s="21">
        <f>Tabela1[[#This Row],[DATA PREV - POSTAGEM]]+$BI$1</f>
        <v>46257</v>
      </c>
      <c r="BJ272" s="74">
        <v>46249</v>
      </c>
      <c r="BK272" s="16" cm="1">
        <f t="array" aca="1" ref="BK27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272" s="21">
        <f>Tabela1[[#This Row],[DATA PREV - APROV FINAL]]+$BL$1</f>
        <v>46258</v>
      </c>
      <c r="BM272" s="74">
        <v>46251</v>
      </c>
      <c r="BN272" s="16" cm="1">
        <f t="array" aca="1" ref="BN27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72" s="81" t="s">
        <v>774</v>
      </c>
    </row>
    <row r="273" spans="2:67" ht="18" hidden="1" customHeight="1" x14ac:dyDescent="0.35">
      <c r="B273" s="14" t="s">
        <v>79</v>
      </c>
      <c r="C273" s="16" t="s">
        <v>136</v>
      </c>
      <c r="D273" s="16" t="s">
        <v>108</v>
      </c>
      <c r="E273" s="16"/>
      <c r="F273" s="16" t="s">
        <v>477</v>
      </c>
      <c r="G273" s="16" cm="1">
        <f t="array" ref="G273">_xlfn.IFS(Tabela1[[#This Row],[STATUS PROCESSO MOBILIZAÇÃO]]="Finalizado",1,Tabela1[[#This Row],[STATUS PROCESSO MOBILIZAÇÃO]]="Cancelado",2,Tabela1[[#This Row],[STATUS PROCESSO MOBILIZAÇÃO]]="Em andamento",3)</f>
        <v>1</v>
      </c>
      <c r="H273" s="16" cm="1">
        <f t="array" aca="1" ref="H27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FORMS]]="",$AM273&gt;$AK$1),2,
AND(Tabela1[[#This Row],[STATUS PROCESSO MOBILIZAÇÃO]]="Em andamento",Tabela1[[#This Row],[DATA REAL - FORMS]]="",$AM273&lt;=$AK$1),3,
AND(Tabela1[[#This Row],[STATUS PROCESSO MOBILIZAÇÃO]]="Em andamento",Tabela1[[#This Row],[DATA REAL - FORMS]]&lt;&gt;""),1)</f>
        <v>0</v>
      </c>
      <c r="I273" s="16" cm="1">
        <f t="array" aca="1" ref="I27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EXAMES]]="",$AP273&gt;$AN$1),2,
AND(Tabela1[[#This Row],[STATUS PROCESSO MOBILIZAÇÃO]]="Em andamento",Tabela1[[#This Row],[DATA REAL - EXAMES]]="",$AP273&lt;=$AN$1),3,
AND(Tabela1[[#This Row],[STATUS PROCESSO MOBILIZAÇÃO]]="Em andamento",Tabela1[[#This Row],[DATA REAL - EXAMES]]&lt;&gt;""),1)</f>
        <v>1</v>
      </c>
      <c r="J273" s="16" cm="1">
        <f t="array" aca="1" ref="J27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ASO]]="",$AS273&gt;$AQ$1),2,
AND(Tabela1[[#This Row],[STATUS PROCESSO MOBILIZAÇÃO]]="Em andamento",Tabela1[[#This Row],[DATA REAL - ASO]]="",$AS273&lt;=$AQ$1),3,
AND(Tabela1[[#This Row],[STATUS PROCESSO MOBILIZAÇÃO]]="Em andamento",Tabela1[[#This Row],[DATA REAL - ASO]]&lt;&gt;""),1)</f>
        <v>1</v>
      </c>
      <c r="K273" s="16" cm="1">
        <f t="array" aca="1" ref="K27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TREINAMENTOS]]="",$AV273&gt;$AT$1),2,
AND(Tabela1[[#This Row],[STATUS PROCESSO MOBILIZAÇÃO]]="Em andamento",Tabela1[[#This Row],[DATA REAL - TREINAMENTOS]]="",$AV273&lt;=$AT$1),3,
AND(Tabela1[[#This Row],[STATUS PROCESSO MOBILIZAÇÃO]]="Em andamento",Tabela1[[#This Row],[DATA REAL - TREINAMENTOS]]&lt;&gt;""),1)</f>
        <v>1</v>
      </c>
      <c r="L273" s="16" cm="1">
        <f t="array" aca="1" ref="L27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TREIN.]]="",$AY273&gt;$AW$1),2,
AND(Tabela1[[#This Row],[STATUS PROCESSO MOBILIZAÇÃO]]="Em andamento",Tabela1[[#This Row],[DATA REAL - CONCL. TREIN.]]="",$AY273&lt;=$AW$1),3,
AND(Tabela1[[#This Row],[STATUS PROCESSO MOBILIZAÇÃO]]="Em andamento",Tabela1[[#This Row],[DATA REAL - CONCL. TREIN.]]&lt;&gt;""),1)</f>
        <v>1</v>
      </c>
      <c r="M273" s="16" cm="1">
        <f t="array" aca="1" ref="M27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CONTRATUAL]]="",$BB273&gt;$AZ$1),2,
AND(Tabela1[[#This Row],[STATUS PROCESSO MOBILIZAÇÃO]]="Em andamento",Tabela1[[#This Row],[DATA FIM - ALTER. CONTRATUAL]]="",$BB273&lt;=$AZ$1),3,
AND(Tabela1[[#This Row],[STATUS PROCESSO MOBILIZAÇÃO]]="Em andamento",Tabela1[[#This Row],[DATA FIM - ALTER. CONTRATUAL]]&lt;&gt;""),1)</f>
        <v>1</v>
      </c>
      <c r="N273" s="16" cm="1">
        <f t="array" aca="1" ref="N27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DOSSIÊ]]="",$BE273&gt;$BC$1),2,
AND(Tabela1[[#This Row],[STATUS PROCESSO MOBILIZAÇÃO]]="Em andamento",Tabela1[[#This Row],[DATA REAL - DOSSIÊ]]="",$BE273&lt;=$BC$1),3,
AND(Tabela1[[#This Row],[STATUS PROCESSO MOBILIZAÇÃO]]="Em andamento",Tabela1[[#This Row],[DATA REAL - DOSSIÊ]]&lt;&gt;""),1)</f>
        <v>1</v>
      </c>
      <c r="O273" s="16" cm="1">
        <f t="array" aca="1" ref="O27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POSTAGEM]]="",$BH273&gt;$BF$1),2,
AND(Tabela1[[#This Row],[STATUS PROCESSO MOBILIZAÇÃO]]="Em andamento",Tabela1[[#This Row],[DATA REAL - POSTAGEM]]="",$BH273&lt;=$BF$1),3,
AND(Tabela1[[#This Row],[STATUS PROCESSO MOBILIZAÇÃO]]="Em andamento",Tabela1[[#This Row],[DATA REAL - POSTAGEM]]&lt;&gt;""),1)</f>
        <v>1</v>
      </c>
      <c r="P273" s="16" cm="1">
        <f t="array" aca="1" ref="P27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FINAL]]="",$BK273&gt;$BI$1),2,
AND(Tabela1[[#This Row],[STATUS PROCESSO MOBILIZAÇÃO]]="Em andamento",Tabela1[[#This Row],[DATA REAL - APROV FINAL]]="",$BK273&lt;=$BI$1),3,
AND(Tabela1[[#This Row],[STATUS PROCESSO MOBILIZAÇÃO]]="Em andamento",Tabela1[[#This Row],[DATA REAL - APROV FINAL]]&lt;&gt;""),1)</f>
        <v>0</v>
      </c>
      <c r="Q273" s="16" cm="1">
        <f t="array" aca="1" ref="Q27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CRACHÁ]]="",$BN273&gt;$BL$1),2,
AND(Tabela1[[#This Row],[STATUS PROCESSO MOBILIZAÇÃO]]="Em andamento",Tabela1[[#This Row],[DATA REAL - CRACHÁ]]="",$BN273&lt;=$BL$1),3,
AND(Tabela1[[#This Row],[STATUS PROCESSO MOBILIZAÇÃO]]="Em andamento",Tabela1[[#This Row],[DATA REAL - CRACHÁ]]&lt;&gt;""),1)</f>
        <v>1</v>
      </c>
      <c r="R273" s="21">
        <f>IF(Tabela1[[#This Row],[DATA REAL - FORMS]]&lt;&gt;"",Tabela1[[#This Row],[DATA REAL - FORMS]]+30,Tabela1[[#This Row],[DATA PREV - FORMS]]+35)</f>
        <v>46273</v>
      </c>
      <c r="S273"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46251</v>
      </c>
      <c r="T27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13</v>
      </c>
      <c r="U27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9</v>
      </c>
      <c r="V273" s="49">
        <f>MAX(Tabela1[[#This Row],[DATA REAL - POSTAGEM]],Tabela1[[#This Row],[DATA REAL - APROV FINAL]],Tabela1[[#This Row],[DATA REAL - CRACHÁ]])-MIN(Tabela1[[#This Row],[DATA REAL - POSTAGEM]],Tabela1[[#This Row],[DATA REAL - APROV FINAL]],Tabela1[[#This Row],[DATA REAL - CRACHÁ]])+1</f>
        <v>5</v>
      </c>
      <c r="W27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36</v>
      </c>
      <c r="X273" s="16" t="s">
        <v>726</v>
      </c>
      <c r="Y273" s="16" t="s">
        <v>150</v>
      </c>
      <c r="Z273" s="80" t="s">
        <v>104</v>
      </c>
      <c r="AA273" s="95" t="s">
        <v>152</v>
      </c>
      <c r="AB273" s="16" t="s">
        <v>97</v>
      </c>
      <c r="AC273" s="16" t="s">
        <v>768</v>
      </c>
      <c r="AD273" s="16" t="s">
        <v>768</v>
      </c>
      <c r="AE273" s="16" t="s">
        <v>633</v>
      </c>
      <c r="AF273" s="16" t="s">
        <v>406</v>
      </c>
      <c r="AG273" s="16" t="str">
        <f>_xlfn.XLOOKUP(Tabela1[[#This Row],[CÓD. CT]],Controle_Projetos[COD CT],Controle_Projetos[COD PHD],"")</f>
        <v>VALE-CT01-OC01</v>
      </c>
      <c r="AH273" s="21">
        <v>46238</v>
      </c>
      <c r="AI273" s="76"/>
      <c r="AJ273" s="16" cm="1">
        <f t="array" aca="1" ref="AJ27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3" s="21">
        <v>46238</v>
      </c>
      <c r="AL273" s="74"/>
      <c r="AM273" s="16" cm="1">
        <f t="array" aca="1" ref="AM27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3" s="21">
        <f>Tabela1[[#This Row],[DATA PREV - FORMS]]+$AN$1</f>
        <v>46245</v>
      </c>
      <c r="AO273" s="74">
        <v>46238</v>
      </c>
      <c r="AP273" s="16" cm="1">
        <f t="array" aca="1" ref="AP27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3" s="21">
        <f>Tabela1[[#This Row],[DATA PREV - EXAMES]]+$AQ$1</f>
        <v>46247</v>
      </c>
      <c r="AR273" s="74">
        <v>46244</v>
      </c>
      <c r="AS273" s="16" cm="1">
        <f t="array" aca="1" ref="AS27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73" s="21">
        <f>Tabela1[[#This Row],[DATA PREV - FORMS]]+$AT$1</f>
        <v>46239</v>
      </c>
      <c r="AU273" s="74">
        <v>46238</v>
      </c>
      <c r="AV273" s="16" cm="1">
        <f t="array" aca="1" ref="AV27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3" s="21">
        <f>Tabela1[[#This Row],[DATA PREV - TREINAMENTOS]]+$AW$1</f>
        <v>46246</v>
      </c>
      <c r="AX273" s="74">
        <v>46245</v>
      </c>
      <c r="AY273" s="16" cm="1">
        <f t="array" aca="1" ref="AY27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0</v>
      </c>
      <c r="AZ273" s="24">
        <v>46238</v>
      </c>
      <c r="BA273" s="74">
        <v>46238</v>
      </c>
      <c r="BB273" s="16" cm="1">
        <f t="array" aca="1" ref="BB27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3" s="21">
        <f>Tabela1[[#This Row],[DATA PREV - CONCL. TREIN.]]+$BC$1</f>
        <v>46248</v>
      </c>
      <c r="BD273" s="74">
        <v>46247</v>
      </c>
      <c r="BE273" s="16" cm="1">
        <f t="array" aca="1" ref="BE27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73" s="21">
        <f>Tabela1[[#This Row],[DATA PREV - DOSSIÊ]]+$BF$1</f>
        <v>46251</v>
      </c>
      <c r="BG273" s="74">
        <v>46247</v>
      </c>
      <c r="BH273" s="16" cm="1">
        <f t="array" aca="1" ref="BH27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273" s="21">
        <f>Tabela1[[#This Row],[DATA PREV - POSTAGEM]]+$BI$1</f>
        <v>46257</v>
      </c>
      <c r="BJ273" s="74"/>
      <c r="BK273" s="16" cm="1">
        <f t="array" aca="1" ref="BK27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v>
      </c>
      <c r="BL273" s="21">
        <f>Tabela1[[#This Row],[DATA PREV - APROV FINAL]]+$BL$1</f>
        <v>46258</v>
      </c>
      <c r="BM273" s="74">
        <v>46251</v>
      </c>
      <c r="BN273" s="16" cm="1">
        <f t="array" aca="1" ref="BN27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-6</v>
      </c>
      <c r="BO273" s="81" t="s">
        <v>775</v>
      </c>
    </row>
    <row r="274" spans="2:67" ht="18" hidden="1" customHeight="1" x14ac:dyDescent="0.35">
      <c r="B274" s="14" t="s">
        <v>79</v>
      </c>
      <c r="C274" s="16" t="s">
        <v>136</v>
      </c>
      <c r="D274" s="16" t="s">
        <v>108</v>
      </c>
      <c r="E274" s="16">
        <v>1250</v>
      </c>
      <c r="F274" s="16" t="s">
        <v>361</v>
      </c>
      <c r="G274" s="16" cm="1">
        <f t="array" ref="G274">_xlfn.IFS(Tabela1[[#This Row],[STATUS PROCESSO MOBILIZAÇÃO]]="Finalizado",1,Tabela1[[#This Row],[STATUS PROCESSO MOBILIZAÇÃO]]="Cancelado",2,Tabela1[[#This Row],[STATUS PROCESSO MOBILIZAÇÃO]]="Em andamento",3)</f>
        <v>1</v>
      </c>
      <c r="H274" s="16" cm="1">
        <f t="array" aca="1" ref="H27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FORMS]]="",$AM274&gt;$AK$1),2,
AND(Tabela1[[#This Row],[STATUS PROCESSO MOBILIZAÇÃO]]="Em andamento",Tabela1[[#This Row],[DATA REAL - FORMS]]="",$AM274&lt;=$AK$1),3,
AND(Tabela1[[#This Row],[STATUS PROCESSO MOBILIZAÇÃO]]="Em andamento",Tabela1[[#This Row],[DATA REAL - FORMS]]&lt;&gt;""),1)</f>
        <v>1</v>
      </c>
      <c r="I274" s="16" cm="1">
        <f t="array" aca="1" ref="I27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EXAMES]]="",$AP274&gt;$AN$1),2,
AND(Tabela1[[#This Row],[STATUS PROCESSO MOBILIZAÇÃO]]="Em andamento",Tabela1[[#This Row],[DATA REAL - EXAMES]]="",$AP274&lt;=$AN$1),3,
AND(Tabela1[[#This Row],[STATUS PROCESSO MOBILIZAÇÃO]]="Em andamento",Tabela1[[#This Row],[DATA REAL - EXAMES]]&lt;&gt;""),1)</f>
        <v>1</v>
      </c>
      <c r="J274" s="16" cm="1">
        <f t="array" aca="1" ref="J27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ASO]]="",$AS274&gt;$AQ$1),2,
AND(Tabela1[[#This Row],[STATUS PROCESSO MOBILIZAÇÃO]]="Em andamento",Tabela1[[#This Row],[DATA REAL - ASO]]="",$AS274&lt;=$AQ$1),3,
AND(Tabela1[[#This Row],[STATUS PROCESSO MOBILIZAÇÃO]]="Em andamento",Tabela1[[#This Row],[DATA REAL - ASO]]&lt;&gt;""),1)</f>
        <v>1</v>
      </c>
      <c r="K274" s="16" cm="1">
        <f t="array" aca="1" ref="K27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TREINAMENTOS]]="",$AV274&gt;$AT$1),2,
AND(Tabela1[[#This Row],[STATUS PROCESSO MOBILIZAÇÃO]]="Em andamento",Tabela1[[#This Row],[DATA REAL - TREINAMENTOS]]="",$AV274&lt;=$AT$1),3,
AND(Tabela1[[#This Row],[STATUS PROCESSO MOBILIZAÇÃO]]="Em andamento",Tabela1[[#This Row],[DATA REAL - TREINAMENTOS]]&lt;&gt;""),1)</f>
        <v>1</v>
      </c>
      <c r="L274" s="16" cm="1">
        <f t="array" aca="1" ref="L27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TREIN.]]="",$AY274&gt;$AW$1),2,
AND(Tabela1[[#This Row],[STATUS PROCESSO MOBILIZAÇÃO]]="Em andamento",Tabela1[[#This Row],[DATA REAL - CONCL. TREIN.]]="",$AY274&lt;=$AW$1),3,
AND(Tabela1[[#This Row],[STATUS PROCESSO MOBILIZAÇÃO]]="Em andamento",Tabela1[[#This Row],[DATA REAL - CONCL. TREIN.]]&lt;&gt;""),1)</f>
        <v>1</v>
      </c>
      <c r="M274" s="16" cm="1">
        <f t="array" aca="1" ref="M27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CONTRATUAL]]="",$BB274&gt;$AZ$1),2,
AND(Tabela1[[#This Row],[STATUS PROCESSO MOBILIZAÇÃO]]="Em andamento",Tabela1[[#This Row],[DATA FIM - ALTER. CONTRATUAL]]="",$BB274&lt;=$AZ$1),3,
AND(Tabela1[[#This Row],[STATUS PROCESSO MOBILIZAÇÃO]]="Em andamento",Tabela1[[#This Row],[DATA FIM - ALTER. CONTRATUAL]]&lt;&gt;""),1)</f>
        <v>1</v>
      </c>
      <c r="N274" s="16" cm="1">
        <f t="array" aca="1" ref="N27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DOSSIÊ]]="",$BE274&gt;$BC$1),2,
AND(Tabela1[[#This Row],[STATUS PROCESSO MOBILIZAÇÃO]]="Em andamento",Tabela1[[#This Row],[DATA REAL - DOSSIÊ]]="",$BE274&lt;=$BC$1),3,
AND(Tabela1[[#This Row],[STATUS PROCESSO MOBILIZAÇÃO]]="Em andamento",Tabela1[[#This Row],[DATA REAL - DOSSIÊ]]&lt;&gt;""),1)</f>
        <v>1</v>
      </c>
      <c r="O274" s="16" cm="1">
        <f t="array" aca="1" ref="O27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POSTAGEM]]="",$BH274&gt;$BF$1),2,
AND(Tabela1[[#This Row],[STATUS PROCESSO MOBILIZAÇÃO]]="Em andamento",Tabela1[[#This Row],[DATA REAL - POSTAGEM]]="",$BH274&lt;=$BF$1),3,
AND(Tabela1[[#This Row],[STATUS PROCESSO MOBILIZAÇÃO]]="Em andamento",Tabela1[[#This Row],[DATA REAL - POSTAGEM]]&lt;&gt;""),1)</f>
        <v>1</v>
      </c>
      <c r="P274" s="16" cm="1">
        <f t="array" aca="1" ref="P27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FINAL]]="",$BK274&gt;$BI$1),2,
AND(Tabela1[[#This Row],[STATUS PROCESSO MOBILIZAÇÃO]]="Em andamento",Tabela1[[#This Row],[DATA REAL - APROV FINAL]]="",$BK274&lt;=$BI$1),3,
AND(Tabela1[[#This Row],[STATUS PROCESSO MOBILIZAÇÃO]]="Em andamento",Tabela1[[#This Row],[DATA REAL - APROV FINAL]]&lt;&gt;""),1)</f>
        <v>1</v>
      </c>
      <c r="Q274" s="16" cm="1">
        <f t="array" aca="1" ref="Q27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CRACHÁ]]="",$BN274&gt;$BL$1),2,
AND(Tabela1[[#This Row],[STATUS PROCESSO MOBILIZAÇÃO]]="Em andamento",Tabela1[[#This Row],[DATA REAL - CRACHÁ]]="",$BN274&lt;=$BL$1),3,
AND(Tabela1[[#This Row],[STATUS PROCESSO MOBILIZAÇÃO]]="Em andamento",Tabela1[[#This Row],[DATA REAL - CRACHÁ]]&lt;&gt;""),1)</f>
        <v>1</v>
      </c>
      <c r="R274" s="21">
        <f>IF(Tabela1[[#This Row],[DATA REAL - FORMS]]&lt;&gt;"",Tabela1[[#This Row],[DATA REAL - FORMS]]+30,Tabela1[[#This Row],[DATA PREV - FORMS]]+35)</f>
        <v>46269</v>
      </c>
      <c r="S274"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46246</v>
      </c>
      <c r="T27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7</v>
      </c>
      <c r="U27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v>
      </c>
      <c r="V274" s="49">
        <f>MAX(Tabela1[[#This Row],[DATA REAL - POSTAGEM]],Tabela1[[#This Row],[DATA REAL - APROV FINAL]],Tabela1[[#This Row],[DATA REAL - CRACHÁ]])-MIN(Tabela1[[#This Row],[DATA REAL - POSTAGEM]],Tabela1[[#This Row],[DATA REAL - APROV FINAL]],Tabela1[[#This Row],[DATA REAL - CRACHÁ]])+1</f>
        <v>7</v>
      </c>
      <c r="W27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4" s="16" t="s">
        <v>149</v>
      </c>
      <c r="Y274" s="16" t="s">
        <v>150</v>
      </c>
      <c r="Z274" s="80" t="str">
        <f>_xlfn.XLOOKUP(Tabela1[[#This Row],[COO PHD]],TabControleEfetivo[NOME],TabControleEfetivo[email (PHD)],"")</f>
        <v>diogo.soares@phdengenharia.eng.br</v>
      </c>
      <c r="AA274" s="96" t="s">
        <v>152</v>
      </c>
      <c r="AB274" s="16" t="s">
        <v>97</v>
      </c>
      <c r="AC274" s="16" t="s">
        <v>153</v>
      </c>
      <c r="AD274" s="16" t="s">
        <v>153</v>
      </c>
      <c r="AE274" s="16" t="s">
        <v>529</v>
      </c>
      <c r="AF274" s="16" t="s">
        <v>530</v>
      </c>
      <c r="AG274" s="16" t="str">
        <f>_xlfn.XLOOKUP(Tabela1[[#This Row],[CÓD. CT]],Controle_Projetos[COD CT],Controle_Projetos[COD PHD],"")</f>
        <v>ADMB-CT16-PORT</v>
      </c>
      <c r="AH274" s="21">
        <v>46239</v>
      </c>
      <c r="AI274" s="76">
        <v>46239</v>
      </c>
      <c r="AJ274" s="16" cm="1">
        <f t="array" aca="1" ref="AJ27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4" s="21">
        <v>46239</v>
      </c>
      <c r="AL274" s="74">
        <v>46239</v>
      </c>
      <c r="AM274" s="16" cm="1">
        <f t="array" aca="1" ref="AM27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4" s="21">
        <f>Tabela1[[#This Row],[DATA PREV - FORMS]]+$AN$1</f>
        <v>46246</v>
      </c>
      <c r="AO274" s="74">
        <v>46239</v>
      </c>
      <c r="AP274" s="16" cm="1">
        <f t="array" aca="1" ref="AP27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4" s="21">
        <f>Tabela1[[#This Row],[DATA PREV - EXAMES]]+$AQ$1</f>
        <v>46248</v>
      </c>
      <c r="AR274" s="74">
        <v>46239</v>
      </c>
      <c r="AS274" s="16" cm="1">
        <f t="array" aca="1" ref="AS27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74" s="21">
        <f>Tabela1[[#This Row],[DATA PREV - FORMS]]+$AT$1</f>
        <v>46240</v>
      </c>
      <c r="AU274" s="74">
        <v>46239</v>
      </c>
      <c r="AV274" s="16" cm="1">
        <f t="array" aca="1" ref="AV27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4" s="21">
        <f>Tabela1[[#This Row],[DATA PREV - TREINAMENTOS]]+$AW$1</f>
        <v>46247</v>
      </c>
      <c r="AX274" s="74">
        <v>46239</v>
      </c>
      <c r="AY274" s="16" cm="1">
        <f t="array" aca="1" ref="AY27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74" s="24">
        <v>46239</v>
      </c>
      <c r="BA274" s="74">
        <v>46239</v>
      </c>
      <c r="BB274" s="16" cm="1">
        <f t="array" aca="1" ref="BB27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4" s="21">
        <f>Tabela1[[#This Row],[DATA PREV - CONCL. TREIN.]]+$BC$1</f>
        <v>46249</v>
      </c>
      <c r="BD274" s="74">
        <v>46240</v>
      </c>
      <c r="BE274" s="16" cm="1">
        <f t="array" aca="1" ref="BE27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-8</v>
      </c>
      <c r="BF274" s="21">
        <f>Tabela1[[#This Row],[DATA PREV - DOSSIÊ]]+$BF$1</f>
        <v>46252</v>
      </c>
      <c r="BG274" s="74">
        <v>46240</v>
      </c>
      <c r="BH274" s="16" cm="1">
        <f t="array" aca="1" ref="BH27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-11</v>
      </c>
      <c r="BI274" s="21">
        <f>Tabela1[[#This Row],[DATA PREV - POSTAGEM]]+$BI$1</f>
        <v>46258</v>
      </c>
      <c r="BJ274" s="74">
        <v>46246</v>
      </c>
      <c r="BK274" s="16" cm="1">
        <f t="array" aca="1" ref="BK27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74" s="21">
        <f>Tabela1[[#This Row],[DATA PREV - APROV FINAL]]+$BL$1</f>
        <v>46259</v>
      </c>
      <c r="BM274" s="74">
        <v>46246</v>
      </c>
      <c r="BN274" s="16" cm="1">
        <f t="array" aca="1" ref="BN27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-12</v>
      </c>
      <c r="BO274" s="81" t="s">
        <v>776</v>
      </c>
    </row>
    <row r="275" spans="2:67" ht="18" hidden="1" customHeight="1" x14ac:dyDescent="0.35">
      <c r="B275" s="14" t="s">
        <v>79</v>
      </c>
      <c r="C275" s="16" t="s">
        <v>136</v>
      </c>
      <c r="D275" s="16" t="s">
        <v>108</v>
      </c>
      <c r="E275" s="16">
        <v>1265</v>
      </c>
      <c r="F275" s="16" t="s">
        <v>217</v>
      </c>
      <c r="G275" s="16" cm="1">
        <f t="array" ref="G275">_xlfn.IFS(Tabela1[[#This Row],[STATUS PROCESSO MOBILIZAÇÃO]]="Finalizado",1,Tabela1[[#This Row],[STATUS PROCESSO MOBILIZAÇÃO]]="Cancelado",2,Tabela1[[#This Row],[STATUS PROCESSO MOBILIZAÇÃO]]="Em andamento",3)</f>
        <v>1</v>
      </c>
      <c r="H275" s="16" cm="1">
        <f t="array" aca="1" ref="H27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FORMS]]="",$AM275&gt;$AK$1),2,
AND(Tabela1[[#This Row],[STATUS PROCESSO MOBILIZAÇÃO]]="Em andamento",Tabela1[[#This Row],[DATA REAL - FORMS]]="",$AM275&lt;=$AK$1),3,
AND(Tabela1[[#This Row],[STATUS PROCESSO MOBILIZAÇÃO]]="Em andamento",Tabela1[[#This Row],[DATA REAL - FORMS]]&lt;&gt;""),1)</f>
        <v>1</v>
      </c>
      <c r="I275" s="16" cm="1">
        <f t="array" aca="1" ref="I27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EXAMES]]="",$AP275&gt;$AN$1),2,
AND(Tabela1[[#This Row],[STATUS PROCESSO MOBILIZAÇÃO]]="Em andamento",Tabela1[[#This Row],[DATA REAL - EXAMES]]="",$AP275&lt;=$AN$1),3,
AND(Tabela1[[#This Row],[STATUS PROCESSO MOBILIZAÇÃO]]="Em andamento",Tabela1[[#This Row],[DATA REAL - EXAMES]]&lt;&gt;""),1)</f>
        <v>1</v>
      </c>
      <c r="J275" s="16" cm="1">
        <f t="array" aca="1" ref="J27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ASO]]="",$AS275&gt;$AQ$1),2,
AND(Tabela1[[#This Row],[STATUS PROCESSO MOBILIZAÇÃO]]="Em andamento",Tabela1[[#This Row],[DATA REAL - ASO]]="",$AS275&lt;=$AQ$1),3,
AND(Tabela1[[#This Row],[STATUS PROCESSO MOBILIZAÇÃO]]="Em andamento",Tabela1[[#This Row],[DATA REAL - ASO]]&lt;&gt;""),1)</f>
        <v>1</v>
      </c>
      <c r="K275" s="16" cm="1">
        <f t="array" aca="1" ref="K27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TREINAMENTOS]]="",$AV275&gt;$AT$1),2,
AND(Tabela1[[#This Row],[STATUS PROCESSO MOBILIZAÇÃO]]="Em andamento",Tabela1[[#This Row],[DATA REAL - TREINAMENTOS]]="",$AV275&lt;=$AT$1),3,
AND(Tabela1[[#This Row],[STATUS PROCESSO MOBILIZAÇÃO]]="Em andamento",Tabela1[[#This Row],[DATA REAL - TREINAMENTOS]]&lt;&gt;""),1)</f>
        <v>1</v>
      </c>
      <c r="L275" s="16" cm="1">
        <f t="array" aca="1" ref="L27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TREIN.]]="",$AY275&gt;$AW$1),2,
AND(Tabela1[[#This Row],[STATUS PROCESSO MOBILIZAÇÃO]]="Em andamento",Tabela1[[#This Row],[DATA REAL - CONCL. TREIN.]]="",$AY275&lt;=$AW$1),3,
AND(Tabela1[[#This Row],[STATUS PROCESSO MOBILIZAÇÃO]]="Em andamento",Tabela1[[#This Row],[DATA REAL - CONCL. TREIN.]]&lt;&gt;""),1)</f>
        <v>1</v>
      </c>
      <c r="M275" s="16" cm="1">
        <f t="array" aca="1" ref="M27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CONTRATUAL]]="",$BB275&gt;$AZ$1),2,
AND(Tabela1[[#This Row],[STATUS PROCESSO MOBILIZAÇÃO]]="Em andamento",Tabela1[[#This Row],[DATA FIM - ALTER. CONTRATUAL]]="",$BB275&lt;=$AZ$1),3,
AND(Tabela1[[#This Row],[STATUS PROCESSO MOBILIZAÇÃO]]="Em andamento",Tabela1[[#This Row],[DATA FIM - ALTER. CONTRATUAL]]&lt;&gt;""),1)</f>
        <v>1</v>
      </c>
      <c r="N275" s="16" cm="1">
        <f t="array" aca="1" ref="N27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DOSSIÊ]]="",$BE275&gt;$BC$1),2,
AND(Tabela1[[#This Row],[STATUS PROCESSO MOBILIZAÇÃO]]="Em andamento",Tabela1[[#This Row],[DATA REAL - DOSSIÊ]]="",$BE275&lt;=$BC$1),3,
AND(Tabela1[[#This Row],[STATUS PROCESSO MOBILIZAÇÃO]]="Em andamento",Tabela1[[#This Row],[DATA REAL - DOSSIÊ]]&lt;&gt;""),1)</f>
        <v>1</v>
      </c>
      <c r="O275" s="16" cm="1">
        <f t="array" aca="1" ref="O27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POSTAGEM]]="",$BH275&gt;$BF$1),2,
AND(Tabela1[[#This Row],[STATUS PROCESSO MOBILIZAÇÃO]]="Em andamento",Tabela1[[#This Row],[DATA REAL - POSTAGEM]]="",$BH275&lt;=$BF$1),3,
AND(Tabela1[[#This Row],[STATUS PROCESSO MOBILIZAÇÃO]]="Em andamento",Tabela1[[#This Row],[DATA REAL - POSTAGEM]]&lt;&gt;""),1)</f>
        <v>1</v>
      </c>
      <c r="P275" s="16" cm="1">
        <f t="array" aca="1" ref="P27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FINAL]]="",$BK275&gt;$BI$1),2,
AND(Tabela1[[#This Row],[STATUS PROCESSO MOBILIZAÇÃO]]="Em andamento",Tabela1[[#This Row],[DATA REAL - APROV FINAL]]="",$BK275&lt;=$BI$1),3,
AND(Tabela1[[#This Row],[STATUS PROCESSO MOBILIZAÇÃO]]="Em andamento",Tabela1[[#This Row],[DATA REAL - APROV FINAL]]&lt;&gt;""),1)</f>
        <v>1</v>
      </c>
      <c r="Q275" s="16" cm="1">
        <f t="array" aca="1" ref="Q27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CRACHÁ]]="",$BN275&gt;$BL$1),2,
AND(Tabela1[[#This Row],[STATUS PROCESSO MOBILIZAÇÃO]]="Em andamento",Tabela1[[#This Row],[DATA REAL - CRACHÁ]]="",$BN275&lt;=$BL$1),3,
AND(Tabela1[[#This Row],[STATUS PROCESSO MOBILIZAÇÃO]]="Em andamento",Tabela1[[#This Row],[DATA REAL - CRACHÁ]]&lt;&gt;""),1)</f>
        <v>1</v>
      </c>
      <c r="R275" s="21">
        <f>IF(Tabela1[[#This Row],[DATA REAL - FORMS]]&lt;&gt;"",Tabela1[[#This Row],[DATA REAL - FORMS]]+30,Tabela1[[#This Row],[DATA PREV - FORMS]]+35)</f>
        <v>46274</v>
      </c>
      <c r="S275"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46246</v>
      </c>
      <c r="T27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16</v>
      </c>
      <c r="U27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v>
      </c>
      <c r="V275" s="49">
        <f>MAX(Tabela1[[#This Row],[DATA REAL - POSTAGEM]],Tabela1[[#This Row],[DATA REAL - APROV FINAL]],Tabela1[[#This Row],[DATA REAL - CRACHÁ]])-MIN(Tabela1[[#This Row],[DATA REAL - POSTAGEM]],Tabela1[[#This Row],[DATA REAL - APROV FINAL]],Tabela1[[#This Row],[DATA REAL - CRACHÁ]])+1</f>
        <v>17</v>
      </c>
      <c r="W27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X275" s="16" t="s">
        <v>149</v>
      </c>
      <c r="Y275" s="16" t="s">
        <v>150</v>
      </c>
      <c r="Z275" s="80" t="str">
        <f>_xlfn.XLOOKUP(Tabela1[[#This Row],[COO PHD]],TabControleEfetivo[NOME],TabControleEfetivo[email (PHD)],"")</f>
        <v>diogo.soares@phdengenharia.eng.br</v>
      </c>
      <c r="AA275" s="95" t="s">
        <v>152</v>
      </c>
      <c r="AB275" s="16" t="s">
        <v>97</v>
      </c>
      <c r="AC275" s="16" t="s">
        <v>455</v>
      </c>
      <c r="AD275" s="16" t="s">
        <v>455</v>
      </c>
      <c r="AE275" s="16" t="s">
        <v>712</v>
      </c>
      <c r="AF275" s="16" t="s">
        <v>713</v>
      </c>
      <c r="AG275" s="16" t="str">
        <f>_xlfn.XLOOKUP(Tabela1[[#This Row],[CÓD. CT]],Controle_Projetos[COD CT],Controle_Projetos[COD PHD],"")</f>
        <v>AURA-CT02-GUAT</v>
      </c>
      <c r="AH275" s="21">
        <v>46244</v>
      </c>
      <c r="AI275" s="76">
        <v>46244</v>
      </c>
      <c r="AJ275" s="16" cm="1">
        <f t="array" aca="1" ref="AJ27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5" s="21">
        <v>46244</v>
      </c>
      <c r="AL275" s="74">
        <v>46244</v>
      </c>
      <c r="AM275" s="16" cm="1">
        <f t="array" aca="1" ref="AM27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5" s="21">
        <f>Tabela1[[#This Row],[DATA PREV - FORMS]]+$AN$1</f>
        <v>46251</v>
      </c>
      <c r="AO275" s="74">
        <v>46244</v>
      </c>
      <c r="AP275" s="16" cm="1">
        <f t="array" aca="1" ref="AP27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5" s="21">
        <f>Tabela1[[#This Row],[DATA PREV - EXAMES]]+$AQ$1</f>
        <v>46253</v>
      </c>
      <c r="AR275" s="74">
        <v>46246</v>
      </c>
      <c r="AS275" s="16" cm="1">
        <f t="array" aca="1" ref="AS27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75" s="21">
        <f>Tabela1[[#This Row],[DATA PREV - FORMS]]+$AT$1</f>
        <v>46245</v>
      </c>
      <c r="AU275" s="74">
        <v>46244</v>
      </c>
      <c r="AV275" s="16" cm="1">
        <f t="array" aca="1" ref="AV27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5" s="21">
        <f>Tabela1[[#This Row],[DATA PREV - TREINAMENTOS]]+$AW$1</f>
        <v>46252</v>
      </c>
      <c r="AX275" s="74">
        <v>46245</v>
      </c>
      <c r="AY275" s="16" cm="1">
        <f t="array" aca="1" ref="AY27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75" s="24">
        <v>46244</v>
      </c>
      <c r="BA275" s="74">
        <v>46244</v>
      </c>
      <c r="BB275" s="16" cm="1">
        <f t="array" aca="1" ref="BB27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5" s="21">
        <f>Tabela1[[#This Row],[DATA PREV - CONCL. TREIN.]]+$BC$1</f>
        <v>46254</v>
      </c>
      <c r="BD275" s="74">
        <v>46246</v>
      </c>
      <c r="BE275" s="16" cm="1">
        <f t="array" aca="1" ref="BE27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75" s="21">
        <f>Tabela1[[#This Row],[DATA PREV - DOSSIÊ]]+$BF$1</f>
        <v>46257</v>
      </c>
      <c r="BG275" s="74">
        <v>46246</v>
      </c>
      <c r="BH275" s="16" cm="1">
        <f t="array" aca="1" ref="BH27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-10</v>
      </c>
      <c r="BI275" s="21">
        <f>Tabela1[[#This Row],[DATA PREV - POSTAGEM]]+$BI$1</f>
        <v>46263</v>
      </c>
      <c r="BJ275" s="74">
        <v>46230</v>
      </c>
      <c r="BK275" s="16" cm="1">
        <f t="array" aca="1" ref="BK27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-32</v>
      </c>
      <c r="BL275" s="21">
        <f>Tabela1[[#This Row],[DATA PREV - APROV FINAL]]+$BL$1</f>
        <v>46264</v>
      </c>
      <c r="BM275" s="74">
        <v>46230</v>
      </c>
      <c r="BN275" s="16" cm="1">
        <f t="array" aca="1" ref="BN27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-33</v>
      </c>
      <c r="BO275" s="81" t="s">
        <v>777</v>
      </c>
    </row>
    <row r="276" spans="2:67" ht="18" customHeight="1" x14ac:dyDescent="0.35">
      <c r="B276" s="14" t="s">
        <v>778</v>
      </c>
      <c r="C276" s="16" t="s">
        <v>136</v>
      </c>
      <c r="D276" s="16"/>
      <c r="E276" s="16">
        <v>1271</v>
      </c>
      <c r="F276" s="16" t="s">
        <v>684</v>
      </c>
      <c r="G276" s="16" cm="1">
        <f t="array" ref="G276">_xlfn.IFS(Tabela1[[#This Row],[STATUS PROCESSO MOBILIZAÇÃO]]="Finalizado",1,Tabela1[[#This Row],[STATUS PROCESSO MOBILIZAÇÃO]]="Cancelado",2,Tabela1[[#This Row],[STATUS PROCESSO MOBILIZAÇÃO]]="Em andamento",3)</f>
        <v>3</v>
      </c>
      <c r="H276" s="16" cm="1">
        <f t="array" aca="1" ref="H27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FORMS]]="",$AM276&gt;$AK$1),2,
AND(Tabela1[[#This Row],[STATUS PROCESSO MOBILIZAÇÃO]]="Em andamento",Tabela1[[#This Row],[DATA REAL - FORMS]]="",$AM276&lt;=$AK$1),3,
AND(Tabela1[[#This Row],[STATUS PROCESSO MOBILIZAÇÃO]]="Em andamento",Tabela1[[#This Row],[DATA REAL - FORMS]]&lt;&gt;""),1)</f>
        <v>1</v>
      </c>
      <c r="I276" s="16" cm="1">
        <f t="array" aca="1" ref="I27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EXAMES]]="",$AP276&gt;$AN$1),2,
AND(Tabela1[[#This Row],[STATUS PROCESSO MOBILIZAÇÃO]]="Em andamento",Tabela1[[#This Row],[DATA REAL - EXAMES]]="",$AP276&lt;=$AN$1),3,
AND(Tabela1[[#This Row],[STATUS PROCESSO MOBILIZAÇÃO]]="Em andamento",Tabela1[[#This Row],[DATA REAL - EXAMES]]&lt;&gt;""),1)</f>
        <v>1</v>
      </c>
      <c r="J276" s="16" cm="1">
        <f t="array" aca="1" ref="J27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ASO]]="",$AS276&gt;$AQ$1),2,
AND(Tabela1[[#This Row],[STATUS PROCESSO MOBILIZAÇÃO]]="Em andamento",Tabela1[[#This Row],[DATA REAL - ASO]]="",$AS276&lt;=$AQ$1),3,
AND(Tabela1[[#This Row],[STATUS PROCESSO MOBILIZAÇÃO]]="Em andamento",Tabela1[[#This Row],[DATA REAL - ASO]]&lt;&gt;""),1)</f>
        <v>1</v>
      </c>
      <c r="K276" s="16" cm="1">
        <f t="array" aca="1" ref="K27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TREINAMENTOS]]="",$AV276&gt;$AT$1),2,
AND(Tabela1[[#This Row],[STATUS PROCESSO MOBILIZAÇÃO]]="Em andamento",Tabela1[[#This Row],[DATA REAL - TREINAMENTOS]]="",$AV276&lt;=$AT$1),3,
AND(Tabela1[[#This Row],[STATUS PROCESSO MOBILIZAÇÃO]]="Em andamento",Tabela1[[#This Row],[DATA REAL - TREINAMENTOS]]&lt;&gt;""),1)</f>
        <v>1</v>
      </c>
      <c r="L276" s="16" cm="1">
        <f t="array" aca="1" ref="L27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TREIN.]]="",$AY276&gt;$AW$1),2,
AND(Tabela1[[#This Row],[STATUS PROCESSO MOBILIZAÇÃO]]="Em andamento",Tabela1[[#This Row],[DATA REAL - CONCL. TREIN.]]="",$AY276&lt;=$AW$1),3,
AND(Tabela1[[#This Row],[STATUS PROCESSO MOBILIZAÇÃO]]="Em andamento",Tabela1[[#This Row],[DATA REAL - CONCL. TREIN.]]&lt;&gt;""),1)</f>
        <v>1</v>
      </c>
      <c r="M276" s="16" cm="1">
        <f t="array" aca="1" ref="M27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CONTRATUAL]]="",$BB276&gt;$AZ$1),2,
AND(Tabela1[[#This Row],[STATUS PROCESSO MOBILIZAÇÃO]]="Em andamento",Tabela1[[#This Row],[DATA FIM - ALTER. CONTRATUAL]]="",$BB276&lt;=$AZ$1),3,
AND(Tabela1[[#This Row],[STATUS PROCESSO MOBILIZAÇÃO]]="Em andamento",Tabela1[[#This Row],[DATA FIM - ALTER. CONTRATUAL]]&lt;&gt;""),1)</f>
        <v>1</v>
      </c>
      <c r="N276" s="16" cm="1">
        <f t="array" aca="1" ref="N27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DOSSIÊ]]="",$BE276&gt;$BC$1),2,
AND(Tabela1[[#This Row],[STATUS PROCESSO MOBILIZAÇÃO]]="Em andamento",Tabela1[[#This Row],[DATA REAL - DOSSIÊ]]="",$BE276&lt;=$BC$1),3,
AND(Tabela1[[#This Row],[STATUS PROCESSO MOBILIZAÇÃO]]="Em andamento",Tabela1[[#This Row],[DATA REAL - DOSSIÊ]]&lt;&gt;""),1)</f>
        <v>1</v>
      </c>
      <c r="O276" s="16" cm="1">
        <f t="array" aca="1" ref="O27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POSTAGEM]]="",$BH276&gt;$BF$1),2,
AND(Tabela1[[#This Row],[STATUS PROCESSO MOBILIZAÇÃO]]="Em andamento",Tabela1[[#This Row],[DATA REAL - POSTAGEM]]="",$BH276&lt;=$BF$1),3,
AND(Tabela1[[#This Row],[STATUS PROCESSO MOBILIZAÇÃO]]="Em andamento",Tabela1[[#This Row],[DATA REAL - POSTAGEM]]&lt;&gt;""),1)</f>
        <v>2</v>
      </c>
      <c r="P276" s="16" cm="1">
        <f t="array" aca="1" ref="P27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FINAL]]="",$BK276&gt;$BI$1),2,
AND(Tabela1[[#This Row],[STATUS PROCESSO MOBILIZAÇÃO]]="Em andamento",Tabela1[[#This Row],[DATA REAL - APROV FINAL]]="",$BK276&lt;=$BI$1),3,
AND(Tabela1[[#This Row],[STATUS PROCESSO MOBILIZAÇÃO]]="Em andamento",Tabela1[[#This Row],[DATA REAL - APROV FINAL]]&lt;&gt;""),1)</f>
        <v>2</v>
      </c>
      <c r="Q276" s="16" cm="1">
        <f t="array" aca="1" ref="Q27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CRACHÁ]]="",$BN276&gt;$BL$1),2,
AND(Tabela1[[#This Row],[STATUS PROCESSO MOBILIZAÇÃO]]="Em andamento",Tabela1[[#This Row],[DATA REAL - CRACHÁ]]="",$BN276&lt;=$BL$1),3,
AND(Tabela1[[#This Row],[STATUS PROCESSO MOBILIZAÇÃO]]="Em andamento",Tabela1[[#This Row],[DATA REAL - CRACHÁ]]&lt;&gt;""),1)</f>
        <v>2</v>
      </c>
      <c r="R276" s="21">
        <f>IF(Tabela1[[#This Row],[DATA REAL - FORMS]]&lt;&gt;"",Tabela1[[#This Row],[DATA REAL - FORMS]]+30,Tabela1[[#This Row],[DATA PREV - FORMS]]+35)</f>
        <v>46275</v>
      </c>
      <c r="S276"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7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7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29</v>
      </c>
      <c r="V276" s="49">
        <f>MAX(Tabela1[[#This Row],[DATA REAL - POSTAGEM]],Tabela1[[#This Row],[DATA REAL - APROV FINAL]],Tabela1[[#This Row],[DATA REAL - CRACHÁ]])-MIN(Tabela1[[#This Row],[DATA REAL - POSTAGEM]],Tabela1[[#This Row],[DATA REAL - APROV FINAL]],Tabela1[[#This Row],[DATA REAL - CRACHÁ]])+1</f>
        <v>1</v>
      </c>
      <c r="W27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6" s="16" t="s">
        <v>726</v>
      </c>
      <c r="Y276" s="16" t="s">
        <v>150</v>
      </c>
      <c r="Z276" s="80" t="s">
        <v>104</v>
      </c>
      <c r="AA276" s="95" t="s">
        <v>152</v>
      </c>
      <c r="AB276" s="16" t="s">
        <v>632</v>
      </c>
      <c r="AC276" s="16" t="s">
        <v>744</v>
      </c>
      <c r="AD276" s="16" t="s">
        <v>744</v>
      </c>
      <c r="AE276" s="16" t="s">
        <v>745</v>
      </c>
      <c r="AF276" s="16" t="s">
        <v>746</v>
      </c>
      <c r="AG276" s="16" t="str">
        <f>_xlfn.XLOOKUP(Tabela1[[#This Row],[CÓD. CT]],Controle_Projetos[COD CT],Controle_Projetos[COD PHD],"")</f>
        <v>ATNI-CT01-GERE</v>
      </c>
      <c r="AH276" s="21">
        <v>46245</v>
      </c>
      <c r="AI276" s="76">
        <v>46245</v>
      </c>
      <c r="AJ276" s="16" cm="1">
        <f t="array" aca="1" ref="AJ27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6" s="21">
        <v>46245</v>
      </c>
      <c r="AL276" s="74">
        <v>46245</v>
      </c>
      <c r="AM276" s="16" cm="1">
        <f t="array" aca="1" ref="AM27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6" s="21">
        <f>Tabela1[[#This Row],[DATA PREV - FORMS]]+$AN$1</f>
        <v>46252</v>
      </c>
      <c r="AO276" s="74">
        <v>46246</v>
      </c>
      <c r="AP276" s="16" cm="1">
        <f t="array" aca="1" ref="AP27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76" s="21">
        <f>Tabela1[[#This Row],[DATA PREV - EXAMES]]+$AQ$1</f>
        <v>46254</v>
      </c>
      <c r="AR276" s="74">
        <v>46251</v>
      </c>
      <c r="AS276" s="16" cm="1">
        <f t="array" aca="1" ref="AS27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76" s="21">
        <f>Tabela1[[#This Row],[DATA PREV - FORMS]]+$AT$1</f>
        <v>46246</v>
      </c>
      <c r="AU276" s="74">
        <v>46245</v>
      </c>
      <c r="AV276" s="16" cm="1">
        <f t="array" aca="1" ref="AV27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6" s="21">
        <f>Tabela1[[#This Row],[DATA PREV - TREINAMENTOS]]+$AW$1</f>
        <v>46253</v>
      </c>
      <c r="AX276" s="74">
        <v>46245</v>
      </c>
      <c r="AY276" s="16" cm="1">
        <f t="array" aca="1" ref="AY27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76" s="24">
        <v>46245</v>
      </c>
      <c r="BA276" s="74">
        <v>46245</v>
      </c>
      <c r="BB276" s="16" cm="1">
        <f t="array" aca="1" ref="BB27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6" s="21">
        <f>Tabela1[[#This Row],[DATA PREV - CONCL. TREIN.]]+$BC$1</f>
        <v>46255</v>
      </c>
      <c r="BD276" s="74">
        <v>46251</v>
      </c>
      <c r="BE276" s="16" cm="1">
        <f t="array" aca="1" ref="BE27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76" s="21">
        <f>Tabela1[[#This Row],[DATA PREV - DOSSIÊ]]+$BF$1</f>
        <v>46258</v>
      </c>
      <c r="BG276" s="74"/>
      <c r="BH276" s="16" cm="1">
        <f t="array" aca="1" ref="BH27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17</v>
      </c>
      <c r="BI276" s="21">
        <f>Tabela1[[#This Row],[DATA PREV - POSTAGEM]]+$BI$1</f>
        <v>46264</v>
      </c>
      <c r="BJ276" s="74"/>
      <c r="BK276" s="16" cm="1">
        <f t="array" aca="1" ref="BK27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76" s="21">
        <f>Tabela1[[#This Row],[DATA PREV - APROV FINAL]]+$BL$1</f>
        <v>46265</v>
      </c>
      <c r="BM276" s="74"/>
      <c r="BN276" s="16" cm="1">
        <f t="array" aca="1" ref="BN27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76" s="81" t="s">
        <v>779</v>
      </c>
    </row>
    <row r="277" spans="2:67" ht="18" customHeight="1" x14ac:dyDescent="0.35">
      <c r="B277" s="14" t="s">
        <v>778</v>
      </c>
      <c r="C277" s="16" t="s">
        <v>136</v>
      </c>
      <c r="D277" s="16"/>
      <c r="E277" s="16">
        <v>1272</v>
      </c>
      <c r="F277" s="16" t="s">
        <v>481</v>
      </c>
      <c r="G277" s="16" cm="1">
        <f t="array" ref="G277">_xlfn.IFS(Tabela1[[#This Row],[STATUS PROCESSO MOBILIZAÇÃO]]="Finalizado",1,Tabela1[[#This Row],[STATUS PROCESSO MOBILIZAÇÃO]]="Cancelado",2,Tabela1[[#This Row],[STATUS PROCESSO MOBILIZAÇÃO]]="Em andamento",3)</f>
        <v>3</v>
      </c>
      <c r="H277" s="16" cm="1">
        <f t="array" aca="1" ref="H27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FORMS]]="",$AM277&gt;$AK$1),2,
AND(Tabela1[[#This Row],[STATUS PROCESSO MOBILIZAÇÃO]]="Em andamento",Tabela1[[#This Row],[DATA REAL - FORMS]]="",$AM277&lt;=$AK$1),3,
AND(Tabela1[[#This Row],[STATUS PROCESSO MOBILIZAÇÃO]]="Em andamento",Tabela1[[#This Row],[DATA REAL - FORMS]]&lt;&gt;""),1)</f>
        <v>1</v>
      </c>
      <c r="I277" s="16" cm="1">
        <f t="array" aca="1" ref="I27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EXAMES]]="",$AP277&gt;$AN$1),2,
AND(Tabela1[[#This Row],[STATUS PROCESSO MOBILIZAÇÃO]]="Em andamento",Tabela1[[#This Row],[DATA REAL - EXAMES]]="",$AP277&lt;=$AN$1),3,
AND(Tabela1[[#This Row],[STATUS PROCESSO MOBILIZAÇÃO]]="Em andamento",Tabela1[[#This Row],[DATA REAL - EXAMES]]&lt;&gt;""),1)</f>
        <v>1</v>
      </c>
      <c r="J277" s="16" cm="1">
        <f t="array" aca="1" ref="J27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ASO]]="",$AS277&gt;$AQ$1),2,
AND(Tabela1[[#This Row],[STATUS PROCESSO MOBILIZAÇÃO]]="Em andamento",Tabela1[[#This Row],[DATA REAL - ASO]]="",$AS277&lt;=$AQ$1),3,
AND(Tabela1[[#This Row],[STATUS PROCESSO MOBILIZAÇÃO]]="Em andamento",Tabela1[[#This Row],[DATA REAL - ASO]]&lt;&gt;""),1)</f>
        <v>1</v>
      </c>
      <c r="K277" s="16" cm="1">
        <f t="array" aca="1" ref="K27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TREINAMENTOS]]="",$AV277&gt;$AT$1),2,
AND(Tabela1[[#This Row],[STATUS PROCESSO MOBILIZAÇÃO]]="Em andamento",Tabela1[[#This Row],[DATA REAL - TREINAMENTOS]]="",$AV277&lt;=$AT$1),3,
AND(Tabela1[[#This Row],[STATUS PROCESSO MOBILIZAÇÃO]]="Em andamento",Tabela1[[#This Row],[DATA REAL - TREINAMENTOS]]&lt;&gt;""),1)</f>
        <v>1</v>
      </c>
      <c r="L277" s="16" cm="1">
        <f t="array" aca="1" ref="L27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TREIN.]]="",$AY277&gt;$AW$1),2,
AND(Tabela1[[#This Row],[STATUS PROCESSO MOBILIZAÇÃO]]="Em andamento",Tabela1[[#This Row],[DATA REAL - CONCL. TREIN.]]="",$AY277&lt;=$AW$1),3,
AND(Tabela1[[#This Row],[STATUS PROCESSO MOBILIZAÇÃO]]="Em andamento",Tabela1[[#This Row],[DATA REAL - CONCL. TREIN.]]&lt;&gt;""),1)</f>
        <v>1</v>
      </c>
      <c r="M277" s="16" cm="1">
        <f t="array" aca="1" ref="M27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CONTRATUAL]]="",$BB277&gt;$AZ$1),2,
AND(Tabela1[[#This Row],[STATUS PROCESSO MOBILIZAÇÃO]]="Em andamento",Tabela1[[#This Row],[DATA FIM - ALTER. CONTRATUAL]]="",$BB277&lt;=$AZ$1),3,
AND(Tabela1[[#This Row],[STATUS PROCESSO MOBILIZAÇÃO]]="Em andamento",Tabela1[[#This Row],[DATA FIM - ALTER. CONTRATUAL]]&lt;&gt;""),1)</f>
        <v>1</v>
      </c>
      <c r="N277" s="16" cm="1">
        <f t="array" aca="1" ref="N27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DOSSIÊ]]="",$BE277&gt;$BC$1),2,
AND(Tabela1[[#This Row],[STATUS PROCESSO MOBILIZAÇÃO]]="Em andamento",Tabela1[[#This Row],[DATA REAL - DOSSIÊ]]="",$BE277&lt;=$BC$1),3,
AND(Tabela1[[#This Row],[STATUS PROCESSO MOBILIZAÇÃO]]="Em andamento",Tabela1[[#This Row],[DATA REAL - DOSSIÊ]]&lt;&gt;""),1)</f>
        <v>1</v>
      </c>
      <c r="O277" s="16" cm="1">
        <f t="array" aca="1" ref="O27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POSTAGEM]]="",$BH277&gt;$BF$1),2,
AND(Tabela1[[#This Row],[STATUS PROCESSO MOBILIZAÇÃO]]="Em andamento",Tabela1[[#This Row],[DATA REAL - POSTAGEM]]="",$BH277&lt;=$BF$1),3,
AND(Tabela1[[#This Row],[STATUS PROCESSO MOBILIZAÇÃO]]="Em andamento",Tabela1[[#This Row],[DATA REAL - POSTAGEM]]&lt;&gt;""),1)</f>
        <v>2</v>
      </c>
      <c r="P277" s="16" cm="1">
        <f t="array" aca="1" ref="P27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FINAL]]="",$BK277&gt;$BI$1),2,
AND(Tabela1[[#This Row],[STATUS PROCESSO MOBILIZAÇÃO]]="Em andamento",Tabela1[[#This Row],[DATA REAL - APROV FINAL]]="",$BK277&lt;=$BI$1),3,
AND(Tabela1[[#This Row],[STATUS PROCESSO MOBILIZAÇÃO]]="Em andamento",Tabela1[[#This Row],[DATA REAL - APROV FINAL]]&lt;&gt;""),1)</f>
        <v>2</v>
      </c>
      <c r="Q277" s="16" cm="1">
        <f t="array" aca="1" ref="Q27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CRACHÁ]]="",$BN277&gt;$BL$1),2,
AND(Tabela1[[#This Row],[STATUS PROCESSO MOBILIZAÇÃO]]="Em andamento",Tabela1[[#This Row],[DATA REAL - CRACHÁ]]="",$BN277&lt;=$BL$1),3,
AND(Tabela1[[#This Row],[STATUS PROCESSO MOBILIZAÇÃO]]="Em andamento",Tabela1[[#This Row],[DATA REAL - CRACHÁ]]&lt;&gt;""),1)</f>
        <v>2</v>
      </c>
      <c r="R277" s="21">
        <f>IF(Tabela1[[#This Row],[DATA REAL - FORMS]]&lt;&gt;"",Tabela1[[#This Row],[DATA REAL - FORMS]]+30,Tabela1[[#This Row],[DATA PREV - FORMS]]+35)</f>
        <v>46275</v>
      </c>
      <c r="S277"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7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29</v>
      </c>
      <c r="U27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29</v>
      </c>
      <c r="V277" s="49">
        <f>MAX(Tabela1[[#This Row],[DATA REAL - POSTAGEM]],Tabela1[[#This Row],[DATA REAL - APROV FINAL]],Tabela1[[#This Row],[DATA REAL - CRACHÁ]])-MIN(Tabela1[[#This Row],[DATA REAL - POSTAGEM]],Tabela1[[#This Row],[DATA REAL - APROV FINAL]],Tabela1[[#This Row],[DATA REAL - CRACHÁ]])+1</f>
        <v>1</v>
      </c>
      <c r="W27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7" s="16" t="s">
        <v>726</v>
      </c>
      <c r="Y277" s="16" t="s">
        <v>150</v>
      </c>
      <c r="Z277" s="80" t="s">
        <v>104</v>
      </c>
      <c r="AA277" s="95" t="s">
        <v>152</v>
      </c>
      <c r="AB277" s="16" t="s">
        <v>97</v>
      </c>
      <c r="AC277" s="16" t="s">
        <v>744</v>
      </c>
      <c r="AD277" s="16" t="s">
        <v>744</v>
      </c>
      <c r="AE277" s="16" t="s">
        <v>745</v>
      </c>
      <c r="AF277" s="16" t="s">
        <v>746</v>
      </c>
      <c r="AG277" s="16" t="str">
        <f>_xlfn.XLOOKUP(Tabela1[[#This Row],[CÓD. CT]],Controle_Projetos[COD CT],Controle_Projetos[COD PHD],"")</f>
        <v>ATNI-CT01-GERE</v>
      </c>
      <c r="AH277" s="21">
        <v>46245</v>
      </c>
      <c r="AI277" s="76">
        <v>46245</v>
      </c>
      <c r="AJ277" s="16" cm="1">
        <f t="array" aca="1" ref="AJ27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7" s="21">
        <v>46245</v>
      </c>
      <c r="AL277" s="74">
        <v>46245</v>
      </c>
      <c r="AM277" s="16" cm="1">
        <f t="array" aca="1" ref="AM27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7" s="21">
        <f>Tabela1[[#This Row],[DATA PREV - FORMS]]+$AN$1</f>
        <v>46252</v>
      </c>
      <c r="AO277" s="74">
        <v>46246</v>
      </c>
      <c r="AP277" s="16" cm="1">
        <f t="array" aca="1" ref="AP27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77" s="21">
        <f>Tabela1[[#This Row],[DATA PREV - EXAMES]]+$AQ$1</f>
        <v>46254</v>
      </c>
      <c r="AR277" s="74">
        <v>46251</v>
      </c>
      <c r="AS277" s="16" cm="1">
        <f t="array" aca="1" ref="AS27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77" s="21">
        <f>Tabela1[[#This Row],[DATA PREV - FORMS]]+$AT$1</f>
        <v>46246</v>
      </c>
      <c r="AU277" s="74">
        <v>46246</v>
      </c>
      <c r="AV277" s="16" cm="1">
        <f t="array" aca="1" ref="AV27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77" s="21">
        <f>Tabela1[[#This Row],[DATA PREV - TREINAMENTOS]]+$AW$1</f>
        <v>46253</v>
      </c>
      <c r="AX277" s="74">
        <v>46251</v>
      </c>
      <c r="AY277" s="16" cm="1">
        <f t="array" aca="1" ref="AY27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-1</v>
      </c>
      <c r="AZ277" s="24">
        <v>46245</v>
      </c>
      <c r="BA277" s="74">
        <v>46245</v>
      </c>
      <c r="BB277" s="16" cm="1">
        <f t="array" aca="1" ref="BB27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7" s="21">
        <f>Tabela1[[#This Row],[DATA PREV - CONCL. TREIN.]]+$BC$1</f>
        <v>46255</v>
      </c>
      <c r="BD277" s="74">
        <v>46251</v>
      </c>
      <c r="BE277" s="16" cm="1">
        <f t="array" aca="1" ref="BE27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77" s="21">
        <f>Tabela1[[#This Row],[DATA PREV - DOSSIÊ]]+$BF$1</f>
        <v>46258</v>
      </c>
      <c r="BG277" s="74"/>
      <c r="BH277" s="16" cm="1">
        <f t="array" aca="1" ref="BH27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17</v>
      </c>
      <c r="BI277" s="21">
        <f>Tabela1[[#This Row],[DATA PREV - POSTAGEM]]+$BI$1</f>
        <v>46264</v>
      </c>
      <c r="BJ277" s="74"/>
      <c r="BK277" s="16" cm="1">
        <f t="array" aca="1" ref="BK27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11</v>
      </c>
      <c r="BL277" s="21">
        <f>Tabela1[[#This Row],[DATA PREV - APROV FINAL]]+$BL$1</f>
        <v>46265</v>
      </c>
      <c r="BM277" s="74"/>
      <c r="BN277" s="16" cm="1">
        <f t="array" aca="1" ref="BN27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77" s="81" t="s">
        <v>780</v>
      </c>
    </row>
    <row r="278" spans="2:67" ht="18" hidden="1" customHeight="1" x14ac:dyDescent="0.35">
      <c r="B278" s="14" t="s">
        <v>79</v>
      </c>
      <c r="C278" s="16" t="s">
        <v>136</v>
      </c>
      <c r="D278" s="16" t="s">
        <v>108</v>
      </c>
      <c r="E278" s="16">
        <v>1277</v>
      </c>
      <c r="F278" s="16" t="s">
        <v>740</v>
      </c>
      <c r="G278" s="16" cm="1">
        <f t="array" ref="G278">_xlfn.IFS(Tabela1[[#This Row],[STATUS PROCESSO MOBILIZAÇÃO]]="Finalizado",1,Tabela1[[#This Row],[STATUS PROCESSO MOBILIZAÇÃO]]="Cancelado",2,Tabela1[[#This Row],[STATUS PROCESSO MOBILIZAÇÃO]]="Em andamento",3)</f>
        <v>1</v>
      </c>
      <c r="H278" s="16" cm="1">
        <f t="array" aca="1" ref="H27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FORMS]]="",$AM278&gt;$AK$1),2,
AND(Tabela1[[#This Row],[STATUS PROCESSO MOBILIZAÇÃO]]="Em andamento",Tabela1[[#This Row],[DATA REAL - FORMS]]="",$AM278&lt;=$AK$1),3,
AND(Tabela1[[#This Row],[STATUS PROCESSO MOBILIZAÇÃO]]="Em andamento",Tabela1[[#This Row],[DATA REAL - FORMS]]&lt;&gt;""),1)</f>
        <v>1</v>
      </c>
      <c r="I278" s="16" cm="1">
        <f t="array" aca="1" ref="I27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EXAMES]]="",$AP278&gt;$AN$1),2,
AND(Tabela1[[#This Row],[STATUS PROCESSO MOBILIZAÇÃO]]="Em andamento",Tabela1[[#This Row],[DATA REAL - EXAMES]]="",$AP278&lt;=$AN$1),3,
AND(Tabela1[[#This Row],[STATUS PROCESSO MOBILIZAÇÃO]]="Em andamento",Tabela1[[#This Row],[DATA REAL - EXAMES]]&lt;&gt;""),1)</f>
        <v>1</v>
      </c>
      <c r="J278" s="16" cm="1">
        <f t="array" aca="1" ref="J27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ASO]]="",$AS278&gt;$AQ$1),2,
AND(Tabela1[[#This Row],[STATUS PROCESSO MOBILIZAÇÃO]]="Em andamento",Tabela1[[#This Row],[DATA REAL - ASO]]="",$AS278&lt;=$AQ$1),3,
AND(Tabela1[[#This Row],[STATUS PROCESSO MOBILIZAÇÃO]]="Em andamento",Tabela1[[#This Row],[DATA REAL - ASO]]&lt;&gt;""),1)</f>
        <v>1</v>
      </c>
      <c r="K278" s="16" cm="1">
        <f t="array" aca="1" ref="K27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TREINAMENTOS]]="",$AV278&gt;$AT$1),2,
AND(Tabela1[[#This Row],[STATUS PROCESSO MOBILIZAÇÃO]]="Em andamento",Tabela1[[#This Row],[DATA REAL - TREINAMENTOS]]="",$AV278&lt;=$AT$1),3,
AND(Tabela1[[#This Row],[STATUS PROCESSO MOBILIZAÇÃO]]="Em andamento",Tabela1[[#This Row],[DATA REAL - TREINAMENTOS]]&lt;&gt;""),1)</f>
        <v>1</v>
      </c>
      <c r="L278" s="16" cm="1">
        <f t="array" aca="1" ref="L27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TREIN.]]="",$AY278&gt;$AW$1),2,
AND(Tabela1[[#This Row],[STATUS PROCESSO MOBILIZAÇÃO]]="Em andamento",Tabela1[[#This Row],[DATA REAL - CONCL. TREIN.]]="",$AY278&lt;=$AW$1),3,
AND(Tabela1[[#This Row],[STATUS PROCESSO MOBILIZAÇÃO]]="Em andamento",Tabela1[[#This Row],[DATA REAL - CONCL. TREIN.]]&lt;&gt;""),1)</f>
        <v>1</v>
      </c>
      <c r="M278" s="16" cm="1">
        <f t="array" aca="1" ref="M27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CONTRATUAL]]="",$BB278&gt;$AZ$1),2,
AND(Tabela1[[#This Row],[STATUS PROCESSO MOBILIZAÇÃO]]="Em andamento",Tabela1[[#This Row],[DATA FIM - ALTER. CONTRATUAL]]="",$BB278&lt;=$AZ$1),3,
AND(Tabela1[[#This Row],[STATUS PROCESSO MOBILIZAÇÃO]]="Em andamento",Tabela1[[#This Row],[DATA FIM - ALTER. CONTRATUAL]]&lt;&gt;""),1)</f>
        <v>1</v>
      </c>
      <c r="N278" s="16" cm="1">
        <f t="array" aca="1" ref="N27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DOSSIÊ]]="",$BE278&gt;$BC$1),2,
AND(Tabela1[[#This Row],[STATUS PROCESSO MOBILIZAÇÃO]]="Em andamento",Tabela1[[#This Row],[DATA REAL - DOSSIÊ]]="",$BE278&lt;=$BC$1),3,
AND(Tabela1[[#This Row],[STATUS PROCESSO MOBILIZAÇÃO]]="Em andamento",Tabela1[[#This Row],[DATA REAL - DOSSIÊ]]&lt;&gt;""),1)</f>
        <v>1</v>
      </c>
      <c r="O278" s="16" cm="1">
        <f t="array" aca="1" ref="O27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POSTAGEM]]="",$BH278&gt;$BF$1),2,
AND(Tabela1[[#This Row],[STATUS PROCESSO MOBILIZAÇÃO]]="Em andamento",Tabela1[[#This Row],[DATA REAL - POSTAGEM]]="",$BH278&lt;=$BF$1),3,
AND(Tabela1[[#This Row],[STATUS PROCESSO MOBILIZAÇÃO]]="Em andamento",Tabela1[[#This Row],[DATA REAL - POSTAGEM]]&lt;&gt;""),1)</f>
        <v>1</v>
      </c>
      <c r="P278" s="16" cm="1">
        <f t="array" aca="1" ref="P27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FINAL]]="",$BK278&gt;$BI$1),2,
AND(Tabela1[[#This Row],[STATUS PROCESSO MOBILIZAÇÃO]]="Em andamento",Tabela1[[#This Row],[DATA REAL - APROV FINAL]]="",$BK278&lt;=$BI$1),3,
AND(Tabela1[[#This Row],[STATUS PROCESSO MOBILIZAÇÃO]]="Em andamento",Tabela1[[#This Row],[DATA REAL - APROV FINAL]]&lt;&gt;""),1)</f>
        <v>1</v>
      </c>
      <c r="Q278" s="16" cm="1">
        <f t="array" aca="1" ref="Q27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CRACHÁ]]="",$BN278&gt;$BL$1),2,
AND(Tabela1[[#This Row],[STATUS PROCESSO MOBILIZAÇÃO]]="Em andamento",Tabela1[[#This Row],[DATA REAL - CRACHÁ]]="",$BN278&lt;=$BL$1),3,
AND(Tabela1[[#This Row],[STATUS PROCESSO MOBILIZAÇÃO]]="Em andamento",Tabela1[[#This Row],[DATA REAL - CRACHÁ]]&lt;&gt;""),1)</f>
        <v>1</v>
      </c>
      <c r="R278" s="21">
        <f>IF(Tabela1[[#This Row],[DATA REAL - FORMS]]&lt;&gt;"",Tabela1[[#This Row],[DATA REAL - FORMS]]+30,Tabela1[[#This Row],[DATA PREV - FORMS]]+35)</f>
        <v>46275</v>
      </c>
      <c r="S278"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46254</v>
      </c>
      <c r="T27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7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78" s="49">
        <f>MAX(Tabela1[[#This Row],[DATA REAL - POSTAGEM]],Tabela1[[#This Row],[DATA REAL - APROV FINAL]],Tabela1[[#This Row],[DATA REAL - CRACHÁ]])-MIN(Tabela1[[#This Row],[DATA REAL - POSTAGEM]],Tabela1[[#This Row],[DATA REAL - APROV FINAL]],Tabela1[[#This Row],[DATA REAL - CRACHÁ]])+1</f>
        <v>2</v>
      </c>
      <c r="W27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8" s="16" t="s">
        <v>707</v>
      </c>
      <c r="Y278" s="16" t="s">
        <v>122</v>
      </c>
      <c r="Z278" s="80" t="str">
        <f>_xlfn.XLOOKUP(Tabela1[[#This Row],[COO PHD]],TabControleEfetivo[NOME],TabControleEfetivo[email (PHD)],"")</f>
        <v>marcio.junior@phdengenharia.eng.br</v>
      </c>
      <c r="AA278" s="95" t="s">
        <v>124</v>
      </c>
      <c r="AB278" s="16" t="s">
        <v>632</v>
      </c>
      <c r="AC278" s="16" t="s">
        <v>781</v>
      </c>
      <c r="AD278" s="16" t="s">
        <v>781</v>
      </c>
      <c r="AE278" s="16" t="s">
        <v>782</v>
      </c>
      <c r="AF278" s="16" t="s">
        <v>783</v>
      </c>
      <c r="AG278" s="16" t="str">
        <f>_xlfn.XLOOKUP(Tabela1[[#This Row],[CÓD. CT]],Controle_Projetos[COD CT],Controle_Projetos[COD PHD],"")</f>
        <v/>
      </c>
      <c r="AH278" s="21">
        <v>46245</v>
      </c>
      <c r="AI278" s="76">
        <v>46245</v>
      </c>
      <c r="AJ278" s="16" cm="1">
        <f t="array" aca="1" ref="AJ27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8" s="21">
        <v>46245</v>
      </c>
      <c r="AL278" s="74">
        <v>46245</v>
      </c>
      <c r="AM278" s="16" cm="1">
        <f t="array" aca="1" ref="AM27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8" s="21">
        <f>Tabela1[[#This Row],[DATA PREV - FORMS]]+$AN$1</f>
        <v>46252</v>
      </c>
      <c r="AO278" s="74">
        <v>46245</v>
      </c>
      <c r="AP278" s="16" cm="1">
        <f t="array" aca="1" ref="AP27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8" s="21">
        <f>Tabela1[[#This Row],[DATA PREV - EXAMES]]+$AQ$1</f>
        <v>46254</v>
      </c>
      <c r="AR278" s="74">
        <v>46253</v>
      </c>
      <c r="AS278" s="16" cm="1">
        <f t="array" aca="1" ref="AS27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78" s="21">
        <f>Tabela1[[#This Row],[DATA PREV - FORMS]]+$AT$1</f>
        <v>46246</v>
      </c>
      <c r="AU278" s="74">
        <v>46245</v>
      </c>
      <c r="AV278" s="16" cm="1">
        <f t="array" aca="1" ref="AV27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78" s="21">
        <f>Tabela1[[#This Row],[DATA PREV - TREINAMENTOS]]+$AW$1</f>
        <v>46253</v>
      </c>
      <c r="AX278" s="74">
        <v>46245</v>
      </c>
      <c r="AY278" s="16" cm="1">
        <f t="array" aca="1" ref="AY27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78" s="24">
        <v>46245</v>
      </c>
      <c r="BA278" s="74">
        <v>46245</v>
      </c>
      <c r="BB278" s="16" cm="1">
        <f t="array" aca="1" ref="BB27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8" s="21">
        <f>Tabela1[[#This Row],[DATA PREV - CONCL. TREIN.]]+$BC$1</f>
        <v>46255</v>
      </c>
      <c r="BD278" s="74">
        <v>46253</v>
      </c>
      <c r="BE278" s="16" cm="1">
        <f t="array" aca="1" ref="BE27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78" s="21">
        <f>Tabela1[[#This Row],[DATA PREV - DOSSIÊ]]+$BF$1</f>
        <v>46258</v>
      </c>
      <c r="BG278" s="74">
        <v>46253</v>
      </c>
      <c r="BH278" s="16" cm="1">
        <f t="array" aca="1" ref="BH27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78" s="21">
        <f>Tabela1[[#This Row],[DATA PREV - POSTAGEM]]+$BI$1</f>
        <v>46264</v>
      </c>
      <c r="BJ278" s="74">
        <v>46254</v>
      </c>
      <c r="BK278" s="16" cm="1">
        <f t="array" aca="1" ref="BK27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78" s="21">
        <f>Tabela1[[#This Row],[DATA PREV - APROV FINAL]]+$BL$1</f>
        <v>46265</v>
      </c>
      <c r="BM278" s="74">
        <v>46254</v>
      </c>
      <c r="BN278" s="16" cm="1">
        <f t="array" aca="1" ref="BN27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78" s="81" t="s">
        <v>784</v>
      </c>
    </row>
    <row r="279" spans="2:67" ht="18" hidden="1" customHeight="1" x14ac:dyDescent="0.35">
      <c r="B279" s="14" t="s">
        <v>79</v>
      </c>
      <c r="C279" s="16" t="s">
        <v>136</v>
      </c>
      <c r="D279" s="16" t="s">
        <v>108</v>
      </c>
      <c r="E279" s="16">
        <v>1278</v>
      </c>
      <c r="F279" s="16" t="s">
        <v>785</v>
      </c>
      <c r="G279" s="16" cm="1">
        <f t="array" ref="G279">_xlfn.IFS(Tabela1[[#This Row],[STATUS PROCESSO MOBILIZAÇÃO]]="Finalizado",1,Tabela1[[#This Row],[STATUS PROCESSO MOBILIZAÇÃO]]="Cancelado",2,Tabela1[[#This Row],[STATUS PROCESSO MOBILIZAÇÃO]]="Em andamento",3)</f>
        <v>1</v>
      </c>
      <c r="H279" s="16" cm="1">
        <f t="array" aca="1" ref="H27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FORMS]]="",$AM279&gt;$AK$1),2,
AND(Tabela1[[#This Row],[STATUS PROCESSO MOBILIZAÇÃO]]="Em andamento",Tabela1[[#This Row],[DATA REAL - FORMS]]="",$AM279&lt;=$AK$1),3,
AND(Tabela1[[#This Row],[STATUS PROCESSO MOBILIZAÇÃO]]="Em andamento",Tabela1[[#This Row],[DATA REAL - FORMS]]&lt;&gt;""),1)</f>
        <v>1</v>
      </c>
      <c r="I279" s="16" cm="1">
        <f t="array" aca="1" ref="I27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EXAMES]]="",$AP279&gt;$AN$1),2,
AND(Tabela1[[#This Row],[STATUS PROCESSO MOBILIZAÇÃO]]="Em andamento",Tabela1[[#This Row],[DATA REAL - EXAMES]]="",$AP279&lt;=$AN$1),3,
AND(Tabela1[[#This Row],[STATUS PROCESSO MOBILIZAÇÃO]]="Em andamento",Tabela1[[#This Row],[DATA REAL - EXAMES]]&lt;&gt;""),1)</f>
        <v>1</v>
      </c>
      <c r="J279" s="16" cm="1">
        <f t="array" aca="1" ref="J27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ASO]]="",$AS279&gt;$AQ$1),2,
AND(Tabela1[[#This Row],[STATUS PROCESSO MOBILIZAÇÃO]]="Em andamento",Tabela1[[#This Row],[DATA REAL - ASO]]="",$AS279&lt;=$AQ$1),3,
AND(Tabela1[[#This Row],[STATUS PROCESSO MOBILIZAÇÃO]]="Em andamento",Tabela1[[#This Row],[DATA REAL - ASO]]&lt;&gt;""),1)</f>
        <v>1</v>
      </c>
      <c r="K279" s="16" cm="1">
        <f t="array" aca="1" ref="K27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TREINAMENTOS]]="",$AV279&gt;$AT$1),2,
AND(Tabela1[[#This Row],[STATUS PROCESSO MOBILIZAÇÃO]]="Em andamento",Tabela1[[#This Row],[DATA REAL - TREINAMENTOS]]="",$AV279&lt;=$AT$1),3,
AND(Tabela1[[#This Row],[STATUS PROCESSO MOBILIZAÇÃO]]="Em andamento",Tabela1[[#This Row],[DATA REAL - TREINAMENTOS]]&lt;&gt;""),1)</f>
        <v>1</v>
      </c>
      <c r="L279" s="16" cm="1">
        <f t="array" aca="1" ref="L27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TREIN.]]="",$AY279&gt;$AW$1),2,
AND(Tabela1[[#This Row],[STATUS PROCESSO MOBILIZAÇÃO]]="Em andamento",Tabela1[[#This Row],[DATA REAL - CONCL. TREIN.]]="",$AY279&lt;=$AW$1),3,
AND(Tabela1[[#This Row],[STATUS PROCESSO MOBILIZAÇÃO]]="Em andamento",Tabela1[[#This Row],[DATA REAL - CONCL. TREIN.]]&lt;&gt;""),1)</f>
        <v>1</v>
      </c>
      <c r="M279" s="16" cm="1">
        <f t="array" aca="1" ref="M27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CONTRATUAL]]="",$BB279&gt;$AZ$1),2,
AND(Tabela1[[#This Row],[STATUS PROCESSO MOBILIZAÇÃO]]="Em andamento",Tabela1[[#This Row],[DATA FIM - ALTER. CONTRATUAL]]="",$BB279&lt;=$AZ$1),3,
AND(Tabela1[[#This Row],[STATUS PROCESSO MOBILIZAÇÃO]]="Em andamento",Tabela1[[#This Row],[DATA FIM - ALTER. CONTRATUAL]]&lt;&gt;""),1)</f>
        <v>1</v>
      </c>
      <c r="N279" s="16" cm="1">
        <f t="array" aca="1" ref="N27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DOSSIÊ]]="",$BE279&gt;$BC$1),2,
AND(Tabela1[[#This Row],[STATUS PROCESSO MOBILIZAÇÃO]]="Em andamento",Tabela1[[#This Row],[DATA REAL - DOSSIÊ]]="",$BE279&lt;=$BC$1),3,
AND(Tabela1[[#This Row],[STATUS PROCESSO MOBILIZAÇÃO]]="Em andamento",Tabela1[[#This Row],[DATA REAL - DOSSIÊ]]&lt;&gt;""),1)</f>
        <v>1</v>
      </c>
      <c r="O279" s="16" cm="1">
        <f t="array" aca="1" ref="O27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POSTAGEM]]="",$BH279&gt;$BF$1),2,
AND(Tabela1[[#This Row],[STATUS PROCESSO MOBILIZAÇÃO]]="Em andamento",Tabela1[[#This Row],[DATA REAL - POSTAGEM]]="",$BH279&lt;=$BF$1),3,
AND(Tabela1[[#This Row],[STATUS PROCESSO MOBILIZAÇÃO]]="Em andamento",Tabela1[[#This Row],[DATA REAL - POSTAGEM]]&lt;&gt;""),1)</f>
        <v>1</v>
      </c>
      <c r="P279" s="16" cm="1">
        <f t="array" aca="1" ref="P27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FINAL]]="",$BK279&gt;$BI$1),2,
AND(Tabela1[[#This Row],[STATUS PROCESSO MOBILIZAÇÃO]]="Em andamento",Tabela1[[#This Row],[DATA REAL - APROV FINAL]]="",$BK279&lt;=$BI$1),3,
AND(Tabela1[[#This Row],[STATUS PROCESSO MOBILIZAÇÃO]]="Em andamento",Tabela1[[#This Row],[DATA REAL - APROV FINAL]]&lt;&gt;""),1)</f>
        <v>1</v>
      </c>
      <c r="Q279" s="16" cm="1">
        <f t="array" aca="1" ref="Q27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CRACHÁ]]="",$BN279&gt;$BL$1),2,
AND(Tabela1[[#This Row],[STATUS PROCESSO MOBILIZAÇÃO]]="Em andamento",Tabela1[[#This Row],[DATA REAL - CRACHÁ]]="",$BN279&lt;=$BL$1),3,
AND(Tabela1[[#This Row],[STATUS PROCESSO MOBILIZAÇÃO]]="Em andamento",Tabela1[[#This Row],[DATA REAL - CRACHÁ]]&lt;&gt;""),1)</f>
        <v>1</v>
      </c>
      <c r="R279" s="21">
        <f>IF(Tabela1[[#This Row],[DATA REAL - FORMS]]&lt;&gt;"",Tabela1[[#This Row],[DATA REAL - FORMS]]+30,Tabela1[[#This Row],[DATA PREV - FORMS]]+35)</f>
        <v>46275</v>
      </c>
      <c r="S27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46254</v>
      </c>
      <c r="T27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7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79" s="49">
        <f>MAX(Tabela1[[#This Row],[DATA REAL - POSTAGEM]],Tabela1[[#This Row],[DATA REAL - APROV FINAL]],Tabela1[[#This Row],[DATA REAL - CRACHÁ]])-MIN(Tabela1[[#This Row],[DATA REAL - POSTAGEM]],Tabela1[[#This Row],[DATA REAL - APROV FINAL]],Tabela1[[#This Row],[DATA REAL - CRACHÁ]])+1</f>
        <v>2</v>
      </c>
      <c r="W27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79" s="16" t="s">
        <v>707</v>
      </c>
      <c r="Y279" s="16" t="s">
        <v>122</v>
      </c>
      <c r="Z279" s="80" t="str">
        <f>_xlfn.XLOOKUP(Tabela1[[#This Row],[COO PHD]],TabControleEfetivo[NOME],TabControleEfetivo[email (PHD)],"")</f>
        <v>marcio.junior@phdengenharia.eng.br</v>
      </c>
      <c r="AA279" s="96" t="s">
        <v>124</v>
      </c>
      <c r="AB279" s="16" t="s">
        <v>632</v>
      </c>
      <c r="AC279" s="16" t="s">
        <v>781</v>
      </c>
      <c r="AD279" s="16" t="s">
        <v>781</v>
      </c>
      <c r="AE279" s="16" t="s">
        <v>782</v>
      </c>
      <c r="AF279" s="16" t="s">
        <v>783</v>
      </c>
      <c r="AG279" s="16" t="str">
        <f>_xlfn.XLOOKUP(Tabela1[[#This Row],[CÓD. CT]],Controle_Projetos[COD CT],Controle_Projetos[COD PHD],"")</f>
        <v/>
      </c>
      <c r="AH279" s="21">
        <v>46245</v>
      </c>
      <c r="AI279" s="76">
        <v>46245</v>
      </c>
      <c r="AJ279" s="16" cm="1">
        <f t="array" aca="1" ref="AJ27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79" s="21">
        <v>46245</v>
      </c>
      <c r="AL279" s="74">
        <v>46245</v>
      </c>
      <c r="AM279" s="16" cm="1">
        <f t="array" aca="1" ref="AM27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79" s="21">
        <f>Tabela1[[#This Row],[DATA PREV - FORMS]]+$AN$1</f>
        <v>46252</v>
      </c>
      <c r="AO279" s="74">
        <v>46245</v>
      </c>
      <c r="AP279" s="16" cm="1">
        <f t="array" aca="1" ref="AP27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79" s="21">
        <f>Tabela1[[#This Row],[DATA PREV - EXAMES]]+$AQ$1</f>
        <v>46254</v>
      </c>
      <c r="AR279" s="74">
        <v>46252</v>
      </c>
      <c r="AS279" s="16" cm="1">
        <f t="array" aca="1" ref="AS27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79" s="21">
        <f>Tabela1[[#This Row],[DATA PREV - FORMS]]+$AT$1</f>
        <v>46246</v>
      </c>
      <c r="AU279" s="74">
        <v>46247</v>
      </c>
      <c r="AV279" s="16" cm="1">
        <f t="array" aca="1" ref="AV27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2</v>
      </c>
      <c r="AW279" s="21">
        <f>Tabela1[[#This Row],[DATA PREV - TREINAMENTOS]]+$AW$1</f>
        <v>46253</v>
      </c>
      <c r="AX279" s="74">
        <v>46247</v>
      </c>
      <c r="AY279" s="16" cm="1">
        <f t="array" aca="1" ref="AY27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79" s="24">
        <v>46245</v>
      </c>
      <c r="BA279" s="74">
        <v>46245</v>
      </c>
      <c r="BB279" s="16" cm="1">
        <f t="array" aca="1" ref="BB27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79" s="21">
        <f>Tabela1[[#This Row],[DATA PREV - CONCL. TREIN.]]+$BC$1</f>
        <v>46255</v>
      </c>
      <c r="BD279" s="74">
        <v>46253</v>
      </c>
      <c r="BE279" s="16" cm="1">
        <f t="array" aca="1" ref="BE27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79" s="21">
        <f>Tabela1[[#This Row],[DATA PREV - DOSSIÊ]]+$BF$1</f>
        <v>46258</v>
      </c>
      <c r="BG279" s="74">
        <v>46253</v>
      </c>
      <c r="BH279" s="16" cm="1">
        <f t="array" aca="1" ref="BH27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79" s="21">
        <f>Tabela1[[#This Row],[DATA PREV - POSTAGEM]]+$BI$1</f>
        <v>46264</v>
      </c>
      <c r="BJ279" s="74">
        <v>46254</v>
      </c>
      <c r="BK279" s="16" cm="1">
        <f t="array" aca="1" ref="BK27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79" s="21">
        <f>Tabela1[[#This Row],[DATA PREV - APROV FINAL]]+$BL$1</f>
        <v>46265</v>
      </c>
      <c r="BM279" s="74">
        <v>46254</v>
      </c>
      <c r="BN279" s="16" cm="1">
        <f t="array" aca="1" ref="BN27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79" s="81" t="s">
        <v>786</v>
      </c>
    </row>
    <row r="280" spans="2:67" ht="18" hidden="1" customHeight="1" x14ac:dyDescent="0.35">
      <c r="B280" s="14" t="s">
        <v>79</v>
      </c>
      <c r="C280" s="16" t="s">
        <v>136</v>
      </c>
      <c r="D280" s="16" t="s">
        <v>108</v>
      </c>
      <c r="E280" s="16">
        <v>1279</v>
      </c>
      <c r="F280" s="16" t="s">
        <v>689</v>
      </c>
      <c r="G280" s="16" cm="1">
        <f t="array" ref="G280">_xlfn.IFS(Tabela1[[#This Row],[STATUS PROCESSO MOBILIZAÇÃO]]="Finalizado",1,Tabela1[[#This Row],[STATUS PROCESSO MOBILIZAÇÃO]]="Cancelado",2,Tabela1[[#This Row],[STATUS PROCESSO MOBILIZAÇÃO]]="Em andamento",3)</f>
        <v>1</v>
      </c>
      <c r="H280" s="16" cm="1">
        <f t="array" aca="1" ref="H280"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FORMS]]="",$AM280&gt;$AK$1),2,
AND(Tabela1[[#This Row],[STATUS PROCESSO MOBILIZAÇÃO]]="Em andamento",Tabela1[[#This Row],[DATA REAL - FORMS]]="",$AM280&lt;=$AK$1),3,
AND(Tabela1[[#This Row],[STATUS PROCESSO MOBILIZAÇÃO]]="Em andamento",Tabela1[[#This Row],[DATA REAL - FORMS]]&lt;&gt;""),1)</f>
        <v>1</v>
      </c>
      <c r="I280" s="16" cm="1">
        <f t="array" aca="1" ref="I280"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EXAMES]]="",$AP280&gt;$AN$1),2,
AND(Tabela1[[#This Row],[STATUS PROCESSO MOBILIZAÇÃO]]="Em andamento",Tabela1[[#This Row],[DATA REAL - EXAMES]]="",$AP280&lt;=$AN$1),3,
AND(Tabela1[[#This Row],[STATUS PROCESSO MOBILIZAÇÃO]]="Em andamento",Tabela1[[#This Row],[DATA REAL - EXAMES]]&lt;&gt;""),1)</f>
        <v>1</v>
      </c>
      <c r="J280" s="16" cm="1">
        <f t="array" aca="1" ref="J280"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ASO]]="",$AS280&gt;$AQ$1),2,
AND(Tabela1[[#This Row],[STATUS PROCESSO MOBILIZAÇÃO]]="Em andamento",Tabela1[[#This Row],[DATA REAL - ASO]]="",$AS280&lt;=$AQ$1),3,
AND(Tabela1[[#This Row],[STATUS PROCESSO MOBILIZAÇÃO]]="Em andamento",Tabela1[[#This Row],[DATA REAL - ASO]]&lt;&gt;""),1)</f>
        <v>1</v>
      </c>
      <c r="K280" s="16" cm="1">
        <f t="array" aca="1" ref="K280"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TREINAMENTOS]]="",$AV280&gt;$AT$1),2,
AND(Tabela1[[#This Row],[STATUS PROCESSO MOBILIZAÇÃO]]="Em andamento",Tabela1[[#This Row],[DATA REAL - TREINAMENTOS]]="",$AV280&lt;=$AT$1),3,
AND(Tabela1[[#This Row],[STATUS PROCESSO MOBILIZAÇÃO]]="Em andamento",Tabela1[[#This Row],[DATA REAL - TREINAMENTOS]]&lt;&gt;""),1)</f>
        <v>1</v>
      </c>
      <c r="L280" s="16" cm="1">
        <f t="array" aca="1" ref="L280"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TREIN.]]="",$AY280&gt;$AW$1),2,
AND(Tabela1[[#This Row],[STATUS PROCESSO MOBILIZAÇÃO]]="Em andamento",Tabela1[[#This Row],[DATA REAL - CONCL. TREIN.]]="",$AY280&lt;=$AW$1),3,
AND(Tabela1[[#This Row],[STATUS PROCESSO MOBILIZAÇÃO]]="Em andamento",Tabela1[[#This Row],[DATA REAL - CONCL. TREIN.]]&lt;&gt;""),1)</f>
        <v>1</v>
      </c>
      <c r="M280" s="16" cm="1">
        <f t="array" aca="1" ref="M280"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CONTRATUAL]]="",$BB280&gt;$AZ$1),2,
AND(Tabela1[[#This Row],[STATUS PROCESSO MOBILIZAÇÃO]]="Em andamento",Tabela1[[#This Row],[DATA FIM - ALTER. CONTRATUAL]]="",$BB280&lt;=$AZ$1),3,
AND(Tabela1[[#This Row],[STATUS PROCESSO MOBILIZAÇÃO]]="Em andamento",Tabela1[[#This Row],[DATA FIM - ALTER. CONTRATUAL]]&lt;&gt;""),1)</f>
        <v>1</v>
      </c>
      <c r="N280" s="16" cm="1">
        <f t="array" aca="1" ref="N280"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DOSSIÊ]]="",$BE280&gt;$BC$1),2,
AND(Tabela1[[#This Row],[STATUS PROCESSO MOBILIZAÇÃO]]="Em andamento",Tabela1[[#This Row],[DATA REAL - DOSSIÊ]]="",$BE280&lt;=$BC$1),3,
AND(Tabela1[[#This Row],[STATUS PROCESSO MOBILIZAÇÃO]]="Em andamento",Tabela1[[#This Row],[DATA REAL - DOSSIÊ]]&lt;&gt;""),1)</f>
        <v>1</v>
      </c>
      <c r="O280" s="16" cm="1">
        <f t="array" aca="1" ref="O280"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POSTAGEM]]="",$BH280&gt;$BF$1),2,
AND(Tabela1[[#This Row],[STATUS PROCESSO MOBILIZAÇÃO]]="Em andamento",Tabela1[[#This Row],[DATA REAL - POSTAGEM]]="",$BH280&lt;=$BF$1),3,
AND(Tabela1[[#This Row],[STATUS PROCESSO MOBILIZAÇÃO]]="Em andamento",Tabela1[[#This Row],[DATA REAL - POSTAGEM]]&lt;&gt;""),1)</f>
        <v>1</v>
      </c>
      <c r="P280" s="16" cm="1">
        <f t="array" aca="1" ref="P280"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FINAL]]="",$BK280&gt;$BI$1),2,
AND(Tabela1[[#This Row],[STATUS PROCESSO MOBILIZAÇÃO]]="Em andamento",Tabela1[[#This Row],[DATA REAL - APROV FINAL]]="",$BK280&lt;=$BI$1),3,
AND(Tabela1[[#This Row],[STATUS PROCESSO MOBILIZAÇÃO]]="Em andamento",Tabela1[[#This Row],[DATA REAL - APROV FINAL]]&lt;&gt;""),1)</f>
        <v>1</v>
      </c>
      <c r="Q280" s="16" cm="1">
        <f t="array" aca="1" ref="Q280"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CRACHÁ]]="",$BN280&gt;$BL$1),2,
AND(Tabela1[[#This Row],[STATUS PROCESSO MOBILIZAÇÃO]]="Em andamento",Tabela1[[#This Row],[DATA REAL - CRACHÁ]]="",$BN280&lt;=$BL$1),3,
AND(Tabela1[[#This Row],[STATUS PROCESSO MOBILIZAÇÃO]]="Em andamento",Tabela1[[#This Row],[DATA REAL - CRACHÁ]]&lt;&gt;""),1)</f>
        <v>1</v>
      </c>
      <c r="R280" s="21">
        <f>IF(Tabela1[[#This Row],[DATA REAL - FORMS]]&lt;&gt;"",Tabela1[[#This Row],[DATA REAL - FORMS]]+30,Tabela1[[#This Row],[DATA PREV - FORMS]]+35)</f>
        <v>46275</v>
      </c>
      <c r="S280"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46254</v>
      </c>
      <c r="T280"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9</v>
      </c>
      <c r="U280"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8</v>
      </c>
      <c r="V280" s="49">
        <f>MAX(Tabela1[[#This Row],[DATA REAL - POSTAGEM]],Tabela1[[#This Row],[DATA REAL - APROV FINAL]],Tabela1[[#This Row],[DATA REAL - CRACHÁ]])-MIN(Tabela1[[#This Row],[DATA REAL - POSTAGEM]],Tabela1[[#This Row],[DATA REAL - APROV FINAL]],Tabela1[[#This Row],[DATA REAL - CRACHÁ]])+1</f>
        <v>2</v>
      </c>
      <c r="W280"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0" s="16" t="s">
        <v>707</v>
      </c>
      <c r="Y280" s="16" t="s">
        <v>122</v>
      </c>
      <c r="Z280" s="80" t="str">
        <f>_xlfn.XLOOKUP(Tabela1[[#This Row],[COO PHD]],TabControleEfetivo[NOME],TabControleEfetivo[email (PHD)],"")</f>
        <v>marcio.junior@phdengenharia.eng.br</v>
      </c>
      <c r="AA280" s="96" t="s">
        <v>124</v>
      </c>
      <c r="AB280" s="16" t="s">
        <v>632</v>
      </c>
      <c r="AC280" s="16" t="s">
        <v>781</v>
      </c>
      <c r="AD280" s="16" t="s">
        <v>781</v>
      </c>
      <c r="AE280" s="16" t="s">
        <v>782</v>
      </c>
      <c r="AF280" s="16" t="s">
        <v>783</v>
      </c>
      <c r="AG280" s="16" t="str">
        <f>_xlfn.XLOOKUP(Tabela1[[#This Row],[CÓD. CT]],Controle_Projetos[COD CT],Controle_Projetos[COD PHD],"")</f>
        <v/>
      </c>
      <c r="AH280" s="21">
        <v>46245</v>
      </c>
      <c r="AI280" s="76">
        <v>46245</v>
      </c>
      <c r="AJ280" s="16" cm="1">
        <f t="array" aca="1" ref="AJ280"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0" s="21">
        <v>46245</v>
      </c>
      <c r="AL280" s="74">
        <v>46245</v>
      </c>
      <c r="AM280" s="16" cm="1">
        <f t="array" aca="1" ref="AM280"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0" s="21">
        <f>Tabela1[[#This Row],[DATA PREV - FORMS]]+$AN$1</f>
        <v>46252</v>
      </c>
      <c r="AO280" s="74">
        <v>46245</v>
      </c>
      <c r="AP280" s="16" cm="1">
        <f t="array" aca="1" ref="AP280"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0" s="21">
        <f>Tabela1[[#This Row],[DATA PREV - EXAMES]]+$AQ$1</f>
        <v>46254</v>
      </c>
      <c r="AR280" s="74">
        <v>46253</v>
      </c>
      <c r="AS280" s="16" cm="1">
        <f t="array" aca="1" ref="AS280"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80" s="21">
        <f>Tabela1[[#This Row],[DATA PREV - FORMS]]+$AT$1</f>
        <v>46246</v>
      </c>
      <c r="AU280" s="74">
        <v>46246</v>
      </c>
      <c r="AV280" s="16" cm="1">
        <f t="array" aca="1" ref="AV280"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80" s="21">
        <f>Tabela1[[#This Row],[DATA PREV - TREINAMENTOS]]+$AW$1</f>
        <v>46253</v>
      </c>
      <c r="AX280" s="74">
        <v>46247</v>
      </c>
      <c r="AY280" s="16" cm="1">
        <f t="array" aca="1" ref="AY280"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-5</v>
      </c>
      <c r="AZ280" s="24">
        <v>46245</v>
      </c>
      <c r="BA280" s="74">
        <v>46245</v>
      </c>
      <c r="BB280" s="16" cm="1">
        <f t="array" aca="1" ref="BB280"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0" s="21">
        <f>Tabela1[[#This Row],[DATA PREV - CONCL. TREIN.]]+$BC$1</f>
        <v>46255</v>
      </c>
      <c r="BD280" s="74">
        <v>46253</v>
      </c>
      <c r="BE280" s="16" cm="1">
        <f t="array" aca="1" ref="BE280"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-1</v>
      </c>
      <c r="BF280" s="21">
        <f>Tabela1[[#This Row],[DATA PREV - DOSSIÊ]]+$BF$1</f>
        <v>46258</v>
      </c>
      <c r="BG280" s="74">
        <v>46253</v>
      </c>
      <c r="BH280" s="16" cm="1">
        <f t="array" aca="1" ref="BH280"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80" s="21">
        <f>Tabela1[[#This Row],[DATA PREV - POSTAGEM]]+$BI$1</f>
        <v>46264</v>
      </c>
      <c r="BJ280" s="74">
        <v>46254</v>
      </c>
      <c r="BK280" s="16" cm="1">
        <f t="array" aca="1" ref="BK280"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-9</v>
      </c>
      <c r="BL280" s="21">
        <f>Tabela1[[#This Row],[DATA PREV - APROV FINAL]]+$BL$1</f>
        <v>46265</v>
      </c>
      <c r="BM280" s="74">
        <v>46254</v>
      </c>
      <c r="BN280" s="16" cm="1">
        <f t="array" aca="1" ref="BN280"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-10</v>
      </c>
      <c r="BO280" s="81" t="s">
        <v>787</v>
      </c>
    </row>
    <row r="281" spans="2:67" ht="18" hidden="1" customHeight="1" x14ac:dyDescent="0.35">
      <c r="B281" s="14" t="s">
        <v>79</v>
      </c>
      <c r="C281" s="16" t="s">
        <v>136</v>
      </c>
      <c r="D281" s="16" t="s">
        <v>108</v>
      </c>
      <c r="E281" s="16">
        <v>1298</v>
      </c>
      <c r="F281" s="16" t="s">
        <v>754</v>
      </c>
      <c r="G281" s="16" cm="1">
        <f t="array" ref="G281">_xlfn.IFS(Tabela1[[#This Row],[STATUS PROCESSO MOBILIZAÇÃO]]="Finalizado",1,Tabela1[[#This Row],[STATUS PROCESSO MOBILIZAÇÃO]]="Cancelado",2,Tabela1[[#This Row],[STATUS PROCESSO MOBILIZAÇÃO]]="Em andamento",3)</f>
        <v>1</v>
      </c>
      <c r="H281" s="16" cm="1">
        <f t="array" aca="1" ref="H281"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FORMS]]="",$AM281&gt;$AK$1),2,
AND(Tabela1[[#This Row],[STATUS PROCESSO MOBILIZAÇÃO]]="Em andamento",Tabela1[[#This Row],[DATA REAL - FORMS]]="",$AM281&lt;=$AK$1),3,
AND(Tabela1[[#This Row],[STATUS PROCESSO MOBILIZAÇÃO]]="Em andamento",Tabela1[[#This Row],[DATA REAL - FORMS]]&lt;&gt;""),1)</f>
        <v>1</v>
      </c>
      <c r="I281" s="16" cm="1">
        <f t="array" aca="1" ref="I281"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EXAMES]]="",$AP281&gt;$AN$1),2,
AND(Tabela1[[#This Row],[STATUS PROCESSO MOBILIZAÇÃO]]="Em andamento",Tabela1[[#This Row],[DATA REAL - EXAMES]]="",$AP281&lt;=$AN$1),3,
AND(Tabela1[[#This Row],[STATUS PROCESSO MOBILIZAÇÃO]]="Em andamento",Tabela1[[#This Row],[DATA REAL - EXAMES]]&lt;&gt;""),1)</f>
        <v>1</v>
      </c>
      <c r="J281" s="16" cm="1">
        <f t="array" aca="1" ref="J281"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ASO]]="",$AS281&gt;$AQ$1),2,
AND(Tabela1[[#This Row],[STATUS PROCESSO MOBILIZAÇÃO]]="Em andamento",Tabela1[[#This Row],[DATA REAL - ASO]]="",$AS281&lt;=$AQ$1),3,
AND(Tabela1[[#This Row],[STATUS PROCESSO MOBILIZAÇÃO]]="Em andamento",Tabela1[[#This Row],[DATA REAL - ASO]]&lt;&gt;""),1)</f>
        <v>1</v>
      </c>
      <c r="K281" s="16" cm="1">
        <f t="array" aca="1" ref="K281"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TREINAMENTOS]]="",$AV281&gt;$AT$1),2,
AND(Tabela1[[#This Row],[STATUS PROCESSO MOBILIZAÇÃO]]="Em andamento",Tabela1[[#This Row],[DATA REAL - TREINAMENTOS]]="",$AV281&lt;=$AT$1),3,
AND(Tabela1[[#This Row],[STATUS PROCESSO MOBILIZAÇÃO]]="Em andamento",Tabela1[[#This Row],[DATA REAL - TREINAMENTOS]]&lt;&gt;""),1)</f>
        <v>1</v>
      </c>
      <c r="L281" s="16" cm="1">
        <f t="array" aca="1" ref="L281"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TREIN.]]="",$AY281&gt;$AW$1),2,
AND(Tabela1[[#This Row],[STATUS PROCESSO MOBILIZAÇÃO]]="Em andamento",Tabela1[[#This Row],[DATA REAL - CONCL. TREIN.]]="",$AY281&lt;=$AW$1),3,
AND(Tabela1[[#This Row],[STATUS PROCESSO MOBILIZAÇÃO]]="Em andamento",Tabela1[[#This Row],[DATA REAL - CONCL. TREIN.]]&lt;&gt;""),1)</f>
        <v>1</v>
      </c>
      <c r="M281" s="16" cm="1">
        <f t="array" aca="1" ref="M281"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CONTRATUAL]]="",$BB281&gt;$AZ$1),2,
AND(Tabela1[[#This Row],[STATUS PROCESSO MOBILIZAÇÃO]]="Em andamento",Tabela1[[#This Row],[DATA FIM - ALTER. CONTRATUAL]]="",$BB281&lt;=$AZ$1),3,
AND(Tabela1[[#This Row],[STATUS PROCESSO MOBILIZAÇÃO]]="Em andamento",Tabela1[[#This Row],[DATA FIM - ALTER. CONTRATUAL]]&lt;&gt;""),1)</f>
        <v>1</v>
      </c>
      <c r="N281" s="16" cm="1">
        <f t="array" aca="1" ref="N281"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DOSSIÊ]]="",$BE281&gt;$BC$1),2,
AND(Tabela1[[#This Row],[STATUS PROCESSO MOBILIZAÇÃO]]="Em andamento",Tabela1[[#This Row],[DATA REAL - DOSSIÊ]]="",$BE281&lt;=$BC$1),3,
AND(Tabela1[[#This Row],[STATUS PROCESSO MOBILIZAÇÃO]]="Em andamento",Tabela1[[#This Row],[DATA REAL - DOSSIÊ]]&lt;&gt;""),1)</f>
        <v>1</v>
      </c>
      <c r="O281" s="16" cm="1">
        <f t="array" aca="1" ref="O281"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POSTAGEM]]="",$BH281&gt;$BF$1),2,
AND(Tabela1[[#This Row],[STATUS PROCESSO MOBILIZAÇÃO]]="Em andamento",Tabela1[[#This Row],[DATA REAL - POSTAGEM]]="",$BH281&lt;=$BF$1),3,
AND(Tabela1[[#This Row],[STATUS PROCESSO MOBILIZAÇÃO]]="Em andamento",Tabela1[[#This Row],[DATA REAL - POSTAGEM]]&lt;&gt;""),1)</f>
        <v>1</v>
      </c>
      <c r="P281" s="16" cm="1">
        <f t="array" aca="1" ref="P281"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FINAL]]="",$BK281&gt;$BI$1),2,
AND(Tabela1[[#This Row],[STATUS PROCESSO MOBILIZAÇÃO]]="Em andamento",Tabela1[[#This Row],[DATA REAL - APROV FINAL]]="",$BK281&lt;=$BI$1),3,
AND(Tabela1[[#This Row],[STATUS PROCESSO MOBILIZAÇÃO]]="Em andamento",Tabela1[[#This Row],[DATA REAL - APROV FINAL]]&lt;&gt;""),1)</f>
        <v>1</v>
      </c>
      <c r="Q281" s="16" cm="1">
        <f t="array" aca="1" ref="Q281"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CRACHÁ]]="",$BN281&gt;$BL$1),2,
AND(Tabela1[[#This Row],[STATUS PROCESSO MOBILIZAÇÃO]]="Em andamento",Tabela1[[#This Row],[DATA REAL - CRACHÁ]]="",$BN281&lt;=$BL$1),3,
AND(Tabela1[[#This Row],[STATUS PROCESSO MOBILIZAÇÃO]]="Em andamento",Tabela1[[#This Row],[DATA REAL - CRACHÁ]]&lt;&gt;""),1)</f>
        <v>1</v>
      </c>
      <c r="R281" s="21">
        <f>IF(Tabela1[[#This Row],[DATA REAL - FORMS]]&lt;&gt;"",Tabela1[[#This Row],[DATA REAL - FORMS]]+30,Tabela1[[#This Row],[DATA PREV - FORMS]]+35)</f>
        <v>46277</v>
      </c>
      <c r="S281"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46258</v>
      </c>
      <c r="T281"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11</v>
      </c>
      <c r="U281"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81" s="49">
        <f>MAX(Tabela1[[#This Row],[DATA REAL - POSTAGEM]],Tabela1[[#This Row],[DATA REAL - APROV FINAL]],Tabela1[[#This Row],[DATA REAL - CRACHÁ]])-MIN(Tabela1[[#This Row],[DATA REAL - POSTAGEM]],Tabela1[[#This Row],[DATA REAL - APROV FINAL]],Tabela1[[#This Row],[DATA REAL - CRACHÁ]])+1</f>
        <v>4</v>
      </c>
      <c r="W281"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1" s="16" t="s">
        <v>110</v>
      </c>
      <c r="Y281" s="16" t="s">
        <v>84</v>
      </c>
      <c r="Z281" s="80" t="str">
        <f>_xlfn.XLOOKUP(Tabela1[[#This Row],[COO PHD]],TabControleEfetivo[NOME],TabControleEfetivo[email (PHD)],"")</f>
        <v>julio.cesar@phdengenharia.eng.br</v>
      </c>
      <c r="AA281" s="96" t="s">
        <v>86</v>
      </c>
      <c r="AB281" s="16" t="s">
        <v>97</v>
      </c>
      <c r="AC281" s="16" t="s">
        <v>649</v>
      </c>
      <c r="AD281" s="16" t="s">
        <v>89</v>
      </c>
      <c r="AE281" s="16" t="s">
        <v>396</v>
      </c>
      <c r="AF281" s="16" t="s">
        <v>788</v>
      </c>
      <c r="AG281" s="16" t="str">
        <f>_xlfn.XLOOKUP(Tabela1[[#This Row],[CÓD. CT]],Controle_Projetos[COD CT],Controle_Projetos[COD PHD],"")</f>
        <v/>
      </c>
      <c r="AH281" s="21">
        <v>46247</v>
      </c>
      <c r="AI281" s="74">
        <v>46247</v>
      </c>
      <c r="AJ281" s="16" cm="1">
        <f t="array" aca="1" ref="AJ281"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1" s="21">
        <v>46247</v>
      </c>
      <c r="AL281" s="74">
        <v>46247</v>
      </c>
      <c r="AM281" s="16" cm="1">
        <f t="array" aca="1" ref="AM281"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1" s="21">
        <f>Tabela1[[#This Row],[DATA PREV - FORMS]]+$AN$1</f>
        <v>46254</v>
      </c>
      <c r="AO281" s="74">
        <v>46247</v>
      </c>
      <c r="AP281" s="16" cm="1">
        <f t="array" aca="1" ref="AP281"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1" s="21">
        <f>Tabela1[[#This Row],[DATA PREV - EXAMES]]+$AQ$1</f>
        <v>46256</v>
      </c>
      <c r="AR281" s="74">
        <v>46247</v>
      </c>
      <c r="AS281" s="16" cm="1">
        <f t="array" aca="1" ref="AS281"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81" s="21">
        <f>Tabela1[[#This Row],[DATA PREV - FORMS]]+$AT$1</f>
        <v>46248</v>
      </c>
      <c r="AU281" s="74">
        <v>46247</v>
      </c>
      <c r="AV281" s="16" cm="1">
        <f t="array" aca="1" ref="AV281"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1" s="21">
        <f>Tabela1[[#This Row],[DATA PREV - TREINAMENTOS]]+$AW$1</f>
        <v>46255</v>
      </c>
      <c r="AX281" s="74">
        <v>46247</v>
      </c>
      <c r="AY281" s="16" cm="1">
        <f t="array" aca="1" ref="AY281"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81" s="24">
        <v>46247</v>
      </c>
      <c r="BA281" s="74">
        <v>46247</v>
      </c>
      <c r="BB281" s="16" cm="1">
        <f t="array" aca="1" ref="BB281"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1" s="21">
        <f>Tabela1[[#This Row],[DATA PREV - CONCL. TREIN.]]+$BC$1</f>
        <v>46257</v>
      </c>
      <c r="BD281" s="74">
        <v>46247</v>
      </c>
      <c r="BE281" s="16" cm="1">
        <f t="array" aca="1" ref="BE281"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81" s="21">
        <f>Tabela1[[#This Row],[DATA PREV - DOSSIÊ]]+$BF$1</f>
        <v>46260</v>
      </c>
      <c r="BG281" s="74">
        <v>46255</v>
      </c>
      <c r="BH281" s="16" cm="1">
        <f t="array" aca="1" ref="BH281"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-4</v>
      </c>
      <c r="BI281" s="21">
        <f>Tabela1[[#This Row],[DATA PREV - POSTAGEM]]+$BI$1</f>
        <v>46266</v>
      </c>
      <c r="BJ281" s="74">
        <v>46258</v>
      </c>
      <c r="BK281" s="16" cm="1">
        <f t="array" aca="1" ref="BK281"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-7</v>
      </c>
      <c r="BL281" s="21">
        <f>Tabela1[[#This Row],[DATA PREV - APROV FINAL]]+$BL$1</f>
        <v>46267</v>
      </c>
      <c r="BM281" s="74">
        <v>46258</v>
      </c>
      <c r="BN281" s="16" cm="1">
        <f t="array" aca="1" ref="BN281"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-8</v>
      </c>
      <c r="BO281" s="81" t="s">
        <v>789</v>
      </c>
    </row>
    <row r="282" spans="2:67" ht="18" hidden="1" customHeight="1" x14ac:dyDescent="0.35">
      <c r="B282" s="14" t="s">
        <v>79</v>
      </c>
      <c r="C282" s="16" t="s">
        <v>136</v>
      </c>
      <c r="D282" s="16" t="s">
        <v>108</v>
      </c>
      <c r="E282" s="16">
        <v>1308</v>
      </c>
      <c r="F282" s="16" t="s">
        <v>251</v>
      </c>
      <c r="G282" s="16" cm="1">
        <f t="array" ref="G282">_xlfn.IFS(Tabela1[[#This Row],[STATUS PROCESSO MOBILIZAÇÃO]]="Finalizado",1,Tabela1[[#This Row],[STATUS PROCESSO MOBILIZAÇÃO]]="Cancelado",2,Tabela1[[#This Row],[STATUS PROCESSO MOBILIZAÇÃO]]="Em andamento",3)</f>
        <v>1</v>
      </c>
      <c r="H282" s="16" cm="1">
        <f t="array" aca="1" ref="H282"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FORMS]]="",$AM282&gt;$AK$1),2,
AND(Tabela1[[#This Row],[STATUS PROCESSO MOBILIZAÇÃO]]="Em andamento",Tabela1[[#This Row],[DATA REAL - FORMS]]="",$AM282&lt;=$AK$1),3,
AND(Tabela1[[#This Row],[STATUS PROCESSO MOBILIZAÇÃO]]="Em andamento",Tabela1[[#This Row],[DATA REAL - FORMS]]&lt;&gt;""),1)</f>
        <v>1</v>
      </c>
      <c r="I282" s="16" cm="1">
        <f t="array" aca="1" ref="I282"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EXAMES]]="",$AP282&gt;$AN$1),2,
AND(Tabela1[[#This Row],[STATUS PROCESSO MOBILIZAÇÃO]]="Em andamento",Tabela1[[#This Row],[DATA REAL - EXAMES]]="",$AP282&lt;=$AN$1),3,
AND(Tabela1[[#This Row],[STATUS PROCESSO MOBILIZAÇÃO]]="Em andamento",Tabela1[[#This Row],[DATA REAL - EXAMES]]&lt;&gt;""),1)</f>
        <v>1</v>
      </c>
      <c r="J282" s="16" cm="1">
        <f t="array" aca="1" ref="J282"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ASO]]="",$AS282&gt;$AQ$1),2,
AND(Tabela1[[#This Row],[STATUS PROCESSO MOBILIZAÇÃO]]="Em andamento",Tabela1[[#This Row],[DATA REAL - ASO]]="",$AS282&lt;=$AQ$1),3,
AND(Tabela1[[#This Row],[STATUS PROCESSO MOBILIZAÇÃO]]="Em andamento",Tabela1[[#This Row],[DATA REAL - ASO]]&lt;&gt;""),1)</f>
        <v>1</v>
      </c>
      <c r="K282" s="16" cm="1">
        <f t="array" aca="1" ref="K282"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TREINAMENTOS]]="",$AV282&gt;$AT$1),2,
AND(Tabela1[[#This Row],[STATUS PROCESSO MOBILIZAÇÃO]]="Em andamento",Tabela1[[#This Row],[DATA REAL - TREINAMENTOS]]="",$AV282&lt;=$AT$1),3,
AND(Tabela1[[#This Row],[STATUS PROCESSO MOBILIZAÇÃO]]="Em andamento",Tabela1[[#This Row],[DATA REAL - TREINAMENTOS]]&lt;&gt;""),1)</f>
        <v>1</v>
      </c>
      <c r="L282" s="16" cm="1">
        <f t="array" aca="1" ref="L282"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TREIN.]]="",$AY282&gt;$AW$1),2,
AND(Tabela1[[#This Row],[STATUS PROCESSO MOBILIZAÇÃO]]="Em andamento",Tabela1[[#This Row],[DATA REAL - CONCL. TREIN.]]="",$AY282&lt;=$AW$1),3,
AND(Tabela1[[#This Row],[STATUS PROCESSO MOBILIZAÇÃO]]="Em andamento",Tabela1[[#This Row],[DATA REAL - CONCL. TREIN.]]&lt;&gt;""),1)</f>
        <v>1</v>
      </c>
      <c r="M282" s="16" cm="1">
        <f t="array" aca="1" ref="M282"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CONTRATUAL]]="",$BB282&gt;$AZ$1),2,
AND(Tabela1[[#This Row],[STATUS PROCESSO MOBILIZAÇÃO]]="Em andamento",Tabela1[[#This Row],[DATA FIM - ALTER. CONTRATUAL]]="",$BB282&lt;=$AZ$1),3,
AND(Tabela1[[#This Row],[STATUS PROCESSO MOBILIZAÇÃO]]="Em andamento",Tabela1[[#This Row],[DATA FIM - ALTER. CONTRATUAL]]&lt;&gt;""),1)</f>
        <v>1</v>
      </c>
      <c r="N282" s="16" cm="1">
        <f t="array" aca="1" ref="N282"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DOSSIÊ]]="",$BE282&gt;$BC$1),2,
AND(Tabela1[[#This Row],[STATUS PROCESSO MOBILIZAÇÃO]]="Em andamento",Tabela1[[#This Row],[DATA REAL - DOSSIÊ]]="",$BE282&lt;=$BC$1),3,
AND(Tabela1[[#This Row],[STATUS PROCESSO MOBILIZAÇÃO]]="Em andamento",Tabela1[[#This Row],[DATA REAL - DOSSIÊ]]&lt;&gt;""),1)</f>
        <v>1</v>
      </c>
      <c r="O282" s="16" cm="1">
        <f t="array" aca="1" ref="O282"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POSTAGEM]]="",$BH282&gt;$BF$1),2,
AND(Tabela1[[#This Row],[STATUS PROCESSO MOBILIZAÇÃO]]="Em andamento",Tabela1[[#This Row],[DATA REAL - POSTAGEM]]="",$BH282&lt;=$BF$1),3,
AND(Tabela1[[#This Row],[STATUS PROCESSO MOBILIZAÇÃO]]="Em andamento",Tabela1[[#This Row],[DATA REAL - POSTAGEM]]&lt;&gt;""),1)</f>
        <v>1</v>
      </c>
      <c r="P282" s="16" cm="1">
        <f t="array" aca="1" ref="P282"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FINAL]]="",$BK282&gt;$BI$1),2,
AND(Tabela1[[#This Row],[STATUS PROCESSO MOBILIZAÇÃO]]="Em andamento",Tabela1[[#This Row],[DATA REAL - APROV FINAL]]="",$BK282&lt;=$BI$1),3,
AND(Tabela1[[#This Row],[STATUS PROCESSO MOBILIZAÇÃO]]="Em andamento",Tabela1[[#This Row],[DATA REAL - APROV FINAL]]&lt;&gt;""),1)</f>
        <v>1</v>
      </c>
      <c r="Q282" s="16" cm="1">
        <f t="array" aca="1" ref="Q282"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CRACHÁ]]="",$BN282&gt;$BL$1),2,
AND(Tabela1[[#This Row],[STATUS PROCESSO MOBILIZAÇÃO]]="Em andamento",Tabela1[[#This Row],[DATA REAL - CRACHÁ]]="",$BN282&lt;=$BL$1),3,
AND(Tabela1[[#This Row],[STATUS PROCESSO MOBILIZAÇÃO]]="Em andamento",Tabela1[[#This Row],[DATA REAL - CRACHÁ]]&lt;&gt;""),1)</f>
        <v>1</v>
      </c>
      <c r="R282" s="21">
        <f>IF(Tabela1[[#This Row],[DATA REAL - FORMS]]&lt;&gt;"",Tabela1[[#This Row],[DATA REAL - FORMS]]+30,Tabela1[[#This Row],[DATA PREV - FORMS]]+35)</f>
        <v>46282</v>
      </c>
      <c r="S282"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46255</v>
      </c>
      <c r="T282"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24</v>
      </c>
      <c r="U282"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3</v>
      </c>
      <c r="V282" s="49">
        <f>MAX(Tabela1[[#This Row],[DATA REAL - POSTAGEM]],Tabela1[[#This Row],[DATA REAL - APROV FINAL]],Tabela1[[#This Row],[DATA REAL - CRACHÁ]])-MIN(Tabela1[[#This Row],[DATA REAL - POSTAGEM]],Tabela1[[#This Row],[DATA REAL - APROV FINAL]],Tabela1[[#This Row],[DATA REAL - CRACHÁ]])+1</f>
        <v>25</v>
      </c>
      <c r="W282"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X282" s="16" t="s">
        <v>307</v>
      </c>
      <c r="Y282" s="16" t="s">
        <v>737</v>
      </c>
      <c r="Z282" s="80" t="s">
        <v>655</v>
      </c>
      <c r="AA282" s="125" t="s">
        <v>790</v>
      </c>
      <c r="AB282" s="16" t="s">
        <v>97</v>
      </c>
      <c r="AC282" s="16" t="s">
        <v>266</v>
      </c>
      <c r="AD282" s="16" t="s">
        <v>266</v>
      </c>
      <c r="AE282" s="16" t="s">
        <v>267</v>
      </c>
      <c r="AF282" s="16"/>
      <c r="AG282" s="16" t="str">
        <f>_xlfn.XLOOKUP(Tabela1[[#This Row],[CÓD. CT]],Controle_Projetos[COD CT],Controle_Projetos[COD PHD],"")</f>
        <v/>
      </c>
      <c r="AH282" s="21">
        <v>46252</v>
      </c>
      <c r="AI282" s="76">
        <v>46252</v>
      </c>
      <c r="AJ282" s="16" cm="1">
        <f t="array" aca="1" ref="AJ282"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2" s="21">
        <v>46252</v>
      </c>
      <c r="AL282" s="76">
        <v>46252</v>
      </c>
      <c r="AM282" s="16" cm="1">
        <f t="array" aca="1" ref="AM282"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2" s="21">
        <f>Tabela1[[#This Row],[DATA PREV - FORMS]]+$AN$1</f>
        <v>46259</v>
      </c>
      <c r="AO282" s="74">
        <v>46252</v>
      </c>
      <c r="AP282" s="16" cm="1">
        <f t="array" aca="1" ref="AP282"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2" s="21">
        <f>Tabela1[[#This Row],[DATA PREV - EXAMES]]+$AQ$1</f>
        <v>46261</v>
      </c>
      <c r="AR282" s="74">
        <v>46255</v>
      </c>
      <c r="AS282" s="16" cm="1">
        <f t="array" aca="1" ref="AS282"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-5</v>
      </c>
      <c r="AT282" s="21">
        <f>Tabela1[[#This Row],[DATA PREV - FORMS]]+$AT$1</f>
        <v>46253</v>
      </c>
      <c r="AU282" s="74">
        <v>46252</v>
      </c>
      <c r="AV282" s="16" cm="1">
        <f t="array" aca="1" ref="AV282"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2" s="21">
        <f>Tabela1[[#This Row],[DATA PREV - TREINAMENTOS]]+$AW$1</f>
        <v>46260</v>
      </c>
      <c r="AX282" s="74">
        <v>46252</v>
      </c>
      <c r="AY282" s="16" cm="1">
        <f t="array" aca="1" ref="AY282"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82" s="24">
        <v>46252</v>
      </c>
      <c r="BA282" s="74">
        <v>46252</v>
      </c>
      <c r="BB282" s="16" cm="1">
        <f t="array" aca="1" ref="BB282"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2" s="21">
        <f>Tabela1[[#This Row],[DATA PREV - CONCL. TREIN.]]+$BC$1</f>
        <v>46262</v>
      </c>
      <c r="BD282" s="74">
        <v>46255</v>
      </c>
      <c r="BE282" s="16" cm="1">
        <f t="array" aca="1" ref="BE282"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-6</v>
      </c>
      <c r="BF282" s="21">
        <f>Tabela1[[#This Row],[DATA PREV - DOSSIÊ]]+$BF$1</f>
        <v>46265</v>
      </c>
      <c r="BG282" s="74">
        <v>46255</v>
      </c>
      <c r="BH282" s="16" cm="1">
        <f t="array" aca="1" ref="BH282"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-9</v>
      </c>
      <c r="BI282" s="21">
        <f>Tabela1[[#This Row],[DATA PREV - POSTAGEM]]+$BI$1</f>
        <v>46271</v>
      </c>
      <c r="BJ282" s="74">
        <v>46231</v>
      </c>
      <c r="BK282" s="16" cm="1">
        <f t="array" aca="1" ref="BK282"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-39</v>
      </c>
      <c r="BL282" s="21">
        <f>Tabela1[[#This Row],[DATA PREV - APROV FINAL]]+$BL$1</f>
        <v>46272</v>
      </c>
      <c r="BM282" s="74">
        <v>46231</v>
      </c>
      <c r="BN282" s="16" cm="1">
        <f t="array" aca="1" ref="BN282"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-40</v>
      </c>
      <c r="BO282" s="81" t="s">
        <v>791</v>
      </c>
    </row>
    <row r="283" spans="2:67" ht="18" customHeight="1" x14ac:dyDescent="0.35">
      <c r="B283" s="14" t="s">
        <v>778</v>
      </c>
      <c r="C283" s="16" t="s">
        <v>136</v>
      </c>
      <c r="D283" s="16"/>
      <c r="E283" s="16">
        <v>1312</v>
      </c>
      <c r="F283" s="16" t="s">
        <v>792</v>
      </c>
      <c r="G283" s="16" cm="1">
        <f t="array" ref="G283">_xlfn.IFS(Tabela1[[#This Row],[STATUS PROCESSO MOBILIZAÇÃO]]="Finalizado",1,Tabela1[[#This Row],[STATUS PROCESSO MOBILIZAÇÃO]]="Cancelado",2,Tabela1[[#This Row],[STATUS PROCESSO MOBILIZAÇÃO]]="Em andamento",3)</f>
        <v>3</v>
      </c>
      <c r="H283" s="16" cm="1">
        <f t="array" aca="1" ref="H283"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FORMS]]="",$AM283&gt;$AK$1),2,
AND(Tabela1[[#This Row],[STATUS PROCESSO MOBILIZAÇÃO]]="Em andamento",Tabela1[[#This Row],[DATA REAL - FORMS]]="",$AM283&lt;=$AK$1),3,
AND(Tabela1[[#This Row],[STATUS PROCESSO MOBILIZAÇÃO]]="Em andamento",Tabela1[[#This Row],[DATA REAL - FORMS]]&lt;&gt;""),1)</f>
        <v>1</v>
      </c>
      <c r="I283" s="16" cm="1">
        <f t="array" aca="1" ref="I283"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EXAMES]]="",$AP283&gt;$AN$1),2,
AND(Tabela1[[#This Row],[STATUS PROCESSO MOBILIZAÇÃO]]="Em andamento",Tabela1[[#This Row],[DATA REAL - EXAMES]]="",$AP283&lt;=$AN$1),3,
AND(Tabela1[[#This Row],[STATUS PROCESSO MOBILIZAÇÃO]]="Em andamento",Tabela1[[#This Row],[DATA REAL - EXAMES]]&lt;&gt;""),1)</f>
        <v>1</v>
      </c>
      <c r="J283" s="16" cm="1">
        <f t="array" aca="1" ref="J283"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ASO]]="",$AS283&gt;$AQ$1),2,
AND(Tabela1[[#This Row],[STATUS PROCESSO MOBILIZAÇÃO]]="Em andamento",Tabela1[[#This Row],[DATA REAL - ASO]]="",$AS283&lt;=$AQ$1),3,
AND(Tabela1[[#This Row],[STATUS PROCESSO MOBILIZAÇÃO]]="Em andamento",Tabela1[[#This Row],[DATA REAL - ASO]]&lt;&gt;""),1)</f>
        <v>1</v>
      </c>
      <c r="K283" s="16" cm="1">
        <f t="array" aca="1" ref="K283"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TREINAMENTOS]]="",$AV283&gt;$AT$1),2,
AND(Tabela1[[#This Row],[STATUS PROCESSO MOBILIZAÇÃO]]="Em andamento",Tabela1[[#This Row],[DATA REAL - TREINAMENTOS]]="",$AV283&lt;=$AT$1),3,
AND(Tabela1[[#This Row],[STATUS PROCESSO MOBILIZAÇÃO]]="Em andamento",Tabela1[[#This Row],[DATA REAL - TREINAMENTOS]]&lt;&gt;""),1)</f>
        <v>1</v>
      </c>
      <c r="L283" s="16" cm="1">
        <f t="array" aca="1" ref="L283"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TREIN.]]="",$AY283&gt;$AW$1),2,
AND(Tabela1[[#This Row],[STATUS PROCESSO MOBILIZAÇÃO]]="Em andamento",Tabela1[[#This Row],[DATA REAL - CONCL. TREIN.]]="",$AY283&lt;=$AW$1),3,
AND(Tabela1[[#This Row],[STATUS PROCESSO MOBILIZAÇÃO]]="Em andamento",Tabela1[[#This Row],[DATA REAL - CONCL. TREIN.]]&lt;&gt;""),1)</f>
        <v>1</v>
      </c>
      <c r="M283" s="16" cm="1">
        <f t="array" aca="1" ref="M283"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CONTRATUAL]]="",$BB283&gt;$AZ$1),2,
AND(Tabela1[[#This Row],[STATUS PROCESSO MOBILIZAÇÃO]]="Em andamento",Tabela1[[#This Row],[DATA FIM - ALTER. CONTRATUAL]]="",$BB283&lt;=$AZ$1),3,
AND(Tabela1[[#This Row],[STATUS PROCESSO MOBILIZAÇÃO]]="Em andamento",Tabela1[[#This Row],[DATA FIM - ALTER. CONTRATUAL]]&lt;&gt;""),1)</f>
        <v>1</v>
      </c>
      <c r="N283" s="16" cm="1">
        <f t="array" aca="1" ref="N283"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DOSSIÊ]]="",$BE283&gt;$BC$1),2,
AND(Tabela1[[#This Row],[STATUS PROCESSO MOBILIZAÇÃO]]="Em andamento",Tabela1[[#This Row],[DATA REAL - DOSSIÊ]]="",$BE283&lt;=$BC$1),3,
AND(Tabela1[[#This Row],[STATUS PROCESSO MOBILIZAÇÃO]]="Em andamento",Tabela1[[#This Row],[DATA REAL - DOSSIÊ]]&lt;&gt;""),1)</f>
        <v>1</v>
      </c>
      <c r="O283" s="16" cm="1">
        <f t="array" aca="1" ref="O283"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POSTAGEM]]="",$BH283&gt;$BF$1),2,
AND(Tabela1[[#This Row],[STATUS PROCESSO MOBILIZAÇÃO]]="Em andamento",Tabela1[[#This Row],[DATA REAL - POSTAGEM]]="",$BH283&lt;=$BF$1),3,
AND(Tabela1[[#This Row],[STATUS PROCESSO MOBILIZAÇÃO]]="Em andamento",Tabela1[[#This Row],[DATA REAL - POSTAGEM]]&lt;&gt;""),1)</f>
        <v>1</v>
      </c>
      <c r="P283" s="16" cm="1">
        <f t="array" aca="1" ref="P283"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FINAL]]="",$BK283&gt;$BI$1),2,
AND(Tabela1[[#This Row],[STATUS PROCESSO MOBILIZAÇÃO]]="Em andamento",Tabela1[[#This Row],[DATA REAL - APROV FINAL]]="",$BK283&lt;=$BI$1),3,
AND(Tabela1[[#This Row],[STATUS PROCESSO MOBILIZAÇÃO]]="Em andamento",Tabela1[[#This Row],[DATA REAL - APROV FINAL]]&lt;&gt;""),1)</f>
        <v>3</v>
      </c>
      <c r="Q283" s="16" cm="1">
        <f t="array" aca="1" ref="Q283"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CRACHÁ]]="",$BN283&gt;$BL$1),2,
AND(Tabela1[[#This Row],[STATUS PROCESSO MOBILIZAÇÃO]]="Em andamento",Tabela1[[#This Row],[DATA REAL - CRACHÁ]]="",$BN283&lt;=$BL$1),3,
AND(Tabela1[[#This Row],[STATUS PROCESSO MOBILIZAÇÃO]]="Em andamento",Tabela1[[#This Row],[DATA REAL - CRACHÁ]]&lt;&gt;""),1)</f>
        <v>2</v>
      </c>
      <c r="R283" s="21">
        <f>IF(Tabela1[[#This Row],[DATA REAL - FORMS]]&lt;&gt;"",Tabela1[[#This Row],[DATA REAL - FORMS]]+30,Tabela1[[#This Row],[DATA PREV - FORMS]]+35)</f>
        <v>46283</v>
      </c>
      <c r="S283"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3"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21</v>
      </c>
      <c r="U283"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21</v>
      </c>
      <c r="V283" s="49">
        <f>MAX(Tabela1[[#This Row],[DATA REAL - POSTAGEM]],Tabela1[[#This Row],[DATA REAL - APROV FINAL]],Tabela1[[#This Row],[DATA REAL - CRACHÁ]])-MIN(Tabela1[[#This Row],[DATA REAL - POSTAGEM]],Tabela1[[#This Row],[DATA REAL - APROV FINAL]],Tabela1[[#This Row],[DATA REAL - CRACHÁ]])+1</f>
        <v>1</v>
      </c>
      <c r="W283"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3" s="16" t="s">
        <v>726</v>
      </c>
      <c r="Y283" s="16" t="s">
        <v>150</v>
      </c>
      <c r="Z283" s="80" t="s">
        <v>104</v>
      </c>
      <c r="AA283" s="95" t="s">
        <v>152</v>
      </c>
      <c r="AB283" s="16" t="s">
        <v>632</v>
      </c>
      <c r="AC283" s="16" t="s">
        <v>744</v>
      </c>
      <c r="AD283" s="16" t="s">
        <v>744</v>
      </c>
      <c r="AE283" s="16" t="s">
        <v>745</v>
      </c>
      <c r="AF283" s="16" t="s">
        <v>746</v>
      </c>
      <c r="AG283" s="16" t="str">
        <f>_xlfn.XLOOKUP(Tabela1[[#This Row],[CÓD. CT]],Controle_Projetos[COD CT],Controle_Projetos[COD PHD],"")</f>
        <v>ATNI-CT01-GERE</v>
      </c>
      <c r="AH283" s="21">
        <v>46253</v>
      </c>
      <c r="AI283" s="76">
        <v>46253</v>
      </c>
      <c r="AJ283" s="16" cm="1">
        <f t="array" aca="1" ref="AJ283"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3" s="21">
        <v>46253</v>
      </c>
      <c r="AL283" s="74">
        <v>46253</v>
      </c>
      <c r="AM283" s="16" cm="1">
        <f t="array" aca="1" ref="AM283"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3" s="21">
        <f>Tabela1[[#This Row],[DATA PREV - FORMS]]+$AN$1</f>
        <v>46260</v>
      </c>
      <c r="AO283" s="74">
        <v>46253</v>
      </c>
      <c r="AP283" s="16" cm="1">
        <f t="array" aca="1" ref="AP283"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3" s="21">
        <f>Tabela1[[#This Row],[DATA PREV - EXAMES]]+$AQ$1</f>
        <v>46262</v>
      </c>
      <c r="AR283" s="74">
        <v>46253</v>
      </c>
      <c r="AS283" s="16" cm="1">
        <f t="array" aca="1" ref="AS283"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83" s="21">
        <f>Tabela1[[#This Row],[DATA PREV - FORMS]]+$AT$1</f>
        <v>46254</v>
      </c>
      <c r="AU283" s="74">
        <v>46253</v>
      </c>
      <c r="AV283" s="16" cm="1">
        <f t="array" aca="1" ref="AV283"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3" s="21">
        <f>Tabela1[[#This Row],[DATA PREV - TREINAMENTOS]]+$AW$1</f>
        <v>46261</v>
      </c>
      <c r="AX283" s="74">
        <v>46253</v>
      </c>
      <c r="AY283" s="16" cm="1">
        <f t="array" aca="1" ref="AY283"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83" s="24">
        <v>46253</v>
      </c>
      <c r="BA283" s="74">
        <v>46253</v>
      </c>
      <c r="BB283" s="16" cm="1">
        <f t="array" aca="1" ref="BB283"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3" s="21">
        <f>Tabela1[[#This Row],[DATA PREV - CONCL. TREIN.]]+$BC$1</f>
        <v>46263</v>
      </c>
      <c r="BD283" s="74">
        <v>46253</v>
      </c>
      <c r="BE283" s="16" cm="1">
        <f t="array" aca="1" ref="BE283"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-9</v>
      </c>
      <c r="BF283" s="21">
        <f>Tabela1[[#This Row],[DATA PREV - DOSSIÊ]]+$BF$1</f>
        <v>46266</v>
      </c>
      <c r="BG283" s="74">
        <v>46253</v>
      </c>
      <c r="BH283" s="16" cm="1">
        <f t="array" aca="1" ref="BH283"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-12</v>
      </c>
      <c r="BI283" s="21">
        <f>Tabela1[[#This Row],[DATA PREV - POSTAGEM]]+$BI$1</f>
        <v>46272</v>
      </c>
      <c r="BJ283" s="74"/>
      <c r="BK283" s="16" cm="1">
        <f t="array" aca="1" ref="BK283"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3</v>
      </c>
      <c r="BL283" s="21">
        <f>Tabela1[[#This Row],[DATA PREV - APROV FINAL]]+$BL$1</f>
        <v>46273</v>
      </c>
      <c r="BM283" s="74"/>
      <c r="BN283" s="16" cm="1">
        <f t="array" aca="1" ref="BN283"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2</v>
      </c>
      <c r="BO283" s="81" t="s">
        <v>793</v>
      </c>
    </row>
    <row r="284" spans="2:67" ht="18" customHeight="1" x14ac:dyDescent="0.35">
      <c r="B284" s="14" t="s">
        <v>778</v>
      </c>
      <c r="C284" s="16" t="s">
        <v>136</v>
      </c>
      <c r="D284" s="16"/>
      <c r="E284" s="16">
        <v>76</v>
      </c>
      <c r="F284" s="16" t="s">
        <v>736</v>
      </c>
      <c r="G284" s="16" cm="1">
        <f t="array" ref="G284">_xlfn.IFS(Tabela1[[#This Row],[STATUS PROCESSO MOBILIZAÇÃO]]="Finalizado",1,Tabela1[[#This Row],[STATUS PROCESSO MOBILIZAÇÃO]]="Cancelado",2,Tabela1[[#This Row],[STATUS PROCESSO MOBILIZAÇÃO]]="Em andamento",3)</f>
        <v>3</v>
      </c>
      <c r="H284" s="16" cm="1">
        <f t="array" aca="1" ref="H284"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FORMS]]="",$AM284&gt;$AK$1),2,
AND(Tabela1[[#This Row],[STATUS PROCESSO MOBILIZAÇÃO]]="Em andamento",Tabela1[[#This Row],[DATA REAL - FORMS]]="",$AM284&lt;=$AK$1),3,
AND(Tabela1[[#This Row],[STATUS PROCESSO MOBILIZAÇÃO]]="Em andamento",Tabela1[[#This Row],[DATA REAL - FORMS]]&lt;&gt;""),1)</f>
        <v>1</v>
      </c>
      <c r="I284" s="16" cm="1">
        <f t="array" aca="1" ref="I284"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EXAMES]]="",$AP284&gt;$AN$1),2,
AND(Tabela1[[#This Row],[STATUS PROCESSO MOBILIZAÇÃO]]="Em andamento",Tabela1[[#This Row],[DATA REAL - EXAMES]]="",$AP284&lt;=$AN$1),3,
AND(Tabela1[[#This Row],[STATUS PROCESSO MOBILIZAÇÃO]]="Em andamento",Tabela1[[#This Row],[DATA REAL - EXAMES]]&lt;&gt;""),1)</f>
        <v>1</v>
      </c>
      <c r="J284" s="16" cm="1">
        <f t="array" aca="1" ref="J284"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ASO]]="",$AS284&gt;$AQ$1),2,
AND(Tabela1[[#This Row],[STATUS PROCESSO MOBILIZAÇÃO]]="Em andamento",Tabela1[[#This Row],[DATA REAL - ASO]]="",$AS284&lt;=$AQ$1),3,
AND(Tabela1[[#This Row],[STATUS PROCESSO MOBILIZAÇÃO]]="Em andamento",Tabela1[[#This Row],[DATA REAL - ASO]]&lt;&gt;""),1)</f>
        <v>1</v>
      </c>
      <c r="K284" s="16" cm="1">
        <f t="array" aca="1" ref="K284"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TREINAMENTOS]]="",$AV284&gt;$AT$1),2,
AND(Tabela1[[#This Row],[STATUS PROCESSO MOBILIZAÇÃO]]="Em andamento",Tabela1[[#This Row],[DATA REAL - TREINAMENTOS]]="",$AV284&lt;=$AT$1),3,
AND(Tabela1[[#This Row],[STATUS PROCESSO MOBILIZAÇÃO]]="Em andamento",Tabela1[[#This Row],[DATA REAL - TREINAMENTOS]]&lt;&gt;""),1)</f>
        <v>1</v>
      </c>
      <c r="L284" s="16" cm="1">
        <f t="array" aca="1" ref="L284"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TREIN.]]="",$AY284&gt;$AW$1),2,
AND(Tabela1[[#This Row],[STATUS PROCESSO MOBILIZAÇÃO]]="Em andamento",Tabela1[[#This Row],[DATA REAL - CONCL. TREIN.]]="",$AY284&lt;=$AW$1),3,
AND(Tabela1[[#This Row],[STATUS PROCESSO MOBILIZAÇÃO]]="Em andamento",Tabela1[[#This Row],[DATA REAL - CONCL. TREIN.]]&lt;&gt;""),1)</f>
        <v>1</v>
      </c>
      <c r="M284" s="16" cm="1">
        <f t="array" aca="1" ref="M284"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CONTRATUAL]]="",$BB284&gt;$AZ$1),2,
AND(Tabela1[[#This Row],[STATUS PROCESSO MOBILIZAÇÃO]]="Em andamento",Tabela1[[#This Row],[DATA FIM - ALTER. CONTRATUAL]]="",$BB284&lt;=$AZ$1),3,
AND(Tabela1[[#This Row],[STATUS PROCESSO MOBILIZAÇÃO]]="Em andamento",Tabela1[[#This Row],[DATA FIM - ALTER. CONTRATUAL]]&lt;&gt;""),1)</f>
        <v>1</v>
      </c>
      <c r="N284" s="16" cm="1">
        <f t="array" aca="1" ref="N284"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DOSSIÊ]]="",$BE284&gt;$BC$1),2,
AND(Tabela1[[#This Row],[STATUS PROCESSO MOBILIZAÇÃO]]="Em andamento",Tabela1[[#This Row],[DATA REAL - DOSSIÊ]]="",$BE284&lt;=$BC$1),3,
AND(Tabela1[[#This Row],[STATUS PROCESSO MOBILIZAÇÃO]]="Em andamento",Tabela1[[#This Row],[DATA REAL - DOSSIÊ]]&lt;&gt;""),1)</f>
        <v>1</v>
      </c>
      <c r="O284" s="16" cm="1">
        <f t="array" aca="1" ref="O284"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POSTAGEM]]="",$BH284&gt;$BF$1),2,
AND(Tabela1[[#This Row],[STATUS PROCESSO MOBILIZAÇÃO]]="Em andamento",Tabela1[[#This Row],[DATA REAL - POSTAGEM]]="",$BH284&lt;=$BF$1),3,
AND(Tabela1[[#This Row],[STATUS PROCESSO MOBILIZAÇÃO]]="Em andamento",Tabela1[[#This Row],[DATA REAL - POSTAGEM]]&lt;&gt;""),1)</f>
        <v>1</v>
      </c>
      <c r="P284" s="16" cm="1">
        <f t="array" aca="1" ref="P284"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FINAL]]="",$BK284&gt;$BI$1),2,
AND(Tabela1[[#This Row],[STATUS PROCESSO MOBILIZAÇÃO]]="Em andamento",Tabela1[[#This Row],[DATA REAL - APROV FINAL]]="",$BK284&lt;=$BI$1),3,
AND(Tabela1[[#This Row],[STATUS PROCESSO MOBILIZAÇÃO]]="Em andamento",Tabela1[[#This Row],[DATA REAL - APROV FINAL]]&lt;&gt;""),1)</f>
        <v>3</v>
      </c>
      <c r="Q284" s="16" cm="1">
        <f t="array" aca="1" ref="Q284"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CRACHÁ]]="",$BN284&gt;$BL$1),2,
AND(Tabela1[[#This Row],[STATUS PROCESSO MOBILIZAÇÃO]]="Em andamento",Tabela1[[#This Row],[DATA REAL - CRACHÁ]]="",$BN284&lt;=$BL$1),3,
AND(Tabela1[[#This Row],[STATUS PROCESSO MOBILIZAÇÃO]]="Em andamento",Tabela1[[#This Row],[DATA REAL - CRACHÁ]]&lt;&gt;""),1)</f>
        <v>3</v>
      </c>
      <c r="R284" s="21">
        <f>IF(Tabela1[[#This Row],[DATA REAL - FORMS]]&lt;&gt;"",Tabela1[[#This Row],[DATA REAL - FORMS]]+30,Tabela1[[#This Row],[DATA PREV - FORMS]]+35)</f>
        <v>46299</v>
      </c>
      <c r="S284"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4"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284"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284" s="49">
        <f>MAX(Tabela1[[#This Row],[DATA REAL - POSTAGEM]],Tabela1[[#This Row],[DATA REAL - APROV FINAL]],Tabela1[[#This Row],[DATA REAL - CRACHÁ]])-MIN(Tabela1[[#This Row],[DATA REAL - POSTAGEM]],Tabela1[[#This Row],[DATA REAL - APROV FINAL]],Tabela1[[#This Row],[DATA REAL - CRACHÁ]])+1</f>
        <v>1</v>
      </c>
      <c r="W284"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4" s="16" t="s">
        <v>726</v>
      </c>
      <c r="Y284" s="16" t="s">
        <v>150</v>
      </c>
      <c r="Z284" s="80" t="s">
        <v>104</v>
      </c>
      <c r="AA284" s="95" t="s">
        <v>152</v>
      </c>
      <c r="AB284" s="16" t="s">
        <v>632</v>
      </c>
      <c r="AC284" s="16" t="s">
        <v>744</v>
      </c>
      <c r="AD284" s="16" t="s">
        <v>744</v>
      </c>
      <c r="AE284" s="16" t="s">
        <v>745</v>
      </c>
      <c r="AF284" s="16" t="s">
        <v>746</v>
      </c>
      <c r="AG284" s="16" t="str">
        <f>_xlfn.XLOOKUP(Tabela1[[#This Row],[CÓD. CT]],Controle_Projetos[COD CT],Controle_Projetos[COD PHD],"")</f>
        <v>ATNI-CT01-GERE</v>
      </c>
      <c r="AH284" s="21">
        <v>46260</v>
      </c>
      <c r="AI284" s="76">
        <v>46260</v>
      </c>
      <c r="AJ284" s="16" cm="1">
        <f t="array" aca="1" ref="AJ284"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4" s="21">
        <v>46260</v>
      </c>
      <c r="AL284" s="74">
        <v>46269</v>
      </c>
      <c r="AM284" s="16" cm="1">
        <f t="array" aca="1" ref="AM284"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10</v>
      </c>
      <c r="AN284" s="21">
        <f>Tabela1[[#This Row],[DATA PREV - FORMS]]+$AN$1</f>
        <v>46267</v>
      </c>
      <c r="AO284" s="74">
        <v>46260</v>
      </c>
      <c r="AP284" s="16" cm="1">
        <f t="array" aca="1" ref="AP284"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4" s="21">
        <f>Tabela1[[#This Row],[DATA PREV - EXAMES]]+$AQ$1</f>
        <v>46269</v>
      </c>
      <c r="AR284" s="74">
        <v>46268</v>
      </c>
      <c r="AS284" s="16" cm="1">
        <f t="array" aca="1" ref="AS284"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0</v>
      </c>
      <c r="AT284" s="21">
        <f>Tabela1[[#This Row],[DATA PREV - FORMS]]+$AT$1</f>
        <v>46261</v>
      </c>
      <c r="AU284" s="74">
        <v>46260</v>
      </c>
      <c r="AV284" s="16" cm="1">
        <f t="array" aca="1" ref="AV284"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4" s="21">
        <f>Tabela1[[#This Row],[DATA PREV - TREINAMENTOS]]+$AW$1</f>
        <v>46268</v>
      </c>
      <c r="AX284" s="74">
        <v>46260</v>
      </c>
      <c r="AY284" s="16" cm="1">
        <f t="array" aca="1" ref="AY284"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84" s="24">
        <v>46260</v>
      </c>
      <c r="BA284" s="74">
        <v>46260</v>
      </c>
      <c r="BB284" s="16" cm="1">
        <f t="array" aca="1" ref="BB284"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4" s="21">
        <f>Tabela1[[#This Row],[DATA PREV - CONCL. TREIN.]]+$BC$1</f>
        <v>46270</v>
      </c>
      <c r="BD284" s="74">
        <v>46269</v>
      </c>
      <c r="BE284" s="16" cm="1">
        <f t="array" aca="1" ref="BE284"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0</v>
      </c>
      <c r="BF284" s="21">
        <f>Tabela1[[#This Row],[DATA PREV - DOSSIÊ]]+$BF$1</f>
        <v>46273</v>
      </c>
      <c r="BG284" s="74">
        <v>46269</v>
      </c>
      <c r="BH284" s="16" cm="1">
        <f t="array" aca="1" ref="BH284"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-3</v>
      </c>
      <c r="BI284" s="21">
        <f>Tabela1[[#This Row],[DATA PREV - POSTAGEM]]+$BI$1</f>
        <v>46279</v>
      </c>
      <c r="BJ284" s="74"/>
      <c r="BK284" s="16" cm="1">
        <f t="array" aca="1" ref="BK284"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284" s="21">
        <f>Tabela1[[#This Row],[DATA PREV - APROV FINAL]]+$BL$1</f>
        <v>46280</v>
      </c>
      <c r="BM284" s="74"/>
      <c r="BN284" s="16" cm="1">
        <f t="array" aca="1" ref="BN284"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84" s="81" t="s">
        <v>794</v>
      </c>
    </row>
    <row r="285" spans="2:67" ht="18" customHeight="1" x14ac:dyDescent="0.35">
      <c r="B285" s="14" t="s">
        <v>778</v>
      </c>
      <c r="C285" s="16" t="s">
        <v>136</v>
      </c>
      <c r="D285" s="16"/>
      <c r="E285" s="16"/>
      <c r="F285" s="16" t="s">
        <v>502</v>
      </c>
      <c r="G285" s="16" cm="1">
        <f t="array" ref="G285">_xlfn.IFS(Tabela1[[#This Row],[STATUS PROCESSO MOBILIZAÇÃO]]="Finalizado",1,Tabela1[[#This Row],[STATUS PROCESSO MOBILIZAÇÃO]]="Cancelado",2,Tabela1[[#This Row],[STATUS PROCESSO MOBILIZAÇÃO]]="Em andamento",3)</f>
        <v>3</v>
      </c>
      <c r="H285" s="16" cm="1">
        <f t="array" aca="1" ref="H285"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FORMS]]="",$AM285&gt;$AK$1),2,
AND(Tabela1[[#This Row],[STATUS PROCESSO MOBILIZAÇÃO]]="Em andamento",Tabela1[[#This Row],[DATA REAL - FORMS]]="",$AM285&lt;=$AK$1),3,
AND(Tabela1[[#This Row],[STATUS PROCESSO MOBILIZAÇÃO]]="Em andamento",Tabela1[[#This Row],[DATA REAL - FORMS]]&lt;&gt;""),1)</f>
        <v>2</v>
      </c>
      <c r="I285" s="16" cm="1">
        <f t="array" aca="1" ref="I285"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EXAMES]]="",$AP285&gt;$AN$1),2,
AND(Tabela1[[#This Row],[STATUS PROCESSO MOBILIZAÇÃO]]="Em andamento",Tabela1[[#This Row],[DATA REAL - EXAMES]]="",$AP285&lt;=$AN$1),3,
AND(Tabela1[[#This Row],[STATUS PROCESSO MOBILIZAÇÃO]]="Em andamento",Tabela1[[#This Row],[DATA REAL - EXAMES]]&lt;&gt;""),1)</f>
        <v>1</v>
      </c>
      <c r="J285" s="16" cm="1">
        <f t="array" aca="1" ref="J285"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ASO]]="",$AS285&gt;$AQ$1),2,
AND(Tabela1[[#This Row],[STATUS PROCESSO MOBILIZAÇÃO]]="Em andamento",Tabela1[[#This Row],[DATA REAL - ASO]]="",$AS285&lt;=$AQ$1),3,
AND(Tabela1[[#This Row],[STATUS PROCESSO MOBILIZAÇÃO]]="Em andamento",Tabela1[[#This Row],[DATA REAL - ASO]]&lt;&gt;""),1)</f>
        <v>1</v>
      </c>
      <c r="K285" s="16" cm="1">
        <f t="array" aca="1" ref="K285"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TREINAMENTOS]]="",$AV285&gt;$AT$1),2,
AND(Tabela1[[#This Row],[STATUS PROCESSO MOBILIZAÇÃO]]="Em andamento",Tabela1[[#This Row],[DATA REAL - TREINAMENTOS]]="",$AV285&lt;=$AT$1),3,
AND(Tabela1[[#This Row],[STATUS PROCESSO MOBILIZAÇÃO]]="Em andamento",Tabela1[[#This Row],[DATA REAL - TREINAMENTOS]]&lt;&gt;""),1)</f>
        <v>1</v>
      </c>
      <c r="L285" s="16" cm="1">
        <f t="array" aca="1" ref="L285"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TREIN.]]="",$AY285&gt;$AW$1),2,
AND(Tabela1[[#This Row],[STATUS PROCESSO MOBILIZAÇÃO]]="Em andamento",Tabela1[[#This Row],[DATA REAL - CONCL. TREIN.]]="",$AY285&lt;=$AW$1),3,
AND(Tabela1[[#This Row],[STATUS PROCESSO MOBILIZAÇÃO]]="Em andamento",Tabela1[[#This Row],[DATA REAL - CONCL. TREIN.]]&lt;&gt;""),1)</f>
        <v>1</v>
      </c>
      <c r="M285" s="16" cm="1">
        <f t="array" aca="1" ref="M285"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CONTRATUAL]]="",$BB285&gt;$AZ$1),2,
AND(Tabela1[[#This Row],[STATUS PROCESSO MOBILIZAÇÃO]]="Em andamento",Tabela1[[#This Row],[DATA FIM - ALTER. CONTRATUAL]]="",$BB285&lt;=$AZ$1),3,
AND(Tabela1[[#This Row],[STATUS PROCESSO MOBILIZAÇÃO]]="Em andamento",Tabela1[[#This Row],[DATA FIM - ALTER. CONTRATUAL]]&lt;&gt;""),1)</f>
        <v>1</v>
      </c>
      <c r="N285" s="16" cm="1">
        <f t="array" aca="1" ref="N285"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DOSSIÊ]]="",$BE285&gt;$BC$1),2,
AND(Tabela1[[#This Row],[STATUS PROCESSO MOBILIZAÇÃO]]="Em andamento",Tabela1[[#This Row],[DATA REAL - DOSSIÊ]]="",$BE285&lt;=$BC$1),3,
AND(Tabela1[[#This Row],[STATUS PROCESSO MOBILIZAÇÃO]]="Em andamento",Tabela1[[#This Row],[DATA REAL - DOSSIÊ]]&lt;&gt;""),1)</f>
        <v>1</v>
      </c>
      <c r="O285" s="16" cm="1">
        <f t="array" aca="1" ref="O285"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POSTAGEM]]="",$BH285&gt;$BF$1),2,
AND(Tabela1[[#This Row],[STATUS PROCESSO MOBILIZAÇÃO]]="Em andamento",Tabela1[[#This Row],[DATA REAL - POSTAGEM]]="",$BH285&lt;=$BF$1),3,
AND(Tabela1[[#This Row],[STATUS PROCESSO MOBILIZAÇÃO]]="Em andamento",Tabela1[[#This Row],[DATA REAL - POSTAGEM]]&lt;&gt;""),1)</f>
        <v>3</v>
      </c>
      <c r="P285" s="16" cm="1">
        <f t="array" aca="1" ref="P285"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FINAL]]="",$BK285&gt;$BI$1),2,
AND(Tabela1[[#This Row],[STATUS PROCESSO MOBILIZAÇÃO]]="Em andamento",Tabela1[[#This Row],[DATA REAL - APROV FINAL]]="",$BK285&lt;=$BI$1),3,
AND(Tabela1[[#This Row],[STATUS PROCESSO MOBILIZAÇÃO]]="Em andamento",Tabela1[[#This Row],[DATA REAL - APROV FINAL]]&lt;&gt;""),1)</f>
        <v>3</v>
      </c>
      <c r="Q285" s="16" cm="1">
        <f t="array" aca="1" ref="Q285"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CRACHÁ]]="",$BN285&gt;$BL$1),2,
AND(Tabela1[[#This Row],[STATUS PROCESSO MOBILIZAÇÃO]]="Em andamento",Tabela1[[#This Row],[DATA REAL - CRACHÁ]]="",$BN285&lt;=$BL$1),3,
AND(Tabela1[[#This Row],[STATUS PROCESSO MOBILIZAÇÃO]]="Em andamento",Tabela1[[#This Row],[DATA REAL - CRACHÁ]]&lt;&gt;""),1)</f>
        <v>3</v>
      </c>
      <c r="R285" s="21">
        <f>IF(Tabela1[[#This Row],[DATA REAL - FORMS]]&lt;&gt;"",Tabela1[[#This Row],[DATA REAL - FORMS]]+30,Tabela1[[#This Row],[DATA PREV - FORMS]]+35)</f>
        <v>46295</v>
      </c>
      <c r="S285"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5"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285"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285" s="49">
        <f>MAX(Tabela1[[#This Row],[DATA REAL - POSTAGEM]],Tabela1[[#This Row],[DATA REAL - APROV FINAL]],Tabela1[[#This Row],[DATA REAL - CRACHÁ]])-MIN(Tabela1[[#This Row],[DATA REAL - POSTAGEM]],Tabela1[[#This Row],[DATA REAL - APROV FINAL]],Tabela1[[#This Row],[DATA REAL - CRACHÁ]])+1</f>
        <v>1</v>
      </c>
      <c r="W285"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5" s="16" t="s">
        <v>110</v>
      </c>
      <c r="Y285" s="16" t="s">
        <v>84</v>
      </c>
      <c r="Z285" s="80" t="str">
        <f>_xlfn.XLOOKUP(Tabela1[[#This Row],[COO PHD]],TabControleEfetivo[NOME],TabControleEfetivo[email (PHD)],"")</f>
        <v>julio.cesar@phdengenharia.eng.br</v>
      </c>
      <c r="AA285" s="96" t="s">
        <v>86</v>
      </c>
      <c r="AB285" s="16" t="s">
        <v>97</v>
      </c>
      <c r="AC285" s="16" t="s">
        <v>795</v>
      </c>
      <c r="AD285" s="16" t="s">
        <v>89</v>
      </c>
      <c r="AE285" s="16" t="s">
        <v>596</v>
      </c>
      <c r="AF285" s="16" t="s">
        <v>796</v>
      </c>
      <c r="AG285" s="16" t="str">
        <f>_xlfn.XLOOKUP(Tabela1[[#This Row],[CÓD. CT]],Controle_Projetos[COD CT],Controle_Projetos[COD PHD],"")</f>
        <v/>
      </c>
      <c r="AH285" s="21">
        <v>46260</v>
      </c>
      <c r="AI285" s="76">
        <v>46260</v>
      </c>
      <c r="AJ285" s="16" cm="1">
        <f t="array" aca="1" ref="AJ285"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5" s="21">
        <v>46260</v>
      </c>
      <c r="AL285" s="74"/>
      <c r="AM285" s="16" cm="1">
        <f t="array" aca="1" ref="AM285"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15</v>
      </c>
      <c r="AN285" s="21">
        <f>Tabela1[[#This Row],[DATA PREV - FORMS]]+$AN$1</f>
        <v>46267</v>
      </c>
      <c r="AO285" s="74">
        <v>46260</v>
      </c>
      <c r="AP285" s="16" cm="1">
        <f t="array" aca="1" ref="AP285"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5" s="21">
        <f>Tabela1[[#This Row],[DATA PREV - EXAMES]]+$AQ$1</f>
        <v>46269</v>
      </c>
      <c r="AR285" s="74">
        <v>46262</v>
      </c>
      <c r="AS285" s="16" cm="1">
        <f t="array" aca="1" ref="AS285"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-6</v>
      </c>
      <c r="AT285" s="21">
        <f>Tabela1[[#This Row],[DATA PREV - FORMS]]+$AT$1</f>
        <v>46261</v>
      </c>
      <c r="AU285" s="74">
        <v>46260</v>
      </c>
      <c r="AV285" s="16" cm="1">
        <f t="array" aca="1" ref="AV285"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5" s="21">
        <f>Tabela1[[#This Row],[DATA PREV - TREINAMENTOS]]+$AW$1</f>
        <v>46268</v>
      </c>
      <c r="AX285" s="74">
        <v>46260</v>
      </c>
      <c r="AY285" s="16" cm="1">
        <f t="array" aca="1" ref="AY285"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85" s="24">
        <v>46260</v>
      </c>
      <c r="BA285" s="74">
        <v>46260</v>
      </c>
      <c r="BB285" s="16" cm="1">
        <f t="array" aca="1" ref="BB285"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5" s="21">
        <f>Tabela1[[#This Row],[DATA PREV - CONCL. TREIN.]]+$BC$1</f>
        <v>46270</v>
      </c>
      <c r="BD285" s="74">
        <v>46262</v>
      </c>
      <c r="BE285" s="16" cm="1">
        <f t="array" aca="1" ref="BE285"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-7</v>
      </c>
      <c r="BF285" s="21">
        <f>Tabela1[[#This Row],[DATA PREV - DOSSIÊ]]+$BF$1</f>
        <v>46273</v>
      </c>
      <c r="BG285" s="74"/>
      <c r="BH285" s="16" cm="1">
        <f t="array" aca="1" ref="BH285"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85" s="21">
        <f>Tabela1[[#This Row],[DATA PREV - POSTAGEM]]+$BI$1</f>
        <v>46279</v>
      </c>
      <c r="BJ285" s="74"/>
      <c r="BK285" s="16" cm="1">
        <f t="array" aca="1" ref="BK285"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285" s="21">
        <f>Tabela1[[#This Row],[DATA PREV - APROV FINAL]]+$BL$1</f>
        <v>46280</v>
      </c>
      <c r="BM285" s="74"/>
      <c r="BN285" s="16" cm="1">
        <f t="array" aca="1" ref="BN285"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85" s="81" t="s">
        <v>797</v>
      </c>
    </row>
    <row r="286" spans="2:67" ht="18" customHeight="1" x14ac:dyDescent="0.35">
      <c r="B286" s="14" t="s">
        <v>778</v>
      </c>
      <c r="C286" s="16" t="s">
        <v>136</v>
      </c>
      <c r="D286" s="16"/>
      <c r="E286" s="16"/>
      <c r="F286" s="16" t="s">
        <v>410</v>
      </c>
      <c r="G286" s="16" cm="1">
        <f t="array" ref="G286">_xlfn.IFS(Tabela1[[#This Row],[STATUS PROCESSO MOBILIZAÇÃO]]="Finalizado",1,Tabela1[[#This Row],[STATUS PROCESSO MOBILIZAÇÃO]]="Cancelado",2,Tabela1[[#This Row],[STATUS PROCESSO MOBILIZAÇÃO]]="Em andamento",3)</f>
        <v>3</v>
      </c>
      <c r="H286" s="16" cm="1">
        <f t="array" aca="1" ref="H286"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FORMS]]="",$AM286&gt;$AK$1),2,
AND(Tabela1[[#This Row],[STATUS PROCESSO MOBILIZAÇÃO]]="Em andamento",Tabela1[[#This Row],[DATA REAL - FORMS]]="",$AM286&lt;=$AK$1),3,
AND(Tabela1[[#This Row],[STATUS PROCESSO MOBILIZAÇÃO]]="Em andamento",Tabela1[[#This Row],[DATA REAL - FORMS]]&lt;&gt;""),1)</f>
        <v>2</v>
      </c>
      <c r="I286" s="16" cm="1">
        <f t="array" aca="1" ref="I286"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EXAMES]]="",$AP286&gt;$AN$1),2,
AND(Tabela1[[#This Row],[STATUS PROCESSO MOBILIZAÇÃO]]="Em andamento",Tabela1[[#This Row],[DATA REAL - EXAMES]]="",$AP286&lt;=$AN$1),3,
AND(Tabela1[[#This Row],[STATUS PROCESSO MOBILIZAÇÃO]]="Em andamento",Tabela1[[#This Row],[DATA REAL - EXAMES]]&lt;&gt;""),1)</f>
        <v>1</v>
      </c>
      <c r="J286" s="16" cm="1">
        <f t="array" aca="1" ref="J286"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ASO]]="",$AS286&gt;$AQ$1),2,
AND(Tabela1[[#This Row],[STATUS PROCESSO MOBILIZAÇÃO]]="Em andamento",Tabela1[[#This Row],[DATA REAL - ASO]]="",$AS286&lt;=$AQ$1),3,
AND(Tabela1[[#This Row],[STATUS PROCESSO MOBILIZAÇÃO]]="Em andamento",Tabela1[[#This Row],[DATA REAL - ASO]]&lt;&gt;""),1)</f>
        <v>1</v>
      </c>
      <c r="K286" s="16" cm="1">
        <f t="array" aca="1" ref="K286"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TREINAMENTOS]]="",$AV286&gt;$AT$1),2,
AND(Tabela1[[#This Row],[STATUS PROCESSO MOBILIZAÇÃO]]="Em andamento",Tabela1[[#This Row],[DATA REAL - TREINAMENTOS]]="",$AV286&lt;=$AT$1),3,
AND(Tabela1[[#This Row],[STATUS PROCESSO MOBILIZAÇÃO]]="Em andamento",Tabela1[[#This Row],[DATA REAL - TREINAMENTOS]]&lt;&gt;""),1)</f>
        <v>1</v>
      </c>
      <c r="L286" s="16" cm="1">
        <f t="array" aca="1" ref="L286"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TREIN.]]="",$AY286&gt;$AW$1),2,
AND(Tabela1[[#This Row],[STATUS PROCESSO MOBILIZAÇÃO]]="Em andamento",Tabela1[[#This Row],[DATA REAL - CONCL. TREIN.]]="",$AY286&lt;=$AW$1),3,
AND(Tabela1[[#This Row],[STATUS PROCESSO MOBILIZAÇÃO]]="Em andamento",Tabela1[[#This Row],[DATA REAL - CONCL. TREIN.]]&lt;&gt;""),1)</f>
        <v>3</v>
      </c>
      <c r="M286" s="16" cm="1">
        <f t="array" aca="1" ref="M286"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CONTRATUAL]]="",$BB286&gt;$AZ$1),2,
AND(Tabela1[[#This Row],[STATUS PROCESSO MOBILIZAÇÃO]]="Em andamento",Tabela1[[#This Row],[DATA FIM - ALTER. CONTRATUAL]]="",$BB286&lt;=$AZ$1),3,
AND(Tabela1[[#This Row],[STATUS PROCESSO MOBILIZAÇÃO]]="Em andamento",Tabela1[[#This Row],[DATA FIM - ALTER. CONTRATUAL]]&lt;&gt;""),1)</f>
        <v>1</v>
      </c>
      <c r="N286" s="16" cm="1">
        <f t="array" aca="1" ref="N286"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DOSSIÊ]]="",$BE286&gt;$BC$1),2,
AND(Tabela1[[#This Row],[STATUS PROCESSO MOBILIZAÇÃO]]="Em andamento",Tabela1[[#This Row],[DATA REAL - DOSSIÊ]]="",$BE286&lt;=$BC$1),3,
AND(Tabela1[[#This Row],[STATUS PROCESSO MOBILIZAÇÃO]]="Em andamento",Tabela1[[#This Row],[DATA REAL - DOSSIÊ]]&lt;&gt;""),1)</f>
        <v>2</v>
      </c>
      <c r="O286" s="16" cm="1">
        <f t="array" aca="1" ref="O286"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POSTAGEM]]="",$BH286&gt;$BF$1),2,
AND(Tabela1[[#This Row],[STATUS PROCESSO MOBILIZAÇÃO]]="Em andamento",Tabela1[[#This Row],[DATA REAL - POSTAGEM]]="",$BH286&lt;=$BF$1),3,
AND(Tabela1[[#This Row],[STATUS PROCESSO MOBILIZAÇÃO]]="Em andamento",Tabela1[[#This Row],[DATA REAL - POSTAGEM]]&lt;&gt;""),1)</f>
        <v>3</v>
      </c>
      <c r="P286" s="16" cm="1">
        <f t="array" aca="1" ref="P286"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FINAL]]="",$BK286&gt;$BI$1),2,
AND(Tabela1[[#This Row],[STATUS PROCESSO MOBILIZAÇÃO]]="Em andamento",Tabela1[[#This Row],[DATA REAL - APROV FINAL]]="",$BK286&lt;=$BI$1),3,
AND(Tabela1[[#This Row],[STATUS PROCESSO MOBILIZAÇÃO]]="Em andamento",Tabela1[[#This Row],[DATA REAL - APROV FINAL]]&lt;&gt;""),1)</f>
        <v>3</v>
      </c>
      <c r="Q286" s="16" cm="1">
        <f t="array" aca="1" ref="Q286"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CRACHÁ]]="",$BN286&gt;$BL$1),2,
AND(Tabela1[[#This Row],[STATUS PROCESSO MOBILIZAÇÃO]]="Em andamento",Tabela1[[#This Row],[DATA REAL - CRACHÁ]]="",$BN286&lt;=$BL$1),3,
AND(Tabela1[[#This Row],[STATUS PROCESSO MOBILIZAÇÃO]]="Em andamento",Tabela1[[#This Row],[DATA REAL - CRACHÁ]]&lt;&gt;""),1)</f>
        <v>3</v>
      </c>
      <c r="R286" s="21">
        <f>IF(Tabela1[[#This Row],[DATA REAL - FORMS]]&lt;&gt;"",Tabela1[[#This Row],[DATA REAL - FORMS]]+30,Tabela1[[#This Row],[DATA PREV - FORMS]]+35)</f>
        <v>46295</v>
      </c>
      <c r="S286"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6"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14</v>
      </c>
      <c r="U286"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14</v>
      </c>
      <c r="V286" s="49">
        <f>MAX(Tabela1[[#This Row],[DATA REAL - POSTAGEM]],Tabela1[[#This Row],[DATA REAL - APROV FINAL]],Tabela1[[#This Row],[DATA REAL - CRACHÁ]])-MIN(Tabela1[[#This Row],[DATA REAL - POSTAGEM]],Tabela1[[#This Row],[DATA REAL - APROV FINAL]],Tabela1[[#This Row],[DATA REAL - CRACHÁ]])+1</f>
        <v>1</v>
      </c>
      <c r="W286"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6" s="16" t="s">
        <v>110</v>
      </c>
      <c r="Y286" s="16" t="s">
        <v>84</v>
      </c>
      <c r="Z286" s="80" t="str">
        <f>_xlfn.XLOOKUP(Tabela1[[#This Row],[COO PHD]],TabControleEfetivo[NOME],TabControleEfetivo[email (PHD)],"")</f>
        <v>julio.cesar@phdengenharia.eng.br</v>
      </c>
      <c r="AA286" s="96" t="s">
        <v>86</v>
      </c>
      <c r="AB286" s="16" t="s">
        <v>97</v>
      </c>
      <c r="AC286" s="16" t="s">
        <v>795</v>
      </c>
      <c r="AD286" s="16" t="s">
        <v>89</v>
      </c>
      <c r="AE286" s="16" t="s">
        <v>596</v>
      </c>
      <c r="AF286" s="16" t="s">
        <v>796</v>
      </c>
      <c r="AG286" s="16" t="str">
        <f>_xlfn.XLOOKUP(Tabela1[[#This Row],[CÓD. CT]],Controle_Projetos[COD CT],Controle_Projetos[COD PHD],"")</f>
        <v/>
      </c>
      <c r="AH286" s="21">
        <v>46260</v>
      </c>
      <c r="AI286" s="76">
        <v>46260</v>
      </c>
      <c r="AJ286" s="16" cm="1">
        <f t="array" aca="1" ref="AJ286"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6" s="21">
        <v>46260</v>
      </c>
      <c r="AL286" s="74"/>
      <c r="AM286" s="16" cm="1">
        <f t="array" aca="1" ref="AM286"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15</v>
      </c>
      <c r="AN286" s="21">
        <f>Tabela1[[#This Row],[DATA PREV - FORMS]]+$AN$1</f>
        <v>46267</v>
      </c>
      <c r="AO286" s="74">
        <v>46261</v>
      </c>
      <c r="AP286" s="16" cm="1">
        <f t="array" aca="1" ref="AP286"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-5</v>
      </c>
      <c r="AQ286" s="21">
        <f>Tabela1[[#This Row],[DATA PREV - EXAMES]]+$AQ$1</f>
        <v>46269</v>
      </c>
      <c r="AR286" s="74">
        <v>46269</v>
      </c>
      <c r="AS286" s="16" cm="1">
        <f t="array" aca="1" ref="AS286"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1</v>
      </c>
      <c r="AT286" s="21">
        <f>Tabela1[[#This Row],[DATA PREV - FORMS]]+$AT$1</f>
        <v>46261</v>
      </c>
      <c r="AU286" s="74">
        <v>46261</v>
      </c>
      <c r="AV286" s="16" cm="1">
        <f t="array" aca="1" ref="AV286"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1</v>
      </c>
      <c r="AW286" s="21">
        <f>Tabela1[[#This Row],[DATA PREV - TREINAMENTOS]]+$AW$1</f>
        <v>46268</v>
      </c>
      <c r="AX286" s="74"/>
      <c r="AY286" s="16" cm="1">
        <f t="array" aca="1" ref="AY286"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7</v>
      </c>
      <c r="AZ286" s="24">
        <v>46260</v>
      </c>
      <c r="BA286" s="74">
        <v>46260</v>
      </c>
      <c r="BB286" s="16" cm="1">
        <f t="array" aca="1" ref="BB286"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6" s="21">
        <f>Tabela1[[#This Row],[DATA PREV - CONCL. TREIN.]]+$BC$1</f>
        <v>46270</v>
      </c>
      <c r="BD286" s="74"/>
      <c r="BE286" s="16" cm="1">
        <f t="array" aca="1" ref="BE286"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5</v>
      </c>
      <c r="BF286" s="21">
        <f>Tabela1[[#This Row],[DATA PREV - DOSSIÊ]]+$BF$1</f>
        <v>46273</v>
      </c>
      <c r="BG286" s="74"/>
      <c r="BH286" s="16" cm="1">
        <f t="array" aca="1" ref="BH286"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2</v>
      </c>
      <c r="BI286" s="21">
        <f>Tabela1[[#This Row],[DATA PREV - POSTAGEM]]+$BI$1</f>
        <v>46279</v>
      </c>
      <c r="BJ286" s="74"/>
      <c r="BK286" s="16" cm="1">
        <f t="array" aca="1" ref="BK286"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-4</v>
      </c>
      <c r="BL286" s="21">
        <f>Tabela1[[#This Row],[DATA PREV - APROV FINAL]]+$BL$1</f>
        <v>46280</v>
      </c>
      <c r="BM286" s="74"/>
      <c r="BN286" s="16" cm="1">
        <f t="array" aca="1" ref="BN286"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-5</v>
      </c>
      <c r="BO286" s="81" t="s">
        <v>798</v>
      </c>
    </row>
    <row r="287" spans="2:67" ht="18" customHeight="1" x14ac:dyDescent="0.35">
      <c r="B287" s="14" t="s">
        <v>778</v>
      </c>
      <c r="C287" s="16" t="s">
        <v>136</v>
      </c>
      <c r="D287" s="16"/>
      <c r="E287" s="16">
        <v>61</v>
      </c>
      <c r="F287" s="16" t="s">
        <v>193</v>
      </c>
      <c r="G287" s="16" cm="1">
        <f t="array" ref="G287">_xlfn.IFS(Tabela1[[#This Row],[STATUS PROCESSO MOBILIZAÇÃO]]="Finalizado",1,Tabela1[[#This Row],[STATUS PROCESSO MOBILIZAÇÃO]]="Cancelado",2,Tabela1[[#This Row],[STATUS PROCESSO MOBILIZAÇÃO]]="Em andamento",3)</f>
        <v>3</v>
      </c>
      <c r="H287" s="16" cm="1">
        <f t="array" aca="1" ref="H287"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FORMS]]="",$AM287&gt;$AK$1),2,
AND(Tabela1[[#This Row],[STATUS PROCESSO MOBILIZAÇÃO]]="Em andamento",Tabela1[[#This Row],[DATA REAL - FORMS]]="",$AM287&lt;=$AK$1),3,
AND(Tabela1[[#This Row],[STATUS PROCESSO MOBILIZAÇÃO]]="Em andamento",Tabela1[[#This Row],[DATA REAL - FORMS]]&lt;&gt;""),1)</f>
        <v>1</v>
      </c>
      <c r="I287" s="16" cm="1">
        <f t="array" aca="1" ref="I287"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EXAMES]]="",$AP287&gt;$AN$1),2,
AND(Tabela1[[#This Row],[STATUS PROCESSO MOBILIZAÇÃO]]="Em andamento",Tabela1[[#This Row],[DATA REAL - EXAMES]]="",$AP287&lt;=$AN$1),3,
AND(Tabela1[[#This Row],[STATUS PROCESSO MOBILIZAÇÃO]]="Em andamento",Tabela1[[#This Row],[DATA REAL - EXAMES]]&lt;&gt;""),1)</f>
        <v>1</v>
      </c>
      <c r="J287" s="16" cm="1">
        <f t="array" aca="1" ref="J287"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ASO]]="",$AS287&gt;$AQ$1),2,
AND(Tabela1[[#This Row],[STATUS PROCESSO MOBILIZAÇÃO]]="Em andamento",Tabela1[[#This Row],[DATA REAL - ASO]]="",$AS287&lt;=$AQ$1),3,
AND(Tabela1[[#This Row],[STATUS PROCESSO MOBILIZAÇÃO]]="Em andamento",Tabela1[[#This Row],[DATA REAL - ASO]]&lt;&gt;""),1)</f>
        <v>3</v>
      </c>
      <c r="K287" s="16" cm="1">
        <f t="array" aca="1" ref="K287"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TREINAMENTOS]]="",$AV287&gt;$AT$1),2,
AND(Tabela1[[#This Row],[STATUS PROCESSO MOBILIZAÇÃO]]="Em andamento",Tabela1[[#This Row],[DATA REAL - TREINAMENTOS]]="",$AV287&lt;=$AT$1),3,
AND(Tabela1[[#This Row],[STATUS PROCESSO MOBILIZAÇÃO]]="Em andamento",Tabela1[[#This Row],[DATA REAL - TREINAMENTOS]]&lt;&gt;""),1)</f>
        <v>1</v>
      </c>
      <c r="L287" s="16" cm="1">
        <f t="array" aca="1" ref="L287"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TREIN.]]="",$AY287&gt;$AW$1),2,
AND(Tabela1[[#This Row],[STATUS PROCESSO MOBILIZAÇÃO]]="Em andamento",Tabela1[[#This Row],[DATA REAL - CONCL. TREIN.]]="",$AY287&lt;=$AW$1),3,
AND(Tabela1[[#This Row],[STATUS PROCESSO MOBILIZAÇÃO]]="Em andamento",Tabela1[[#This Row],[DATA REAL - CONCL. TREIN.]]&lt;&gt;""),1)</f>
        <v>1</v>
      </c>
      <c r="M287" s="16" cm="1">
        <f t="array" aca="1" ref="M287"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CONTRATUAL]]="",$BB287&gt;$AZ$1),2,
AND(Tabela1[[#This Row],[STATUS PROCESSO MOBILIZAÇÃO]]="Em andamento",Tabela1[[#This Row],[DATA FIM - ALTER. CONTRATUAL]]="",$BB287&lt;=$AZ$1),3,
AND(Tabela1[[#This Row],[STATUS PROCESSO MOBILIZAÇÃO]]="Em andamento",Tabela1[[#This Row],[DATA FIM - ALTER. CONTRATUAL]]&lt;&gt;""),1)</f>
        <v>1</v>
      </c>
      <c r="N287" s="16" cm="1">
        <f t="array" aca="1" ref="N287"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DOSSIÊ]]="",$BE287&gt;$BC$1),2,
AND(Tabela1[[#This Row],[STATUS PROCESSO MOBILIZAÇÃO]]="Em andamento",Tabela1[[#This Row],[DATA REAL - DOSSIÊ]]="",$BE287&lt;=$BC$1),3,
AND(Tabela1[[#This Row],[STATUS PROCESSO MOBILIZAÇÃO]]="Em andamento",Tabela1[[#This Row],[DATA REAL - DOSSIÊ]]&lt;&gt;""),1)</f>
        <v>3</v>
      </c>
      <c r="O287" s="16" cm="1">
        <f t="array" aca="1" ref="O287"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POSTAGEM]]="",$BH287&gt;$BF$1),2,
AND(Tabela1[[#This Row],[STATUS PROCESSO MOBILIZAÇÃO]]="Em andamento",Tabela1[[#This Row],[DATA REAL - POSTAGEM]]="",$BH287&lt;=$BF$1),3,
AND(Tabela1[[#This Row],[STATUS PROCESSO MOBILIZAÇÃO]]="Em andamento",Tabela1[[#This Row],[DATA REAL - POSTAGEM]]&lt;&gt;""),1)</f>
        <v>3</v>
      </c>
      <c r="P287" s="16" cm="1">
        <f t="array" aca="1" ref="P287"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FINAL]]="",$BK287&gt;$BI$1),2,
AND(Tabela1[[#This Row],[STATUS PROCESSO MOBILIZAÇÃO]]="Em andamento",Tabela1[[#This Row],[DATA REAL - APROV FINAL]]="",$BK287&lt;=$BI$1),3,
AND(Tabela1[[#This Row],[STATUS PROCESSO MOBILIZAÇÃO]]="Em andamento",Tabela1[[#This Row],[DATA REAL - APROV FINAL]]&lt;&gt;""),1)</f>
        <v>3</v>
      </c>
      <c r="Q287" s="16" cm="1">
        <f t="array" aca="1" ref="Q287"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CRACHÁ]]="",$BN287&gt;$BL$1),2,
AND(Tabela1[[#This Row],[STATUS PROCESSO MOBILIZAÇÃO]]="Em andamento",Tabela1[[#This Row],[DATA REAL - CRACHÁ]]="",$BN287&lt;=$BL$1),3,
AND(Tabela1[[#This Row],[STATUS PROCESSO MOBILIZAÇÃO]]="Em andamento",Tabela1[[#This Row],[DATA REAL - CRACHÁ]]&lt;&gt;""),1)</f>
        <v>3</v>
      </c>
      <c r="R287" s="21">
        <f>IF(Tabela1[[#This Row],[DATA REAL - FORMS]]&lt;&gt;"",Tabela1[[#This Row],[DATA REAL - FORMS]]+30,Tabela1[[#This Row],[DATA PREV - FORMS]]+35)</f>
        <v>46298</v>
      </c>
      <c r="S287"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7"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6</v>
      </c>
      <c r="U287"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6</v>
      </c>
      <c r="V287" s="49">
        <f>MAX(Tabela1[[#This Row],[DATA REAL - POSTAGEM]],Tabela1[[#This Row],[DATA REAL - APROV FINAL]],Tabela1[[#This Row],[DATA REAL - CRACHÁ]])-MIN(Tabela1[[#This Row],[DATA REAL - POSTAGEM]],Tabela1[[#This Row],[DATA REAL - APROV FINAL]],Tabela1[[#This Row],[DATA REAL - CRACHÁ]])+1</f>
        <v>1</v>
      </c>
      <c r="W287"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7" s="16" t="s">
        <v>707</v>
      </c>
      <c r="Y287" s="16" t="s">
        <v>122</v>
      </c>
      <c r="Z287" s="80" t="str">
        <f>_xlfn.XLOOKUP(Tabela1[[#This Row],[COO PHD]],TabControleEfetivo[NOME],TabControleEfetivo[email (PHD)],"")</f>
        <v>marcio.junior@phdengenharia.eng.br</v>
      </c>
      <c r="AA287" s="95" t="s">
        <v>124</v>
      </c>
      <c r="AB287" s="16" t="s">
        <v>632</v>
      </c>
      <c r="AC287" s="16" t="s">
        <v>781</v>
      </c>
      <c r="AD287" s="16" t="s">
        <v>781</v>
      </c>
      <c r="AE287" s="16" t="s">
        <v>782</v>
      </c>
      <c r="AF287" s="16" t="s">
        <v>783</v>
      </c>
      <c r="AG287" s="16" t="str">
        <f>_xlfn.XLOOKUP(Tabela1[[#This Row],[CÓD. CT]],Controle_Projetos[COD CT],Controle_Projetos[COD PHD],"")</f>
        <v/>
      </c>
      <c r="AH287" s="21">
        <v>46268</v>
      </c>
      <c r="AI287" s="76">
        <v>46268</v>
      </c>
      <c r="AJ287" s="16" cm="1">
        <f t="array" aca="1" ref="AJ287"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7" s="21">
        <v>46268</v>
      </c>
      <c r="AL287" s="74">
        <v>46268</v>
      </c>
      <c r="AM287" s="16" cm="1">
        <f t="array" aca="1" ref="AM287"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7" s="21">
        <f>Tabela1[[#This Row],[DATA PREV - FORMS]]+$AN$1</f>
        <v>46275</v>
      </c>
      <c r="AO287" s="74">
        <v>46268</v>
      </c>
      <c r="AP287" s="16" cm="1">
        <f t="array" aca="1" ref="AP287"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7" s="21">
        <f>Tabela1[[#This Row],[DATA PREV - EXAMES]]+$AQ$1</f>
        <v>46277</v>
      </c>
      <c r="AR287" s="74"/>
      <c r="AS287" s="16" cm="1">
        <f t="array" aca="1" ref="AS287"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-2</v>
      </c>
      <c r="AT287" s="21">
        <f>Tabela1[[#This Row],[DATA PREV - FORMS]]+$AT$1</f>
        <v>46269</v>
      </c>
      <c r="AU287" s="74">
        <v>46268</v>
      </c>
      <c r="AV287" s="16" cm="1">
        <f t="array" aca="1" ref="AV287"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7" s="21">
        <f>Tabela1[[#This Row],[DATA PREV - TREINAMENTOS]]+$AW$1</f>
        <v>46276</v>
      </c>
      <c r="AX287" s="74">
        <v>46269</v>
      </c>
      <c r="AY287" s="16" cm="1">
        <f t="array" aca="1" ref="AY287"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-6</v>
      </c>
      <c r="AZ287" s="24">
        <v>46268</v>
      </c>
      <c r="BA287" s="74">
        <v>46268</v>
      </c>
      <c r="BB287" s="16" cm="1">
        <f t="array" aca="1" ref="BB287"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7" s="21">
        <f>Tabela1[[#This Row],[DATA PREV - CONCL. TREIN.]]+$BC$1</f>
        <v>46278</v>
      </c>
      <c r="BD287" s="74"/>
      <c r="BE287" s="16" cm="1">
        <f t="array" aca="1" ref="BE287"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-3</v>
      </c>
      <c r="BF287" s="21">
        <f>Tabela1[[#This Row],[DATA PREV - DOSSIÊ]]+$BF$1</f>
        <v>46281</v>
      </c>
      <c r="BG287" s="74"/>
      <c r="BH287" s="16" cm="1">
        <f t="array" aca="1" ref="BH287"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-6</v>
      </c>
      <c r="BI287" s="21">
        <f>Tabela1[[#This Row],[DATA PREV - POSTAGEM]]+$BI$1</f>
        <v>46287</v>
      </c>
      <c r="BJ287" s="74"/>
      <c r="BK287" s="16" cm="1">
        <f t="array" aca="1" ref="BK287"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-12</v>
      </c>
      <c r="BL287" s="21">
        <f>Tabela1[[#This Row],[DATA PREV - APROV FINAL]]+$BL$1</f>
        <v>46288</v>
      </c>
      <c r="BM287" s="74"/>
      <c r="BN287" s="16" cm="1">
        <f t="array" aca="1" ref="BN287"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-13</v>
      </c>
      <c r="BO287" s="81" t="s">
        <v>799</v>
      </c>
    </row>
    <row r="288" spans="2:67" ht="18" customHeight="1" x14ac:dyDescent="0.35">
      <c r="B288" s="14" t="s">
        <v>778</v>
      </c>
      <c r="C288" s="16" t="s">
        <v>136</v>
      </c>
      <c r="D288" s="16"/>
      <c r="E288" s="16">
        <v>75</v>
      </c>
      <c r="F288" s="16" t="s">
        <v>342</v>
      </c>
      <c r="G288" s="16" cm="1">
        <f t="array" ref="G288">_xlfn.IFS(Tabela1[[#This Row],[STATUS PROCESSO MOBILIZAÇÃO]]="Finalizado",1,Tabela1[[#This Row],[STATUS PROCESSO MOBILIZAÇÃO]]="Cancelado",2,Tabela1[[#This Row],[STATUS PROCESSO MOBILIZAÇÃO]]="Em andamento",3)</f>
        <v>3</v>
      </c>
      <c r="H288" s="16" cm="1">
        <f t="array" aca="1" ref="H288"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FORMS]]="",$AM288&gt;$AK$1),2,
AND(Tabela1[[#This Row],[STATUS PROCESSO MOBILIZAÇÃO]]="Em andamento",Tabela1[[#This Row],[DATA REAL - FORMS]]="",$AM288&lt;=$AK$1),3,
AND(Tabela1[[#This Row],[STATUS PROCESSO MOBILIZAÇÃO]]="Em andamento",Tabela1[[#This Row],[DATA REAL - FORMS]]&lt;&gt;""),1)</f>
        <v>1</v>
      </c>
      <c r="I288" s="16" cm="1">
        <f t="array" aca="1" ref="I288"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EXAMES]]="",$AP288&gt;$AN$1),2,
AND(Tabela1[[#This Row],[STATUS PROCESSO MOBILIZAÇÃO]]="Em andamento",Tabela1[[#This Row],[DATA REAL - EXAMES]]="",$AP288&lt;=$AN$1),3,
AND(Tabela1[[#This Row],[STATUS PROCESSO MOBILIZAÇÃO]]="Em andamento",Tabela1[[#This Row],[DATA REAL - EXAMES]]&lt;&gt;""),1)</f>
        <v>1</v>
      </c>
      <c r="J288" s="16" cm="1">
        <f t="array" aca="1" ref="J288"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ASO]]="",$AS288&gt;$AQ$1),2,
AND(Tabela1[[#This Row],[STATUS PROCESSO MOBILIZAÇÃO]]="Em andamento",Tabela1[[#This Row],[DATA REAL - ASO]]="",$AS288&lt;=$AQ$1),3,
AND(Tabela1[[#This Row],[STATUS PROCESSO MOBILIZAÇÃO]]="Em andamento",Tabela1[[#This Row],[DATA REAL - ASO]]&lt;&gt;""),1)</f>
        <v>1</v>
      </c>
      <c r="K288" s="16" cm="1">
        <f t="array" aca="1" ref="K288"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TREINAMENTOS]]="",$AV288&gt;$AT$1),2,
AND(Tabela1[[#This Row],[STATUS PROCESSO MOBILIZAÇÃO]]="Em andamento",Tabela1[[#This Row],[DATA REAL - TREINAMENTOS]]="",$AV288&lt;=$AT$1),3,
AND(Tabela1[[#This Row],[STATUS PROCESSO MOBILIZAÇÃO]]="Em andamento",Tabela1[[#This Row],[DATA REAL - TREINAMENTOS]]&lt;&gt;""),1)</f>
        <v>1</v>
      </c>
      <c r="L288" s="16" cm="1">
        <f t="array" aca="1" ref="L288"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TREIN.]]="",$AY288&gt;$AW$1),2,
AND(Tabela1[[#This Row],[STATUS PROCESSO MOBILIZAÇÃO]]="Em andamento",Tabela1[[#This Row],[DATA REAL - CONCL. TREIN.]]="",$AY288&lt;=$AW$1),3,
AND(Tabela1[[#This Row],[STATUS PROCESSO MOBILIZAÇÃO]]="Em andamento",Tabela1[[#This Row],[DATA REAL - CONCL. TREIN.]]&lt;&gt;""),1)</f>
        <v>3</v>
      </c>
      <c r="M288" s="16" cm="1">
        <f t="array" aca="1" ref="M288"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CONTRATUAL]]="",$BB288&gt;$AZ$1),2,
AND(Tabela1[[#This Row],[STATUS PROCESSO MOBILIZAÇÃO]]="Em andamento",Tabela1[[#This Row],[DATA FIM - ALTER. CONTRATUAL]]="",$BB288&lt;=$AZ$1),3,
AND(Tabela1[[#This Row],[STATUS PROCESSO MOBILIZAÇÃO]]="Em andamento",Tabela1[[#This Row],[DATA FIM - ALTER. CONTRATUAL]]&lt;&gt;""),1)</f>
        <v>1</v>
      </c>
      <c r="N288" s="16" cm="1">
        <f t="array" aca="1" ref="N288"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DOSSIÊ]]="",$BE288&gt;$BC$1),2,
AND(Tabela1[[#This Row],[STATUS PROCESSO MOBILIZAÇÃO]]="Em andamento",Tabela1[[#This Row],[DATA REAL - DOSSIÊ]]="",$BE288&lt;=$BC$1),3,
AND(Tabela1[[#This Row],[STATUS PROCESSO MOBILIZAÇÃO]]="Em andamento",Tabela1[[#This Row],[DATA REAL - DOSSIÊ]]&lt;&gt;""),1)</f>
        <v>3</v>
      </c>
      <c r="O288" s="16" cm="1">
        <f t="array" aca="1" ref="O288"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POSTAGEM]]="",$BH288&gt;$BF$1),2,
AND(Tabela1[[#This Row],[STATUS PROCESSO MOBILIZAÇÃO]]="Em andamento",Tabela1[[#This Row],[DATA REAL - POSTAGEM]]="",$BH288&lt;=$BF$1),3,
AND(Tabela1[[#This Row],[STATUS PROCESSO MOBILIZAÇÃO]]="Em andamento",Tabela1[[#This Row],[DATA REAL - POSTAGEM]]&lt;&gt;""),1)</f>
        <v>3</v>
      </c>
      <c r="P288" s="16" cm="1">
        <f t="array" aca="1" ref="P288"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FINAL]]="",$BK288&gt;$BI$1),2,
AND(Tabela1[[#This Row],[STATUS PROCESSO MOBILIZAÇÃO]]="Em andamento",Tabela1[[#This Row],[DATA REAL - APROV FINAL]]="",$BK288&lt;=$BI$1),3,
AND(Tabela1[[#This Row],[STATUS PROCESSO MOBILIZAÇÃO]]="Em andamento",Tabela1[[#This Row],[DATA REAL - APROV FINAL]]&lt;&gt;""),1)</f>
        <v>3</v>
      </c>
      <c r="Q288" s="16" cm="1">
        <f t="array" aca="1" ref="Q288"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CRACHÁ]]="",$BN288&gt;$BL$1),2,
AND(Tabela1[[#This Row],[STATUS PROCESSO MOBILIZAÇÃO]]="Em andamento",Tabela1[[#This Row],[DATA REAL - CRACHÁ]]="",$BN288&lt;=$BL$1),3,
AND(Tabela1[[#This Row],[STATUS PROCESSO MOBILIZAÇÃO]]="Em andamento",Tabela1[[#This Row],[DATA REAL - CRACHÁ]]&lt;&gt;""),1)</f>
        <v>3</v>
      </c>
      <c r="R288" s="21">
        <f>IF(Tabela1[[#This Row],[DATA REAL - FORMS]]&lt;&gt;"",Tabela1[[#This Row],[DATA REAL - FORMS]]+30,Tabela1[[#This Row],[DATA PREV - FORMS]]+35)</f>
        <v>46299</v>
      </c>
      <c r="S288" s="21" t="str">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
      </c>
      <c r="T288"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5</v>
      </c>
      <c r="U288"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5</v>
      </c>
      <c r="V288" s="49">
        <f>MAX(Tabela1[[#This Row],[DATA REAL - POSTAGEM]],Tabela1[[#This Row],[DATA REAL - APROV FINAL]],Tabela1[[#This Row],[DATA REAL - CRACHÁ]])-MIN(Tabela1[[#This Row],[DATA REAL - POSTAGEM]],Tabela1[[#This Row],[DATA REAL - APROV FINAL]],Tabela1[[#This Row],[DATA REAL - CRACHÁ]])+1</f>
        <v>1</v>
      </c>
      <c r="W288"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X288" s="16" t="s">
        <v>726</v>
      </c>
      <c r="Y288" s="16" t="s">
        <v>150</v>
      </c>
      <c r="Z288" s="80" t="s">
        <v>104</v>
      </c>
      <c r="AA288" s="95" t="s">
        <v>152</v>
      </c>
      <c r="AB288" s="16" t="s">
        <v>632</v>
      </c>
      <c r="AC288" s="16" t="s">
        <v>89</v>
      </c>
      <c r="AD288" s="16" t="s">
        <v>89</v>
      </c>
      <c r="AE288" s="16" t="s">
        <v>633</v>
      </c>
      <c r="AF288" s="16" t="s">
        <v>406</v>
      </c>
      <c r="AG288" s="16" t="str">
        <f>_xlfn.XLOOKUP(Tabela1[[#This Row],[CÓD. CT]],Controle_Projetos[COD CT],Controle_Projetos[COD PHD],"")</f>
        <v>VALE-CT01-OC01</v>
      </c>
      <c r="AH288" s="21">
        <v>46269</v>
      </c>
      <c r="AI288" s="76">
        <v>46269</v>
      </c>
      <c r="AJ288" s="16" cm="1">
        <f t="array" aca="1" ref="AJ288"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1</v>
      </c>
      <c r="AK288" s="21">
        <v>46269</v>
      </c>
      <c r="AL288" s="76">
        <v>46269</v>
      </c>
      <c r="AM288" s="16" cm="1">
        <f t="array" aca="1" ref="AM288"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1</v>
      </c>
      <c r="AN288" s="21">
        <f>Tabela1[[#This Row],[DATA PREV - FORMS]]+$AN$1</f>
        <v>46276</v>
      </c>
      <c r="AO288" s="74">
        <v>46269</v>
      </c>
      <c r="AP288" s="16" cm="1">
        <f t="array" aca="1" ref="AP288"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-6</v>
      </c>
      <c r="AQ288" s="21">
        <f>Tabela1[[#This Row],[DATA PREV - EXAMES]]+$AQ$1</f>
        <v>46278</v>
      </c>
      <c r="AR288" s="74">
        <v>46269</v>
      </c>
      <c r="AS288" s="16" cm="1">
        <f t="array" aca="1" ref="AS288"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-8</v>
      </c>
      <c r="AT288" s="21">
        <f>Tabela1[[#This Row],[DATA PREV - FORMS]]+$AT$1</f>
        <v>46270</v>
      </c>
      <c r="AU288" s="74">
        <v>46269</v>
      </c>
      <c r="AV288" s="16" cm="1">
        <f t="array" aca="1" ref="AV288"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0</v>
      </c>
      <c r="AW288" s="21">
        <f>Tabela1[[#This Row],[DATA PREV - TREINAMENTOS]]+$AW$1</f>
        <v>46277</v>
      </c>
      <c r="AX288" s="74"/>
      <c r="AY288" s="16" cm="1">
        <f t="array" aca="1" ref="AY288"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-2</v>
      </c>
      <c r="AZ288" s="24">
        <v>46269</v>
      </c>
      <c r="BA288" s="74">
        <v>46269</v>
      </c>
      <c r="BB288" s="16" cm="1">
        <f t="array" aca="1" ref="BB288"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1</v>
      </c>
      <c r="BC288" s="21">
        <f>Tabela1[[#This Row],[DATA PREV - CONCL. TREIN.]]+$BC$1</f>
        <v>46279</v>
      </c>
      <c r="BD288" s="74"/>
      <c r="BE288" s="16" cm="1">
        <f t="array" aca="1" ref="BE288"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-4</v>
      </c>
      <c r="BF288" s="21">
        <f>Tabela1[[#This Row],[DATA PREV - DOSSIÊ]]+$BF$1</f>
        <v>46282</v>
      </c>
      <c r="BG288" s="74"/>
      <c r="BH288" s="16" cm="1">
        <f t="array" aca="1" ref="BH288"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-7</v>
      </c>
      <c r="BI288" s="21">
        <f>Tabela1[[#This Row],[DATA PREV - POSTAGEM]]+$BI$1</f>
        <v>46288</v>
      </c>
      <c r="BJ288" s="74"/>
      <c r="BK288" s="16" cm="1">
        <f t="array" aca="1" ref="BK288"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-13</v>
      </c>
      <c r="BL288" s="21">
        <f>Tabela1[[#This Row],[DATA PREV - APROV FINAL]]+$BL$1</f>
        <v>46289</v>
      </c>
      <c r="BM288" s="74"/>
      <c r="BN288" s="16" cm="1">
        <f t="array" aca="1" ref="BN288"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-14</v>
      </c>
      <c r="BO288" s="81" t="s">
        <v>800</v>
      </c>
    </row>
    <row r="289" spans="2:67" ht="18" hidden="1" customHeight="1" x14ac:dyDescent="0.35">
      <c r="B289" s="14"/>
      <c r="C289" s="16"/>
      <c r="D289" s="16"/>
      <c r="E289" s="16"/>
      <c r="F289" s="16"/>
      <c r="G289" s="16" t="e" cm="1">
        <f t="array" ref="G289">_xlfn.IFS(Tabela1[[#This Row],[STATUS PROCESSO MOBILIZAÇÃO]]="Finalizado",1,Tabela1[[#This Row],[STATUS PROCESSO MOBILIZAÇÃO]]="Cancelado",2,Tabela1[[#This Row],[STATUS PROCESSO MOBILIZAÇÃO]]="Em andamento",3)</f>
        <v>#N/A</v>
      </c>
      <c r="H289" s="16" t="e" cm="1">
        <f t="array" aca="1" ref="H289" ca="1">_xlfn.IFS(
AND(Tabela1[[#This Row],[STATUS PROCESSO MOBILIZAÇÃO]]="Cancelado",Tabela1[[#This Row],[DATA REAL - FORMS]]=""),0,
AND(Tabela1[[#This Row],[STATUS PROCESSO MOBILIZAÇÃO]]="Cancelado",Tabela1[[#This Row],[DATA REAL - FORMS]]&lt;&gt;""),1,
AND(Tabela1[[#This Row],[STATUS PROCESSO MOBILIZAÇÃO]]="Finalizado",Tabela1[[#This Row],[DATA REAL - FORMS]]=""),0,
AND(Tabela1[[#This Row],[STATUS PROCESSO MOBILIZAÇÃO]]="Finalizado",Tabela1[[#This Row],[DATA REAL - FORMS]]&lt;&gt;""),1,
AND(Tabela1[[#This Row],[STATUS PROCESSO MOBILIZAÇÃO]]="Em andamento",Tabela1[[#This Row],[DATA REAL - FORMS]]="",$AM289&gt;$AK$1),2,
AND(Tabela1[[#This Row],[STATUS PROCESSO MOBILIZAÇÃO]]="Em andamento",Tabela1[[#This Row],[DATA REAL - FORMS]]="",$AM289&lt;=$AK$1),3,
AND(Tabela1[[#This Row],[STATUS PROCESSO MOBILIZAÇÃO]]="Em andamento",Tabela1[[#This Row],[DATA REAL - FORMS]]&lt;&gt;""),1)</f>
        <v>#N/A</v>
      </c>
      <c r="I289" s="16" t="e" cm="1">
        <f t="array" aca="1" ref="I289" ca="1">_xlfn.IFS(
AND(Tabela1[[#This Row],[STATUS PROCESSO MOBILIZAÇÃO]]="Cancelado",Tabela1[[#This Row],[DATA REAL - EXAMES]]=""),0,
AND(Tabela1[[#This Row],[STATUS PROCESSO MOBILIZAÇÃO]]="Cancelado",Tabela1[[#This Row],[DATA REAL - EXAMES]]&lt;&gt;""),1,
AND(Tabela1[[#This Row],[STATUS PROCESSO MOBILIZAÇÃO]]="Finalizado",Tabela1[[#This Row],[DATA REAL - EXAMES]]=""),0,
AND(Tabela1[[#This Row],[STATUS PROCESSO MOBILIZAÇÃO]]="Finalizado",Tabela1[[#This Row],[DATA REAL - EXAMES]]&lt;&gt;""),1,
AND(Tabela1[[#This Row],[STATUS PROCESSO MOBILIZAÇÃO]]="Em andamento",Tabela1[[#This Row],[DATA REAL - EXAMES]]="",$AP289&gt;$AN$1),2,
AND(Tabela1[[#This Row],[STATUS PROCESSO MOBILIZAÇÃO]]="Em andamento",Tabela1[[#This Row],[DATA REAL - EXAMES]]="",$AP289&lt;=$AN$1),3,
AND(Tabela1[[#This Row],[STATUS PROCESSO MOBILIZAÇÃO]]="Em andamento",Tabela1[[#This Row],[DATA REAL - EXAMES]]&lt;&gt;""),1)</f>
        <v>#N/A</v>
      </c>
      <c r="J289" s="16" t="e" cm="1">
        <f t="array" aca="1" ref="J289" ca="1">_xlfn.IFS(
AND(Tabela1[[#This Row],[STATUS PROCESSO MOBILIZAÇÃO]]="Cancelado",Tabela1[[#This Row],[DATA REAL - ASO]]=""),0,
AND(Tabela1[[#This Row],[STATUS PROCESSO MOBILIZAÇÃO]]="Cancelado",Tabela1[[#This Row],[DATA REAL - ASO]]&lt;&gt;""),1,
AND(Tabela1[[#This Row],[STATUS PROCESSO MOBILIZAÇÃO]]="Finalizado",Tabela1[[#This Row],[DATA REAL - ASO]]=""),0,
AND(Tabela1[[#This Row],[STATUS PROCESSO MOBILIZAÇÃO]]="Finalizado",Tabela1[[#This Row],[DATA REAL - ASO]]&lt;&gt;""),1,
AND(Tabela1[[#This Row],[STATUS PROCESSO MOBILIZAÇÃO]]="Em andamento",Tabela1[[#This Row],[DATA REAL - ASO]]="",$AS289&gt;$AQ$1),2,
AND(Tabela1[[#This Row],[STATUS PROCESSO MOBILIZAÇÃO]]="Em andamento",Tabela1[[#This Row],[DATA REAL - ASO]]="",$AS289&lt;=$AQ$1),3,
AND(Tabela1[[#This Row],[STATUS PROCESSO MOBILIZAÇÃO]]="Em andamento",Tabela1[[#This Row],[DATA REAL - ASO]]&lt;&gt;""),1)</f>
        <v>#N/A</v>
      </c>
      <c r="K289" s="16" t="e" cm="1">
        <f t="array" aca="1" ref="K289" ca="1">_xlfn.IFS(
AND(Tabela1[[#This Row],[STATUS PROCESSO MOBILIZAÇÃO]]="Cancelado",Tabela1[[#This Row],[DATA REAL - TREINAMENTOS]]=""),0,
AND(Tabela1[[#This Row],[STATUS PROCESSO MOBILIZAÇÃO]]="Cancelado",Tabela1[[#This Row],[DATA REAL - TREINAMENTOS]]&lt;&gt;""),1,
AND(Tabela1[[#This Row],[STATUS PROCESSO MOBILIZAÇÃO]]="Finalizado",Tabela1[[#This Row],[DATA REAL - TREINAMENTOS]]=""),0,
AND(Tabela1[[#This Row],[STATUS PROCESSO MOBILIZAÇÃO]]="Finalizado",Tabela1[[#This Row],[DATA REAL - TREINAMENTOS]]&lt;&gt;""),1,
AND(Tabela1[[#This Row],[STATUS PROCESSO MOBILIZAÇÃO]]="Em andamento",Tabela1[[#This Row],[DATA REAL - TREINAMENTOS]]="",$AV289&gt;$AT$1),2,
AND(Tabela1[[#This Row],[STATUS PROCESSO MOBILIZAÇÃO]]="Em andamento",Tabela1[[#This Row],[DATA REAL - TREINAMENTOS]]="",$AV289&lt;=$AT$1),3,
AND(Tabela1[[#This Row],[STATUS PROCESSO MOBILIZAÇÃO]]="Em andamento",Tabela1[[#This Row],[DATA REAL - TREINAMENTOS]]&lt;&gt;""),1)</f>
        <v>#N/A</v>
      </c>
      <c r="L289" s="16" t="e" cm="1">
        <f t="array" aca="1" ref="L289" ca="1">_xlfn.IFS(
AND(Tabela1[[#This Row],[STATUS PROCESSO MOBILIZAÇÃO]]="Cancelado",Tabela1[[#This Row],[DATA REAL - CONCL. TREIN.]]=""),0,
AND(Tabela1[[#This Row],[STATUS PROCESSO MOBILIZAÇÃO]]="Cancelado",Tabela1[[#This Row],[DATA REAL - CONCL. TREIN.]]&lt;&gt;""),1,
AND(Tabela1[[#This Row],[STATUS PROCESSO MOBILIZAÇÃO]]="Finalizado",Tabela1[[#This Row],[DATA REAL - CONCL. TREIN.]]=""),0,
AND(Tabela1[[#This Row],[STATUS PROCESSO MOBILIZAÇÃO]]="Finalizado",Tabela1[[#This Row],[DATA REAL - CONCL. TREIN.]]&lt;&gt;""),1,
AND(Tabela1[[#This Row],[STATUS PROCESSO MOBILIZAÇÃO]]="Em andamento",Tabela1[[#This Row],[DATA REAL - CONCL. TREIN.]]="",$AY289&gt;$AW$1),2,
AND(Tabela1[[#This Row],[STATUS PROCESSO MOBILIZAÇÃO]]="Em andamento",Tabela1[[#This Row],[DATA REAL - CONCL. TREIN.]]="",$AY289&lt;=$AW$1),3,
AND(Tabela1[[#This Row],[STATUS PROCESSO MOBILIZAÇÃO]]="Em andamento",Tabela1[[#This Row],[DATA REAL - CONCL. TREIN.]]&lt;&gt;""),1)</f>
        <v>#N/A</v>
      </c>
      <c r="M289" s="16" t="e" cm="1">
        <f t="array" aca="1" ref="M289" ca="1">_xlfn.IFS(
AND(Tabela1[[#This Row],[STATUS PROCESSO MOBILIZAÇÃO]]="Cancelado",Tabela1[[#This Row],[DATA FIM - ALTER. CONTRATUAL]]=""),0,
AND(Tabela1[[#This Row],[STATUS PROCESSO MOBILIZAÇÃO]]="Cancelado",Tabela1[[#This Row],[DATA FIM - ALTER. CONTRATUAL]]&lt;&gt;""),1,
AND(Tabela1[[#This Row],[STATUS PROCESSO MOBILIZAÇÃO]]="Finalizado",Tabela1[[#This Row],[DATA FIM - ALTER. CONTRATUAL]]=""),0,
AND(Tabela1[[#This Row],[STATUS PROCESSO MOBILIZAÇÃO]]="Finalizado",Tabela1[[#This Row],[DATA FIM - ALTER. CONTRATUAL]]&lt;&gt;""),1,
AND(Tabela1[[#This Row],[STATUS PROCESSO MOBILIZAÇÃO]]="Em andamento",Tabela1[[#This Row],[DATA FIM - ALTER. CONTRATUAL]]="",$BB289&gt;$AZ$1),2,
AND(Tabela1[[#This Row],[STATUS PROCESSO MOBILIZAÇÃO]]="Em andamento",Tabela1[[#This Row],[DATA FIM - ALTER. CONTRATUAL]]="",$BB289&lt;=$AZ$1),3,
AND(Tabela1[[#This Row],[STATUS PROCESSO MOBILIZAÇÃO]]="Em andamento",Tabela1[[#This Row],[DATA FIM - ALTER. CONTRATUAL]]&lt;&gt;""),1)</f>
        <v>#N/A</v>
      </c>
      <c r="N289" s="16" t="e" cm="1">
        <f t="array" aca="1" ref="N289" ca="1">_xlfn.IFS(
AND(Tabela1[[#This Row],[STATUS PROCESSO MOBILIZAÇÃO]]="Cancelado",Tabela1[[#This Row],[DATA REAL - DOSSIÊ]]=""),0,
AND(Tabela1[[#This Row],[STATUS PROCESSO MOBILIZAÇÃO]]="Cancelado",Tabela1[[#This Row],[DATA REAL - DOSSIÊ]]&lt;&gt;""),1,
AND(Tabela1[[#This Row],[STATUS PROCESSO MOBILIZAÇÃO]]="Finalizado",Tabela1[[#This Row],[DATA REAL - DOSSIÊ]]=""),0,
AND(Tabela1[[#This Row],[STATUS PROCESSO MOBILIZAÇÃO]]="Finalizado",Tabela1[[#This Row],[DATA REAL - DOSSIÊ]]&lt;&gt;""),1,
AND(Tabela1[[#This Row],[STATUS PROCESSO MOBILIZAÇÃO]]="Em andamento",Tabela1[[#This Row],[DATA REAL - DOSSIÊ]]="",$BE289&gt;$BC$1),2,
AND(Tabela1[[#This Row],[STATUS PROCESSO MOBILIZAÇÃO]]="Em andamento",Tabela1[[#This Row],[DATA REAL - DOSSIÊ]]="",$BE289&lt;=$BC$1),3,
AND(Tabela1[[#This Row],[STATUS PROCESSO MOBILIZAÇÃO]]="Em andamento",Tabela1[[#This Row],[DATA REAL - DOSSIÊ]]&lt;&gt;""),1)</f>
        <v>#N/A</v>
      </c>
      <c r="O289" s="16" t="e" cm="1">
        <f t="array" aca="1" ref="O289" ca="1">_xlfn.IFS(
AND(Tabela1[[#This Row],[STATUS PROCESSO MOBILIZAÇÃO]]="Cancelado",Tabela1[[#This Row],[DATA REAL - POSTAGEM]]=""),0,
AND(Tabela1[[#This Row],[STATUS PROCESSO MOBILIZAÇÃO]]="Cancelado",Tabela1[[#This Row],[DATA REAL - POSTAGEM]]&lt;&gt;""),1,
AND(Tabela1[[#This Row],[STATUS PROCESSO MOBILIZAÇÃO]]="Finalizado",Tabela1[[#This Row],[DATA REAL - POSTAGEM]]=""),0,
AND(Tabela1[[#This Row],[STATUS PROCESSO MOBILIZAÇÃO]]="Finalizado",Tabela1[[#This Row],[DATA REAL - POSTAGEM]]&lt;&gt;""),1,
AND(Tabela1[[#This Row],[STATUS PROCESSO MOBILIZAÇÃO]]="Em andamento",Tabela1[[#This Row],[DATA REAL - POSTAGEM]]="",$BH289&gt;$BF$1),2,
AND(Tabela1[[#This Row],[STATUS PROCESSO MOBILIZAÇÃO]]="Em andamento",Tabela1[[#This Row],[DATA REAL - POSTAGEM]]="",$BH289&lt;=$BF$1),3,
AND(Tabela1[[#This Row],[STATUS PROCESSO MOBILIZAÇÃO]]="Em andamento",Tabela1[[#This Row],[DATA REAL - POSTAGEM]]&lt;&gt;""),1)</f>
        <v>#N/A</v>
      </c>
      <c r="P289" s="16" t="e" cm="1">
        <f t="array" aca="1" ref="P289" ca="1">_xlfn.IFS(
AND(Tabela1[[#This Row],[STATUS PROCESSO MOBILIZAÇÃO]]="Cancelado",Tabela1[[#This Row],[DATA REAL - APROV FINAL]]=""),0,
AND(Tabela1[[#This Row],[STATUS PROCESSO MOBILIZAÇÃO]]="Cancelado",Tabela1[[#This Row],[DATA REAL - APROV FINAL]]&lt;&gt;""),1,
AND(Tabela1[[#This Row],[STATUS PROCESSO MOBILIZAÇÃO]]="Finalizado",Tabela1[[#This Row],[DATA REAL - APROV FINAL]]=""),0,
AND(Tabela1[[#This Row],[STATUS PROCESSO MOBILIZAÇÃO]]="Finalizado",Tabela1[[#This Row],[DATA REAL - APROV FINAL]]&lt;&gt;""),1,
AND(Tabela1[[#This Row],[STATUS PROCESSO MOBILIZAÇÃO]]="Em andamento",Tabela1[[#This Row],[DATA REAL - APROV FINAL]]="",$BK289&gt;$BI$1),2,
AND(Tabela1[[#This Row],[STATUS PROCESSO MOBILIZAÇÃO]]="Em andamento",Tabela1[[#This Row],[DATA REAL - APROV FINAL]]="",$BK289&lt;=$BI$1),3,
AND(Tabela1[[#This Row],[STATUS PROCESSO MOBILIZAÇÃO]]="Em andamento",Tabela1[[#This Row],[DATA REAL - APROV FINAL]]&lt;&gt;""),1)</f>
        <v>#N/A</v>
      </c>
      <c r="Q289" s="16" t="e" cm="1">
        <f t="array" aca="1" ref="Q289" ca="1">_xlfn.IFS(
AND(Tabela1[[#This Row],[STATUS PROCESSO MOBILIZAÇÃO]]="Cancelado",Tabela1[[#This Row],[DATA REAL - CRACHÁ]]=""),0,
AND(Tabela1[[#This Row],[STATUS PROCESSO MOBILIZAÇÃO]]="Cancelado",Tabela1[[#This Row],[DATA REAL - CRACHÁ]]&lt;&gt;""),1,
AND(Tabela1[[#This Row],[STATUS PROCESSO MOBILIZAÇÃO]]="Finalizado",Tabela1[[#This Row],[DATA REAL - CRACHÁ]]=""),0,
AND(Tabela1[[#This Row],[STATUS PROCESSO MOBILIZAÇÃO]]="Finalizado",Tabela1[[#This Row],[DATA REAL - CRACHÁ]]&lt;&gt;""),1,
AND(Tabela1[[#This Row],[STATUS PROCESSO MOBILIZAÇÃO]]="Em andamento",Tabela1[[#This Row],[DATA REAL - CRACHÁ]]="",$BN289&gt;$BL$1),2,
AND(Tabela1[[#This Row],[STATUS PROCESSO MOBILIZAÇÃO]]="Em andamento",Tabela1[[#This Row],[DATA REAL - CRACHÁ]]="",$BN289&lt;=$BL$1),3,
AND(Tabela1[[#This Row],[STATUS PROCESSO MOBILIZAÇÃO]]="Em andamento",Tabela1[[#This Row],[DATA REAL - CRACHÁ]]&lt;&gt;""),1)</f>
        <v>#N/A</v>
      </c>
      <c r="R289" s="21">
        <f>IF(Tabela1[[#This Row],[DATA REAL - FORMS]]&lt;&gt;"",Tabela1[[#This Row],[DATA REAL - FORMS]]+30,Tabela1[[#This Row],[DATA PREV - FORMS]]+35)</f>
        <v>35</v>
      </c>
      <c r="S289" s="21">
        <f>IF(Tabela1[[#This Row],[STATUS PROCESSO MOBILIZAÇÃO]]&lt;&gt;"Em andamento",MAX(Tabela1[[#This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T289" s="49">
        <f ca="1">IF(Tabela1[[#This Row],[DATA REAL FINALIZAÇÃO]]&lt;&gt;"",Tabela1[[#This Row],[DATA REAL FINALIZAÇÃO]]-MIN(Tabela1[[#This Row],[DATA REAL]],Tabela1[[#This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0</v>
      </c>
      <c r="U289" s="49">
        <f ca="1">IF(Tabela1[[#This Row],[DATA REAL FINALIZAÇÃO]]&lt;&gt;"",MAX(Tabela1[[#This Row],[DATA REAL]],Tabela1[[#This Row],[DATA REAL - FORMS]],Tabela1[[#This Row],[DATA REAL - EXAMES]],Tabela1[[#This Row],[DATA REAL - ASO]],Tabela1[[#This Row],[DATA REAL - TREINAMENTOS]],Tabela1[[#This Row],[DATA REAL - CONCL. TREIN.]],Tabela1[[#This Row],[DATA REAL - DOSSIÊ]])-MIN(Tabela1[[#This Row],[DATA REAL]],Tabela1[[#This Row],[DATA REAL - FORMS]],Tabela1[[#This Row],[DATA REAL - EXAMES]],Tabela1[[#This Row],[DATA REAL - ASO]],Tabela1[[#This Row],[DATA REAL - TREINAMENTOS]],Tabela1[[#This Row],[DATA REAL - CONCL. TREIN.]],Tabela1[[#This Row],[DATA REAL - DOSSIÊ]]),TODAY()-MIN(Tabela1[[#This Row],[DATA REAL]],Tabela1[[#This Row],[DATA REAL - FORMS]],Tabela1[[#This Row],[DATA REAL - EXAMES]],Tabela1[[#This Row],[DATA REAL - ASO]],Tabela1[[#This Row],[DATA REAL - TREINAMENTOS]],Tabela1[[#This Row],[DATA REAL - CONCL. TREIN.]],Tabela1[[#This Row],[DATA REAL - DOSSIÊ]]))</f>
        <v>0</v>
      </c>
      <c r="V289" s="49">
        <f>MAX(Tabela1[[#This Row],[DATA REAL - POSTAGEM]],Tabela1[[#This Row],[DATA REAL - APROV FINAL]],Tabela1[[#This Row],[DATA REAL - CRACHÁ]])-MIN(Tabela1[[#This Row],[DATA REAL - POSTAGEM]],Tabela1[[#This Row],[DATA REAL - APROV FINAL]],Tabela1[[#This Row],[DATA REAL - CRACHÁ]])+1</f>
        <v>1</v>
      </c>
      <c r="W289" s="49">
        <f ca="1">IF(IF(Tabela1[[#This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CRACHÁ]]))&lt;0,"",IF(Tabela1[[#This Row],[DATA REAL]]&lt;&gt;"",Tabela1[[#This Row],[DATA REAL]]-MIN(Tabela1[[#This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CRACHÁ]]),TODAY()-MIN(Tabela1[[#This Row],[DATA REAL - FORMS]],Tabela1[[#This Row],[DATA REAL - EXAMES]],Tabela1[[#This Row],[DATA REAL - ASO]],Tabela1[[#This Row],[DATA REAL - TREINAMENTOS]],Tabela1[[#This Row],[DATA REAL - CONCL. TREIN.]],Tabela1[[#This Row],[DATA FIM - ALTER. CONTRATUAL]],Tabela1[[#This Row],[DATA REAL - DOSSIÊ]],Tabela1[[#This Row],[DATA REAL - POSTAGEM]],Tabela1[[#This Row],[DATA REAL - APROV FINAL]],Tabela1[[#This Row],[DATA REAL - CRACHÁ]])))</f>
        <v>46274</v>
      </c>
      <c r="X289" s="16"/>
      <c r="Y289" s="16"/>
      <c r="Z289" s="16" t="str">
        <f>_xlfn.XLOOKUP(Tabela1[[#This Row],[COO PHD]],TabControleEfetivo[NOME],TabControleEfetivo[email (PHD)],"")</f>
        <v/>
      </c>
      <c r="AA289" s="16"/>
      <c r="AB289" s="16"/>
      <c r="AC289" s="16"/>
      <c r="AD289" s="16"/>
      <c r="AE289" s="16"/>
      <c r="AF289" s="16"/>
      <c r="AG289" s="16" t="str">
        <f>_xlfn.XLOOKUP(Tabela1[[#This Row],[CÓD. CT]],Controle_Projetos[COD CT],Controle_Projetos[COD PHD],"")</f>
        <v/>
      </c>
      <c r="AH289" s="21"/>
      <c r="AI289" s="76"/>
      <c r="AJ289" s="16" t="str" cm="1">
        <f t="array" aca="1" ref="AJ289" ca="1">IF(_xlfn.IFS(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PREV]]+1)&lt;0,"",_xlfn.IFS(
Tabela1[[#This Row],[DATA PREV]]="","",
AND(Tabela1[[#This Row],[DATA REAL]]&lt;&gt;"",OR(Tabela1[[#This Row],[STATUS PROCESSO MOBILIZAÇÃO]]="Finalizado",Tabela1[[#This Row],[STATUS PROCESSO MOBILIZAÇÃO]]="Cancelado")),(Tabela1[[#This Row],[DATA REAL]]-Tabela1[[#This Row],[DATA PREV]]+1),
AND(Tabela1[[#This Row],[DATA REAL]]="",OR(Tabela1[[#This Row],[STATUS PROCESSO MOBILIZAÇÃO]]="Finalizado",Tabela1[[#This Row],[STATUS PROCESSO MOBILIZAÇÃO]]="Cancelado")),(Tabela1[[#This Row],[DATA PREV]]-Tabela1[[#This Row],[DATA PREV]]+1),
AND(Tabela1[[#This Row],[DATA REAL]]&lt;&gt;"",Tabela1[[#This Row],[STATUS PROCESSO MOBILIZAÇÃO]]="Em andamento"),(Tabela1[[#This Row],[DATA REAL]]-Tabela1[[#This Row],[DATA PREV]]+1),
AND(Tabela1[[#This Row],[DATA REAL]]="",Tabela1[[#This Row],[STATUS PROCESSO MOBILIZAÇÃO]]="Em andamento"),TODAY()-Tabela1[[#This Row],[DATA PREV]]+1))</f>
        <v/>
      </c>
      <c r="AK289" s="21"/>
      <c r="AL289" s="74"/>
      <c r="AM289" s="16" t="str" cm="1">
        <f t="array" aca="1" ref="AM289" ca="1">_xlfn.IFS(
Tabela1[[#This Row],[DATA PREV - FORMS]]="","",
AND(Tabela1[[#This Row],[DATA REAL - FORMS]]&lt;&gt;"",OR(Tabela1[[#This Row],[STATUS PROCESSO MOBILIZAÇÃO]]="Finalizado",Tabela1[[#This Row],[STATUS PROCESSO MOBILIZAÇÃO]]="Cancelado")),Tabela1[[#This Row],[DATA REAL - FORMS]]-Tabela1[[#This Row],[DATA PREV - FORMS]]+1,
AND(Tabela1[[#This Row],[DATA REAL - FORMS]]="",OR(Tabela1[[#This Row],[STATUS PROCESSO MOBILIZAÇÃO]]="Finalizado",Tabela1[[#This Row],[STATUS PROCESSO MOBILIZAÇÃO]]="Cancelado")),Tabela1[[#This Row],[DATA PREV - FORMS]]-Tabela1[[#This Row],[DATA PREV - FORMS]]+1,
AND(Tabela1[[#This Row],[DATA REAL - FORMS]]&lt;&gt;"",Tabela1[[#This Row],[STATUS PROCESSO MOBILIZAÇÃO]]="Em andamento"),Tabela1[[#This Row],[DATA REAL - FORMS]]-Tabela1[[#This Row],[DATA PREV - FORMS]]+1,
AND(Tabela1[[#This Row],[DATA REAL - FORMS]]="",Tabela1[[#This Row],[STATUS PROCESSO MOBILIZAÇÃO]]="Em andamento"),TODAY()-Tabela1[[#This Row],[DATA PREV - FORMS]]+1)</f>
        <v/>
      </c>
      <c r="AN289" s="21"/>
      <c r="AO289" s="74"/>
      <c r="AP289" s="16" t="str" cm="1">
        <f t="array" aca="1" ref="AP289" ca="1">_xlfn.IFS(
Tabela1[[#This Row],[DATA PREV - EXAMES]]="","",
AND(Tabela1[[#This Row],[DATA REAL - EXAMES]]&lt;&gt;"",OR(Tabela1[[#This Row],[STATUS PROCESSO MOBILIZAÇÃO]]="Finalizado",Tabela1[[#This Row],[STATUS PROCESSO MOBILIZAÇÃO]]="Cancelado")),Tabela1[[#This Row],[DATA REAL - EXAMES]]-Tabela1[[#This Row],[DATA PREV - EXAMES]]+1,
AND(Tabela1[[#This Row],[DATA REAL - EXAMES]]="",OR(Tabela1[[#This Row],[STATUS PROCESSO MOBILIZAÇÃO]]="Finalizado",Tabela1[[#This Row],[STATUS PROCESSO MOBILIZAÇÃO]]="Cancelado")),Tabela1[[#This Row],[DATA PREV - EXAMES]]-Tabela1[[#This Row],[DATA PREV - EXAMES]]+1,
AND(Tabela1[[#This Row],[DATA REAL - EXAMES]]&lt;&gt;"",Tabela1[[#This Row],[STATUS PROCESSO MOBILIZAÇÃO]]="Em andamento"),Tabela1[[#This Row],[DATA REAL - EXAMES]]-Tabela1[[#This Row],[DATA PREV - EXAMES]]+1,
AND(Tabela1[[#This Row],[DATA REAL - EXAMES]]="",Tabela1[[#This Row],[STATUS PROCESSO MOBILIZAÇÃO]]="Em andamento"),TODAY()-Tabela1[[#This Row],[DATA PREV - EXAMES]]+1)</f>
        <v/>
      </c>
      <c r="AQ289" s="21"/>
      <c r="AR289" s="74"/>
      <c r="AS289" s="16" t="str" cm="1">
        <f t="array" aca="1" ref="AS289" ca="1">_xlfn.IFS(
Tabela1[[#This Row],[DATA PREV - ASO]]="","",
AND(Tabela1[[#This Row],[DATA REAL - ASO]]&lt;&gt;"",OR(Tabela1[[#This Row],[STATUS PROCESSO MOBILIZAÇÃO]]="Finalizado",Tabela1[[#This Row],[STATUS PROCESSO MOBILIZAÇÃO]]="Cancelado")),Tabela1[[#This Row],[DATA REAL - ASO]]-Tabela1[[#This Row],[DATA PREV - ASO]]+1,
AND(Tabela1[[#This Row],[DATA REAL - ASO]]="",OR(Tabela1[[#This Row],[STATUS PROCESSO MOBILIZAÇÃO]]="Finalizado",Tabela1[[#This Row],[STATUS PROCESSO MOBILIZAÇÃO]]="Cancelado")),Tabela1[[#This Row],[DATA PREV - ASO]]-Tabela1[[#This Row],[DATA PREV - ASO]]+1,
AND(Tabela1[[#This Row],[DATA REAL - ASO]]&lt;&gt;"",Tabela1[[#This Row],[STATUS PROCESSO MOBILIZAÇÃO]]="Em andamento"),Tabela1[[#This Row],[DATA REAL - ASO]]-Tabela1[[#This Row],[DATA PREV - ASO]]+1,
AND(Tabela1[[#This Row],[DATA REAL - ASO]]="",Tabela1[[#This Row],[STATUS PROCESSO MOBILIZAÇÃO]]="Em andamento"),TODAY()-Tabela1[[#This Row],[DATA PREV - ASO]]+1)</f>
        <v/>
      </c>
      <c r="AT289" s="21"/>
      <c r="AU289" s="74"/>
      <c r="AV289" s="16" t="str" cm="1">
        <f t="array" aca="1" ref="AV289" ca="1">_xlfn.IFS(
Tabela1[[#This Row],[DATA PREV - TREINAMENTOS]]="","",
AND(Tabela1[[#This Row],[DATA REAL - TREINAMENTOS]]&lt;&gt;"",OR(Tabela1[[#This Row],[STATUS PROCESSO MOBILIZAÇÃO]]="Finalizado",Tabela1[[#This Row],[STATUS PROCESSO MOBILIZAÇÃO]]="Cancelado")),Tabela1[[#This Row],[DATA REAL - TREINAMENTOS]]-Tabela1[[#This Row],[DATA PREV - TREINAMENTOS]]+1,
AND(Tabela1[[#This Row],[DATA REAL - TREINAMENTOS]]="",OR(Tabela1[[#This Row],[STATUS PROCESSO MOBILIZAÇÃO]]="Finalizado",Tabela1[[#This Row],[STATUS PROCESSO MOBILIZAÇÃO]]="Cancelado")),Tabela1[[#This Row],[DATA PREV - TREINAMENTOS]]-Tabela1[[#This Row],[DATA PREV - TREINAMENTOS]]+1,
AND(Tabela1[[#This Row],[DATA REAL - TREINAMENTOS]]&lt;&gt;"",Tabela1[[#This Row],[STATUS PROCESSO MOBILIZAÇÃO]]="Em andamento"),Tabela1[[#This Row],[DATA REAL - TREINAMENTOS]]-Tabela1[[#This Row],[DATA PREV - TREINAMENTOS]]+1,
AND(Tabela1[[#This Row],[DATA REAL - TREINAMENTOS]]="",Tabela1[[#This Row],[STATUS PROCESSO MOBILIZAÇÃO]]="Em andamento"),TODAY()-Tabela1[[#This Row],[DATA PREV - TREINAMENTOS]]+1)</f>
        <v/>
      </c>
      <c r="AW289" s="21"/>
      <c r="AX289" s="74"/>
      <c r="AY289" s="16" t="str" cm="1">
        <f t="array" aca="1" ref="AY289" ca="1">_xlfn.IFS(
Tabela1[[#This Row],[DATA PREV - CONCL. TREIN.]]="","",
AND(Tabela1[[#This Row],[DATA REAL - CONCL. TREIN.]]&lt;&gt;"",OR(Tabela1[[#This Row],[STATUS PROCESSO MOBILIZAÇÃO]]="Finalizado",Tabela1[[#This Row],[STATUS PROCESSO MOBILIZAÇÃO]]="Cancelado")),Tabela1[[#This Row],[DATA REAL - CONCL. TREIN.]]-Tabela1[[#This Row],[DATA PREV - CONCL. TREIN.]]+1,
AND(Tabela1[[#This Row],[DATA REAL - CONCL. TREIN.]]="",OR(Tabela1[[#This Row],[STATUS PROCESSO MOBILIZAÇÃO]]="Finalizado",Tabela1[[#This Row],[STATUS PROCESSO MOBILIZAÇÃO]]="Cancelado")),Tabela1[[#This Row],[DATA PREV - CONCL. TREIN.]]-Tabela1[[#This Row],[DATA PREV - CONCL. TREIN.]]+1,
AND(Tabela1[[#This Row],[DATA REAL - CONCL. TREIN.]]&lt;&gt;"",Tabela1[[#This Row],[STATUS PROCESSO MOBILIZAÇÃO]]="Em andamento"),Tabela1[[#This Row],[DATA REAL - CONCL. TREIN.]]-Tabela1[[#This Row],[DATA PREV - CONCL. TREIN.]]+1,
AND(Tabela1[[#This Row],[DATA REAL - CONCL. TREIN.]]="",Tabela1[[#This Row],[STATUS PROCESSO MOBILIZAÇÃO]]="Em andamento"),TODAY()-Tabela1[[#This Row],[DATA PREV - CONCL. TREIN.]]+1)</f>
        <v/>
      </c>
      <c r="AZ289" s="128"/>
      <c r="BA289" s="74"/>
      <c r="BB289" s="16" t="str" cm="1">
        <f t="array" aca="1" ref="BB289" ca="1">_xlfn.IFS(
Tabela1[[#This Row],[DATA INICIO - ALTER. CONTRATUAL]]="","",
AND(Tabela1[[#This Row],[DATA FIM - ALTER. CONTRATUAL]]&lt;&gt;"",OR(Tabela1[[#This Row],[STATUS PROCESSO MOBILIZAÇÃO]]="Finalizado",Tabela1[[#This Row],[STATUS PROCESSO MOBILIZAÇÃO]]="Cancelado")),Tabela1[[#This Row],[DATA FIM - ALTER. CONTRATUAL]]-Tabela1[[#This Row],[DATA INICIO - ALTER. CONTRATUAL]]+1,
AND(Tabela1[[#This Row],[DATA FIM - ALTER. CONTRATUAL]]="",OR(Tabela1[[#This Row],[STATUS PROCESSO MOBILIZAÇÃO]]="Finalizado",Tabela1[[#This Row],[STATUS PROCESSO MOBILIZAÇÃO]]="Cancelado")),Tabela1[[#This Row],[DATA INICIO - ALTER. CONTRATUAL]]-Tabela1[[#This Row],[DATA INICIO - ALTER. CONTRATUAL]]+1,
AND(Tabela1[[#This Row],[DATA FIM - ALTER. CONTRATUAL]]&lt;&gt;"",Tabela1[[#This Row],[STATUS PROCESSO MOBILIZAÇÃO]]="Em andamento"),Tabela1[[#This Row],[DATA FIM - ALTER. CONTRATUAL]]-Tabela1[[#This Row],[DATA INICIO - ALTER. CONTRATUAL]]+1,
AND(Tabela1[[#This Row],[DATA FIM - ALTER. CONTRATUAL]]="",Tabela1[[#This Row],[STATUS PROCESSO MOBILIZAÇÃO]]="Em andamento"),TODAY()-Tabela1[[#This Row],[DATA INICIO - ALTER. CONTRATUAL]]+1)</f>
        <v/>
      </c>
      <c r="BC289" s="21"/>
      <c r="BD289" s="74"/>
      <c r="BE289" s="16" t="str" cm="1">
        <f t="array" aca="1" ref="BE289" ca="1">_xlfn.IFS(
Tabela1[[#This Row],[DATA PREV - DOSSIÊ]]="","",
AND(Tabela1[[#This Row],[DATA REAL - DOSSIÊ]]&lt;&gt;"",OR(Tabela1[[#This Row],[STATUS PROCESSO MOBILIZAÇÃO]]="Finalizado",Tabela1[[#This Row],[STATUS PROCESSO MOBILIZAÇÃO]]="Cancelado")),Tabela1[[#This Row],[DATA REAL - DOSSIÊ]]-Tabela1[[#This Row],[DATA PREV - DOSSIÊ]]+1,
AND(Tabela1[[#This Row],[DATA REAL - DOSSIÊ]]="",OR(Tabela1[[#This Row],[STATUS PROCESSO MOBILIZAÇÃO]]="Finalizado",Tabela1[[#This Row],[STATUS PROCESSO MOBILIZAÇÃO]]="Cancelado")),Tabela1[[#This Row],[DATA PREV - DOSSIÊ]]-Tabela1[[#This Row],[DATA PREV - DOSSIÊ]]+1,
AND(Tabela1[[#This Row],[DATA REAL - DOSSIÊ]]&lt;&gt;"",Tabela1[[#This Row],[STATUS PROCESSO MOBILIZAÇÃO]]="Em andamento"),Tabela1[[#This Row],[DATA REAL - DOSSIÊ]]-Tabela1[[#This Row],[DATA PREV - DOSSIÊ]]+1,
AND(Tabela1[[#This Row],[DATA REAL - DOSSIÊ]]="",Tabela1[[#This Row],[STATUS PROCESSO MOBILIZAÇÃO]]="Em andamento"),TODAY()-Tabela1[[#This Row],[DATA PREV - DOSSIÊ]]+1)</f>
        <v/>
      </c>
      <c r="BF289" s="21"/>
      <c r="BG289" s="74"/>
      <c r="BH289" s="16" t="str" cm="1">
        <f t="array" aca="1" ref="BH289" ca="1">_xlfn.IFS(
Tabela1[[#This Row],[DATA PREV - POSTAGEM]]="","",
AND(Tabela1[[#This Row],[DATA REAL - POSTAGEM]]&lt;&gt;"",OR(Tabela1[[#This Row],[STATUS PROCESSO MOBILIZAÇÃO]]="Finalizado",Tabela1[[#This Row],[STATUS PROCESSO MOBILIZAÇÃO]]="Cancelado")),Tabela1[[#This Row],[DATA REAL - POSTAGEM]]-Tabela1[[#This Row],[DATA PREV - POSTAGEM]]+1,
AND(Tabela1[[#This Row],[DATA REAL - POSTAGEM]]="",OR(Tabela1[[#This Row],[STATUS PROCESSO MOBILIZAÇÃO]]="Finalizado",Tabela1[[#This Row],[STATUS PROCESSO MOBILIZAÇÃO]]="Cancelado")),Tabela1[[#This Row],[DATA PREV - POSTAGEM]]-Tabela1[[#This Row],[DATA PREV - POSTAGEM]]+1,
AND(Tabela1[[#This Row],[DATA REAL - POSTAGEM]]&lt;&gt;"",Tabela1[[#This Row],[STATUS PROCESSO MOBILIZAÇÃO]]="Em andamento"),Tabela1[[#This Row],[DATA REAL - POSTAGEM]]-Tabela1[[#This Row],[DATA PREV - POSTAGEM]]+1,
AND(Tabela1[[#This Row],[DATA REAL - POSTAGEM]]="",Tabela1[[#This Row],[STATUS PROCESSO MOBILIZAÇÃO]]="Em andamento"),TODAY()-Tabela1[[#This Row],[DATA PREV - POSTAGEM]]+1)</f>
        <v/>
      </c>
      <c r="BI289" s="21"/>
      <c r="BJ289" s="74"/>
      <c r="BK289" s="16" t="str" cm="1">
        <f t="array" aca="1" ref="BK289" ca="1">_xlfn.IFS(
Tabela1[[#This Row],[DATA PREV - APROV FINAL]]="","",
AND(Tabela1[[#This Row],[DATA REAL - APROV FINAL]]&lt;&gt;"",OR(Tabela1[[#This Row],[STATUS PROCESSO MOBILIZAÇÃO]]="Finalizado",Tabela1[[#This Row],[STATUS PROCESSO MOBILIZAÇÃO]]="Cancelado")),Tabela1[[#This Row],[DATA REAL - APROV FINAL]]-Tabela1[[#This Row],[DATA PREV - APROV FINAL]]+1,
AND(Tabela1[[#This Row],[DATA REAL - APROV FINAL]]="",OR(Tabela1[[#This Row],[STATUS PROCESSO MOBILIZAÇÃO]]="Finalizado",Tabela1[[#This Row],[STATUS PROCESSO MOBILIZAÇÃO]]="Cancelado")),Tabela1[[#This Row],[DATA PREV - APROV FINAL]]-Tabela1[[#This Row],[DATA PREV - APROV FINAL]]+1,
AND(Tabela1[[#This Row],[DATA REAL - APROV FINAL]]&lt;&gt;"",Tabela1[[#This Row],[STATUS PROCESSO MOBILIZAÇÃO]]="Em andamento"),Tabela1[[#This Row],[DATA REAL - APROV FINAL]]-Tabela1[[#This Row],[DATA PREV - APROV FINAL]]+1,
AND(Tabela1[[#This Row],[DATA REAL - APROV FINAL]]="",Tabela1[[#This Row],[STATUS PROCESSO MOBILIZAÇÃO]]="Em andamento"),TODAY()-Tabela1[[#This Row],[DATA PREV - APROV FINAL]]+1)</f>
        <v/>
      </c>
      <c r="BL289" s="21"/>
      <c r="BM289" s="74"/>
      <c r="BN289" s="16" t="str" cm="1">
        <f t="array" aca="1" ref="BN289" ca="1">_xlfn.IFS(
Tabela1[[#This Row],[DATA PREV - CRACHÁ]]="","",
AND(Tabela1[[#This Row],[DATA REAL - CRACHÁ]]&lt;&gt;"",OR(Tabela1[[#This Row],[STATUS PROCESSO MOBILIZAÇÃO]]="Finalizado",Tabela1[[#This Row],[STATUS PROCESSO MOBILIZAÇÃO]]="Cancelado")),Tabela1[[#This Row],[DATA REAL - CRACHÁ]]-Tabela1[[#This Row],[DATA PREV - CRACHÁ]]+1,
AND(Tabela1[[#This Row],[DATA REAL - CRACHÁ]]="",OR(Tabela1[[#This Row],[STATUS PROCESSO MOBILIZAÇÃO]]="Finalizado",Tabela1[[#This Row],[STATUS PROCESSO MOBILIZAÇÃO]]="Cancelado")),Tabela1[[#This Row],[DATA PREV - CRACHÁ]]-Tabela1[[#This Row],[DATA PREV - CRACHÁ]]+1,
AND(Tabela1[[#This Row],[DATA REAL - CRACHÁ]]&lt;&gt;"",Tabela1[[#This Row],[STATUS PROCESSO MOBILIZAÇÃO]]="Em andamento"),Tabela1[[#This Row],[DATA REAL - CRACHÁ]]-Tabela1[[#This Row],[DATA PREV - CRACHÁ]]+1,
AND(Tabela1[[#This Row],[DATA REAL - CRACHÁ]]="",Tabela1[[#This Row],[STATUS PROCESSO MOBILIZAÇÃO]]="Em andamento"),TODAY()-Tabela1[[#This Row],[DATA PREV - CRACHÁ]]+1)</f>
        <v/>
      </c>
      <c r="BO289" s="80"/>
    </row>
    <row r="290" spans="2:67" ht="18" customHeight="1" x14ac:dyDescent="0.35"/>
    <row r="291" spans="2:67" ht="18" customHeight="1" x14ac:dyDescent="0.35"/>
    <row r="292" spans="2:67" ht="18" customHeight="1" x14ac:dyDescent="0.35"/>
    <row r="293" spans="2:67" ht="18" customHeight="1" x14ac:dyDescent="0.35"/>
    <row r="294" spans="2:67" ht="18" customHeight="1" x14ac:dyDescent="0.35"/>
    <row r="295" spans="2:67" ht="18" customHeight="1" x14ac:dyDescent="0.35"/>
    <row r="296" spans="2:67" ht="18" customHeight="1" x14ac:dyDescent="0.35"/>
    <row r="297" spans="2:67" ht="18" customHeight="1" x14ac:dyDescent="0.35"/>
    <row r="298" spans="2:67" ht="18" customHeight="1" x14ac:dyDescent="0.35"/>
    <row r="299" spans="2:67" ht="18" customHeight="1" x14ac:dyDescent="0.35"/>
  </sheetData>
  <mergeCells count="11">
    <mergeCell ref="AW2:AY2"/>
    <mergeCell ref="AH2:AJ2"/>
    <mergeCell ref="AK2:AM2"/>
    <mergeCell ref="AN2:AP2"/>
    <mergeCell ref="AQ2:AS2"/>
    <mergeCell ref="AT2:AV2"/>
    <mergeCell ref="AZ2:BB2"/>
    <mergeCell ref="BC2:BE2"/>
    <mergeCell ref="BF2:BH2"/>
    <mergeCell ref="BI2:BK2"/>
    <mergeCell ref="BL2:BN2"/>
  </mergeCells>
  <phoneticPr fontId="16" type="noConversion"/>
  <conditionalFormatting sqref="B1 AH2:BN2 R3:BE3 Z4:AA170 B4:B289 Z185:AA193 B192:C192 Z194 Z195:AA211">
    <cfRule type="expression" dxfId="77" priority="94">
      <formula>_xlfn.ISFORMULA(B1)</formula>
    </cfRule>
  </conditionalFormatting>
  <conditionalFormatting sqref="B171:C184">
    <cfRule type="expression" dxfId="76" priority="51">
      <formula>_xlfn.ISFORMULA(B171)</formula>
    </cfRule>
  </conditionalFormatting>
  <conditionalFormatting sqref="B3:E3">
    <cfRule type="expression" dxfId="75" priority="93">
      <formula>_xlfn.ISFORMULA(B3)</formula>
    </cfRule>
  </conditionalFormatting>
  <conditionalFormatting sqref="C185:C191">
    <cfRule type="expression" dxfId="74" priority="48">
      <formula>_xlfn.ISFORMULA(C185)</formula>
    </cfRule>
  </conditionalFormatting>
  <conditionalFormatting sqref="D4:D289">
    <cfRule type="containsText" dxfId="73" priority="32" operator="containsText" text="Desmobilizado">
      <formula>NOT(ISERROR(SEARCH("Desmobilizado",D4)))</formula>
    </cfRule>
    <cfRule type="containsText" dxfId="72" priority="55" operator="containsText" text="Mobilizado">
      <formula>NOT(ISERROR(SEARCH("Mobilizado",D4)))</formula>
    </cfRule>
    <cfRule type="containsText" dxfId="71" priority="47" operator="containsText" text="Cancelado">
      <formula>NOT(ISERROR(SEARCH("Cancelado",D4)))</formula>
    </cfRule>
  </conditionalFormatting>
  <conditionalFormatting sqref="D131:D169">
    <cfRule type="containsText" dxfId="70" priority="56" operator="containsText" text="Mobilizado">
      <formula>NOT(ISERROR(SEARCH("Mobilizado",D131)))</formula>
    </cfRule>
  </conditionalFormatting>
  <conditionalFormatting sqref="E171:E186">
    <cfRule type="expression" dxfId="69" priority="50">
      <formula>_xlfn.ISFORMULA(E171)</formula>
    </cfRule>
  </conditionalFormatting>
  <conditionalFormatting sqref="F3:Q3">
    <cfRule type="expression" dxfId="68" priority="92">
      <formula>_xlfn.ISFORMULA(F3)</formula>
    </cfRule>
  </conditionalFormatting>
  <conditionalFormatting sqref="Z226:Z227">
    <cfRule type="expression" dxfId="67" priority="22">
      <formula>_xlfn.ISFORMULA(Z226)</formula>
    </cfRule>
  </conditionalFormatting>
  <conditionalFormatting sqref="Z224:AA225">
    <cfRule type="expression" dxfId="66" priority="23">
      <formula>_xlfn.ISFORMULA(Z224)</formula>
    </cfRule>
  </conditionalFormatting>
  <conditionalFormatting sqref="Z171:AB184">
    <cfRule type="expression" dxfId="65" priority="49">
      <formula>_xlfn.ISFORMULA(Z171)</formula>
    </cfRule>
  </conditionalFormatting>
  <conditionalFormatting sqref="AA194">
    <cfRule type="expression" dxfId="64" priority="31">
      <formula>_xlfn.ISFORMULA(AA194)</formula>
    </cfRule>
  </conditionalFormatting>
  <conditionalFormatting sqref="AA212:AA221">
    <cfRule type="expression" dxfId="63" priority="25">
      <formula>_xlfn.ISFORMULA(AA212)</formula>
    </cfRule>
  </conditionalFormatting>
  <conditionalFormatting sqref="AA226:AA227">
    <cfRule type="expression" dxfId="62" priority="21">
      <formula>_xlfn.ISFORMULA(AA226)</formula>
    </cfRule>
  </conditionalFormatting>
  <conditionalFormatting sqref="AA229">
    <cfRule type="expression" dxfId="61" priority="20">
      <formula>_xlfn.ISFORMULA(AA229)</formula>
    </cfRule>
  </conditionalFormatting>
  <conditionalFormatting sqref="AA232:AA237">
    <cfRule type="expression" dxfId="60" priority="18">
      <formula>_xlfn.ISFORMULA(AA232)</formula>
    </cfRule>
  </conditionalFormatting>
  <conditionalFormatting sqref="AA243:AA244">
    <cfRule type="expression" dxfId="59" priority="15">
      <formula>_xlfn.ISFORMULA(AA243)</formula>
    </cfRule>
  </conditionalFormatting>
  <conditionalFormatting sqref="AA251:AA256">
    <cfRule type="expression" dxfId="58" priority="14">
      <formula>_xlfn.ISFORMULA(AA251)</formula>
    </cfRule>
  </conditionalFormatting>
  <conditionalFormatting sqref="AA258:AA260">
    <cfRule type="expression" dxfId="57" priority="12">
      <formula>_xlfn.ISFORMULA(AA258)</formula>
    </cfRule>
  </conditionalFormatting>
  <conditionalFormatting sqref="AA263:AA264">
    <cfRule type="expression" dxfId="56" priority="11">
      <formula>_xlfn.ISFORMULA(AA263)</formula>
    </cfRule>
  </conditionalFormatting>
  <conditionalFormatting sqref="AA267:AA270">
    <cfRule type="expression" dxfId="55" priority="8">
      <formula>_xlfn.ISFORMULA(AA267)</formula>
    </cfRule>
  </conditionalFormatting>
  <conditionalFormatting sqref="AA272:AA273">
    <cfRule type="expression" dxfId="54" priority="6">
      <formula>_xlfn.ISFORMULA(AA272)</formula>
    </cfRule>
  </conditionalFormatting>
  <conditionalFormatting sqref="AA275:AA278">
    <cfRule type="expression" dxfId="53" priority="4">
      <formula>_xlfn.ISFORMULA(AA275)</formula>
    </cfRule>
  </conditionalFormatting>
  <conditionalFormatting sqref="AA283:AA284">
    <cfRule type="expression" dxfId="52" priority="3">
      <formula>_xlfn.ISFORMULA(AA283)</formula>
    </cfRule>
  </conditionalFormatting>
  <conditionalFormatting sqref="AA287:AA288">
    <cfRule type="expression" dxfId="51" priority="1">
      <formula>_xlfn.ISFORMULA(AA287)</formula>
    </cfRule>
  </conditionalFormatting>
  <conditionalFormatting sqref="AK1">
    <cfRule type="expression" dxfId="50" priority="78">
      <formula>_xlfn.ISFORMULA(AK1)</formula>
    </cfRule>
  </conditionalFormatting>
  <conditionalFormatting sqref="AN1">
    <cfRule type="expression" dxfId="49" priority="75">
      <formula>_xlfn.ISFORMULA(AN1)</formula>
    </cfRule>
  </conditionalFormatting>
  <conditionalFormatting sqref="AQ1">
    <cfRule type="expression" dxfId="48" priority="73">
      <formula>_xlfn.ISFORMULA(AQ1)</formula>
    </cfRule>
  </conditionalFormatting>
  <conditionalFormatting sqref="AT1">
    <cfRule type="expression" dxfId="47" priority="71">
      <formula>_xlfn.ISFORMULA(AT1)</formula>
    </cfRule>
  </conditionalFormatting>
  <conditionalFormatting sqref="AW1">
    <cfRule type="expression" dxfId="46" priority="63">
      <formula>_xlfn.ISFORMULA(AW1)</formula>
    </cfRule>
  </conditionalFormatting>
  <conditionalFormatting sqref="AZ1">
    <cfRule type="expression" dxfId="45" priority="62">
      <formula>_xlfn.ISFORMULA(AZ1)</formula>
    </cfRule>
  </conditionalFormatting>
  <conditionalFormatting sqref="BC1">
    <cfRule type="expression" dxfId="44" priority="61">
      <formula>_xlfn.ISFORMULA(BC1)</formula>
    </cfRule>
  </conditionalFormatting>
  <conditionalFormatting sqref="BD167:BD168">
    <cfRule type="expression" dxfId="43" priority="33">
      <formula>_xlfn.ISFORMULA(BD167)</formula>
    </cfRule>
  </conditionalFormatting>
  <conditionalFormatting sqref="BF1">
    <cfRule type="expression" dxfId="42" priority="60">
      <formula>_xlfn.ISFORMULA(BF1)</formula>
    </cfRule>
  </conditionalFormatting>
  <conditionalFormatting sqref="BF3:BO3">
    <cfRule type="expression" dxfId="41" priority="88">
      <formula>_xlfn.ISFORMULA(BF3)</formula>
    </cfRule>
  </conditionalFormatting>
  <conditionalFormatting sqref="BG167:BG168">
    <cfRule type="expression" dxfId="40" priority="37">
      <formula>_xlfn.ISFORMULA(BG167)</formula>
    </cfRule>
  </conditionalFormatting>
  <conditionalFormatting sqref="BI1">
    <cfRule type="expression" dxfId="39" priority="59">
      <formula>_xlfn.ISFORMULA(BI1)</formula>
    </cfRule>
  </conditionalFormatting>
  <conditionalFormatting sqref="BJ167:BJ168">
    <cfRule type="expression" dxfId="38" priority="34">
      <formula>_xlfn.ISFORMULA(BJ167)</formula>
    </cfRule>
  </conditionalFormatting>
  <conditionalFormatting sqref="BL1">
    <cfRule type="expression" dxfId="37" priority="58">
      <formula>_xlfn.ISFORMULA(BL1)</formula>
    </cfRule>
  </conditionalFormatting>
  <conditionalFormatting sqref="BM167:BM168">
    <cfRule type="expression" dxfId="36" priority="39">
      <formula>_xlfn.ISFORMULA(BM167)</formula>
    </cfRule>
  </conditionalFormatting>
  <conditionalFormatting sqref="BO163:BO168">
    <cfRule type="expression" dxfId="35" priority="35">
      <formula>_xlfn.ISFORMULA(BO163)</formula>
    </cfRule>
  </conditionalFormatting>
  <dataValidations count="2">
    <dataValidation type="list" allowBlank="1" showInputMessage="1" showErrorMessage="1" sqref="C171:C192" xr:uid="{5EC0122D-0BFC-482E-84DF-B841531F7EB6}">
      <formula1>"Leticia,Edijane,Mirtes,Jarbas,Alessandra"</formula1>
    </dataValidation>
    <dataValidation type="list" allowBlank="1" showInputMessage="1" showErrorMessage="1" sqref="B4:B289" xr:uid="{2398F0C0-5763-4EAE-B9F1-95F764C2A037}">
      <formula1>"Finalizado, Cancelado, Pendente, Em andamento"</formula1>
    </dataValidation>
  </dataValidations>
  <hyperlinks>
    <hyperlink ref="Z174" r:id="rId1" xr:uid="{EE1158FD-7713-4066-ACA6-E50E27690747}"/>
    <hyperlink ref="AA174" r:id="rId2" xr:uid="{36912600-3614-45E9-82B9-A280742CD8C3}"/>
    <hyperlink ref="Z171" r:id="rId3" xr:uid="{64E730E2-FC48-43DE-A279-7CAD1AB56808}"/>
    <hyperlink ref="AA171" r:id="rId4" xr:uid="{6A6C16D5-91D0-4CC7-84C7-00F5277A4F47}"/>
    <hyperlink ref="Z172" r:id="rId5" xr:uid="{62D5E054-DD61-4CB4-B38B-4691CCF21A45}"/>
    <hyperlink ref="Z180" r:id="rId6" xr:uid="{CFDE664A-BC34-4276-9099-235B3EB2EEE3}"/>
    <hyperlink ref="AA180" r:id="rId7" xr:uid="{D2C48958-F257-40C6-9261-DACCC1A4C2DE}"/>
    <hyperlink ref="Z173" r:id="rId8" xr:uid="{3A69E031-E8DE-4722-9B3A-237DA6ECCCAC}"/>
    <hyperlink ref="AA178:AA180" r:id="rId9" display="eduardo.eler@phdengenharia.eng.br" xr:uid="{58411E44-A7A9-4381-BF23-CBC4B1F83AF6}"/>
    <hyperlink ref="Z184" r:id="rId10" xr:uid="{FF37BD86-7189-4806-BFA1-16D72A9B1F1D}"/>
    <hyperlink ref="Z181" r:id="rId11" xr:uid="{45C9D70A-F1D1-4F1D-9386-D597D8339C2D}"/>
    <hyperlink ref="AA181" r:id="rId12" xr:uid="{23B174AC-6033-4EF4-97AD-6A442BDB40D0}"/>
    <hyperlink ref="Z182" r:id="rId13" xr:uid="{10C46B98-0E1A-4E00-9839-2E1A8BF9DF9F}"/>
    <hyperlink ref="AA182" r:id="rId14" xr:uid="{DEE47ADE-3A23-4955-839E-B6BACA5BC0C6}"/>
    <hyperlink ref="Z183" r:id="rId15" xr:uid="{2CCF95C3-A68A-4094-B3DC-58A5494CDEF4}"/>
    <hyperlink ref="AA183" r:id="rId16" xr:uid="{F999F271-25F6-4273-85B3-D03DD23FCAAF}"/>
    <hyperlink ref="AA185" r:id="rId17" xr:uid="{E90E4C93-DFC7-42B0-AF16-F4F52E15F41C}"/>
    <hyperlink ref="AA186" r:id="rId18" xr:uid="{3ED6232A-535C-4989-A018-AE6B59202CFD}"/>
    <hyperlink ref="AA187" r:id="rId19" xr:uid="{847FBF0F-6BD4-4891-B054-FE789039EFA7}"/>
    <hyperlink ref="AA188" r:id="rId20" xr:uid="{FD5526EA-D374-4B94-800E-9FDD3FC0CD7C}"/>
    <hyperlink ref="AA189" r:id="rId21" xr:uid="{212469E9-BB9A-497C-B9DC-355893EDE04D}"/>
    <hyperlink ref="AA190" r:id="rId22" xr:uid="{1DA5BD8F-CE85-42E5-802A-15F61CA29F5A}"/>
    <hyperlink ref="AA191" r:id="rId23" xr:uid="{16FD00AE-027A-49B0-B40F-6E92A0566AC7}"/>
    <hyperlink ref="AA192" r:id="rId24" xr:uid="{14D7FF48-15C0-4C68-A9D1-14E9D85ECFF2}"/>
    <hyperlink ref="AA193" r:id="rId25" xr:uid="{0B9EFF6D-5D65-4C90-9A8B-5F6157DD8B6D}"/>
    <hyperlink ref="AA195" r:id="rId26" xr:uid="{19058B3D-64B1-4984-B0D7-C84D51C5F484}"/>
    <hyperlink ref="AA197" r:id="rId27" xr:uid="{6C85A346-DC21-43DE-8BC6-42C6D6E959BA}"/>
    <hyperlink ref="AA199" r:id="rId28" xr:uid="{E8E45C4E-4B47-4D6E-8D04-3C29133F3755}"/>
    <hyperlink ref="AA200" r:id="rId29" xr:uid="{3FD9C650-8A50-466F-9C62-9CF57D5435D8}"/>
    <hyperlink ref="AA201" r:id="rId30" xr:uid="{EA1F92D2-18EB-4EC7-A85F-0DCDD4241D01}"/>
    <hyperlink ref="AA202:AA203" r:id="rId31" display="paulo.paiva@phdengenharia.eng.br" xr:uid="{684B9553-C7A2-49B5-8367-6577ADBFF57B}"/>
    <hyperlink ref="Z204" r:id="rId32" xr:uid="{D6EAA081-E7FF-42BD-9419-C88E944726B3}"/>
    <hyperlink ref="AA205" r:id="rId33" xr:uid="{46D61D01-5220-40FD-A0FE-8CC95196308E}"/>
    <hyperlink ref="AA207" r:id="rId34" xr:uid="{28E7EDB7-605B-4CFC-B325-C531E093E211}"/>
    <hyperlink ref="AA209" r:id="rId35" xr:uid="{D0EB28E4-9EA6-4BAF-89B2-ACFE2198F1EE}"/>
    <hyperlink ref="AA198" r:id="rId36" xr:uid="{69B5DA57-4D3C-49AF-9A1E-917A34BD483A}"/>
    <hyperlink ref="AA196" r:id="rId37" xr:uid="{C96DCDDB-411F-4356-91C9-F895D85F0002}"/>
    <hyperlink ref="AA194" r:id="rId38" xr:uid="{73BE630E-3137-433A-81DF-057E2D74D4BE}"/>
    <hyperlink ref="AA210" r:id="rId39" xr:uid="{0C7D8C43-1FBA-4925-9ED3-CF96F1CC27B1}"/>
    <hyperlink ref="AA208" r:id="rId40" xr:uid="{AB382BB0-C813-4678-8911-1BB388ED2A7A}"/>
    <hyperlink ref="AA204" r:id="rId41" xr:uid="{BC1B3311-A222-400C-82FD-8892DDDEAC3B}"/>
    <hyperlink ref="AA206" r:id="rId42" xr:uid="{17E3FD82-2C7B-43DE-8325-3B2DA790F71D}"/>
    <hyperlink ref="AA212" r:id="rId43" xr:uid="{74089D76-9A26-41FE-A49C-31F03026DE4F}"/>
    <hyperlink ref="AA211" r:id="rId44" xr:uid="{7A11B10A-F9B6-4161-B0C4-41063385186C}"/>
    <hyperlink ref="AA213" r:id="rId45" xr:uid="{69BDE399-C5D0-4E1D-8A36-316D8F532D0E}"/>
    <hyperlink ref="AA214:AA217" r:id="rId46" display="bruno.azevedo@phdengenharia.eng.br" xr:uid="{E13FFE81-7798-4450-BBEC-EB9C4531575B}"/>
    <hyperlink ref="AA219" r:id="rId47" xr:uid="{E0EB7434-4B42-47D3-A5E5-1122ED994CE4}"/>
    <hyperlink ref="AA218" r:id="rId48" xr:uid="{82EDFE35-FA94-4EDC-A094-6F54CE3792CA}"/>
    <hyperlink ref="AA221" r:id="rId49" xr:uid="{C81F06EA-B47A-41EC-8543-F440579DD135}"/>
    <hyperlink ref="AA220" r:id="rId50" xr:uid="{20153FD9-F854-44C1-A031-A89468109F51}"/>
    <hyperlink ref="AA222" r:id="rId51" xr:uid="{4905A216-341F-4D1C-8259-614AFAEB3C3C}"/>
    <hyperlink ref="AA223" r:id="rId52" xr:uid="{BB28A74D-DEE6-4008-A27F-65B40ED66704}"/>
    <hyperlink ref="AA225" r:id="rId53" xr:uid="{4D4A5492-DDF7-4C6E-A789-E1F86B89C941}"/>
    <hyperlink ref="AA228" r:id="rId54" xr:uid="{A8597BFF-65E6-4226-8097-DD2D3A03EEE8}"/>
    <hyperlink ref="AA226" r:id="rId55" xr:uid="{AAE08F7F-7062-46AB-9D3D-F979DBFA790D}"/>
    <hyperlink ref="AA227" r:id="rId56" xr:uid="{004AC256-5153-4C8D-9168-5B50EFB4475A}"/>
    <hyperlink ref="AA224" r:id="rId57" xr:uid="{5B8C82C7-165D-432D-B838-7EED08197CB5}"/>
    <hyperlink ref="AA229" r:id="rId58" xr:uid="{87F42D40-5224-42A5-9809-81CF3B69AF8B}"/>
    <hyperlink ref="AA230:AA231" r:id="rId59" display="paulo.paiva@phdengenharia.eng.br" xr:uid="{02571514-3EC5-4224-85E2-F50981511C3E}"/>
    <hyperlink ref="AA233" r:id="rId60" xr:uid="{B85FD328-CC2F-495C-90AD-27185A32EC69}"/>
    <hyperlink ref="AA232" r:id="rId61" xr:uid="{EE2B092E-9DB4-48CF-9725-807676F01432}"/>
    <hyperlink ref="AA240" r:id="rId62" xr:uid="{C26BAAE4-1ECB-43C0-A109-4D20E3EBFC68}"/>
    <hyperlink ref="AA234" r:id="rId63" xr:uid="{4C938EA7-8133-4A03-A7F7-86C211EC94C5}"/>
    <hyperlink ref="AA237" r:id="rId64" xr:uid="{AF919CFE-37EB-4183-9EBA-81A515E683A4}"/>
    <hyperlink ref="AA238" r:id="rId65" xr:uid="{6E2DE3FA-FA6E-478F-AC2B-41DE2E74AB9C}"/>
    <hyperlink ref="AA235" r:id="rId66" xr:uid="{26DCD774-0882-4C5F-AC19-876EA743E6AE}"/>
    <hyperlink ref="AA236" r:id="rId67" xr:uid="{299E999B-2B97-4186-9E06-51C8AC5BFE2E}"/>
    <hyperlink ref="AA239" r:id="rId68" xr:uid="{BE27A548-5B2A-461F-8A05-8EF232E26913}"/>
    <hyperlink ref="AA241" r:id="rId69" xr:uid="{E0047F4A-7CFE-4AAD-925F-FE1401299C5F}"/>
    <hyperlink ref="AA242" r:id="rId70" xr:uid="{1B86D212-C349-4476-A39B-8FA991DF30D5}"/>
    <hyperlink ref="AA243" r:id="rId71" xr:uid="{6E86F3CE-D706-4BB2-8459-2C44AB6A0B11}"/>
    <hyperlink ref="AA246" r:id="rId72" xr:uid="{B6FA5780-179E-4B69-8C96-B146EEB38A7F}"/>
    <hyperlink ref="AA244" r:id="rId73" xr:uid="{94EA3285-0C33-4E21-9A28-F9000AA95456}"/>
    <hyperlink ref="AA245" r:id="rId74" xr:uid="{E4F3857E-3015-4BF8-98D4-825F2CB6408F}"/>
    <hyperlink ref="AA250" r:id="rId75" xr:uid="{AAFDE455-95DC-4F7E-B7E6-46C391245B61}"/>
    <hyperlink ref="AA247" r:id="rId76" xr:uid="{969AE5EC-FD38-4005-8C6D-0670B5255CCC}"/>
    <hyperlink ref="AA251" r:id="rId77" xr:uid="{7A194712-9BBD-46DA-A9B5-6A78A09706F9}"/>
    <hyperlink ref="AA252" r:id="rId78" xr:uid="{C2EE7623-E9C8-43DE-82C0-169276272F10}"/>
    <hyperlink ref="AA253" r:id="rId79" xr:uid="{DE7BE59F-8874-48DD-85A9-9373C962CC10}"/>
    <hyperlink ref="AA256" r:id="rId80" xr:uid="{3DFDCC9A-98F6-433F-B59E-3780053D3E46}"/>
    <hyperlink ref="AA254" r:id="rId81" xr:uid="{26225B80-1070-40CD-A86A-10B4567E340D}"/>
    <hyperlink ref="AA255" r:id="rId82" xr:uid="{FC491854-E5CA-446F-BC34-199E0DB25CB5}"/>
    <hyperlink ref="AA257" r:id="rId83" xr:uid="{544B8E10-6CBF-447D-B1CF-51DE475C7409}"/>
    <hyperlink ref="AA259" r:id="rId84" xr:uid="{1811DFAE-767B-485A-8AB5-4A3D9C15FB43}"/>
    <hyperlink ref="AA260" r:id="rId85" xr:uid="{64C0C3BE-2121-431F-8359-ED11E8A80AAA}"/>
    <hyperlink ref="AA261" r:id="rId86" xr:uid="{2A1B1F77-4C26-4BF8-AE1F-8CE758DE914A}"/>
    <hyperlink ref="AA258" r:id="rId87" xr:uid="{AB8F8279-23FA-40F1-9825-E1E3924314D8}"/>
    <hyperlink ref="AA262" r:id="rId88" xr:uid="{D2690B6F-C7C7-4662-897F-627394CB213C}"/>
    <hyperlink ref="AA264" r:id="rId89" xr:uid="{FB957CD0-6BE7-4EC6-9037-B62B3F1ECAC4}"/>
    <hyperlink ref="AA265" r:id="rId90" xr:uid="{891EDEB5-3128-4C1F-9E12-DAFA270CB125}"/>
    <hyperlink ref="AA263" r:id="rId91" xr:uid="{08B713A9-2FEB-4DEE-9AF9-831908FACF5F}"/>
    <hyperlink ref="AA266" r:id="rId92" xr:uid="{3F1BDD05-F65C-40A7-AEE4-55C7C4370EDE}"/>
    <hyperlink ref="AA267" r:id="rId93" xr:uid="{8500E68F-4B26-40A3-B01C-26DA8E74E78F}"/>
    <hyperlink ref="AA268" r:id="rId94" xr:uid="{AFAB4E32-57E5-4CEA-B7EF-464E0388ADEB}"/>
    <hyperlink ref="AA269" r:id="rId95" xr:uid="{BAD8E2CC-F1C8-4791-97C9-9411DADA03B4}"/>
    <hyperlink ref="AA270" r:id="rId96" xr:uid="{D04C6479-3CD8-4DE4-A9A3-0B942DC8240D}"/>
    <hyperlink ref="AA271" r:id="rId97" xr:uid="{BDC7AC76-FFC0-4166-9195-76C0CC8838E0}"/>
    <hyperlink ref="AA272" r:id="rId98" xr:uid="{A3A75B21-E4E5-4798-8F33-97CA6E5373E0}"/>
    <hyperlink ref="AA273" r:id="rId99" xr:uid="{021A6F08-EA51-45A6-ACAE-385B0B8E02CE}"/>
    <hyperlink ref="AA274" r:id="rId100" xr:uid="{BC824E91-2A4C-4735-AF12-17DA0C948EF0}"/>
    <hyperlink ref="AA281" r:id="rId101" xr:uid="{D07C1FBC-39EF-441C-889B-EBBFB9314879}"/>
    <hyperlink ref="AA275" r:id="rId102" xr:uid="{253F365D-9296-44F9-951C-7F20512A4766}"/>
    <hyperlink ref="AA276" r:id="rId103" xr:uid="{F8FEAEC9-8028-47FB-B567-83F3ADA470F0}"/>
    <hyperlink ref="AA277" r:id="rId104" xr:uid="{81047245-0EC6-45E2-9B70-B4CFAFAD42C8}"/>
    <hyperlink ref="AA278" r:id="rId105" xr:uid="{33B1865E-E436-4BB4-ADC5-C4FFF1D351C2}"/>
    <hyperlink ref="AA279" r:id="rId106" xr:uid="{9D34F637-B177-4F02-8E84-E807426F5A10}"/>
    <hyperlink ref="AA280" r:id="rId107" xr:uid="{A706146C-2B5E-4FC2-86A5-332BE45B8687}"/>
    <hyperlink ref="AA282" r:id="rId108" xr:uid="{6999ADA9-8C5A-4DAE-9C2A-C5BD9F9DC581}"/>
    <hyperlink ref="AA283" r:id="rId109" xr:uid="{7904BC56-512E-4365-8E91-50E2B691B436}"/>
    <hyperlink ref="AA284" r:id="rId110" xr:uid="{89B919E1-1488-4BED-BA8E-7C10FA73D149}"/>
    <hyperlink ref="AA285" r:id="rId111" xr:uid="{0747DA49-935A-4B39-99DD-4276A0F13AA2}"/>
    <hyperlink ref="AA286" r:id="rId112" xr:uid="{AF903EEF-7C31-450E-AA49-29E0CE442548}"/>
    <hyperlink ref="AA287" r:id="rId113" xr:uid="{CD0B7027-24CE-4C42-BF5D-CEC09E6806FB}"/>
    <hyperlink ref="AA288" r:id="rId114" xr:uid="{BDB71498-CD9F-4445-A520-AC12CA003F71}"/>
  </hyperlinks>
  <pageMargins left="0.511811024" right="0.511811024" top="0.78740157499999996" bottom="0.78740157499999996" header="0.31496062000000002" footer="0.31496062000000002"/>
  <pageSetup paperSize="9" orientation="portrait" r:id="rId115"/>
  <tableParts count="1">
    <tablePart r:id="rId116"/>
  </tableParts>
  <extLst>
    <ext xmlns:x14="http://schemas.microsoft.com/office/spreadsheetml/2009/9/main" uri="{78C0D931-6437-407d-A8EE-F0AAD7539E65}">
      <x14:conditionalFormattings>
        <x14:conditionalFormatting xmlns:xm="http://schemas.microsoft.com/office/excel/2006/main">
          <x14:cfRule type="iconSet" priority="725" id="{AE42D594-0A05-4F2A-8790-050951AF6F13}">
            <x14:iconSet showValue="0" custom="1">
              <x14:cfvo type="percent">
                <xm:f>0</xm:f>
              </x14:cfvo>
              <x14:cfvo type="num">
                <xm:f>2</xm:f>
              </x14:cfvo>
              <x14:cfvo type="num">
                <xm:f>3</xm:f>
              </x14:cfvo>
              <x14:cfIcon iconSet="3Symbols2" iconId="2"/>
              <x14:cfIcon iconSet="3Symbols2" iconId="0"/>
              <x14:cfIcon iconSet="3Symbols2" iconId="1"/>
            </x14:iconSet>
          </x14:cfRule>
          <xm:sqref>G4:G289</xm:sqref>
        </x14:conditionalFormatting>
        <x14:conditionalFormatting xmlns:xm="http://schemas.microsoft.com/office/excel/2006/main">
          <x14:cfRule type="iconSet" priority="726" id="{3DB2C539-6F51-4B73-9986-FC2D0F31AA62}">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H4:H289</xm:sqref>
        </x14:conditionalFormatting>
        <x14:conditionalFormatting xmlns:xm="http://schemas.microsoft.com/office/excel/2006/main">
          <x14:cfRule type="iconSet" priority="727" id="{A90E7907-E309-4406-84E4-C061BB9B772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I4:I289</xm:sqref>
        </x14:conditionalFormatting>
        <x14:conditionalFormatting xmlns:xm="http://schemas.microsoft.com/office/excel/2006/main">
          <x14:cfRule type="iconSet" priority="728" id="{FBA0B2EC-23EE-4D7B-940A-2E1A22140285}">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J4:J289</xm:sqref>
        </x14:conditionalFormatting>
        <x14:conditionalFormatting xmlns:xm="http://schemas.microsoft.com/office/excel/2006/main">
          <x14:cfRule type="iconSet" priority="729" id="{7791B413-F2E8-42C4-A60E-F0A06F4438BA}">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K4:K289</xm:sqref>
        </x14:conditionalFormatting>
        <x14:conditionalFormatting xmlns:xm="http://schemas.microsoft.com/office/excel/2006/main">
          <x14:cfRule type="iconSet" priority="730" id="{91919ABA-027E-481A-B789-331AF3887B42}">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L4:L289</xm:sqref>
        </x14:conditionalFormatting>
        <x14:conditionalFormatting xmlns:xm="http://schemas.microsoft.com/office/excel/2006/main">
          <x14:cfRule type="iconSet" priority="731" id="{2567D5AF-971C-409A-A853-5EB61570B4B4}">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M4:M289</xm:sqref>
        </x14:conditionalFormatting>
        <x14:conditionalFormatting xmlns:xm="http://schemas.microsoft.com/office/excel/2006/main">
          <x14:cfRule type="iconSet" priority="732" id="{3EC08022-23D6-4249-94F2-075842A45CF4}">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N4:N289</xm:sqref>
        </x14:conditionalFormatting>
        <x14:conditionalFormatting xmlns:xm="http://schemas.microsoft.com/office/excel/2006/main">
          <x14:cfRule type="iconSet" priority="733" id="{B94668D5-8C51-4A97-B5A4-2BAE1CD00999}">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O4:O289</xm:sqref>
        </x14:conditionalFormatting>
        <x14:conditionalFormatting xmlns:xm="http://schemas.microsoft.com/office/excel/2006/main">
          <x14:cfRule type="iconSet" priority="734" id="{B568F0F9-173C-4B97-AFA3-0FB062E0233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P4:P289</xm:sqref>
        </x14:conditionalFormatting>
        <x14:conditionalFormatting xmlns:xm="http://schemas.microsoft.com/office/excel/2006/main">
          <x14:cfRule type="iconSet" priority="735" id="{19621B7C-749F-4B95-9F6A-B12A23A37E40}">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Q4:Q289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9AF0FE9A-965F-4B09-8B4A-CC7C674A79FD}">
          <x14:formula1>
            <xm:f>LIDERANÇA2!$B:$B</xm:f>
          </x14:formula1>
          <xm:sqref>Y4:Y244 X249 X4:X247 X251:Y256 X260:Y260 X267:Y270 X271:X274 Y271:Y288 X277:X281 Y265:Y266 X285:X287</xm:sqref>
        </x14:dataValidation>
        <x14:dataValidation type="list" allowBlank="1" showInputMessage="1" showErrorMessage="1" xr:uid="{A334D29A-9D03-4079-ABB6-889901368BBD}">
          <x14:formula1>
            <xm:f>LIDERANÇA2!$A:$A</xm:f>
          </x14:formula1>
          <xm:sqref>X282</xm:sqref>
        </x14:dataValidation>
        <x14:dataValidation type="list" allowBlank="1" showInputMessage="1" showErrorMessage="1" xr:uid="{835340E4-3D88-4BE8-82C2-A461143866B8}">
          <x14:formula1>
            <xm:f>TabControleEfetivo!$C$2:$C$382</xm:f>
          </x14:formula1>
          <xm:sqref>F4:F289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62325-63C3-43FF-809E-BBDDF0A290C6}">
  <dimension ref="B1:BB202"/>
  <sheetViews>
    <sheetView showGridLines="0" tabSelected="1" zoomScale="70" zoomScaleNormal="70" workbookViewId="0">
      <pane xSplit="13" topLeftCell="N1" activePane="topRight" state="frozen"/>
      <selection activeCell="A173" sqref="A173"/>
      <selection pane="topRight" activeCell="B205" sqref="B205"/>
    </sheetView>
  </sheetViews>
  <sheetFormatPr defaultRowHeight="14.5" x14ac:dyDescent="0.35"/>
  <cols>
    <col min="2" max="2" width="24.26953125" customWidth="1"/>
    <col min="3" max="4" width="20" customWidth="1"/>
    <col min="5" max="5" width="43.81640625" bestFit="1" customWidth="1"/>
    <col min="6" max="13" width="4.7265625" customWidth="1"/>
    <col min="14" max="18" width="15.7265625" customWidth="1"/>
    <col min="19" max="19" width="24" bestFit="1" customWidth="1"/>
    <col min="20" max="21" width="24" customWidth="1"/>
    <col min="22" max="22" width="43.1796875" bestFit="1" customWidth="1"/>
    <col min="23" max="23" width="25.26953125" bestFit="1" customWidth="1"/>
    <col min="24" max="24" width="25.453125" bestFit="1" customWidth="1"/>
    <col min="25" max="25" width="20.54296875" customWidth="1"/>
    <col min="26" max="26" width="17.26953125" bestFit="1" customWidth="1"/>
    <col min="27" max="27" width="24.26953125" customWidth="1"/>
    <col min="28" max="28" width="21.54296875" customWidth="1"/>
    <col min="29" max="29" width="20.26953125" bestFit="1" customWidth="1"/>
    <col min="30" max="31" width="15.7265625" style="17" customWidth="1"/>
    <col min="32" max="52" width="15.7265625" customWidth="1"/>
    <col min="53" max="54" width="255.7265625" bestFit="1" customWidth="1"/>
    <col min="55" max="55" width="20.1796875" customWidth="1"/>
  </cols>
  <sheetData>
    <row r="1" spans="2:53" ht="31" x14ac:dyDescent="0.7">
      <c r="B1" s="1" t="s">
        <v>801</v>
      </c>
      <c r="AC1" s="17"/>
      <c r="AE1"/>
      <c r="AF1" s="102"/>
      <c r="AI1" s="22">
        <v>1</v>
      </c>
      <c r="AL1" s="22">
        <v>5</v>
      </c>
      <c r="AO1" s="22">
        <v>1</v>
      </c>
      <c r="AR1" s="22">
        <v>10</v>
      </c>
      <c r="AU1" s="22">
        <v>5</v>
      </c>
      <c r="AX1" s="22">
        <v>1</v>
      </c>
    </row>
    <row r="2" spans="2:53" x14ac:dyDescent="0.35">
      <c r="AC2" s="138" t="s">
        <v>2</v>
      </c>
      <c r="AD2" s="138"/>
      <c r="AE2" s="138"/>
      <c r="AF2" s="140" t="s">
        <v>802</v>
      </c>
      <c r="AG2" s="140"/>
      <c r="AH2" s="140"/>
      <c r="AI2" s="140" t="s">
        <v>803</v>
      </c>
      <c r="AJ2" s="140"/>
      <c r="AK2" s="140"/>
      <c r="AL2" s="140" t="s">
        <v>804</v>
      </c>
      <c r="AM2" s="140"/>
      <c r="AN2" s="140" t="s">
        <v>805</v>
      </c>
      <c r="AO2" s="140" t="s">
        <v>806</v>
      </c>
      <c r="AP2" s="140"/>
      <c r="AQ2" s="140"/>
      <c r="AR2" s="140" t="s">
        <v>807</v>
      </c>
      <c r="AS2" s="140"/>
      <c r="AT2" s="140"/>
      <c r="AU2" s="139" t="s">
        <v>808</v>
      </c>
      <c r="AV2" s="139"/>
      <c r="AW2" s="139"/>
      <c r="AX2" s="139" t="s">
        <v>809</v>
      </c>
      <c r="AY2" s="139"/>
      <c r="AZ2" s="139"/>
    </row>
    <row r="3" spans="2:53" ht="108.75" customHeight="1" x14ac:dyDescent="0.35">
      <c r="B3" s="12" t="s">
        <v>810</v>
      </c>
      <c r="C3" s="3" t="s">
        <v>14</v>
      </c>
      <c r="D3" s="3" t="s">
        <v>15</v>
      </c>
      <c r="E3" s="4" t="s">
        <v>811</v>
      </c>
      <c r="F3" s="5" t="s">
        <v>18</v>
      </c>
      <c r="G3" s="5" t="s">
        <v>812</v>
      </c>
      <c r="H3" s="5" t="s">
        <v>813</v>
      </c>
      <c r="I3" s="5" t="s">
        <v>814</v>
      </c>
      <c r="J3" s="5" t="s">
        <v>815</v>
      </c>
      <c r="K3" s="5" t="s">
        <v>816</v>
      </c>
      <c r="L3" s="5" t="s">
        <v>26</v>
      </c>
      <c r="M3" s="5" t="s">
        <v>27</v>
      </c>
      <c r="N3" s="4" t="s">
        <v>29</v>
      </c>
      <c r="O3" s="4" t="s">
        <v>30</v>
      </c>
      <c r="P3" s="4" t="s">
        <v>31</v>
      </c>
      <c r="Q3" s="4" t="s">
        <v>32</v>
      </c>
      <c r="R3" s="4" t="s">
        <v>33</v>
      </c>
      <c r="S3" s="4" t="s">
        <v>35</v>
      </c>
      <c r="T3" s="4" t="s">
        <v>36</v>
      </c>
      <c r="U3" s="4" t="s">
        <v>37</v>
      </c>
      <c r="V3" s="4" t="s">
        <v>38</v>
      </c>
      <c r="W3" s="4" t="s">
        <v>817</v>
      </c>
      <c r="X3" s="4" t="s">
        <v>818</v>
      </c>
      <c r="Y3" s="4" t="s">
        <v>42</v>
      </c>
      <c r="Z3" s="4" t="s">
        <v>43</v>
      </c>
      <c r="AA3" s="4" t="s">
        <v>44</v>
      </c>
      <c r="AB3" s="4" t="s">
        <v>819</v>
      </c>
      <c r="AC3" s="45" t="s">
        <v>820</v>
      </c>
      <c r="AD3" s="46" t="s">
        <v>821</v>
      </c>
      <c r="AE3" s="46" t="s">
        <v>822</v>
      </c>
      <c r="AF3" s="25" t="s">
        <v>823</v>
      </c>
      <c r="AG3" s="25" t="s">
        <v>824</v>
      </c>
      <c r="AH3" s="25" t="s">
        <v>825</v>
      </c>
      <c r="AI3" s="25" t="s">
        <v>826</v>
      </c>
      <c r="AJ3" s="25" t="s">
        <v>827</v>
      </c>
      <c r="AK3" s="25" t="s">
        <v>828</v>
      </c>
      <c r="AL3" s="25" t="s">
        <v>829</v>
      </c>
      <c r="AM3" s="25" t="s">
        <v>830</v>
      </c>
      <c r="AN3" s="25" t="s">
        <v>831</v>
      </c>
      <c r="AO3" s="25" t="s">
        <v>832</v>
      </c>
      <c r="AP3" s="25" t="s">
        <v>833</v>
      </c>
      <c r="AQ3" s="25" t="s">
        <v>834</v>
      </c>
      <c r="AR3" s="25" t="s">
        <v>835</v>
      </c>
      <c r="AS3" s="25" t="s">
        <v>836</v>
      </c>
      <c r="AT3" s="25" t="s">
        <v>837</v>
      </c>
      <c r="AU3" s="47" t="s">
        <v>69</v>
      </c>
      <c r="AV3" s="47" t="s">
        <v>70</v>
      </c>
      <c r="AW3" s="47" t="s">
        <v>71</v>
      </c>
      <c r="AX3" s="47" t="s">
        <v>838</v>
      </c>
      <c r="AY3" s="47" t="s">
        <v>839</v>
      </c>
      <c r="AZ3" s="47" t="s">
        <v>840</v>
      </c>
      <c r="BA3" s="8" t="s">
        <v>78</v>
      </c>
    </row>
    <row r="4" spans="2:53" ht="14.5" hidden="1" customHeight="1" x14ac:dyDescent="0.35">
      <c r="B4" s="13" t="s">
        <v>79</v>
      </c>
      <c r="C4" s="15"/>
      <c r="D4" s="15" t="s">
        <v>108</v>
      </c>
      <c r="E4" s="15" t="s">
        <v>841</v>
      </c>
      <c r="F4" s="15" cm="1">
        <f t="array" ref="F4">_xlfn.IFS(Tabela18[[#This Row],[STATUS]]="Finalizado",1,Tabela18[[#This Row],[STATUS]]="Cancelado",2,Tabela18[[#This Row],[STATUS]]="Em andamento",3)</f>
        <v>1</v>
      </c>
      <c r="G4" s="15" cm="1">
        <f t="array" aca="1" ref="G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-EMAIL]]="",$AH4&gt;$AF$1),2,
AND(Tabela18[[#This Row],[STATUS]]="Em andamento",Tabela18[[#This Row],[DATA REAL -EMAIL]]="",$AH4&lt;=$AF$1),3,
AND(Tabela18[[#This Row],[STATUS]]="Em andamento",Tabela18[[#This Row],[DATA REAL -EMAIL]]&lt;&gt;""),1)</f>
        <v>1</v>
      </c>
      <c r="H4" s="15" cm="1">
        <f t="array" aca="1" ref="H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CLIENTE]]="",$AK4&gt;$AI$1),2,
AND(Tabela18[[#This Row],[STATUS]]="Em andamento",Tabela18[[#This Row],[DATA REAL - DOC CLIENTE]]="",$AK4&lt;=$AI$1),3,
AND(Tabela18[[#This Row],[STATUS]]="Em andamento",Tabela18[[#This Row],[DATA REAL - DOC CLIENTE]]&lt;&gt;""),1)</f>
        <v>1</v>
      </c>
      <c r="I4" s="15" cm="1">
        <f t="array" aca="1" ref="I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06]]="",$AN4&gt;$AL$1),2,
AND(Tabela18[[#This Row],[STATUS]]="Em andamento",Tabela18[[#This Row],[DATA REAL - ANEXO 06]]="",$AN4&lt;=$AL$1),3,
AND(Tabela18[[#This Row],[STATUS]]="Em andamento",Tabela18[[#This Row],[DATA REAL - ANEXO 06]]&lt;&gt;""),1)</f>
        <v>1</v>
      </c>
      <c r="J4" s="15" cm="1">
        <f t="array" aca="1" ref="J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LEGAIS]]="",$AQ4&gt;$AO$1),2,
AND(Tabela18[[#This Row],[STATUS]]="Em andamento",Tabela18[[#This Row],[DATA REAL - SOLIC. PROG LEGAIS]]="",$AQ4&lt;=$AO$1),3,
AND(Tabela18[[#This Row],[STATUS]]="Em andamento",Tabela18[[#This Row],[DATA REAL - SOLIC. PROG LEGAIS]]&lt;&gt;""),1)</f>
        <v>1</v>
      </c>
      <c r="K4" s="15" cm="1">
        <f t="array" aca="1" ref="K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ENVIO]]="",$AT4&gt;$AR$1),2,
AND(Tabela18[[#This Row],[STATUS]]="Em andamento",Tabela18[[#This Row],[DATA REAL - ENVIO]]="",$AT4&lt;=$AR$1),3,
AND(Tabela18[[#This Row],[STATUS]]="Em andamento",Tabela18[[#This Row],[DATA REAL - ENVIO]]&lt;&gt;""),1)</f>
        <v>1</v>
      </c>
      <c r="L4" s="15" cm="1">
        <f t="array" aca="1" ref="L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POSTAGEM]]="",$AW4&gt;$AU$1),2,
AND(Tabela18[[#This Row],[STATUS]]="Em andamento",Tabela18[[#This Row],[DATA REAL - POSTAGEM]]="",$AW4&lt;=$AU$1),3,
AND(Tabela18[[#This Row],[STATUS]]="Em andamento",Tabela18[[#This Row],[DATA REAL - POSTAGEM]]&lt;&gt;""),1)</f>
        <v>1</v>
      </c>
      <c r="M4" s="15" cm="1">
        <f t="array" aca="1" ref="M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APROVAÇÃO]]="",$AZ4&gt;$AX$1),2,
AND(Tabela18[[#This Row],[STATUS]]="Em andamento",Tabela18[[#This Row],[DATA REAL - APROVAÇÃO]]="",$AZ4&lt;=$AX$1),3,
AND(Tabela18[[#This Row],[STATUS]]="Em andamento",Tabela18[[#This Row],[DATA REAL - APROVAÇÃO]]&lt;&gt;""),1)</f>
        <v>1</v>
      </c>
      <c r="N4" s="20">
        <f>IF(Tabela18[[#This Row],[DATA REAL -EMAIL]]&lt;&gt;"",Tabela18[[#This Row],[DATA REAL -EMAIL]]+30,Tabela18[[#This Row],[DATA PREV - EMAIL]]+30)</f>
        <v>44624</v>
      </c>
      <c r="O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44866</v>
      </c>
      <c r="P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272</v>
      </c>
      <c r="Q4" s="48">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v>
      </c>
      <c r="R4" s="48">
        <f>MAX(Tabela18[[#This Row],[DATA REAL - POSTAGEM]],Tabela18[[#This Row],[DATA REAL - APROVAÇÃO]])-MIN(Tabela18[[#This Row],[DATA REAL - POSTAGEM]],Tabela18[[#This Row],[DATA REAL - APROVAÇÃO]])+1</f>
        <v>20</v>
      </c>
      <c r="S4" s="15"/>
      <c r="T4" s="16"/>
      <c r="U4" s="18"/>
      <c r="V4" s="18"/>
      <c r="W4" s="15" t="s">
        <v>87</v>
      </c>
      <c r="X4" s="15"/>
      <c r="Y4" s="15"/>
      <c r="Z4" s="15" t="s">
        <v>249</v>
      </c>
      <c r="AA4" s="15" t="str">
        <f>_xlfn.XLOOKUP(Tabela18[[#This Row],[CÓD. CT]],Controle_Projetos[COD CT],Controle_Projetos[COD PHD],"")</f>
        <v/>
      </c>
      <c r="AB4" s="15"/>
      <c r="AC4" s="20"/>
      <c r="AD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 s="16" t="str" cm="1">
        <f t="array" aca="1" ref="AE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 s="20">
        <v>44594</v>
      </c>
      <c r="AG4" s="73">
        <v>44594</v>
      </c>
      <c r="AH4" s="16" cm="1">
        <f t="array" aca="1" ref="AH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 s="20">
        <v>44594</v>
      </c>
      <c r="AJ4" s="73">
        <v>44594</v>
      </c>
      <c r="AK4" s="15" cm="1">
        <f t="array" aca="1" ref="AK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 s="20">
        <f t="shared" ref="AL4:AL35" si="0">IF(AI4="","",IF(AJ4="",WORKDAY(AI4,AL$1,),WORKDAY(AJ4,AL$1,)))</f>
        <v>44601</v>
      </c>
      <c r="AM4" s="73">
        <v>44601</v>
      </c>
      <c r="AN4" s="15" cm="1">
        <f t="array" aca="1" ref="AN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4" s="20">
        <f t="shared" ref="AO4:AO35" si="1">IF(AL4="","",IF(AM4="",WORKDAY(AL4,AO$1,),WORKDAY(AM4,AO$1,)))</f>
        <v>44602</v>
      </c>
      <c r="AP4" s="73">
        <v>44594</v>
      </c>
      <c r="AQ4" s="15" cm="1">
        <f t="array" aca="1" ref="AQ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4" s="20">
        <f t="shared" ref="AR4:AR35" si="2">IF(AO4="","",IF(AP4="",WORKDAY(AO4,AR$1,),WORKDAY(AP4,AR$1,)))</f>
        <v>44608</v>
      </c>
      <c r="AS4" s="73">
        <v>44594</v>
      </c>
      <c r="AT4" s="15" cm="1">
        <f t="array" aca="1" ref="AT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4" s="20">
        <f t="shared" ref="AU4:AU35" si="3">IF(AR4="","",IF(AS4="",WORKDAY(AR4,AU$1,),WORKDAY(AS4,AU$1,)))</f>
        <v>44601</v>
      </c>
      <c r="AV4" s="73">
        <v>44847</v>
      </c>
      <c r="AW4" s="15" cm="1">
        <f t="array" aca="1" ref="AW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247</v>
      </c>
      <c r="AX4" s="20">
        <f t="shared" ref="AX4:AX35" si="4">IF(AU4="","",IF(AV4="",WORKDAY(AU4,AX$1,),WORKDAY(AV4,AX$1,)))</f>
        <v>44848</v>
      </c>
      <c r="AY4" s="73">
        <v>44866</v>
      </c>
      <c r="AZ4" s="15" cm="1">
        <f t="array" aca="1" ref="AZ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19</v>
      </c>
      <c r="BA4" s="15" t="s">
        <v>842</v>
      </c>
    </row>
    <row r="5" spans="2:53" ht="14.5" hidden="1" customHeight="1" x14ac:dyDescent="0.35">
      <c r="B5" s="14" t="s">
        <v>79</v>
      </c>
      <c r="C5" s="16"/>
      <c r="D5" s="16" t="s">
        <v>108</v>
      </c>
      <c r="E5" s="16" t="s">
        <v>843</v>
      </c>
      <c r="F5" s="16" cm="1">
        <f t="array" ref="F5">_xlfn.IFS(Tabela18[[#This Row],[STATUS]]="Finalizado",1,Tabela18[[#This Row],[STATUS]]="Cancelado",2,Tabela18[[#This Row],[STATUS]]="Em andamento",3)</f>
        <v>1</v>
      </c>
      <c r="G5" s="16" cm="1">
        <f t="array" aca="1" ref="G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-EMAIL]]="",$AH5&gt;$AF$1),2,
AND(Tabela18[[#This Row],[STATUS]]="Em andamento",Tabela18[[#This Row],[DATA REAL -EMAIL]]="",$AH5&lt;=$AF$1),3,
AND(Tabela18[[#This Row],[STATUS]]="Em andamento",Tabela18[[#This Row],[DATA REAL -EMAIL]]&lt;&gt;""),1)</f>
        <v>1</v>
      </c>
      <c r="H5" s="16" cm="1">
        <f t="array" aca="1" ref="H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CLIENTE]]="",$AK5&gt;$AI$1),2,
AND(Tabela18[[#This Row],[STATUS]]="Em andamento",Tabela18[[#This Row],[DATA REAL - DOC CLIENTE]]="",$AK5&lt;=$AI$1),3,
AND(Tabela18[[#This Row],[STATUS]]="Em andamento",Tabela18[[#This Row],[DATA REAL - DOC CLIENTE]]&lt;&gt;""),1)</f>
        <v>1</v>
      </c>
      <c r="I5" s="16" cm="1">
        <f t="array" aca="1" ref="I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06]]="",$AN5&gt;$AL$1),2,
AND(Tabela18[[#This Row],[STATUS]]="Em andamento",Tabela18[[#This Row],[DATA REAL - ANEXO 06]]="",$AN5&lt;=$AL$1),3,
AND(Tabela18[[#This Row],[STATUS]]="Em andamento",Tabela18[[#This Row],[DATA REAL - ANEXO 06]]&lt;&gt;""),1)</f>
        <v>1</v>
      </c>
      <c r="J5" s="15" cm="1">
        <f t="array" aca="1" ref="J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LEGAIS]]="",$AQ5&gt;$AO$1),2,
AND(Tabela18[[#This Row],[STATUS]]="Em andamento",Tabela18[[#This Row],[DATA REAL - SOLIC. PROG LEGAIS]]="",$AQ5&lt;=$AO$1),3,
AND(Tabela18[[#This Row],[STATUS]]="Em andamento",Tabela18[[#This Row],[DATA REAL - SOLIC. PROG LEGAIS]]&lt;&gt;""),1)</f>
        <v>1</v>
      </c>
      <c r="K5" s="15" cm="1">
        <f t="array" aca="1" ref="K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ENVIO]]="",$AT5&gt;$AR$1),2,
AND(Tabela18[[#This Row],[STATUS]]="Em andamento",Tabela18[[#This Row],[DATA REAL - ENVIO]]="",$AT5&lt;=$AR$1),3,
AND(Tabela18[[#This Row],[STATUS]]="Em andamento",Tabela18[[#This Row],[DATA REAL - ENVIO]]&lt;&gt;""),1)</f>
        <v>1</v>
      </c>
      <c r="L5" s="15" cm="1">
        <f t="array" aca="1" ref="L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POSTAGEM]]="",$AW5&gt;$AU$1),2,
AND(Tabela18[[#This Row],[STATUS]]="Em andamento",Tabela18[[#This Row],[DATA REAL - POSTAGEM]]="",$AW5&lt;=$AU$1),3,
AND(Tabela18[[#This Row],[STATUS]]="Em andamento",Tabela18[[#This Row],[DATA REAL - POSTAGEM]]&lt;&gt;""),1)</f>
        <v>1</v>
      </c>
      <c r="M5" s="16" cm="1">
        <f t="array" aca="1" ref="M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APROVAÇÃO]]="",$AZ5&gt;$AX$1),2,
AND(Tabela18[[#This Row],[STATUS]]="Em andamento",Tabela18[[#This Row],[DATA REAL - APROVAÇÃO]]="",$AZ5&lt;=$AX$1),3,
AND(Tabela18[[#This Row],[STATUS]]="Em andamento",Tabela18[[#This Row],[DATA REAL - APROVAÇÃO]]&lt;&gt;""),1)</f>
        <v>1</v>
      </c>
      <c r="N5" s="21">
        <f>IF(Tabela18[[#This Row],[DATA REAL -EMAIL]]&lt;&gt;"",Tabela18[[#This Row],[DATA REAL -EMAIL]]+30,Tabela18[[#This Row],[DATA PREV - EMAIL]]+30)</f>
        <v>44847</v>
      </c>
      <c r="O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44869</v>
      </c>
      <c r="P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52</v>
      </c>
      <c r="Q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5" s="48">
        <f>MAX(Tabela18[[#This Row],[DATA REAL - POSTAGEM]],Tabela18[[#This Row],[DATA REAL - APROVAÇÃO]])-MIN(Tabela18[[#This Row],[DATA REAL - POSTAGEM]],Tabela18[[#This Row],[DATA REAL - APROVAÇÃO]])+1</f>
        <v>4</v>
      </c>
      <c r="S5" s="16"/>
      <c r="T5" s="16"/>
      <c r="U5" s="18"/>
      <c r="V5" s="18"/>
      <c r="W5" s="16" t="s">
        <v>87</v>
      </c>
      <c r="X5" s="16"/>
      <c r="Y5" s="16"/>
      <c r="Z5" s="15" t="s">
        <v>249</v>
      </c>
      <c r="AA5" s="15" t="str">
        <f>_xlfn.XLOOKUP(Tabela18[[#This Row],[CÓD. CT]],Controle_Projetos[COD CT],Controle_Projetos[COD PHD],"")</f>
        <v/>
      </c>
      <c r="AB5" s="16"/>
      <c r="AC5" s="21"/>
      <c r="AD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 s="16" t="str" cm="1">
        <f t="array" aca="1" ref="AE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 s="21">
        <v>44817</v>
      </c>
      <c r="AG5" s="74">
        <v>44817</v>
      </c>
      <c r="AH5" s="16" cm="1">
        <f t="array" aca="1" ref="AH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 s="21">
        <v>44817</v>
      </c>
      <c r="AJ5" s="74">
        <v>44817</v>
      </c>
      <c r="AK5" s="16" cm="1">
        <f t="array" aca="1" ref="AK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 s="20">
        <f t="shared" si="0"/>
        <v>44824</v>
      </c>
      <c r="AM5" s="74">
        <v>44817</v>
      </c>
      <c r="AN5" s="15" cm="1">
        <f t="array" aca="1" ref="AN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 s="20">
        <f t="shared" si="1"/>
        <v>44818</v>
      </c>
      <c r="AP5" s="74">
        <v>44818</v>
      </c>
      <c r="AQ5" s="15" cm="1">
        <f t="array" aca="1" ref="AQ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5" s="20">
        <f t="shared" si="2"/>
        <v>44832</v>
      </c>
      <c r="AS5" s="74">
        <v>44825</v>
      </c>
      <c r="AT5" s="15" cm="1">
        <f t="array" aca="1" ref="AT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5" s="20">
        <f t="shared" si="3"/>
        <v>44832</v>
      </c>
      <c r="AV5" s="74">
        <v>44866</v>
      </c>
      <c r="AW5" s="15" cm="1">
        <f t="array" aca="1" ref="AW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35</v>
      </c>
      <c r="AX5" s="20">
        <f t="shared" si="4"/>
        <v>44867</v>
      </c>
      <c r="AY5" s="74">
        <v>44869</v>
      </c>
      <c r="AZ5" s="15" cm="1">
        <f t="array" aca="1" ref="AZ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5" s="16" t="s">
        <v>844</v>
      </c>
    </row>
    <row r="6" spans="2:53" ht="14.5" hidden="1" customHeight="1" x14ac:dyDescent="0.35">
      <c r="B6" s="14" t="s">
        <v>79</v>
      </c>
      <c r="C6" s="16"/>
      <c r="D6" s="16" t="s">
        <v>108</v>
      </c>
      <c r="E6" s="16" t="s">
        <v>845</v>
      </c>
      <c r="F6" s="16" cm="1">
        <f t="array" ref="F6">_xlfn.IFS(Tabela18[[#This Row],[STATUS]]="Finalizado",1,Tabela18[[#This Row],[STATUS]]="Cancelado",2,Tabela18[[#This Row],[STATUS]]="Em andamento",3)</f>
        <v>1</v>
      </c>
      <c r="G6" s="16" cm="1">
        <f t="array" aca="1" ref="G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-EMAIL]]="",$AH6&gt;$AF$1),2,
AND(Tabela18[[#This Row],[STATUS]]="Em andamento",Tabela18[[#This Row],[DATA REAL -EMAIL]]="",$AH6&lt;=$AF$1),3,
AND(Tabela18[[#This Row],[STATUS]]="Em andamento",Tabela18[[#This Row],[DATA REAL -EMAIL]]&lt;&gt;""),1)</f>
        <v>1</v>
      </c>
      <c r="H6" s="16" cm="1">
        <f t="array" aca="1" ref="H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CLIENTE]]="",$AK6&gt;$AI$1),2,
AND(Tabela18[[#This Row],[STATUS]]="Em andamento",Tabela18[[#This Row],[DATA REAL - DOC CLIENTE]]="",$AK6&lt;=$AI$1),3,
AND(Tabela18[[#This Row],[STATUS]]="Em andamento",Tabela18[[#This Row],[DATA REAL - DOC CLIENTE]]&lt;&gt;""),1)</f>
        <v>1</v>
      </c>
      <c r="I6" s="16" cm="1">
        <f t="array" aca="1" ref="I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06]]="",$AN6&gt;$AL$1),2,
AND(Tabela18[[#This Row],[STATUS]]="Em andamento",Tabela18[[#This Row],[DATA REAL - ANEXO 06]]="",$AN6&lt;=$AL$1),3,
AND(Tabela18[[#This Row],[STATUS]]="Em andamento",Tabela18[[#This Row],[DATA REAL - ANEXO 06]]&lt;&gt;""),1)</f>
        <v>1</v>
      </c>
      <c r="J6" s="15" cm="1">
        <f t="array" aca="1" ref="J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LEGAIS]]="",$AQ6&gt;$AO$1),2,
AND(Tabela18[[#This Row],[STATUS]]="Em andamento",Tabela18[[#This Row],[DATA REAL - SOLIC. PROG LEGAIS]]="",$AQ6&lt;=$AO$1),3,
AND(Tabela18[[#This Row],[STATUS]]="Em andamento",Tabela18[[#This Row],[DATA REAL - SOLIC. PROG LEGAIS]]&lt;&gt;""),1)</f>
        <v>1</v>
      </c>
      <c r="K6" s="15" cm="1">
        <f t="array" aca="1" ref="K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ENVIO]]="",$AT6&gt;$AR$1),2,
AND(Tabela18[[#This Row],[STATUS]]="Em andamento",Tabela18[[#This Row],[DATA REAL - ENVIO]]="",$AT6&lt;=$AR$1),3,
AND(Tabela18[[#This Row],[STATUS]]="Em andamento",Tabela18[[#This Row],[DATA REAL - ENVIO]]&lt;&gt;""),1)</f>
        <v>1</v>
      </c>
      <c r="L6" s="15" cm="1">
        <f t="array" aca="1" ref="L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POSTAGEM]]="",$AW6&gt;$AU$1),2,
AND(Tabela18[[#This Row],[STATUS]]="Em andamento",Tabela18[[#This Row],[DATA REAL - POSTAGEM]]="",$AW6&lt;=$AU$1),3,
AND(Tabela18[[#This Row],[STATUS]]="Em andamento",Tabela18[[#This Row],[DATA REAL - POSTAGEM]]&lt;&gt;""),1)</f>
        <v>1</v>
      </c>
      <c r="M6" s="16" cm="1">
        <f t="array" aca="1" ref="M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APROVAÇÃO]]="",$AZ6&gt;$AX$1),2,
AND(Tabela18[[#This Row],[STATUS]]="Em andamento",Tabela18[[#This Row],[DATA REAL - APROVAÇÃO]]="",$AZ6&lt;=$AX$1),3,
AND(Tabela18[[#This Row],[STATUS]]="Em andamento",Tabela18[[#This Row],[DATA REAL - APROVAÇÃO]]&lt;&gt;""),1)</f>
        <v>1</v>
      </c>
      <c r="N6" s="21">
        <f>IF(Tabela18[[#This Row],[DATA REAL -EMAIL]]&lt;&gt;"",Tabela18[[#This Row],[DATA REAL -EMAIL]]+30,Tabela18[[#This Row],[DATA PREV - EMAIL]]+30)</f>
        <v>44843</v>
      </c>
      <c r="O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44879</v>
      </c>
      <c r="P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66</v>
      </c>
      <c r="Q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6" s="48">
        <f>MAX(Tabela18[[#This Row],[DATA REAL - POSTAGEM]],Tabela18[[#This Row],[DATA REAL - APROVAÇÃO]])-MIN(Tabela18[[#This Row],[DATA REAL - POSTAGEM]],Tabela18[[#This Row],[DATA REAL - APROVAÇÃO]])+1</f>
        <v>12</v>
      </c>
      <c r="S6" s="16"/>
      <c r="T6" s="16"/>
      <c r="U6" s="18"/>
      <c r="V6" s="18"/>
      <c r="W6" s="16" t="s">
        <v>87</v>
      </c>
      <c r="X6" s="16"/>
      <c r="Y6" s="16"/>
      <c r="Z6" s="15" t="s">
        <v>249</v>
      </c>
      <c r="AA6" s="15" t="str">
        <f>_xlfn.XLOOKUP(Tabela18[[#This Row],[CÓD. CT]],Controle_Projetos[COD CT],Controle_Projetos[COD PHD],"")</f>
        <v/>
      </c>
      <c r="AB6" s="16"/>
      <c r="AC6" s="21"/>
      <c r="AD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 s="16" t="str" cm="1">
        <f t="array" aca="1" ref="AE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 s="21">
        <v>44813</v>
      </c>
      <c r="AG6" s="74">
        <v>44813</v>
      </c>
      <c r="AH6" s="16" cm="1">
        <f t="array" aca="1" ref="AH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 s="21">
        <v>44813</v>
      </c>
      <c r="AJ6" s="74">
        <v>44813</v>
      </c>
      <c r="AK6" s="16" cm="1">
        <f t="array" aca="1" ref="AK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 s="20">
        <f t="shared" si="0"/>
        <v>44820</v>
      </c>
      <c r="AM6" s="74">
        <v>44818</v>
      </c>
      <c r="AN6" s="15" cm="1">
        <f t="array" aca="1" ref="AN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6" s="20">
        <f t="shared" si="1"/>
        <v>44819</v>
      </c>
      <c r="AP6" s="74">
        <v>44817</v>
      </c>
      <c r="AQ6" s="15" cm="1">
        <f t="array" aca="1" ref="AQ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6" s="20">
        <f t="shared" si="2"/>
        <v>44831</v>
      </c>
      <c r="AS6" s="74">
        <v>44819</v>
      </c>
      <c r="AT6" s="15" cm="1">
        <f t="array" aca="1" ref="AT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6" s="20">
        <f t="shared" si="3"/>
        <v>44826</v>
      </c>
      <c r="AV6" s="74">
        <v>44868</v>
      </c>
      <c r="AW6" s="15" cm="1">
        <f t="array" aca="1" ref="AW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43</v>
      </c>
      <c r="AX6" s="20">
        <f t="shared" si="4"/>
        <v>44869</v>
      </c>
      <c r="AY6" s="74">
        <v>44879</v>
      </c>
      <c r="AZ6" s="15" cm="1">
        <f t="array" aca="1" ref="AZ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11</v>
      </c>
      <c r="BA6" s="16" t="s">
        <v>844</v>
      </c>
    </row>
    <row r="7" spans="2:53" ht="14.5" hidden="1" customHeight="1" x14ac:dyDescent="0.35">
      <c r="B7" s="14" t="s">
        <v>79</v>
      </c>
      <c r="C7" s="16"/>
      <c r="D7" s="16" t="s">
        <v>108</v>
      </c>
      <c r="E7" s="16" t="s">
        <v>846</v>
      </c>
      <c r="F7" s="16" cm="1">
        <f t="array" ref="F7">_xlfn.IFS(Tabela18[[#This Row],[STATUS]]="Finalizado",1,Tabela18[[#This Row],[STATUS]]="Cancelado",2,Tabela18[[#This Row],[STATUS]]="Em andamento",3)</f>
        <v>1</v>
      </c>
      <c r="G7" s="16" cm="1">
        <f t="array" aca="1" ref="G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-EMAIL]]="",$AH7&gt;$AF$1),2,
AND(Tabela18[[#This Row],[STATUS]]="Em andamento",Tabela18[[#This Row],[DATA REAL -EMAIL]]="",$AH7&lt;=$AF$1),3,
AND(Tabela18[[#This Row],[STATUS]]="Em andamento",Tabela18[[#This Row],[DATA REAL -EMAIL]]&lt;&gt;""),1)</f>
        <v>1</v>
      </c>
      <c r="H7" s="16" cm="1">
        <f t="array" aca="1" ref="H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CLIENTE]]="",$AK7&gt;$AI$1),2,
AND(Tabela18[[#This Row],[STATUS]]="Em andamento",Tabela18[[#This Row],[DATA REAL - DOC CLIENTE]]="",$AK7&lt;=$AI$1),3,
AND(Tabela18[[#This Row],[STATUS]]="Em andamento",Tabela18[[#This Row],[DATA REAL - DOC CLIENTE]]&lt;&gt;""),1)</f>
        <v>1</v>
      </c>
      <c r="I7" s="16" cm="1">
        <f t="array" aca="1" ref="I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06]]="",$AN7&gt;$AL$1),2,
AND(Tabela18[[#This Row],[STATUS]]="Em andamento",Tabela18[[#This Row],[DATA REAL - ANEXO 06]]="",$AN7&lt;=$AL$1),3,
AND(Tabela18[[#This Row],[STATUS]]="Em andamento",Tabela18[[#This Row],[DATA REAL - ANEXO 06]]&lt;&gt;""),1)</f>
        <v>1</v>
      </c>
      <c r="J7" s="15" cm="1">
        <f t="array" aca="1" ref="J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LEGAIS]]="",$AQ7&gt;$AO$1),2,
AND(Tabela18[[#This Row],[STATUS]]="Em andamento",Tabela18[[#This Row],[DATA REAL - SOLIC. PROG LEGAIS]]="",$AQ7&lt;=$AO$1),3,
AND(Tabela18[[#This Row],[STATUS]]="Em andamento",Tabela18[[#This Row],[DATA REAL - SOLIC. PROG LEGAIS]]&lt;&gt;""),1)</f>
        <v>1</v>
      </c>
      <c r="K7" s="15" cm="1">
        <f t="array" aca="1" ref="K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ENVIO]]="",$AT7&gt;$AR$1),2,
AND(Tabela18[[#This Row],[STATUS]]="Em andamento",Tabela18[[#This Row],[DATA REAL - ENVIO]]="",$AT7&lt;=$AR$1),3,
AND(Tabela18[[#This Row],[STATUS]]="Em andamento",Tabela18[[#This Row],[DATA REAL - ENVIO]]&lt;&gt;""),1)</f>
        <v>1</v>
      </c>
      <c r="L7" s="15" cm="1">
        <f t="array" aca="1" ref="L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POSTAGEM]]="",$AW7&gt;$AU$1),2,
AND(Tabela18[[#This Row],[STATUS]]="Em andamento",Tabela18[[#This Row],[DATA REAL - POSTAGEM]]="",$AW7&lt;=$AU$1),3,
AND(Tabela18[[#This Row],[STATUS]]="Em andamento",Tabela18[[#This Row],[DATA REAL - POSTAGEM]]&lt;&gt;""),1)</f>
        <v>1</v>
      </c>
      <c r="M7" s="16" cm="1">
        <f t="array" aca="1" ref="M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APROVAÇÃO]]="",$AZ7&gt;$AX$1),2,
AND(Tabela18[[#This Row],[STATUS]]="Em andamento",Tabela18[[#This Row],[DATA REAL - APROVAÇÃO]]="",$AZ7&lt;=$AX$1),3,
AND(Tabela18[[#This Row],[STATUS]]="Em andamento",Tabela18[[#This Row],[DATA REAL - APROVAÇÃO]]&lt;&gt;""),1)</f>
        <v>1</v>
      </c>
      <c r="N7" s="21">
        <f>IF(Tabela18[[#This Row],[DATA REAL -EMAIL]]&lt;&gt;"",Tabela18[[#This Row],[DATA REAL -EMAIL]]+30,Tabela18[[#This Row],[DATA PREV - EMAIL]]+30)</f>
        <v>44869</v>
      </c>
      <c r="O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44852</v>
      </c>
      <c r="P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13</v>
      </c>
      <c r="Q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7" s="48">
        <f>MAX(Tabela18[[#This Row],[DATA REAL - POSTAGEM]],Tabela18[[#This Row],[DATA REAL - APROVAÇÃO]])-MIN(Tabela18[[#This Row],[DATA REAL - POSTAGEM]],Tabela18[[#This Row],[DATA REAL - APROVAÇÃO]])+1</f>
        <v>1</v>
      </c>
      <c r="S7" s="16"/>
      <c r="T7" s="16"/>
      <c r="U7" s="18"/>
      <c r="V7" s="18"/>
      <c r="W7" s="16" t="s">
        <v>87</v>
      </c>
      <c r="X7" s="16"/>
      <c r="Y7" s="16"/>
      <c r="Z7" s="15" t="s">
        <v>249</v>
      </c>
      <c r="AA7" s="15" t="str">
        <f>_xlfn.XLOOKUP(Tabela18[[#This Row],[CÓD. CT]],Controle_Projetos[COD CT],Controle_Projetos[COD PHD],"")</f>
        <v/>
      </c>
      <c r="AB7" s="16"/>
      <c r="AC7" s="21"/>
      <c r="AD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 s="16" t="str" cm="1">
        <f t="array" aca="1" ref="AE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7" s="21">
        <v>44839</v>
      </c>
      <c r="AG7" s="74">
        <v>44839</v>
      </c>
      <c r="AH7" s="16" cm="1">
        <f t="array" aca="1" ref="AH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 s="21">
        <v>44839</v>
      </c>
      <c r="AJ7" s="74">
        <v>44839</v>
      </c>
      <c r="AK7" s="16" cm="1">
        <f t="array" aca="1" ref="AK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 s="20">
        <f t="shared" si="0"/>
        <v>44846</v>
      </c>
      <c r="AM7" s="74">
        <v>44839</v>
      </c>
      <c r="AN7" s="15" cm="1">
        <f t="array" aca="1" ref="AN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7" s="20">
        <f t="shared" si="1"/>
        <v>44840</v>
      </c>
      <c r="AP7" s="74">
        <v>44840</v>
      </c>
      <c r="AQ7" s="15" cm="1">
        <f t="array" aca="1" ref="AQ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7" s="20">
        <f t="shared" si="2"/>
        <v>44854</v>
      </c>
      <c r="AS7" s="74">
        <v>44852</v>
      </c>
      <c r="AT7" s="15" cm="1">
        <f t="array" aca="1" ref="AT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7" s="20">
        <f t="shared" si="3"/>
        <v>44859</v>
      </c>
      <c r="AV7" s="74">
        <v>44852</v>
      </c>
      <c r="AW7" s="15" cm="1">
        <f t="array" aca="1" ref="AW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7" s="20">
        <f t="shared" si="4"/>
        <v>44853</v>
      </c>
      <c r="AY7" s="74">
        <v>44852</v>
      </c>
      <c r="AZ7" s="15" cm="1">
        <f t="array" aca="1" ref="AZ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7" s="16" t="s">
        <v>847</v>
      </c>
    </row>
    <row r="8" spans="2:53" ht="14.5" hidden="1" customHeight="1" x14ac:dyDescent="0.35">
      <c r="B8" s="14" t="s">
        <v>79</v>
      </c>
      <c r="C8" s="16"/>
      <c r="D8" s="16" t="s">
        <v>81</v>
      </c>
      <c r="E8" s="16" t="s">
        <v>848</v>
      </c>
      <c r="F8" s="16" cm="1">
        <f t="array" ref="F8">_xlfn.IFS(Tabela18[[#This Row],[STATUS]]="Finalizado",1,Tabela18[[#This Row],[STATUS]]="Cancelado",2,Tabela18[[#This Row],[STATUS]]="Em andamento",3)</f>
        <v>1</v>
      </c>
      <c r="G8" s="16" cm="1">
        <f t="array" aca="1" ref="G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-EMAIL]]="",$AH8&gt;$AF$1),2,
AND(Tabela18[[#This Row],[STATUS]]="Em andamento",Tabela18[[#This Row],[DATA REAL -EMAIL]]="",$AH8&lt;=$AF$1),3,
AND(Tabela18[[#This Row],[STATUS]]="Em andamento",Tabela18[[#This Row],[DATA REAL -EMAIL]]&lt;&gt;""),1)</f>
        <v>1</v>
      </c>
      <c r="H8" s="16" cm="1">
        <f t="array" aca="1" ref="H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CLIENTE]]="",$AK8&gt;$AI$1),2,
AND(Tabela18[[#This Row],[STATUS]]="Em andamento",Tabela18[[#This Row],[DATA REAL - DOC CLIENTE]]="",$AK8&lt;=$AI$1),3,
AND(Tabela18[[#This Row],[STATUS]]="Em andamento",Tabela18[[#This Row],[DATA REAL - DOC CLIENTE]]&lt;&gt;""),1)</f>
        <v>1</v>
      </c>
      <c r="I8" s="16" cm="1">
        <f t="array" aca="1" ref="I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06]]="",$AN8&gt;$AL$1),2,
AND(Tabela18[[#This Row],[STATUS]]="Em andamento",Tabela18[[#This Row],[DATA REAL - ANEXO 06]]="",$AN8&lt;=$AL$1),3,
AND(Tabela18[[#This Row],[STATUS]]="Em andamento",Tabela18[[#This Row],[DATA REAL - ANEXO 06]]&lt;&gt;""),1)</f>
        <v>1</v>
      </c>
      <c r="J8" s="15" cm="1">
        <f t="array" aca="1" ref="J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LEGAIS]]="",$AQ8&gt;$AO$1),2,
AND(Tabela18[[#This Row],[STATUS]]="Em andamento",Tabela18[[#This Row],[DATA REAL - SOLIC. PROG LEGAIS]]="",$AQ8&lt;=$AO$1),3,
AND(Tabela18[[#This Row],[STATUS]]="Em andamento",Tabela18[[#This Row],[DATA REAL - SOLIC. PROG LEGAIS]]&lt;&gt;""),1)</f>
        <v>1</v>
      </c>
      <c r="K8" s="15" cm="1">
        <f t="array" aca="1" ref="K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ENVIO]]="",$AT8&gt;$AR$1),2,
AND(Tabela18[[#This Row],[STATUS]]="Em andamento",Tabela18[[#This Row],[DATA REAL - ENVIO]]="",$AT8&lt;=$AR$1),3,
AND(Tabela18[[#This Row],[STATUS]]="Em andamento",Tabela18[[#This Row],[DATA REAL - ENVIO]]&lt;&gt;""),1)</f>
        <v>1</v>
      </c>
      <c r="L8" s="15" cm="1">
        <f t="array" aca="1" ref="L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POSTAGEM]]="",$AW8&gt;$AU$1),2,
AND(Tabela18[[#This Row],[STATUS]]="Em andamento",Tabela18[[#This Row],[DATA REAL - POSTAGEM]]="",$AW8&lt;=$AU$1),3,
AND(Tabela18[[#This Row],[STATUS]]="Em andamento",Tabela18[[#This Row],[DATA REAL - POSTAGEM]]&lt;&gt;""),1)</f>
        <v>1</v>
      </c>
      <c r="M8" s="16" cm="1">
        <f t="array" aca="1" ref="M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APROVAÇÃO]]="",$AZ8&gt;$AX$1),2,
AND(Tabela18[[#This Row],[STATUS]]="Em andamento",Tabela18[[#This Row],[DATA REAL - APROVAÇÃO]]="",$AZ8&lt;=$AX$1),3,
AND(Tabela18[[#This Row],[STATUS]]="Em andamento",Tabela18[[#This Row],[DATA REAL - APROVAÇÃO]]&lt;&gt;""),1)</f>
        <v>1</v>
      </c>
      <c r="N8" s="21">
        <f>IF(Tabela18[[#This Row],[DATA REAL -EMAIL]]&lt;&gt;"",Tabela18[[#This Row],[DATA REAL -EMAIL]]+30,Tabela18[[#This Row],[DATA PREV - EMAIL]]+30)</f>
        <v>44870</v>
      </c>
      <c r="O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44900</v>
      </c>
      <c r="P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60</v>
      </c>
      <c r="Q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v>
      </c>
      <c r="R8" s="48">
        <f>MAX(Tabela18[[#This Row],[DATA REAL - POSTAGEM]],Tabela18[[#This Row],[DATA REAL - APROVAÇÃO]])-MIN(Tabela18[[#This Row],[DATA REAL - POSTAGEM]],Tabela18[[#This Row],[DATA REAL - APROVAÇÃO]])+1</f>
        <v>4</v>
      </c>
      <c r="S8" s="16"/>
      <c r="T8" s="16"/>
      <c r="U8" s="18"/>
      <c r="V8" s="18"/>
      <c r="W8" s="16" t="s">
        <v>87</v>
      </c>
      <c r="X8" s="16"/>
      <c r="Y8" s="16"/>
      <c r="Z8" s="15" t="s">
        <v>249</v>
      </c>
      <c r="AA8" s="15" t="str">
        <f>_xlfn.XLOOKUP(Tabela18[[#This Row],[CÓD. CT]],Controle_Projetos[COD CT],Controle_Projetos[COD PHD],"")</f>
        <v/>
      </c>
      <c r="AB8" s="16"/>
      <c r="AC8" s="21"/>
      <c r="AD8"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8" s="16" t="str" cm="1">
        <f t="array" aca="1" ref="AE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8" s="21">
        <v>44840</v>
      </c>
      <c r="AG8" s="74">
        <v>44840</v>
      </c>
      <c r="AH8" s="16" cm="1">
        <f t="array" aca="1" ref="AH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 s="21">
        <v>44840</v>
      </c>
      <c r="AJ8" s="74">
        <v>44840</v>
      </c>
      <c r="AK8" s="16" cm="1">
        <f t="array" aca="1" ref="AK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 s="20">
        <f t="shared" si="0"/>
        <v>44847</v>
      </c>
      <c r="AM8" s="74">
        <v>44840</v>
      </c>
      <c r="AN8" s="15" cm="1">
        <f t="array" aca="1" ref="AN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8" s="20">
        <f t="shared" si="1"/>
        <v>44841</v>
      </c>
      <c r="AP8" s="74">
        <v>44841</v>
      </c>
      <c r="AQ8" s="15" cm="1">
        <f t="array" aca="1" ref="AQ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8" s="20">
        <f t="shared" si="2"/>
        <v>44855</v>
      </c>
      <c r="AS8" s="74">
        <v>44847</v>
      </c>
      <c r="AT8" s="15" cm="1">
        <f t="array" aca="1" ref="AT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8" s="20">
        <f t="shared" si="3"/>
        <v>44854</v>
      </c>
      <c r="AV8" s="74">
        <v>44897</v>
      </c>
      <c r="AW8" s="15" cm="1">
        <f t="array" aca="1" ref="AW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44</v>
      </c>
      <c r="AX8" s="20">
        <f t="shared" si="4"/>
        <v>44900</v>
      </c>
      <c r="AY8" s="74">
        <v>44900</v>
      </c>
      <c r="AZ8" s="15" cm="1">
        <f t="array" aca="1" ref="AZ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 s="16" t="s">
        <v>849</v>
      </c>
    </row>
    <row r="9" spans="2:53" ht="14.5" hidden="1" customHeight="1" x14ac:dyDescent="0.35">
      <c r="B9" s="14" t="s">
        <v>79</v>
      </c>
      <c r="C9" s="16"/>
      <c r="D9" s="16" t="s">
        <v>108</v>
      </c>
      <c r="E9" s="16" t="s">
        <v>850</v>
      </c>
      <c r="F9" s="16" cm="1">
        <f t="array" ref="F9">_xlfn.IFS(Tabela18[[#This Row],[STATUS]]="Finalizado",1,Tabela18[[#This Row],[STATUS]]="Cancelado",2,Tabela18[[#This Row],[STATUS]]="Em andamento",3)</f>
        <v>1</v>
      </c>
      <c r="G9" s="16" cm="1">
        <f t="array" aca="1" ref="G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-EMAIL]]="",$AH9&gt;$AF$1),2,
AND(Tabela18[[#This Row],[STATUS]]="Em andamento",Tabela18[[#This Row],[DATA REAL -EMAIL]]="",$AH9&lt;=$AF$1),3,
AND(Tabela18[[#This Row],[STATUS]]="Em andamento",Tabela18[[#This Row],[DATA REAL -EMAIL]]&lt;&gt;""),1)</f>
        <v>1</v>
      </c>
      <c r="H9" s="16" cm="1">
        <f t="array" aca="1" ref="H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CLIENTE]]="",$AK9&gt;$AI$1),2,
AND(Tabela18[[#This Row],[STATUS]]="Em andamento",Tabela18[[#This Row],[DATA REAL - DOC CLIENTE]]="",$AK9&lt;=$AI$1),3,
AND(Tabela18[[#This Row],[STATUS]]="Em andamento",Tabela18[[#This Row],[DATA REAL - DOC CLIENTE]]&lt;&gt;""),1)</f>
        <v>1</v>
      </c>
      <c r="I9" s="16" cm="1">
        <f t="array" aca="1" ref="I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06]]="",$AN9&gt;$AL$1),2,
AND(Tabela18[[#This Row],[STATUS]]="Em andamento",Tabela18[[#This Row],[DATA REAL - ANEXO 06]]="",$AN9&lt;=$AL$1),3,
AND(Tabela18[[#This Row],[STATUS]]="Em andamento",Tabela18[[#This Row],[DATA REAL - ANEXO 06]]&lt;&gt;""),1)</f>
        <v>1</v>
      </c>
      <c r="J9" s="15" cm="1">
        <f t="array" aca="1" ref="J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LEGAIS]]="",$AQ9&gt;$AO$1),2,
AND(Tabela18[[#This Row],[STATUS]]="Em andamento",Tabela18[[#This Row],[DATA REAL - SOLIC. PROG LEGAIS]]="",$AQ9&lt;=$AO$1),3,
AND(Tabela18[[#This Row],[STATUS]]="Em andamento",Tabela18[[#This Row],[DATA REAL - SOLIC. PROG LEGAIS]]&lt;&gt;""),1)</f>
        <v>1</v>
      </c>
      <c r="K9" s="15" cm="1">
        <f t="array" aca="1" ref="K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ENVIO]]="",$AT9&gt;$AR$1),2,
AND(Tabela18[[#This Row],[STATUS]]="Em andamento",Tabela18[[#This Row],[DATA REAL - ENVIO]]="",$AT9&lt;=$AR$1),3,
AND(Tabela18[[#This Row],[STATUS]]="Em andamento",Tabela18[[#This Row],[DATA REAL - ENVIO]]&lt;&gt;""),1)</f>
        <v>1</v>
      </c>
      <c r="L9" s="15" cm="1">
        <f t="array" aca="1" ref="L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POSTAGEM]]="",$AW9&gt;$AU$1),2,
AND(Tabela18[[#This Row],[STATUS]]="Em andamento",Tabela18[[#This Row],[DATA REAL - POSTAGEM]]="",$AW9&lt;=$AU$1),3,
AND(Tabela18[[#This Row],[STATUS]]="Em andamento",Tabela18[[#This Row],[DATA REAL - POSTAGEM]]&lt;&gt;""),1)</f>
        <v>1</v>
      </c>
      <c r="M9" s="16" cm="1">
        <f t="array" aca="1" ref="M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APROVAÇÃO]]="",$AZ9&gt;$AX$1),2,
AND(Tabela18[[#This Row],[STATUS]]="Em andamento",Tabela18[[#This Row],[DATA REAL - APROVAÇÃO]]="",$AZ9&lt;=$AX$1),3,
AND(Tabela18[[#This Row],[STATUS]]="Em andamento",Tabela18[[#This Row],[DATA REAL - APROVAÇÃO]]&lt;&gt;""),1)</f>
        <v>1</v>
      </c>
      <c r="N9" s="21">
        <f>IF(Tabela18[[#This Row],[DATA REAL -EMAIL]]&lt;&gt;"",Tabela18[[#This Row],[DATA REAL -EMAIL]]+30,Tabela18[[#This Row],[DATA PREV - EMAIL]]+30)</f>
        <v>44874</v>
      </c>
      <c r="O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44865</v>
      </c>
      <c r="P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v>
      </c>
      <c r="Q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9" s="48">
        <f>MAX(Tabela18[[#This Row],[DATA REAL - POSTAGEM]],Tabela18[[#This Row],[DATA REAL - APROVAÇÃO]])-MIN(Tabela18[[#This Row],[DATA REAL - POSTAGEM]],Tabela18[[#This Row],[DATA REAL - APROVAÇÃO]])+1</f>
        <v>6</v>
      </c>
      <c r="S9" s="16" t="s">
        <v>158</v>
      </c>
      <c r="T9" s="16"/>
      <c r="U9" s="18" t="s">
        <v>159</v>
      </c>
      <c r="V9" s="18" t="s">
        <v>152</v>
      </c>
      <c r="W9" s="16" t="s">
        <v>97</v>
      </c>
      <c r="X9" s="16" t="s">
        <v>89</v>
      </c>
      <c r="Y9" s="16" t="s">
        <v>581</v>
      </c>
      <c r="Z9" s="15" t="s">
        <v>249</v>
      </c>
      <c r="AA9" s="15" t="str">
        <f>_xlfn.XLOOKUP(Tabela18[[#This Row],[CÓD. CT]],Controle_Projetos[COD CT],Controle_Projetos[COD PHD],"")</f>
        <v/>
      </c>
      <c r="AB9" s="16"/>
      <c r="AC9" s="21"/>
      <c r="AD9"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9" s="16" t="str" cm="1">
        <f t="array" aca="1" ref="AE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9" s="21">
        <v>44844</v>
      </c>
      <c r="AG9" s="74">
        <v>44844</v>
      </c>
      <c r="AH9" s="16" cm="1">
        <f t="array" aca="1" ref="AH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 s="21">
        <v>44844</v>
      </c>
      <c r="AJ9" s="74">
        <v>44844</v>
      </c>
      <c r="AK9" s="16" cm="1">
        <f t="array" aca="1" ref="AK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 s="20">
        <f t="shared" si="0"/>
        <v>44851</v>
      </c>
      <c r="AM9" s="74">
        <v>44848</v>
      </c>
      <c r="AN9" s="15" cm="1">
        <f t="array" aca="1" ref="AN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9" s="20">
        <f t="shared" si="1"/>
        <v>44851</v>
      </c>
      <c r="AP9" s="74">
        <v>44844</v>
      </c>
      <c r="AQ9" s="15" cm="1">
        <f t="array" aca="1" ref="AQ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9" s="20">
        <f t="shared" si="2"/>
        <v>44858</v>
      </c>
      <c r="AS9" s="74">
        <v>44853</v>
      </c>
      <c r="AT9" s="15" cm="1">
        <f t="array" aca="1" ref="AT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9" s="20">
        <f t="shared" si="3"/>
        <v>44860</v>
      </c>
      <c r="AV9" s="74">
        <v>44860</v>
      </c>
      <c r="AW9" s="15" cm="1">
        <f t="array" aca="1" ref="AW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9" s="20">
        <f t="shared" si="4"/>
        <v>44861</v>
      </c>
      <c r="AY9" s="74">
        <v>44865</v>
      </c>
      <c r="AZ9" s="15" cm="1">
        <f t="array" aca="1" ref="AZ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v>
      </c>
      <c r="BA9" s="16" t="s">
        <v>851</v>
      </c>
    </row>
    <row r="10" spans="2:53" ht="14.5" hidden="1" customHeight="1" x14ac:dyDescent="0.35">
      <c r="B10" s="14" t="s">
        <v>79</v>
      </c>
      <c r="C10" s="16"/>
      <c r="D10" s="16" t="s">
        <v>108</v>
      </c>
      <c r="E10" s="16" t="s">
        <v>852</v>
      </c>
      <c r="F10" s="16" cm="1">
        <f t="array" ref="F10">_xlfn.IFS(Tabela18[[#This Row],[STATUS]]="Finalizado",1,Tabela18[[#This Row],[STATUS]]="Cancelado",2,Tabela18[[#This Row],[STATUS]]="Em andamento",3)</f>
        <v>1</v>
      </c>
      <c r="G10" s="16" cm="1">
        <f t="array" aca="1" ref="G1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-EMAIL]]="",$AH10&gt;$AF$1),2,
AND(Tabela18[[#This Row],[STATUS]]="Em andamento",Tabela18[[#This Row],[DATA REAL -EMAIL]]="",$AH10&lt;=$AF$1),3,
AND(Tabela18[[#This Row],[STATUS]]="Em andamento",Tabela18[[#This Row],[DATA REAL -EMAIL]]&lt;&gt;""),1)</f>
        <v>1</v>
      </c>
      <c r="H10" s="16" cm="1">
        <f t="array" aca="1" ref="H1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CLIENTE]]="",$AK10&gt;$AI$1),2,
AND(Tabela18[[#This Row],[STATUS]]="Em andamento",Tabela18[[#This Row],[DATA REAL - DOC CLIENTE]]="",$AK10&lt;=$AI$1),3,
AND(Tabela18[[#This Row],[STATUS]]="Em andamento",Tabela18[[#This Row],[DATA REAL - DOC CLIENTE]]&lt;&gt;""),1)</f>
        <v>1</v>
      </c>
      <c r="I10" s="16" cm="1">
        <f t="array" aca="1" ref="I1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06]]="",$AN10&gt;$AL$1),2,
AND(Tabela18[[#This Row],[STATUS]]="Em andamento",Tabela18[[#This Row],[DATA REAL - ANEXO 06]]="",$AN10&lt;=$AL$1),3,
AND(Tabela18[[#This Row],[STATUS]]="Em andamento",Tabela18[[#This Row],[DATA REAL - ANEXO 06]]&lt;&gt;""),1)</f>
        <v>1</v>
      </c>
      <c r="J10" s="15" cm="1">
        <f t="array" aca="1" ref="J1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LEGAIS]]="",$AQ10&gt;$AO$1),2,
AND(Tabela18[[#This Row],[STATUS]]="Em andamento",Tabela18[[#This Row],[DATA REAL - SOLIC. PROG LEGAIS]]="",$AQ10&lt;=$AO$1),3,
AND(Tabela18[[#This Row],[STATUS]]="Em andamento",Tabela18[[#This Row],[DATA REAL - SOLIC. PROG LEGAIS]]&lt;&gt;""),1)</f>
        <v>1</v>
      </c>
      <c r="K10" s="15" cm="1">
        <f t="array" aca="1" ref="K1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ENVIO]]="",$AT10&gt;$AR$1),2,
AND(Tabela18[[#This Row],[STATUS]]="Em andamento",Tabela18[[#This Row],[DATA REAL - ENVIO]]="",$AT10&lt;=$AR$1),3,
AND(Tabela18[[#This Row],[STATUS]]="Em andamento",Tabela18[[#This Row],[DATA REAL - ENVIO]]&lt;&gt;""),1)</f>
        <v>1</v>
      </c>
      <c r="L10" s="15" cm="1">
        <f t="array" aca="1" ref="L1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POSTAGEM]]="",$AW10&gt;$AU$1),2,
AND(Tabela18[[#This Row],[STATUS]]="Em andamento",Tabela18[[#This Row],[DATA REAL - POSTAGEM]]="",$AW10&lt;=$AU$1),3,
AND(Tabela18[[#This Row],[STATUS]]="Em andamento",Tabela18[[#This Row],[DATA REAL - POSTAGEM]]&lt;&gt;""),1)</f>
        <v>1</v>
      </c>
      <c r="M10" s="16" cm="1">
        <f t="array" aca="1" ref="M1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APROVAÇÃO]]="",$AZ10&gt;$AX$1),2,
AND(Tabela18[[#This Row],[STATUS]]="Em andamento",Tabela18[[#This Row],[DATA REAL - APROVAÇÃO]]="",$AZ10&lt;=$AX$1),3,
AND(Tabela18[[#This Row],[STATUS]]="Em andamento",Tabela18[[#This Row],[DATA REAL - APROVAÇÃO]]&lt;&gt;""),1)</f>
        <v>1</v>
      </c>
      <c r="N10" s="21">
        <f>IF(Tabela18[[#This Row],[DATA REAL -EMAIL]]&lt;&gt;"",Tabela18[[#This Row],[DATA REAL -EMAIL]]+30,Tabela18[[#This Row],[DATA PREV - EMAIL]]+30)</f>
        <v>44888</v>
      </c>
      <c r="O1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44896</v>
      </c>
      <c r="P1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38</v>
      </c>
      <c r="Q1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v>
      </c>
      <c r="R10" s="48">
        <f>MAX(Tabela18[[#This Row],[DATA REAL - POSTAGEM]],Tabela18[[#This Row],[DATA REAL - APROVAÇÃO]])-MIN(Tabela18[[#This Row],[DATA REAL - POSTAGEM]],Tabela18[[#This Row],[DATA REAL - APROVAÇÃO]])+1</f>
        <v>2</v>
      </c>
      <c r="S10" s="16"/>
      <c r="T10" s="16"/>
      <c r="U10" s="18"/>
      <c r="V10" s="18"/>
      <c r="W10" s="16" t="s">
        <v>87</v>
      </c>
      <c r="X10" s="16" t="s">
        <v>89</v>
      </c>
      <c r="Y10" s="16"/>
      <c r="Z10" s="15" t="s">
        <v>249</v>
      </c>
      <c r="AA10" s="15" t="str">
        <f>_xlfn.XLOOKUP(Tabela18[[#This Row],[CÓD. CT]],Controle_Projetos[COD CT],Controle_Projetos[COD PHD],"")</f>
        <v/>
      </c>
      <c r="AB10" s="16"/>
      <c r="AC10" s="21"/>
      <c r="AD1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0" s="16" t="str" cm="1">
        <f t="array" aca="1" ref="AE1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0" s="21">
        <v>44858</v>
      </c>
      <c r="AG10" s="74">
        <v>44858</v>
      </c>
      <c r="AH10" s="16" cm="1">
        <f t="array" aca="1" ref="AH1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 s="21">
        <v>44858</v>
      </c>
      <c r="AJ10" s="74">
        <v>44858</v>
      </c>
      <c r="AK10" s="16" cm="1">
        <f t="array" aca="1" ref="AK1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 s="20">
        <f t="shared" si="0"/>
        <v>44865</v>
      </c>
      <c r="AM10" s="74">
        <v>44858</v>
      </c>
      <c r="AN10" s="15" cm="1">
        <f t="array" aca="1" ref="AN1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0" s="20">
        <f t="shared" si="1"/>
        <v>44859</v>
      </c>
      <c r="AP10" s="74">
        <v>44858</v>
      </c>
      <c r="AQ10" s="15" cm="1">
        <f t="array" aca="1" ref="AQ1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0" s="20">
        <f t="shared" si="2"/>
        <v>44872</v>
      </c>
      <c r="AS10" s="74">
        <v>44860</v>
      </c>
      <c r="AT10" s="15" cm="1">
        <f t="array" aca="1" ref="AT1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10" s="20">
        <f t="shared" si="3"/>
        <v>44867</v>
      </c>
      <c r="AV10" s="74">
        <v>44895</v>
      </c>
      <c r="AW10" s="15" cm="1">
        <f t="array" aca="1" ref="AW1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29</v>
      </c>
      <c r="AX10" s="20">
        <f t="shared" si="4"/>
        <v>44896</v>
      </c>
      <c r="AY10" s="74">
        <v>44896</v>
      </c>
      <c r="AZ10" s="15" cm="1">
        <f t="array" aca="1" ref="AZ1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0" s="16" t="s">
        <v>853</v>
      </c>
    </row>
    <row r="11" spans="2:53" ht="14.5" hidden="1" customHeight="1" x14ac:dyDescent="0.35">
      <c r="B11" s="14" t="s">
        <v>79</v>
      </c>
      <c r="C11" s="16"/>
      <c r="D11" s="16" t="s">
        <v>81</v>
      </c>
      <c r="E11" s="16" t="s">
        <v>854</v>
      </c>
      <c r="F11" s="16" cm="1">
        <f t="array" ref="F11">_xlfn.IFS(Tabela18[[#This Row],[STATUS]]="Finalizado",1,Tabela18[[#This Row],[STATUS]]="Cancelado",2,Tabela18[[#This Row],[STATUS]]="Em andamento",3)</f>
        <v>1</v>
      </c>
      <c r="G11" s="16" cm="1">
        <f t="array" aca="1" ref="G1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-EMAIL]]="",$AH11&gt;$AF$1),2,
AND(Tabela18[[#This Row],[STATUS]]="Em andamento",Tabela18[[#This Row],[DATA REAL -EMAIL]]="",$AH11&lt;=$AF$1),3,
AND(Tabela18[[#This Row],[STATUS]]="Em andamento",Tabela18[[#This Row],[DATA REAL -EMAIL]]&lt;&gt;""),1)</f>
        <v>1</v>
      </c>
      <c r="H11" s="16" cm="1">
        <f t="array" aca="1" ref="H1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CLIENTE]]="",$AK11&gt;$AI$1),2,
AND(Tabela18[[#This Row],[STATUS]]="Em andamento",Tabela18[[#This Row],[DATA REAL - DOC CLIENTE]]="",$AK11&lt;=$AI$1),3,
AND(Tabela18[[#This Row],[STATUS]]="Em andamento",Tabela18[[#This Row],[DATA REAL - DOC CLIENTE]]&lt;&gt;""),1)</f>
        <v>1</v>
      </c>
      <c r="I11" s="16" cm="1">
        <f t="array" aca="1" ref="I1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06]]="",$AN11&gt;$AL$1),2,
AND(Tabela18[[#This Row],[STATUS]]="Em andamento",Tabela18[[#This Row],[DATA REAL - ANEXO 06]]="",$AN11&lt;=$AL$1),3,
AND(Tabela18[[#This Row],[STATUS]]="Em andamento",Tabela18[[#This Row],[DATA REAL - ANEXO 06]]&lt;&gt;""),1)</f>
        <v>1</v>
      </c>
      <c r="J11" s="15" cm="1">
        <f t="array" aca="1" ref="J1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LEGAIS]]="",$AQ11&gt;$AO$1),2,
AND(Tabela18[[#This Row],[STATUS]]="Em andamento",Tabela18[[#This Row],[DATA REAL - SOLIC. PROG LEGAIS]]="",$AQ11&lt;=$AO$1),3,
AND(Tabela18[[#This Row],[STATUS]]="Em andamento",Tabela18[[#This Row],[DATA REAL - SOLIC. PROG LEGAIS]]&lt;&gt;""),1)</f>
        <v>1</v>
      </c>
      <c r="K11" s="15" cm="1">
        <f t="array" aca="1" ref="K1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ENVIO]]="",$AT11&gt;$AR$1),2,
AND(Tabela18[[#This Row],[STATUS]]="Em andamento",Tabela18[[#This Row],[DATA REAL - ENVIO]]="",$AT11&lt;=$AR$1),3,
AND(Tabela18[[#This Row],[STATUS]]="Em andamento",Tabela18[[#This Row],[DATA REAL - ENVIO]]&lt;&gt;""),1)</f>
        <v>1</v>
      </c>
      <c r="L11" s="15" cm="1">
        <f t="array" aca="1" ref="L1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POSTAGEM]]="",$AW11&gt;$AU$1),2,
AND(Tabela18[[#This Row],[STATUS]]="Em andamento",Tabela18[[#This Row],[DATA REAL - POSTAGEM]]="",$AW11&lt;=$AU$1),3,
AND(Tabela18[[#This Row],[STATUS]]="Em andamento",Tabela18[[#This Row],[DATA REAL - POSTAGEM]]&lt;&gt;""),1)</f>
        <v>1</v>
      </c>
      <c r="M11" s="16" cm="1">
        <f t="array" aca="1" ref="M1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APROVAÇÃO]]="",$AZ11&gt;$AX$1),2,
AND(Tabela18[[#This Row],[STATUS]]="Em andamento",Tabela18[[#This Row],[DATA REAL - APROVAÇÃO]]="",$AZ11&lt;=$AX$1),3,
AND(Tabela18[[#This Row],[STATUS]]="Em andamento",Tabela18[[#This Row],[DATA REAL - APROVAÇÃO]]&lt;&gt;""),1)</f>
        <v>1</v>
      </c>
      <c r="N11" s="21">
        <f>IF(Tabela18[[#This Row],[DATA REAL -EMAIL]]&lt;&gt;"",Tabela18[[#This Row],[DATA REAL -EMAIL]]+30,Tabela18[[#This Row],[DATA PREV - EMAIL]]+30)</f>
        <v>44916</v>
      </c>
      <c r="O1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44900</v>
      </c>
      <c r="P1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1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11" s="48">
        <f>MAX(Tabela18[[#This Row],[DATA REAL - POSTAGEM]],Tabela18[[#This Row],[DATA REAL - APROVAÇÃO]])-MIN(Tabela18[[#This Row],[DATA REAL - POSTAGEM]],Tabela18[[#This Row],[DATA REAL - APROVAÇÃO]])+1</f>
        <v>11</v>
      </c>
      <c r="S11" s="16"/>
      <c r="T11" s="16"/>
      <c r="U11" s="18"/>
      <c r="V11" s="18"/>
      <c r="W11" s="16" t="s">
        <v>97</v>
      </c>
      <c r="X11" s="16"/>
      <c r="Y11" s="16"/>
      <c r="Z11" s="15" t="s">
        <v>249</v>
      </c>
      <c r="AA11" s="15" t="str">
        <f>_xlfn.XLOOKUP(Tabela18[[#This Row],[CÓD. CT]],Controle_Projetos[COD CT],Controle_Projetos[COD PHD],"")</f>
        <v/>
      </c>
      <c r="AB11" s="16"/>
      <c r="AC11" s="21"/>
      <c r="AD1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1" s="16" t="str" cm="1">
        <f t="array" aca="1" ref="AE1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1" s="21">
        <v>44886</v>
      </c>
      <c r="AG11" s="74">
        <v>44886</v>
      </c>
      <c r="AH11" s="16" cm="1">
        <f t="array" aca="1" ref="AH1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 s="21">
        <v>44887</v>
      </c>
      <c r="AJ11" s="74">
        <v>44886</v>
      </c>
      <c r="AK11" s="16" cm="1">
        <f t="array" aca="1" ref="AK1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 s="20">
        <f t="shared" si="0"/>
        <v>44893</v>
      </c>
      <c r="AM11" s="74">
        <v>44886</v>
      </c>
      <c r="AN11" s="15" cm="1">
        <f t="array" aca="1" ref="AN1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1" s="20">
        <f t="shared" si="1"/>
        <v>44887</v>
      </c>
      <c r="AP11" s="74">
        <v>44890</v>
      </c>
      <c r="AQ11" s="15" cm="1">
        <f t="array" aca="1" ref="AQ1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1" s="20">
        <f t="shared" si="2"/>
        <v>44904</v>
      </c>
      <c r="AS11" s="74">
        <v>44890</v>
      </c>
      <c r="AT11" s="15" cm="1">
        <f t="array" aca="1" ref="AT1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1" s="20">
        <f t="shared" si="3"/>
        <v>44897</v>
      </c>
      <c r="AV11" s="74">
        <v>44890</v>
      </c>
      <c r="AW11" s="15" cm="1">
        <f t="array" aca="1" ref="AW1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 s="20">
        <f t="shared" si="4"/>
        <v>44893</v>
      </c>
      <c r="AY11" s="74">
        <v>44900</v>
      </c>
      <c r="AZ11" s="15" cm="1">
        <f t="array" aca="1" ref="AZ1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1" s="16"/>
    </row>
    <row r="12" spans="2:53" ht="14.5" hidden="1" customHeight="1" x14ac:dyDescent="0.35">
      <c r="B12" s="14" t="s">
        <v>79</v>
      </c>
      <c r="C12" s="16"/>
      <c r="D12" s="16" t="s">
        <v>81</v>
      </c>
      <c r="E12" s="16" t="s">
        <v>855</v>
      </c>
      <c r="F12" s="16" cm="1">
        <f t="array" ref="F12">_xlfn.IFS(Tabela18[[#This Row],[STATUS]]="Finalizado",1,Tabela18[[#This Row],[STATUS]]="Cancelado",2,Tabela18[[#This Row],[STATUS]]="Em andamento",3)</f>
        <v>1</v>
      </c>
      <c r="G12" s="16" cm="1">
        <f t="array" aca="1" ref="G1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-EMAIL]]="",$AH12&gt;$AF$1),2,
AND(Tabela18[[#This Row],[STATUS]]="Em andamento",Tabela18[[#This Row],[DATA REAL -EMAIL]]="",$AH12&lt;=$AF$1),3,
AND(Tabela18[[#This Row],[STATUS]]="Em andamento",Tabela18[[#This Row],[DATA REAL -EMAIL]]&lt;&gt;""),1)</f>
        <v>1</v>
      </c>
      <c r="H12" s="16" cm="1">
        <f t="array" aca="1" ref="H1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CLIENTE]]="",$AK12&gt;$AI$1),2,
AND(Tabela18[[#This Row],[STATUS]]="Em andamento",Tabela18[[#This Row],[DATA REAL - DOC CLIENTE]]="",$AK12&lt;=$AI$1),3,
AND(Tabela18[[#This Row],[STATUS]]="Em andamento",Tabela18[[#This Row],[DATA REAL - DOC CLIENTE]]&lt;&gt;""),1)</f>
        <v>1</v>
      </c>
      <c r="I12" s="16" cm="1">
        <f t="array" aca="1" ref="I1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06]]="",$AN12&gt;$AL$1),2,
AND(Tabela18[[#This Row],[STATUS]]="Em andamento",Tabela18[[#This Row],[DATA REAL - ANEXO 06]]="",$AN12&lt;=$AL$1),3,
AND(Tabela18[[#This Row],[STATUS]]="Em andamento",Tabela18[[#This Row],[DATA REAL - ANEXO 06]]&lt;&gt;""),1)</f>
        <v>1</v>
      </c>
      <c r="J12" s="15" cm="1">
        <f t="array" aca="1" ref="J1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LEGAIS]]="",$AQ12&gt;$AO$1),2,
AND(Tabela18[[#This Row],[STATUS]]="Em andamento",Tabela18[[#This Row],[DATA REAL - SOLIC. PROG LEGAIS]]="",$AQ12&lt;=$AO$1),3,
AND(Tabela18[[#This Row],[STATUS]]="Em andamento",Tabela18[[#This Row],[DATA REAL - SOLIC. PROG LEGAIS]]&lt;&gt;""),1)</f>
        <v>1</v>
      </c>
      <c r="K12" s="15" cm="1">
        <f t="array" aca="1" ref="K1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ENVIO]]="",$AT12&gt;$AR$1),2,
AND(Tabela18[[#This Row],[STATUS]]="Em andamento",Tabela18[[#This Row],[DATA REAL - ENVIO]]="",$AT12&lt;=$AR$1),3,
AND(Tabela18[[#This Row],[STATUS]]="Em andamento",Tabela18[[#This Row],[DATA REAL - ENVIO]]&lt;&gt;""),1)</f>
        <v>1</v>
      </c>
      <c r="L12" s="15" cm="1">
        <f t="array" aca="1" ref="L1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POSTAGEM]]="",$AW12&gt;$AU$1),2,
AND(Tabela18[[#This Row],[STATUS]]="Em andamento",Tabela18[[#This Row],[DATA REAL - POSTAGEM]]="",$AW12&lt;=$AU$1),3,
AND(Tabela18[[#This Row],[STATUS]]="Em andamento",Tabela18[[#This Row],[DATA REAL - POSTAGEM]]&lt;&gt;""),1)</f>
        <v>1</v>
      </c>
      <c r="M12" s="16" cm="1">
        <f t="array" aca="1" ref="M1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APROVAÇÃO]]="",$AZ12&gt;$AX$1),2,
AND(Tabela18[[#This Row],[STATUS]]="Em andamento",Tabela18[[#This Row],[DATA REAL - APROVAÇÃO]]="",$AZ12&lt;=$AX$1),3,
AND(Tabela18[[#This Row],[STATUS]]="Em andamento",Tabela18[[#This Row],[DATA REAL - APROVAÇÃO]]&lt;&gt;""),1)</f>
        <v>1</v>
      </c>
      <c r="N12" s="21">
        <f>IF(Tabela18[[#This Row],[DATA REAL -EMAIL]]&lt;&gt;"",Tabela18[[#This Row],[DATA REAL -EMAIL]]+30,Tabela18[[#This Row],[DATA PREV - EMAIL]]+30)</f>
        <v>44917</v>
      </c>
      <c r="O1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44946</v>
      </c>
      <c r="P1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59</v>
      </c>
      <c r="Q1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2" s="48">
        <f>MAX(Tabela18[[#This Row],[DATA REAL - POSTAGEM]],Tabela18[[#This Row],[DATA REAL - APROVAÇÃO]])-MIN(Tabela18[[#This Row],[DATA REAL - POSTAGEM]],Tabela18[[#This Row],[DATA REAL - APROVAÇÃO]])+1</f>
        <v>8</v>
      </c>
      <c r="S12" s="16"/>
      <c r="T12" s="16"/>
      <c r="U12" s="18"/>
      <c r="V12" s="18"/>
      <c r="W12" s="16" t="s">
        <v>97</v>
      </c>
      <c r="X12" s="16"/>
      <c r="Y12" s="16"/>
      <c r="Z12" s="15" t="s">
        <v>249</v>
      </c>
      <c r="AA12" s="15" t="str">
        <f>_xlfn.XLOOKUP(Tabela18[[#This Row],[CÓD. CT]],Controle_Projetos[COD CT],Controle_Projetos[COD PHD],"")</f>
        <v/>
      </c>
      <c r="AB12" s="16"/>
      <c r="AC12" s="21"/>
      <c r="AD1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2" s="16" t="str" cm="1">
        <f t="array" aca="1" ref="AE1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 s="21">
        <v>44887</v>
      </c>
      <c r="AG12" s="74">
        <v>44887</v>
      </c>
      <c r="AH12" s="16" cm="1">
        <f t="array" aca="1" ref="AH1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 s="21">
        <v>44887</v>
      </c>
      <c r="AJ12" s="74">
        <v>44887</v>
      </c>
      <c r="AK12" s="16" cm="1">
        <f t="array" aca="1" ref="AK1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 s="20">
        <f t="shared" si="0"/>
        <v>44894</v>
      </c>
      <c r="AM12" s="74">
        <v>44887</v>
      </c>
      <c r="AN12" s="15" cm="1">
        <f t="array" aca="1" ref="AN1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2" s="20">
        <f t="shared" si="1"/>
        <v>44888</v>
      </c>
      <c r="AP12" s="74">
        <v>44887</v>
      </c>
      <c r="AQ12" s="15" cm="1">
        <f t="array" aca="1" ref="AQ1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2" s="20">
        <f t="shared" si="2"/>
        <v>44901</v>
      </c>
      <c r="AS12" s="74">
        <v>44887</v>
      </c>
      <c r="AT12" s="15" cm="1">
        <f t="array" aca="1" ref="AT1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2" s="20">
        <f t="shared" si="3"/>
        <v>44894</v>
      </c>
      <c r="AV12" s="74">
        <v>44939</v>
      </c>
      <c r="AW12" s="15" cm="1">
        <f t="array" aca="1" ref="AW1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46</v>
      </c>
      <c r="AX12" s="20">
        <f t="shared" si="4"/>
        <v>44942</v>
      </c>
      <c r="AY12" s="74">
        <v>44946</v>
      </c>
      <c r="AZ12" s="15" cm="1">
        <f t="array" aca="1" ref="AZ1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v>
      </c>
      <c r="BA12" s="16"/>
    </row>
    <row r="13" spans="2:53" ht="14.5" hidden="1" customHeight="1" x14ac:dyDescent="0.35">
      <c r="B13" s="14" t="s">
        <v>79</v>
      </c>
      <c r="C13" s="16"/>
      <c r="D13" s="16" t="s">
        <v>108</v>
      </c>
      <c r="E13" s="16" t="s">
        <v>856</v>
      </c>
      <c r="F13" s="16" cm="1">
        <f t="array" ref="F13">_xlfn.IFS(Tabela18[[#This Row],[STATUS]]="Finalizado",1,Tabela18[[#This Row],[STATUS]]="Cancelado",2,Tabela18[[#This Row],[STATUS]]="Em andamento",3)</f>
        <v>1</v>
      </c>
      <c r="G13" s="16" cm="1">
        <f t="array" aca="1" ref="G1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-EMAIL]]="",$AH13&gt;$AF$1),2,
AND(Tabela18[[#This Row],[STATUS]]="Em andamento",Tabela18[[#This Row],[DATA REAL -EMAIL]]="",$AH13&lt;=$AF$1),3,
AND(Tabela18[[#This Row],[STATUS]]="Em andamento",Tabela18[[#This Row],[DATA REAL -EMAIL]]&lt;&gt;""),1)</f>
        <v>1</v>
      </c>
      <c r="H13" s="16" cm="1">
        <f t="array" aca="1" ref="H1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CLIENTE]]="",$AK13&gt;$AI$1),2,
AND(Tabela18[[#This Row],[STATUS]]="Em andamento",Tabela18[[#This Row],[DATA REAL - DOC CLIENTE]]="",$AK13&lt;=$AI$1),3,
AND(Tabela18[[#This Row],[STATUS]]="Em andamento",Tabela18[[#This Row],[DATA REAL - DOC CLIENTE]]&lt;&gt;""),1)</f>
        <v>1</v>
      </c>
      <c r="I13" s="16" cm="1">
        <f t="array" aca="1" ref="I1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06]]="",$AN13&gt;$AL$1),2,
AND(Tabela18[[#This Row],[STATUS]]="Em andamento",Tabela18[[#This Row],[DATA REAL - ANEXO 06]]="",$AN13&lt;=$AL$1),3,
AND(Tabela18[[#This Row],[STATUS]]="Em andamento",Tabela18[[#This Row],[DATA REAL - ANEXO 06]]&lt;&gt;""),1)</f>
        <v>1</v>
      </c>
      <c r="J13" s="15" cm="1">
        <f t="array" aca="1" ref="J1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LEGAIS]]="",$AQ13&gt;$AO$1),2,
AND(Tabela18[[#This Row],[STATUS]]="Em andamento",Tabela18[[#This Row],[DATA REAL - SOLIC. PROG LEGAIS]]="",$AQ13&lt;=$AO$1),3,
AND(Tabela18[[#This Row],[STATUS]]="Em andamento",Tabela18[[#This Row],[DATA REAL - SOLIC. PROG LEGAIS]]&lt;&gt;""),1)</f>
        <v>1</v>
      </c>
      <c r="K13" s="15" cm="1">
        <f t="array" aca="1" ref="K1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ENVIO]]="",$AT13&gt;$AR$1),2,
AND(Tabela18[[#This Row],[STATUS]]="Em andamento",Tabela18[[#This Row],[DATA REAL - ENVIO]]="",$AT13&lt;=$AR$1),3,
AND(Tabela18[[#This Row],[STATUS]]="Em andamento",Tabela18[[#This Row],[DATA REAL - ENVIO]]&lt;&gt;""),1)</f>
        <v>1</v>
      </c>
      <c r="L13" s="15" cm="1">
        <f t="array" aca="1" ref="L1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POSTAGEM]]="",$AW13&gt;$AU$1),2,
AND(Tabela18[[#This Row],[STATUS]]="Em andamento",Tabela18[[#This Row],[DATA REAL - POSTAGEM]]="",$AW13&lt;=$AU$1),3,
AND(Tabela18[[#This Row],[STATUS]]="Em andamento",Tabela18[[#This Row],[DATA REAL - POSTAGEM]]&lt;&gt;""),1)</f>
        <v>1</v>
      </c>
      <c r="M13" s="16" cm="1">
        <f t="array" aca="1" ref="M1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APROVAÇÃO]]="",$AZ13&gt;$AX$1),2,
AND(Tabela18[[#This Row],[STATUS]]="Em andamento",Tabela18[[#This Row],[DATA REAL - APROVAÇÃO]]="",$AZ13&lt;=$AX$1),3,
AND(Tabela18[[#This Row],[STATUS]]="Em andamento",Tabela18[[#This Row],[DATA REAL - APROVAÇÃO]]&lt;&gt;""),1)</f>
        <v>1</v>
      </c>
      <c r="N13" s="21">
        <f>IF(Tabela18[[#This Row],[DATA REAL -EMAIL]]&lt;&gt;"",Tabela18[[#This Row],[DATA REAL -EMAIL]]+30,Tabela18[[#This Row],[DATA PREV - EMAIL]]+30)</f>
        <v>44884</v>
      </c>
      <c r="O1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44974</v>
      </c>
      <c r="P1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120</v>
      </c>
      <c r="Q1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47</v>
      </c>
      <c r="R13" s="48">
        <f>MAX(Tabela18[[#This Row],[DATA REAL - POSTAGEM]],Tabela18[[#This Row],[DATA REAL - APROVAÇÃO]])-MIN(Tabela18[[#This Row],[DATA REAL - POSTAGEM]],Tabela18[[#This Row],[DATA REAL - APROVAÇÃO]])+1</f>
        <v>36</v>
      </c>
      <c r="S13" s="16"/>
      <c r="T13" s="16"/>
      <c r="U13" s="18"/>
      <c r="V13" s="18"/>
      <c r="W13" s="16" t="s">
        <v>97</v>
      </c>
      <c r="X13" s="16"/>
      <c r="Y13" s="16"/>
      <c r="Z13" s="15" t="s">
        <v>249</v>
      </c>
      <c r="AA13" s="15" t="str">
        <f>_xlfn.XLOOKUP(Tabela18[[#This Row],[CÓD. CT]],Controle_Projetos[COD CT],Controle_Projetos[COD PHD],"")</f>
        <v/>
      </c>
      <c r="AB13" s="16"/>
      <c r="AC13" s="21"/>
      <c r="AD1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3" s="16" t="str" cm="1">
        <f t="array" aca="1" ref="AE1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3" s="21">
        <v>44854</v>
      </c>
      <c r="AG13" s="74">
        <v>44854</v>
      </c>
      <c r="AH13" s="16" cm="1">
        <f t="array" aca="1" ref="AH1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 s="21">
        <v>44854</v>
      </c>
      <c r="AJ13" s="74">
        <v>44854</v>
      </c>
      <c r="AK13" s="16" cm="1">
        <f t="array" aca="1" ref="AK1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 s="20">
        <f t="shared" si="0"/>
        <v>44861</v>
      </c>
      <c r="AM13" s="74">
        <v>44900</v>
      </c>
      <c r="AN13" s="15" cm="1">
        <f t="array" aca="1" ref="AN1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40</v>
      </c>
      <c r="AO13" s="20">
        <f t="shared" si="1"/>
        <v>44901</v>
      </c>
      <c r="AP13" s="74">
        <v>44897</v>
      </c>
      <c r="AQ13" s="15" cm="1">
        <f t="array" aca="1" ref="AQ1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3" s="20">
        <f t="shared" si="2"/>
        <v>44911</v>
      </c>
      <c r="AS13" s="74">
        <v>44901</v>
      </c>
      <c r="AT13" s="15" cm="1">
        <f t="array" aca="1" ref="AT1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3" s="20">
        <f t="shared" si="3"/>
        <v>44908</v>
      </c>
      <c r="AV13" s="74">
        <v>44939</v>
      </c>
      <c r="AW13" s="15" cm="1">
        <f t="array" aca="1" ref="AW1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32</v>
      </c>
      <c r="AX13" s="20">
        <f t="shared" si="4"/>
        <v>44942</v>
      </c>
      <c r="AY13" s="74">
        <v>44974</v>
      </c>
      <c r="AZ13" s="15" cm="1">
        <f t="array" aca="1" ref="AZ1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33</v>
      </c>
      <c r="BA13" s="16" t="s">
        <v>857</v>
      </c>
    </row>
    <row r="14" spans="2:53" hidden="1" x14ac:dyDescent="0.35">
      <c r="B14" s="14" t="s">
        <v>79</v>
      </c>
      <c r="C14" s="16"/>
      <c r="D14" s="16" t="s">
        <v>81</v>
      </c>
      <c r="E14" s="16" t="s">
        <v>856</v>
      </c>
      <c r="F14" s="16" cm="1">
        <f t="array" ref="F14">_xlfn.IFS(Tabela18[[#This Row],[STATUS]]="Finalizado",1,Tabela18[[#This Row],[STATUS]]="Cancelado",2,Tabela18[[#This Row],[STATUS]]="Em andamento",3)</f>
        <v>1</v>
      </c>
      <c r="G14" s="16" cm="1">
        <f t="array" aca="1" ref="G1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-EMAIL]]="",$AH14&gt;$AF$1),2,
AND(Tabela18[[#This Row],[STATUS]]="Em andamento",Tabela18[[#This Row],[DATA REAL -EMAIL]]="",$AH14&lt;=$AF$1),3,
AND(Tabela18[[#This Row],[STATUS]]="Em andamento",Tabela18[[#This Row],[DATA REAL -EMAIL]]&lt;&gt;""),1)</f>
        <v>1</v>
      </c>
      <c r="H14" s="16" cm="1">
        <f t="array" aca="1" ref="H1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CLIENTE]]="",$AK14&gt;$AI$1),2,
AND(Tabela18[[#This Row],[STATUS]]="Em andamento",Tabela18[[#This Row],[DATA REAL - DOC CLIENTE]]="",$AK14&lt;=$AI$1),3,
AND(Tabela18[[#This Row],[STATUS]]="Em andamento",Tabela18[[#This Row],[DATA REAL - DOC CLIENTE]]&lt;&gt;""),1)</f>
        <v>1</v>
      </c>
      <c r="I14" s="16" cm="1">
        <f t="array" aca="1" ref="I1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06]]="",$AN14&gt;$AL$1),2,
AND(Tabela18[[#This Row],[STATUS]]="Em andamento",Tabela18[[#This Row],[DATA REAL - ANEXO 06]]="",$AN14&lt;=$AL$1),3,
AND(Tabela18[[#This Row],[STATUS]]="Em andamento",Tabela18[[#This Row],[DATA REAL - ANEXO 06]]&lt;&gt;""),1)</f>
        <v>1</v>
      </c>
      <c r="J14" s="15" cm="1">
        <f t="array" aca="1" ref="J1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LEGAIS]]="",$AQ14&gt;$AO$1),2,
AND(Tabela18[[#This Row],[STATUS]]="Em andamento",Tabela18[[#This Row],[DATA REAL - SOLIC. PROG LEGAIS]]="",$AQ14&lt;=$AO$1),3,
AND(Tabela18[[#This Row],[STATUS]]="Em andamento",Tabela18[[#This Row],[DATA REAL - SOLIC. PROG LEGAIS]]&lt;&gt;""),1)</f>
        <v>1</v>
      </c>
      <c r="K14" s="15" cm="1">
        <f t="array" aca="1" ref="K1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ENVIO]]="",$AT14&gt;$AR$1),2,
AND(Tabela18[[#This Row],[STATUS]]="Em andamento",Tabela18[[#This Row],[DATA REAL - ENVIO]]="",$AT14&lt;=$AR$1),3,
AND(Tabela18[[#This Row],[STATUS]]="Em andamento",Tabela18[[#This Row],[DATA REAL - ENVIO]]&lt;&gt;""),1)</f>
        <v>1</v>
      </c>
      <c r="L14" s="15" cm="1">
        <f t="array" aca="1" ref="L1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POSTAGEM]]="",$AW14&gt;$AU$1),2,
AND(Tabela18[[#This Row],[STATUS]]="Em andamento",Tabela18[[#This Row],[DATA REAL - POSTAGEM]]="",$AW14&lt;=$AU$1),3,
AND(Tabela18[[#This Row],[STATUS]]="Em andamento",Tabela18[[#This Row],[DATA REAL - POSTAGEM]]&lt;&gt;""),1)</f>
        <v>1</v>
      </c>
      <c r="M14" s="16" cm="1">
        <f t="array" aca="1" ref="M1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APROVAÇÃO]]="",$AZ14&gt;$AX$1),2,
AND(Tabela18[[#This Row],[STATUS]]="Em andamento",Tabela18[[#This Row],[DATA REAL - APROVAÇÃO]]="",$AZ14&lt;=$AX$1),3,
AND(Tabela18[[#This Row],[STATUS]]="Em andamento",Tabela18[[#This Row],[DATA REAL - APROVAÇÃO]]&lt;&gt;""),1)</f>
        <v>1</v>
      </c>
      <c r="N14" s="21">
        <f>IF(Tabela18[[#This Row],[DATA REAL -EMAIL]]&lt;&gt;"",Tabela18[[#This Row],[DATA REAL -EMAIL]]+30,Tabela18[[#This Row],[DATA PREV - EMAIL]]+30)</f>
        <v>44884</v>
      </c>
      <c r="O1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44974</v>
      </c>
      <c r="P1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120</v>
      </c>
      <c r="Q1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47</v>
      </c>
      <c r="R14" s="48">
        <f>MAX(Tabela18[[#This Row],[DATA REAL - POSTAGEM]],Tabela18[[#This Row],[DATA REAL - APROVAÇÃO]])-MIN(Tabela18[[#This Row],[DATA REAL - POSTAGEM]],Tabela18[[#This Row],[DATA REAL - APROVAÇÃO]])+1</f>
        <v>36</v>
      </c>
      <c r="S14" s="16"/>
      <c r="T14" s="16"/>
      <c r="U14" s="18"/>
      <c r="V14" s="18"/>
      <c r="W14" s="16" t="s">
        <v>87</v>
      </c>
      <c r="X14" s="16"/>
      <c r="Y14" s="16"/>
      <c r="Z14" s="15" t="s">
        <v>249</v>
      </c>
      <c r="AA14" s="15" t="str">
        <f>_xlfn.XLOOKUP(Tabela18[[#This Row],[CÓD. CT]],Controle_Projetos[COD CT],Controle_Projetos[COD PHD],"")</f>
        <v/>
      </c>
      <c r="AB14" s="16"/>
      <c r="AC14" s="21"/>
      <c r="AD1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4" s="16" t="str" cm="1">
        <f t="array" aca="1" ref="AE1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4" s="21">
        <v>44854</v>
      </c>
      <c r="AG14" s="74">
        <v>44854</v>
      </c>
      <c r="AH14" s="16" cm="1">
        <f t="array" aca="1" ref="AH1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 s="21">
        <v>44854</v>
      </c>
      <c r="AJ14" s="74">
        <v>44854</v>
      </c>
      <c r="AK14" s="16" cm="1">
        <f t="array" aca="1" ref="AK1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 s="20">
        <f t="shared" si="0"/>
        <v>44861</v>
      </c>
      <c r="AM14" s="74">
        <v>44900</v>
      </c>
      <c r="AN14" s="15" cm="1">
        <f t="array" aca="1" ref="AN1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40</v>
      </c>
      <c r="AO14" s="20">
        <f t="shared" si="1"/>
        <v>44901</v>
      </c>
      <c r="AP14" s="74">
        <v>44897</v>
      </c>
      <c r="AQ14" s="15" cm="1">
        <f t="array" aca="1" ref="AQ1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4" s="20">
        <f t="shared" si="2"/>
        <v>44911</v>
      </c>
      <c r="AS14" s="74">
        <v>44901</v>
      </c>
      <c r="AT14" s="15" cm="1">
        <f t="array" aca="1" ref="AT1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4" s="20">
        <f t="shared" si="3"/>
        <v>44908</v>
      </c>
      <c r="AV14" s="74">
        <v>44939</v>
      </c>
      <c r="AW14" s="15" cm="1">
        <f t="array" aca="1" ref="AW1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32</v>
      </c>
      <c r="AX14" s="20">
        <f t="shared" si="4"/>
        <v>44942</v>
      </c>
      <c r="AY14" s="74">
        <v>44974</v>
      </c>
      <c r="AZ14" s="15" cm="1">
        <f t="array" aca="1" ref="AZ1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33</v>
      </c>
      <c r="BA14" s="16" t="s">
        <v>857</v>
      </c>
    </row>
    <row r="15" spans="2:53" hidden="1" x14ac:dyDescent="0.35">
      <c r="B15" s="14" t="s">
        <v>79</v>
      </c>
      <c r="C15" s="16"/>
      <c r="D15" s="16" t="s">
        <v>108</v>
      </c>
      <c r="E15" s="16" t="s">
        <v>858</v>
      </c>
      <c r="F15" s="16" cm="1">
        <f t="array" ref="F15">_xlfn.IFS(Tabela18[[#This Row],[STATUS]]="Finalizado",1,Tabela18[[#This Row],[STATUS]]="Cancelado",2,Tabela18[[#This Row],[STATUS]]="Em andamento",3)</f>
        <v>1</v>
      </c>
      <c r="G15" s="16" cm="1">
        <f t="array" aca="1" ref="G1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-EMAIL]]="",$AH15&gt;$AF$1),2,
AND(Tabela18[[#This Row],[STATUS]]="Em andamento",Tabela18[[#This Row],[DATA REAL -EMAIL]]="",$AH15&lt;=$AF$1),3,
AND(Tabela18[[#This Row],[STATUS]]="Em andamento",Tabela18[[#This Row],[DATA REAL -EMAIL]]&lt;&gt;""),1)</f>
        <v>1</v>
      </c>
      <c r="H15" s="16" cm="1">
        <f t="array" aca="1" ref="H1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CLIENTE]]="",$AK15&gt;$AI$1),2,
AND(Tabela18[[#This Row],[STATUS]]="Em andamento",Tabela18[[#This Row],[DATA REAL - DOC CLIENTE]]="",$AK15&lt;=$AI$1),3,
AND(Tabela18[[#This Row],[STATUS]]="Em andamento",Tabela18[[#This Row],[DATA REAL - DOC CLIENTE]]&lt;&gt;""),1)</f>
        <v>1</v>
      </c>
      <c r="I15" s="16" cm="1">
        <f t="array" aca="1" ref="I1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06]]="",$AN15&gt;$AL$1),2,
AND(Tabela18[[#This Row],[STATUS]]="Em andamento",Tabela18[[#This Row],[DATA REAL - ANEXO 06]]="",$AN15&lt;=$AL$1),3,
AND(Tabela18[[#This Row],[STATUS]]="Em andamento",Tabela18[[#This Row],[DATA REAL - ANEXO 06]]&lt;&gt;""),1)</f>
        <v>1</v>
      </c>
      <c r="J15" s="15" cm="1">
        <f t="array" aca="1" ref="J1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LEGAIS]]="",$AQ15&gt;$AO$1),2,
AND(Tabela18[[#This Row],[STATUS]]="Em andamento",Tabela18[[#This Row],[DATA REAL - SOLIC. PROG LEGAIS]]="",$AQ15&lt;=$AO$1),3,
AND(Tabela18[[#This Row],[STATUS]]="Em andamento",Tabela18[[#This Row],[DATA REAL - SOLIC. PROG LEGAIS]]&lt;&gt;""),1)</f>
        <v>1</v>
      </c>
      <c r="K15" s="15" cm="1">
        <f t="array" aca="1" ref="K1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ENVIO]]="",$AT15&gt;$AR$1),2,
AND(Tabela18[[#This Row],[STATUS]]="Em andamento",Tabela18[[#This Row],[DATA REAL - ENVIO]]="",$AT15&lt;=$AR$1),3,
AND(Tabela18[[#This Row],[STATUS]]="Em andamento",Tabela18[[#This Row],[DATA REAL - ENVIO]]&lt;&gt;""),1)</f>
        <v>1</v>
      </c>
      <c r="L15" s="15" cm="1">
        <f t="array" aca="1" ref="L1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POSTAGEM]]="",$AW15&gt;$AU$1),2,
AND(Tabela18[[#This Row],[STATUS]]="Em andamento",Tabela18[[#This Row],[DATA REAL - POSTAGEM]]="",$AW15&lt;=$AU$1),3,
AND(Tabela18[[#This Row],[STATUS]]="Em andamento",Tabela18[[#This Row],[DATA REAL - POSTAGEM]]&lt;&gt;""),1)</f>
        <v>1</v>
      </c>
      <c r="M15" s="16" cm="1">
        <f t="array" aca="1" ref="M1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APROVAÇÃO]]="",$AZ15&gt;$AX$1),2,
AND(Tabela18[[#This Row],[STATUS]]="Em andamento",Tabela18[[#This Row],[DATA REAL - APROVAÇÃO]]="",$AZ15&lt;=$AX$1),3,
AND(Tabela18[[#This Row],[STATUS]]="Em andamento",Tabela18[[#This Row],[DATA REAL - APROVAÇÃO]]&lt;&gt;""),1)</f>
        <v>1</v>
      </c>
      <c r="N15" s="21">
        <f>IF(Tabela18[[#This Row],[DATA REAL -EMAIL]]&lt;&gt;"",Tabela18[[#This Row],[DATA REAL -EMAIL]]+30,Tabela18[[#This Row],[DATA PREV - EMAIL]]+30)</f>
        <v>44925</v>
      </c>
      <c r="O1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44935</v>
      </c>
      <c r="P1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40</v>
      </c>
      <c r="Q1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15" s="48">
        <f>MAX(Tabela18[[#This Row],[DATA REAL - POSTAGEM]],Tabela18[[#This Row],[DATA REAL - APROVAÇÃO]])-MIN(Tabela18[[#This Row],[DATA REAL - POSTAGEM]],Tabela18[[#This Row],[DATA REAL - APROVAÇÃO]])+1</f>
        <v>15</v>
      </c>
      <c r="S15" s="16"/>
      <c r="T15" s="16"/>
      <c r="U15" s="18"/>
      <c r="V15" s="18"/>
      <c r="W15" s="16" t="s">
        <v>97</v>
      </c>
      <c r="X15" s="16"/>
      <c r="Y15" s="16"/>
      <c r="Z15" s="15" t="s">
        <v>249</v>
      </c>
      <c r="AA15" s="15" t="str">
        <f>_xlfn.XLOOKUP(Tabela18[[#This Row],[CÓD. CT]],Controle_Projetos[COD CT],Controle_Projetos[COD PHD],"")</f>
        <v/>
      </c>
      <c r="AB15" s="16"/>
      <c r="AC15" s="21"/>
      <c r="AD1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5" s="16" t="str" cm="1">
        <f t="array" aca="1" ref="AE1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5" s="21">
        <v>44895</v>
      </c>
      <c r="AG15" s="74">
        <v>44895</v>
      </c>
      <c r="AH15" s="16" cm="1">
        <f t="array" aca="1" ref="AH1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 s="21">
        <v>44895</v>
      </c>
      <c r="AJ15" s="74">
        <v>44895</v>
      </c>
      <c r="AK15" s="16" cm="1">
        <f t="array" aca="1" ref="AK1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 s="20">
        <f t="shared" si="0"/>
        <v>44902</v>
      </c>
      <c r="AM15" s="74">
        <v>44900</v>
      </c>
      <c r="AN15" s="15" cm="1">
        <f t="array" aca="1" ref="AN1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5" s="20">
        <f t="shared" si="1"/>
        <v>44901</v>
      </c>
      <c r="AP15" s="74">
        <v>44904</v>
      </c>
      <c r="AQ15" s="15" cm="1">
        <f t="array" aca="1" ref="AQ1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5" s="20">
        <f t="shared" si="2"/>
        <v>44918</v>
      </c>
      <c r="AS15" s="74">
        <v>44908</v>
      </c>
      <c r="AT15" s="15" cm="1">
        <f t="array" aca="1" ref="AT1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5" s="20">
        <f t="shared" si="3"/>
        <v>44915</v>
      </c>
      <c r="AV15" s="74">
        <v>44921</v>
      </c>
      <c r="AW15" s="15" cm="1">
        <f t="array" aca="1" ref="AW1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15" s="20">
        <f t="shared" si="4"/>
        <v>44922</v>
      </c>
      <c r="AY15" s="74">
        <v>44935</v>
      </c>
      <c r="AZ15" s="15" cm="1">
        <f t="array" aca="1" ref="AZ1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15" s="16" t="s">
        <v>859</v>
      </c>
    </row>
    <row r="16" spans="2:53" hidden="1" x14ac:dyDescent="0.35">
      <c r="B16" s="14" t="s">
        <v>79</v>
      </c>
      <c r="C16" s="16"/>
      <c r="D16" s="16" t="s">
        <v>108</v>
      </c>
      <c r="E16" s="16" t="s">
        <v>860</v>
      </c>
      <c r="F16" s="16" cm="1">
        <f t="array" ref="F16">_xlfn.IFS(Tabela18[[#This Row],[STATUS]]="Finalizado",1,Tabela18[[#This Row],[STATUS]]="Cancelado",2,Tabela18[[#This Row],[STATUS]]="Em andamento",3)</f>
        <v>1</v>
      </c>
      <c r="G16" s="16" cm="1">
        <f t="array" aca="1" ref="G1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-EMAIL]]="",$AH16&gt;$AF$1),2,
AND(Tabela18[[#This Row],[STATUS]]="Em andamento",Tabela18[[#This Row],[DATA REAL -EMAIL]]="",$AH16&lt;=$AF$1),3,
AND(Tabela18[[#This Row],[STATUS]]="Em andamento",Tabela18[[#This Row],[DATA REAL -EMAIL]]&lt;&gt;""),1)</f>
        <v>1</v>
      </c>
      <c r="H16" s="16" cm="1">
        <f t="array" aca="1" ref="H1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CLIENTE]]="",$AK16&gt;$AI$1),2,
AND(Tabela18[[#This Row],[STATUS]]="Em andamento",Tabela18[[#This Row],[DATA REAL - DOC CLIENTE]]="",$AK16&lt;=$AI$1),3,
AND(Tabela18[[#This Row],[STATUS]]="Em andamento",Tabela18[[#This Row],[DATA REAL - DOC CLIENTE]]&lt;&gt;""),1)</f>
        <v>1</v>
      </c>
      <c r="I16" s="16" cm="1">
        <f t="array" aca="1" ref="I1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06]]="",$AN16&gt;$AL$1),2,
AND(Tabela18[[#This Row],[STATUS]]="Em andamento",Tabela18[[#This Row],[DATA REAL - ANEXO 06]]="",$AN16&lt;=$AL$1),3,
AND(Tabela18[[#This Row],[STATUS]]="Em andamento",Tabela18[[#This Row],[DATA REAL - ANEXO 06]]&lt;&gt;""),1)</f>
        <v>1</v>
      </c>
      <c r="J16" s="15" cm="1">
        <f t="array" aca="1" ref="J1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LEGAIS]]="",$AQ16&gt;$AO$1),2,
AND(Tabela18[[#This Row],[STATUS]]="Em andamento",Tabela18[[#This Row],[DATA REAL - SOLIC. PROG LEGAIS]]="",$AQ16&lt;=$AO$1),3,
AND(Tabela18[[#This Row],[STATUS]]="Em andamento",Tabela18[[#This Row],[DATA REAL - SOLIC. PROG LEGAIS]]&lt;&gt;""),1)</f>
        <v>1</v>
      </c>
      <c r="K16" s="15" cm="1">
        <f t="array" aca="1" ref="K1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ENVIO]]="",$AT16&gt;$AR$1),2,
AND(Tabela18[[#This Row],[STATUS]]="Em andamento",Tabela18[[#This Row],[DATA REAL - ENVIO]]="",$AT16&lt;=$AR$1),3,
AND(Tabela18[[#This Row],[STATUS]]="Em andamento",Tabela18[[#This Row],[DATA REAL - ENVIO]]&lt;&gt;""),1)</f>
        <v>1</v>
      </c>
      <c r="L16" s="15" cm="1">
        <f t="array" aca="1" ref="L1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POSTAGEM]]="",$AW16&gt;$AU$1),2,
AND(Tabela18[[#This Row],[STATUS]]="Em andamento",Tabela18[[#This Row],[DATA REAL - POSTAGEM]]="",$AW16&lt;=$AU$1),3,
AND(Tabela18[[#This Row],[STATUS]]="Em andamento",Tabela18[[#This Row],[DATA REAL - POSTAGEM]]&lt;&gt;""),1)</f>
        <v>1</v>
      </c>
      <c r="M16" s="16" cm="1">
        <f t="array" aca="1" ref="M1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APROVAÇÃO]]="",$AZ16&gt;$AX$1),2,
AND(Tabela18[[#This Row],[STATUS]]="Em andamento",Tabela18[[#This Row],[DATA REAL - APROVAÇÃO]]="",$AZ16&lt;=$AX$1),3,
AND(Tabela18[[#This Row],[STATUS]]="Em andamento",Tabela18[[#This Row],[DATA REAL - APROVAÇÃO]]&lt;&gt;""),1)</f>
        <v>1</v>
      </c>
      <c r="N16" s="21">
        <f>IF(Tabela18[[#This Row],[DATA REAL -EMAIL]]&lt;&gt;"",Tabela18[[#This Row],[DATA REAL -EMAIL]]+30,Tabela18[[#This Row],[DATA PREV - EMAIL]]+30)</f>
        <v>44925</v>
      </c>
      <c r="O1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45070</v>
      </c>
      <c r="P1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175</v>
      </c>
      <c r="Q1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32</v>
      </c>
      <c r="R16" s="48">
        <f>MAX(Tabela18[[#This Row],[DATA REAL - POSTAGEM]],Tabela18[[#This Row],[DATA REAL - APROVAÇÃO]])-MIN(Tabela18[[#This Row],[DATA REAL - POSTAGEM]],Tabela18[[#This Row],[DATA REAL - APROVAÇÃO]])+1</f>
        <v>59</v>
      </c>
      <c r="S16" s="16"/>
      <c r="T16" s="16"/>
      <c r="U16" s="18"/>
      <c r="V16" s="18"/>
      <c r="W16" s="16" t="s">
        <v>97</v>
      </c>
      <c r="X16" s="16" t="s">
        <v>89</v>
      </c>
      <c r="Y16" s="16" t="s">
        <v>861</v>
      </c>
      <c r="Z16" s="15" t="s">
        <v>862</v>
      </c>
      <c r="AA16" s="15" t="str">
        <f>_xlfn.XLOOKUP(Tabela18[[#This Row],[CÓD. CT]],Controle_Projetos[COD CT],Controle_Projetos[COD PHD],"")</f>
        <v>IMCS-CT01-AVCB</v>
      </c>
      <c r="AB16" s="16"/>
      <c r="AC16" s="21"/>
      <c r="AD1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44927</v>
      </c>
      <c r="AE16" s="16" t="str" cm="1">
        <f t="array" aca="1" ref="AE1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 s="21">
        <v>44895</v>
      </c>
      <c r="AG16" s="74">
        <v>44895</v>
      </c>
      <c r="AH16" s="16" cm="1">
        <f t="array" aca="1" ref="AH1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 s="21">
        <v>44895</v>
      </c>
      <c r="AJ16" s="74">
        <v>44895</v>
      </c>
      <c r="AK16" s="16" cm="1">
        <f t="array" aca="1" ref="AK1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 s="20">
        <f t="shared" si="0"/>
        <v>44902</v>
      </c>
      <c r="AM16" s="74">
        <v>44900</v>
      </c>
      <c r="AN16" s="15" cm="1">
        <f t="array" aca="1" ref="AN1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6" s="20">
        <f t="shared" si="1"/>
        <v>44901</v>
      </c>
      <c r="AP16" s="74">
        <v>44901</v>
      </c>
      <c r="AQ16" s="15" cm="1">
        <f t="array" aca="1" ref="AQ1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6" s="20">
        <f t="shared" si="2"/>
        <v>44915</v>
      </c>
      <c r="AS16" s="74">
        <v>44907</v>
      </c>
      <c r="AT16" s="15" cm="1">
        <f t="array" aca="1" ref="AT1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16" s="20">
        <f t="shared" si="3"/>
        <v>44914</v>
      </c>
      <c r="AV16" s="74">
        <v>45012</v>
      </c>
      <c r="AW16" s="15" cm="1">
        <f t="array" aca="1" ref="AW1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99</v>
      </c>
      <c r="AX16" s="20">
        <f t="shared" si="4"/>
        <v>45013</v>
      </c>
      <c r="AY16" s="74">
        <v>45070</v>
      </c>
      <c r="AZ16" s="15" cm="1">
        <f t="array" aca="1" ref="AZ1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58</v>
      </c>
      <c r="BA16" s="16" t="s">
        <v>863</v>
      </c>
    </row>
    <row r="17" spans="2:53" hidden="1" x14ac:dyDescent="0.35">
      <c r="B17" s="14" t="s">
        <v>79</v>
      </c>
      <c r="C17" s="16"/>
      <c r="D17" s="16" t="s">
        <v>108</v>
      </c>
      <c r="E17" s="16" t="s">
        <v>858</v>
      </c>
      <c r="F17" s="16" cm="1">
        <f t="array" ref="F17">_xlfn.IFS(Tabela18[[#This Row],[STATUS]]="Finalizado",1,Tabela18[[#This Row],[STATUS]]="Cancelado",2,Tabela18[[#This Row],[STATUS]]="Em andamento",3)</f>
        <v>1</v>
      </c>
      <c r="G17" s="16" cm="1">
        <f t="array" aca="1" ref="G1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-EMAIL]]="",$AH17&gt;$AF$1),2,
AND(Tabela18[[#This Row],[STATUS]]="Em andamento",Tabela18[[#This Row],[DATA REAL -EMAIL]]="",$AH17&lt;=$AF$1),3,
AND(Tabela18[[#This Row],[STATUS]]="Em andamento",Tabela18[[#This Row],[DATA REAL -EMAIL]]&lt;&gt;""),1)</f>
        <v>1</v>
      </c>
      <c r="H17" s="16" cm="1">
        <f t="array" aca="1" ref="H1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CLIENTE]]="",$AK17&gt;$AI$1),2,
AND(Tabela18[[#This Row],[STATUS]]="Em andamento",Tabela18[[#This Row],[DATA REAL - DOC CLIENTE]]="",$AK17&lt;=$AI$1),3,
AND(Tabela18[[#This Row],[STATUS]]="Em andamento",Tabela18[[#This Row],[DATA REAL - DOC CLIENTE]]&lt;&gt;""),1)</f>
        <v>1</v>
      </c>
      <c r="I17" s="16" cm="1">
        <f t="array" aca="1" ref="I1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06]]="",$AN17&gt;$AL$1),2,
AND(Tabela18[[#This Row],[STATUS]]="Em andamento",Tabela18[[#This Row],[DATA REAL - ANEXO 06]]="",$AN17&lt;=$AL$1),3,
AND(Tabela18[[#This Row],[STATUS]]="Em andamento",Tabela18[[#This Row],[DATA REAL - ANEXO 06]]&lt;&gt;""),1)</f>
        <v>1</v>
      </c>
      <c r="J17" s="15" cm="1">
        <f t="array" aca="1" ref="J1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LEGAIS]]="",$AQ17&gt;$AO$1),2,
AND(Tabela18[[#This Row],[STATUS]]="Em andamento",Tabela18[[#This Row],[DATA REAL - SOLIC. PROG LEGAIS]]="",$AQ17&lt;=$AO$1),3,
AND(Tabela18[[#This Row],[STATUS]]="Em andamento",Tabela18[[#This Row],[DATA REAL - SOLIC. PROG LEGAIS]]&lt;&gt;""),1)</f>
        <v>1</v>
      </c>
      <c r="K17" s="15" cm="1">
        <f t="array" aca="1" ref="K1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ENVIO]]="",$AT17&gt;$AR$1),2,
AND(Tabela18[[#This Row],[STATUS]]="Em andamento",Tabela18[[#This Row],[DATA REAL - ENVIO]]="",$AT17&lt;=$AR$1),3,
AND(Tabela18[[#This Row],[STATUS]]="Em andamento",Tabela18[[#This Row],[DATA REAL - ENVIO]]&lt;&gt;""),1)</f>
        <v>1</v>
      </c>
      <c r="L17" s="15" cm="1">
        <f t="array" aca="1" ref="L1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POSTAGEM]]="",$AW17&gt;$AU$1),2,
AND(Tabela18[[#This Row],[STATUS]]="Em andamento",Tabela18[[#This Row],[DATA REAL - POSTAGEM]]="",$AW17&lt;=$AU$1),3,
AND(Tabela18[[#This Row],[STATUS]]="Em andamento",Tabela18[[#This Row],[DATA REAL - POSTAGEM]]&lt;&gt;""),1)</f>
        <v>1</v>
      </c>
      <c r="M17" s="16" cm="1">
        <f t="array" aca="1" ref="M1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APROVAÇÃO]]="",$AZ17&gt;$AX$1),2,
AND(Tabela18[[#This Row],[STATUS]]="Em andamento",Tabela18[[#This Row],[DATA REAL - APROVAÇÃO]]="",$AZ17&lt;=$AX$1),3,
AND(Tabela18[[#This Row],[STATUS]]="Em andamento",Tabela18[[#This Row],[DATA REAL - APROVAÇÃO]]&lt;&gt;""),1)</f>
        <v>1</v>
      </c>
      <c r="N17" s="21">
        <f>IF(Tabela18[[#This Row],[DATA REAL -EMAIL]]&lt;&gt;"",Tabela18[[#This Row],[DATA REAL -EMAIL]]+30,Tabela18[[#This Row],[DATA PREV - EMAIL]]+30)</f>
        <v>44925</v>
      </c>
      <c r="O1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44944</v>
      </c>
      <c r="P1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49</v>
      </c>
      <c r="Q1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17" s="48">
        <f>MAX(Tabela18[[#This Row],[DATA REAL - POSTAGEM]],Tabela18[[#This Row],[DATA REAL - APROVAÇÃO]])-MIN(Tabela18[[#This Row],[DATA REAL - POSTAGEM]],Tabela18[[#This Row],[DATA REAL - APROVAÇÃO]])+1</f>
        <v>7</v>
      </c>
      <c r="S17" s="16"/>
      <c r="T17" s="16"/>
      <c r="U17" s="18"/>
      <c r="V17" s="18"/>
      <c r="W17" s="16" t="s">
        <v>97</v>
      </c>
      <c r="X17" s="16"/>
      <c r="Y17" s="16"/>
      <c r="Z17" s="15" t="s">
        <v>249</v>
      </c>
      <c r="AA17" s="15" t="str">
        <f>_xlfn.XLOOKUP(Tabela18[[#This Row],[CÓD. CT]],Controle_Projetos[COD CT],Controle_Projetos[COD PHD],"")</f>
        <v/>
      </c>
      <c r="AB17" s="16"/>
      <c r="AC17" s="21"/>
      <c r="AD1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7" s="16" t="str" cm="1">
        <f t="array" aca="1" ref="AE1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7" s="21">
        <v>44895</v>
      </c>
      <c r="AG17" s="74">
        <v>44895</v>
      </c>
      <c r="AH17" s="16" cm="1">
        <f t="array" aca="1" ref="AH1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 s="21">
        <v>44895</v>
      </c>
      <c r="AJ17" s="74">
        <v>44895</v>
      </c>
      <c r="AK17" s="16" cm="1">
        <f t="array" aca="1" ref="AK1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 s="20">
        <f t="shared" si="0"/>
        <v>44902</v>
      </c>
      <c r="AM17" s="74">
        <v>44908</v>
      </c>
      <c r="AN17" s="15" cm="1">
        <f t="array" aca="1" ref="AN1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17" s="20">
        <f t="shared" si="1"/>
        <v>44909</v>
      </c>
      <c r="AP17" s="74">
        <v>44904</v>
      </c>
      <c r="AQ17" s="15" cm="1">
        <f t="array" aca="1" ref="AQ1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7" s="20">
        <f t="shared" si="2"/>
        <v>44918</v>
      </c>
      <c r="AS17" s="74">
        <v>44908</v>
      </c>
      <c r="AT17" s="15" cm="1">
        <f t="array" aca="1" ref="AT1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7" s="20">
        <f t="shared" si="3"/>
        <v>44915</v>
      </c>
      <c r="AV17" s="74">
        <v>44938</v>
      </c>
      <c r="AW17" s="15" cm="1">
        <f t="array" aca="1" ref="AW1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24</v>
      </c>
      <c r="AX17" s="20">
        <f t="shared" si="4"/>
        <v>44939</v>
      </c>
      <c r="AY17" s="74">
        <v>44944</v>
      </c>
      <c r="AZ17" s="15" cm="1">
        <f t="array" aca="1" ref="AZ1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17" s="16" t="s">
        <v>864</v>
      </c>
    </row>
    <row r="18" spans="2:53" hidden="1" x14ac:dyDescent="0.35">
      <c r="B18" s="14" t="s">
        <v>79</v>
      </c>
      <c r="C18" s="16"/>
      <c r="D18" s="16" t="s">
        <v>108</v>
      </c>
      <c r="E18" s="16" t="s">
        <v>865</v>
      </c>
      <c r="F18" s="16" cm="1">
        <f t="array" ref="F18">_xlfn.IFS(Tabela18[[#This Row],[STATUS]]="Finalizado",1,Tabela18[[#This Row],[STATUS]]="Cancelado",2,Tabela18[[#This Row],[STATUS]]="Em andamento",3)</f>
        <v>1</v>
      </c>
      <c r="G18" s="16" cm="1">
        <f t="array" aca="1" ref="G1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-EMAIL]]="",$AH18&gt;$AF$1),2,
AND(Tabela18[[#This Row],[STATUS]]="Em andamento",Tabela18[[#This Row],[DATA REAL -EMAIL]]="",$AH18&lt;=$AF$1),3,
AND(Tabela18[[#This Row],[STATUS]]="Em andamento",Tabela18[[#This Row],[DATA REAL -EMAIL]]&lt;&gt;""),1)</f>
        <v>1</v>
      </c>
      <c r="H18" s="16" cm="1">
        <f t="array" aca="1" ref="H1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CLIENTE]]="",$AK18&gt;$AI$1),2,
AND(Tabela18[[#This Row],[STATUS]]="Em andamento",Tabela18[[#This Row],[DATA REAL - DOC CLIENTE]]="",$AK18&lt;=$AI$1),3,
AND(Tabela18[[#This Row],[STATUS]]="Em andamento",Tabela18[[#This Row],[DATA REAL - DOC CLIENTE]]&lt;&gt;""),1)</f>
        <v>1</v>
      </c>
      <c r="I18" s="16" cm="1">
        <f t="array" aca="1" ref="I1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06]]="",$AN18&gt;$AL$1),2,
AND(Tabela18[[#This Row],[STATUS]]="Em andamento",Tabela18[[#This Row],[DATA REAL - ANEXO 06]]="",$AN18&lt;=$AL$1),3,
AND(Tabela18[[#This Row],[STATUS]]="Em andamento",Tabela18[[#This Row],[DATA REAL - ANEXO 06]]&lt;&gt;""),1)</f>
        <v>1</v>
      </c>
      <c r="J18" s="15" cm="1">
        <f t="array" aca="1" ref="J1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LEGAIS]]="",$AQ18&gt;$AO$1),2,
AND(Tabela18[[#This Row],[STATUS]]="Em andamento",Tabela18[[#This Row],[DATA REAL - SOLIC. PROG LEGAIS]]="",$AQ18&lt;=$AO$1),3,
AND(Tabela18[[#This Row],[STATUS]]="Em andamento",Tabela18[[#This Row],[DATA REAL - SOLIC. PROG LEGAIS]]&lt;&gt;""),1)</f>
        <v>1</v>
      </c>
      <c r="K18" s="15" cm="1">
        <f t="array" aca="1" ref="K1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ENVIO]]="",$AT18&gt;$AR$1),2,
AND(Tabela18[[#This Row],[STATUS]]="Em andamento",Tabela18[[#This Row],[DATA REAL - ENVIO]]="",$AT18&lt;=$AR$1),3,
AND(Tabela18[[#This Row],[STATUS]]="Em andamento",Tabela18[[#This Row],[DATA REAL - ENVIO]]&lt;&gt;""),1)</f>
        <v>1</v>
      </c>
      <c r="L18" s="15" cm="1">
        <f t="array" aca="1" ref="L1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POSTAGEM]]="",$AW18&gt;$AU$1),2,
AND(Tabela18[[#This Row],[STATUS]]="Em andamento",Tabela18[[#This Row],[DATA REAL - POSTAGEM]]="",$AW18&lt;=$AU$1),3,
AND(Tabela18[[#This Row],[STATUS]]="Em andamento",Tabela18[[#This Row],[DATA REAL - POSTAGEM]]&lt;&gt;""),1)</f>
        <v>1</v>
      </c>
      <c r="M18" s="16" cm="1">
        <f t="array" aca="1" ref="M1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APROVAÇÃO]]="",$AZ18&gt;$AX$1),2,
AND(Tabela18[[#This Row],[STATUS]]="Em andamento",Tabela18[[#This Row],[DATA REAL - APROVAÇÃO]]="",$AZ18&lt;=$AX$1),3,
AND(Tabela18[[#This Row],[STATUS]]="Em andamento",Tabela18[[#This Row],[DATA REAL - APROVAÇÃO]]&lt;&gt;""),1)</f>
        <v>1</v>
      </c>
      <c r="N18" s="21">
        <f>IF(Tabela18[[#This Row],[DATA REAL -EMAIL]]&lt;&gt;"",Tabela18[[#This Row],[DATA REAL -EMAIL]]+30,Tabela18[[#This Row],[DATA PREV - EMAIL]]+30)</f>
        <v>44946</v>
      </c>
      <c r="O1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44964</v>
      </c>
      <c r="P1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50</v>
      </c>
      <c r="Q1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v>
      </c>
      <c r="R18" s="48">
        <f>MAX(Tabela18[[#This Row],[DATA REAL - POSTAGEM]],Tabela18[[#This Row],[DATA REAL - APROVAÇÃO]])-MIN(Tabela18[[#This Row],[DATA REAL - POSTAGEM]],Tabela18[[#This Row],[DATA REAL - APROVAÇÃO]])+1</f>
        <v>5</v>
      </c>
      <c r="S18" s="16"/>
      <c r="T18" s="16"/>
      <c r="U18" s="18"/>
      <c r="V18" s="18"/>
      <c r="W18" s="16" t="s">
        <v>97</v>
      </c>
      <c r="X18" s="16"/>
      <c r="Y18" s="16"/>
      <c r="Z18" s="15" t="s">
        <v>249</v>
      </c>
      <c r="AA18" s="15" t="str">
        <f>_xlfn.XLOOKUP(Tabela18[[#This Row],[CÓD. CT]],Controle_Projetos[COD CT],Controle_Projetos[COD PHD],"")</f>
        <v/>
      </c>
      <c r="AB18" s="16"/>
      <c r="AC18" s="21"/>
      <c r="AD18"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 s="16" t="str" cm="1">
        <f t="array" aca="1" ref="AE1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8" s="21">
        <v>44916</v>
      </c>
      <c r="AG18" s="74">
        <v>44916</v>
      </c>
      <c r="AH18" s="16" cm="1">
        <f t="array" aca="1" ref="AH1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 s="21">
        <v>44901</v>
      </c>
      <c r="AJ18" s="74">
        <v>44916</v>
      </c>
      <c r="AK18" s="16" cm="1">
        <f t="array" aca="1" ref="AK1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 s="20">
        <f t="shared" si="0"/>
        <v>44923</v>
      </c>
      <c r="AM18" s="74">
        <v>44916</v>
      </c>
      <c r="AN18" s="15" cm="1">
        <f t="array" aca="1" ref="AN1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8" s="20">
        <f t="shared" si="1"/>
        <v>44917</v>
      </c>
      <c r="AP18" s="74">
        <v>44914</v>
      </c>
      <c r="AQ18" s="15" cm="1">
        <f t="array" aca="1" ref="AQ1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8" s="20">
        <f t="shared" si="2"/>
        <v>44928</v>
      </c>
      <c r="AS18" s="74">
        <v>44916</v>
      </c>
      <c r="AT18" s="15" cm="1">
        <f t="array" aca="1" ref="AT1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18" s="20">
        <f t="shared" si="3"/>
        <v>44923</v>
      </c>
      <c r="AV18" s="74">
        <v>44960</v>
      </c>
      <c r="AW18" s="15" cm="1">
        <f t="array" aca="1" ref="AW1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38</v>
      </c>
      <c r="AX18" s="20">
        <f t="shared" si="4"/>
        <v>44963</v>
      </c>
      <c r="AY18" s="74">
        <v>44964</v>
      </c>
      <c r="AZ18" s="15" cm="1">
        <f t="array" aca="1" ref="AZ1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8" s="16" t="s">
        <v>866</v>
      </c>
    </row>
    <row r="19" spans="2:53" hidden="1" x14ac:dyDescent="0.35">
      <c r="B19" s="14" t="s">
        <v>119</v>
      </c>
      <c r="C19" s="16" t="s">
        <v>867</v>
      </c>
      <c r="D19" s="16" t="s">
        <v>119</v>
      </c>
      <c r="E19" s="16" t="s">
        <v>868</v>
      </c>
      <c r="F19" s="16" cm="1">
        <f t="array" ref="F19">_xlfn.IFS(Tabela18[[#This Row],[STATUS]]="Finalizado",1,Tabela18[[#This Row],[STATUS]]="Cancelado",2,Tabela18[[#This Row],[STATUS]]="Em andamento",3)</f>
        <v>2</v>
      </c>
      <c r="G19" s="16" cm="1">
        <f t="array" aca="1" ref="G1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-EMAIL]]="",$AH19&gt;$AF$1),2,
AND(Tabela18[[#This Row],[STATUS]]="Em andamento",Tabela18[[#This Row],[DATA REAL -EMAIL]]="",$AH19&lt;=$AF$1),3,
AND(Tabela18[[#This Row],[STATUS]]="Em andamento",Tabela18[[#This Row],[DATA REAL -EMAIL]]&lt;&gt;""),1)</f>
        <v>1</v>
      </c>
      <c r="H19" s="16" cm="1">
        <f t="array" aca="1" ref="H1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CLIENTE]]="",$AK19&gt;$AI$1),2,
AND(Tabela18[[#This Row],[STATUS]]="Em andamento",Tabela18[[#This Row],[DATA REAL - DOC CLIENTE]]="",$AK19&lt;=$AI$1),3,
AND(Tabela18[[#This Row],[STATUS]]="Em andamento",Tabela18[[#This Row],[DATA REAL - DOC CLIENTE]]&lt;&gt;""),1)</f>
        <v>1</v>
      </c>
      <c r="I19" s="16" cm="1">
        <f t="array" aca="1" ref="I1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06]]="",$AN19&gt;$AL$1),2,
AND(Tabela18[[#This Row],[STATUS]]="Em andamento",Tabela18[[#This Row],[DATA REAL - ANEXO 06]]="",$AN19&lt;=$AL$1),3,
AND(Tabela18[[#This Row],[STATUS]]="Em andamento",Tabela18[[#This Row],[DATA REAL - ANEXO 06]]&lt;&gt;""),1)</f>
        <v>1</v>
      </c>
      <c r="J19" s="15" cm="1">
        <f t="array" aca="1" ref="J1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LEGAIS]]="",$AQ19&gt;$AO$1),2,
AND(Tabela18[[#This Row],[STATUS]]="Em andamento",Tabela18[[#This Row],[DATA REAL - SOLIC. PROG LEGAIS]]="",$AQ19&lt;=$AO$1),3,
AND(Tabela18[[#This Row],[STATUS]]="Em andamento",Tabela18[[#This Row],[DATA REAL - SOLIC. PROG LEGAIS]]&lt;&gt;""),1)</f>
        <v>1</v>
      </c>
      <c r="K19" s="15" cm="1">
        <f t="array" aca="1" ref="K1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ENVIO]]="",$AT19&gt;$AR$1),2,
AND(Tabela18[[#This Row],[STATUS]]="Em andamento",Tabela18[[#This Row],[DATA REAL - ENVIO]]="",$AT19&lt;=$AR$1),3,
AND(Tabela18[[#This Row],[STATUS]]="Em andamento",Tabela18[[#This Row],[DATA REAL - ENVIO]]&lt;&gt;""),1)</f>
        <v>1</v>
      </c>
      <c r="L19" s="15" cm="1">
        <f t="array" aca="1" ref="L1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POSTAGEM]]="",$AW19&gt;$AU$1),2,
AND(Tabela18[[#This Row],[STATUS]]="Em andamento",Tabela18[[#This Row],[DATA REAL - POSTAGEM]]="",$AW19&lt;=$AU$1),3,
AND(Tabela18[[#This Row],[STATUS]]="Em andamento",Tabela18[[#This Row],[DATA REAL - POSTAGEM]]&lt;&gt;""),1)</f>
        <v>0</v>
      </c>
      <c r="M19" s="16" cm="1">
        <f t="array" aca="1" ref="M1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APROVAÇÃO]]="",$AZ19&gt;$AX$1),2,
AND(Tabela18[[#This Row],[STATUS]]="Em andamento",Tabela18[[#This Row],[DATA REAL - APROVAÇÃO]]="",$AZ19&lt;=$AX$1),3,
AND(Tabela18[[#This Row],[STATUS]]="Em andamento",Tabela18[[#This Row],[DATA REAL - APROVAÇÃO]]&lt;&gt;""),1)</f>
        <v>0</v>
      </c>
      <c r="N19" s="21">
        <f>IF(Tabela18[[#This Row],[DATA REAL -EMAIL]]&lt;&gt;"",Tabela18[[#This Row],[DATA REAL -EMAIL]]+30,Tabela18[[#This Row],[DATA PREV - EMAIL]]+30)</f>
        <v>44925</v>
      </c>
      <c r="O1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44950</v>
      </c>
      <c r="P1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55</v>
      </c>
      <c r="Q1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55</v>
      </c>
      <c r="R19" s="48">
        <f>MAX(Tabela18[[#This Row],[DATA REAL - POSTAGEM]],Tabela18[[#This Row],[DATA REAL - APROVAÇÃO]])-MIN(Tabela18[[#This Row],[DATA REAL - POSTAGEM]],Tabela18[[#This Row],[DATA REAL - APROVAÇÃO]])+1</f>
        <v>1</v>
      </c>
      <c r="S19" s="16"/>
      <c r="T19" s="16"/>
      <c r="U19" s="18"/>
      <c r="V19" s="18"/>
      <c r="W19" s="16" t="s">
        <v>97</v>
      </c>
      <c r="X19" s="16"/>
      <c r="Y19" s="16"/>
      <c r="Z19" s="15" t="s">
        <v>249</v>
      </c>
      <c r="AA19" s="15" t="str">
        <f>_xlfn.XLOOKUP(Tabela18[[#This Row],[CÓD. CT]],Controle_Projetos[COD CT],Controle_Projetos[COD PHD],"")</f>
        <v/>
      </c>
      <c r="AB19" s="16"/>
      <c r="AC19" s="21"/>
      <c r="AD19"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9" s="16" t="str" cm="1">
        <f t="array" aca="1" ref="AE1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9" s="21">
        <v>44895</v>
      </c>
      <c r="AG19" s="74">
        <v>44895</v>
      </c>
      <c r="AH19" s="16" cm="1">
        <f t="array" aca="1" ref="AH1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 s="21">
        <v>44895</v>
      </c>
      <c r="AJ19" s="74">
        <v>44895</v>
      </c>
      <c r="AK19" s="16" cm="1">
        <f t="array" aca="1" ref="AK1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 s="20">
        <f t="shared" si="0"/>
        <v>44902</v>
      </c>
      <c r="AM19" s="74">
        <v>44950</v>
      </c>
      <c r="AN19" s="15" cm="1">
        <f t="array" aca="1" ref="AN1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49</v>
      </c>
      <c r="AO19" s="20">
        <f t="shared" si="1"/>
        <v>44951</v>
      </c>
      <c r="AP19" s="74">
        <v>44946</v>
      </c>
      <c r="AQ19" s="15" cm="1">
        <f t="array" aca="1" ref="AQ1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9" s="20">
        <f t="shared" si="2"/>
        <v>44960</v>
      </c>
      <c r="AS19" s="74">
        <v>44950</v>
      </c>
      <c r="AT19" s="15" cm="1">
        <f t="array" aca="1" ref="AT1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9" s="20">
        <f t="shared" si="3"/>
        <v>44957</v>
      </c>
      <c r="AV19" s="74"/>
      <c r="AW19" s="15" cm="1">
        <f t="array" aca="1" ref="AW1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9" s="20">
        <f t="shared" si="4"/>
        <v>44958</v>
      </c>
      <c r="AY19" s="74"/>
      <c r="AZ19" s="15" cm="1">
        <f t="array" aca="1" ref="AZ1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9" s="80" t="s">
        <v>869</v>
      </c>
    </row>
    <row r="20" spans="2:53" hidden="1" x14ac:dyDescent="0.35">
      <c r="B20" s="14" t="s">
        <v>79</v>
      </c>
      <c r="C20" s="16"/>
      <c r="D20" s="16" t="s">
        <v>81</v>
      </c>
      <c r="E20" s="16" t="s">
        <v>870</v>
      </c>
      <c r="F20" s="16" cm="1">
        <f t="array" ref="F20">_xlfn.IFS(Tabela18[[#This Row],[STATUS]]="Finalizado",1,Tabela18[[#This Row],[STATUS]]="Cancelado",2,Tabela18[[#This Row],[STATUS]]="Em andamento",3)</f>
        <v>1</v>
      </c>
      <c r="G20" s="16" cm="1">
        <f t="array" aca="1" ref="G2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-EMAIL]]="",$AH20&gt;$AF$1),2,
AND(Tabela18[[#This Row],[STATUS]]="Em andamento",Tabela18[[#This Row],[DATA REAL -EMAIL]]="",$AH20&lt;=$AF$1),3,
AND(Tabela18[[#This Row],[STATUS]]="Em andamento",Tabela18[[#This Row],[DATA REAL -EMAIL]]&lt;&gt;""),1)</f>
        <v>1</v>
      </c>
      <c r="H20" s="16" cm="1">
        <f t="array" aca="1" ref="H2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CLIENTE]]="",$AK20&gt;$AI$1),2,
AND(Tabela18[[#This Row],[STATUS]]="Em andamento",Tabela18[[#This Row],[DATA REAL - DOC CLIENTE]]="",$AK20&lt;=$AI$1),3,
AND(Tabela18[[#This Row],[STATUS]]="Em andamento",Tabela18[[#This Row],[DATA REAL - DOC CLIENTE]]&lt;&gt;""),1)</f>
        <v>1</v>
      </c>
      <c r="I20" s="16" cm="1">
        <f t="array" aca="1" ref="I2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06]]="",$AN20&gt;$AL$1),2,
AND(Tabela18[[#This Row],[STATUS]]="Em andamento",Tabela18[[#This Row],[DATA REAL - ANEXO 06]]="",$AN20&lt;=$AL$1),3,
AND(Tabela18[[#This Row],[STATUS]]="Em andamento",Tabela18[[#This Row],[DATA REAL - ANEXO 06]]&lt;&gt;""),1)</f>
        <v>1</v>
      </c>
      <c r="J20" s="15" cm="1">
        <f t="array" aca="1" ref="J2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LEGAIS]]="",$AQ20&gt;$AO$1),2,
AND(Tabela18[[#This Row],[STATUS]]="Em andamento",Tabela18[[#This Row],[DATA REAL - SOLIC. PROG LEGAIS]]="",$AQ20&lt;=$AO$1),3,
AND(Tabela18[[#This Row],[STATUS]]="Em andamento",Tabela18[[#This Row],[DATA REAL - SOLIC. PROG LEGAIS]]&lt;&gt;""),1)</f>
        <v>1</v>
      </c>
      <c r="K20" s="15" cm="1">
        <f t="array" aca="1" ref="K2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ENVIO]]="",$AT20&gt;$AR$1),2,
AND(Tabela18[[#This Row],[STATUS]]="Em andamento",Tabela18[[#This Row],[DATA REAL - ENVIO]]="",$AT20&lt;=$AR$1),3,
AND(Tabela18[[#This Row],[STATUS]]="Em andamento",Tabela18[[#This Row],[DATA REAL - ENVIO]]&lt;&gt;""),1)</f>
        <v>1</v>
      </c>
      <c r="L20" s="15" cm="1">
        <f t="array" aca="1" ref="L2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POSTAGEM]]="",$AW20&gt;$AU$1),2,
AND(Tabela18[[#This Row],[STATUS]]="Em andamento",Tabela18[[#This Row],[DATA REAL - POSTAGEM]]="",$AW20&lt;=$AU$1),3,
AND(Tabela18[[#This Row],[STATUS]]="Em andamento",Tabela18[[#This Row],[DATA REAL - POSTAGEM]]&lt;&gt;""),1)</f>
        <v>1</v>
      </c>
      <c r="M20" s="16" cm="1">
        <f t="array" aca="1" ref="M2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APROVAÇÃO]]="",$AZ20&gt;$AX$1),2,
AND(Tabela18[[#This Row],[STATUS]]="Em andamento",Tabela18[[#This Row],[DATA REAL - APROVAÇÃO]]="",$AZ20&lt;=$AX$1),3,
AND(Tabela18[[#This Row],[STATUS]]="Em andamento",Tabela18[[#This Row],[DATA REAL - APROVAÇÃO]]&lt;&gt;""),1)</f>
        <v>1</v>
      </c>
      <c r="N20" s="21">
        <f>IF(Tabela18[[#This Row],[DATA REAL -EMAIL]]&lt;&gt;"",Tabela18[[#This Row],[DATA REAL -EMAIL]]+30,Tabela18[[#This Row],[DATA PREV - EMAIL]]+30)</f>
        <v>44993</v>
      </c>
      <c r="O2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44973</v>
      </c>
      <c r="P2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v>
      </c>
      <c r="Q2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20" s="48">
        <f>MAX(Tabela18[[#This Row],[DATA REAL - POSTAGEM]],Tabela18[[#This Row],[DATA REAL - APROVAÇÃO]])-MIN(Tabela18[[#This Row],[DATA REAL - POSTAGEM]],Tabela18[[#This Row],[DATA REAL - APROVAÇÃO]])+1</f>
        <v>3</v>
      </c>
      <c r="S20" s="16"/>
      <c r="T20" s="16"/>
      <c r="U20" s="18"/>
      <c r="V20" s="18"/>
      <c r="W20" s="16" t="s">
        <v>97</v>
      </c>
      <c r="X20" s="16"/>
      <c r="Y20" s="16"/>
      <c r="Z20" s="15" t="s">
        <v>249</v>
      </c>
      <c r="AA20" s="15" t="str">
        <f>_xlfn.XLOOKUP(Tabela18[[#This Row],[CÓD. CT]],Controle_Projetos[COD CT],Controle_Projetos[COD PHD],"")</f>
        <v/>
      </c>
      <c r="AB20" s="16"/>
      <c r="AC20" s="21"/>
      <c r="AD2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0" s="16" t="str" cm="1">
        <f t="array" aca="1" ref="AE2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0" s="21">
        <v>44963</v>
      </c>
      <c r="AG20" s="74">
        <v>44963</v>
      </c>
      <c r="AH20" s="16" cm="1">
        <f t="array" aca="1" ref="AH2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0" s="21">
        <v>44963</v>
      </c>
      <c r="AJ20" s="74">
        <v>44963</v>
      </c>
      <c r="AK20" s="16" cm="1">
        <f t="array" aca="1" ref="AK2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0" s="20">
        <f t="shared" si="0"/>
        <v>44970</v>
      </c>
      <c r="AM20" s="74">
        <v>44965</v>
      </c>
      <c r="AN20" s="15" cm="1">
        <f t="array" aca="1" ref="AN2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20" s="20">
        <f t="shared" si="1"/>
        <v>44966</v>
      </c>
      <c r="AP20" s="74">
        <v>44965</v>
      </c>
      <c r="AQ20" s="15" cm="1">
        <f t="array" aca="1" ref="AQ2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20" s="20">
        <f t="shared" si="2"/>
        <v>44979</v>
      </c>
      <c r="AS20" s="74">
        <v>44971</v>
      </c>
      <c r="AT20" s="15" cm="1">
        <f t="array" aca="1" ref="AT2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20" s="20">
        <f t="shared" si="3"/>
        <v>44978</v>
      </c>
      <c r="AV20" s="74">
        <v>44971</v>
      </c>
      <c r="AW20" s="15" cm="1">
        <f t="array" aca="1" ref="AW2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20" s="20">
        <f t="shared" si="4"/>
        <v>44972</v>
      </c>
      <c r="AY20" s="74">
        <v>44973</v>
      </c>
      <c r="AZ20" s="15" cm="1">
        <f t="array" aca="1" ref="AZ2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20" s="16"/>
    </row>
    <row r="21" spans="2:53" hidden="1" x14ac:dyDescent="0.35">
      <c r="B21" s="14" t="s">
        <v>79</v>
      </c>
      <c r="C21" s="16"/>
      <c r="D21" s="16" t="s">
        <v>108</v>
      </c>
      <c r="E21" s="16" t="s">
        <v>871</v>
      </c>
      <c r="F21" s="16" cm="1">
        <f t="array" ref="F21">_xlfn.IFS(Tabela18[[#This Row],[STATUS]]="Finalizado",1,Tabela18[[#This Row],[STATUS]]="Cancelado",2,Tabela18[[#This Row],[STATUS]]="Em andamento",3)</f>
        <v>1</v>
      </c>
      <c r="G21" s="16" cm="1">
        <f t="array" aca="1" ref="G2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-EMAIL]]="",$AH21&gt;$AF$1),2,
AND(Tabela18[[#This Row],[STATUS]]="Em andamento",Tabela18[[#This Row],[DATA REAL -EMAIL]]="",$AH21&lt;=$AF$1),3,
AND(Tabela18[[#This Row],[STATUS]]="Em andamento",Tabela18[[#This Row],[DATA REAL -EMAIL]]&lt;&gt;""),1)</f>
        <v>1</v>
      </c>
      <c r="H21" s="16" cm="1">
        <f t="array" aca="1" ref="H2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CLIENTE]]="",$AK21&gt;$AI$1),2,
AND(Tabela18[[#This Row],[STATUS]]="Em andamento",Tabela18[[#This Row],[DATA REAL - DOC CLIENTE]]="",$AK21&lt;=$AI$1),3,
AND(Tabela18[[#This Row],[STATUS]]="Em andamento",Tabela18[[#This Row],[DATA REAL - DOC CLIENTE]]&lt;&gt;""),1)</f>
        <v>1</v>
      </c>
      <c r="I21" s="16" cm="1">
        <f t="array" aca="1" ref="I2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06]]="",$AN21&gt;$AL$1),2,
AND(Tabela18[[#This Row],[STATUS]]="Em andamento",Tabela18[[#This Row],[DATA REAL - ANEXO 06]]="",$AN21&lt;=$AL$1),3,
AND(Tabela18[[#This Row],[STATUS]]="Em andamento",Tabela18[[#This Row],[DATA REAL - ANEXO 06]]&lt;&gt;""),1)</f>
        <v>1</v>
      </c>
      <c r="J21" s="15" cm="1">
        <f t="array" aca="1" ref="J2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LEGAIS]]="",$AQ21&gt;$AO$1),2,
AND(Tabela18[[#This Row],[STATUS]]="Em andamento",Tabela18[[#This Row],[DATA REAL - SOLIC. PROG LEGAIS]]="",$AQ21&lt;=$AO$1),3,
AND(Tabela18[[#This Row],[STATUS]]="Em andamento",Tabela18[[#This Row],[DATA REAL - SOLIC. PROG LEGAIS]]&lt;&gt;""),1)</f>
        <v>1</v>
      </c>
      <c r="K21" s="15" cm="1">
        <f t="array" aca="1" ref="K2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ENVIO]]="",$AT21&gt;$AR$1),2,
AND(Tabela18[[#This Row],[STATUS]]="Em andamento",Tabela18[[#This Row],[DATA REAL - ENVIO]]="",$AT21&lt;=$AR$1),3,
AND(Tabela18[[#This Row],[STATUS]]="Em andamento",Tabela18[[#This Row],[DATA REAL - ENVIO]]&lt;&gt;""),1)</f>
        <v>1</v>
      </c>
      <c r="L21" s="15" cm="1">
        <f t="array" aca="1" ref="L2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POSTAGEM]]="",$AW21&gt;$AU$1),2,
AND(Tabela18[[#This Row],[STATUS]]="Em andamento",Tabela18[[#This Row],[DATA REAL - POSTAGEM]]="",$AW21&lt;=$AU$1),3,
AND(Tabela18[[#This Row],[STATUS]]="Em andamento",Tabela18[[#This Row],[DATA REAL - POSTAGEM]]&lt;&gt;""),1)</f>
        <v>1</v>
      </c>
      <c r="M21" s="16" cm="1">
        <f t="array" aca="1" ref="M2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APROVAÇÃO]]="",$AZ21&gt;$AX$1),2,
AND(Tabela18[[#This Row],[STATUS]]="Em andamento",Tabela18[[#This Row],[DATA REAL - APROVAÇÃO]]="",$AZ21&lt;=$AX$1),3,
AND(Tabela18[[#This Row],[STATUS]]="Em andamento",Tabela18[[#This Row],[DATA REAL - APROVAÇÃO]]&lt;&gt;""),1)</f>
        <v>1</v>
      </c>
      <c r="N21" s="21">
        <f>IF(Tabela18[[#This Row],[DATA REAL -EMAIL]]&lt;&gt;"",Tabela18[[#This Row],[DATA REAL -EMAIL]]+30,Tabela18[[#This Row],[DATA PREV - EMAIL]]+30)</f>
        <v>44993</v>
      </c>
      <c r="O2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45013</v>
      </c>
      <c r="P2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50</v>
      </c>
      <c r="Q2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v>
      </c>
      <c r="R21" s="48">
        <f>MAX(Tabela18[[#This Row],[DATA REAL - POSTAGEM]],Tabela18[[#This Row],[DATA REAL - APROVAÇÃO]])-MIN(Tabela18[[#This Row],[DATA REAL - POSTAGEM]],Tabela18[[#This Row],[DATA REAL - APROVAÇÃO]])+1</f>
        <v>2</v>
      </c>
      <c r="S21" s="16"/>
      <c r="T21" s="16"/>
      <c r="U21" s="18"/>
      <c r="V21" s="18"/>
      <c r="W21" s="16" t="s">
        <v>97</v>
      </c>
      <c r="X21" s="16"/>
      <c r="Y21" s="16"/>
      <c r="Z21" s="15" t="s">
        <v>249</v>
      </c>
      <c r="AA21" s="15" t="str">
        <f>_xlfn.XLOOKUP(Tabela18[[#This Row],[CÓD. CT]],Controle_Projetos[COD CT],Controle_Projetos[COD PHD],"")</f>
        <v/>
      </c>
      <c r="AB21" s="16"/>
      <c r="AC21" s="21"/>
      <c r="AD2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1" s="16" t="str" cm="1">
        <f t="array" aca="1" ref="AE2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1" s="21">
        <v>44963</v>
      </c>
      <c r="AG21" s="74">
        <v>44963</v>
      </c>
      <c r="AH21" s="16" cm="1">
        <f t="array" aca="1" ref="AH2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1" s="21">
        <v>44963</v>
      </c>
      <c r="AJ21" s="74">
        <v>44963</v>
      </c>
      <c r="AK21" s="16" cm="1">
        <f t="array" aca="1" ref="AK2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1" s="20">
        <f t="shared" si="0"/>
        <v>44970</v>
      </c>
      <c r="AM21" s="74">
        <v>44965</v>
      </c>
      <c r="AN21" s="15" cm="1">
        <f t="array" aca="1" ref="AN2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21" s="20">
        <f t="shared" si="1"/>
        <v>44966</v>
      </c>
      <c r="AP21" s="74">
        <v>44963</v>
      </c>
      <c r="AQ21" s="15" cm="1">
        <f t="array" aca="1" ref="AQ2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21" s="20">
        <f t="shared" si="2"/>
        <v>44977</v>
      </c>
      <c r="AS21" s="74">
        <v>44973</v>
      </c>
      <c r="AT21" s="15" cm="1">
        <f t="array" aca="1" ref="AT2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21" s="20">
        <f t="shared" si="3"/>
        <v>44980</v>
      </c>
      <c r="AV21" s="74">
        <v>45012</v>
      </c>
      <c r="AW21" s="15" cm="1">
        <f t="array" aca="1" ref="AW2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33</v>
      </c>
      <c r="AX21" s="20">
        <f t="shared" si="4"/>
        <v>45013</v>
      </c>
      <c r="AY21" s="74">
        <v>45013</v>
      </c>
      <c r="AZ21" s="15" cm="1">
        <f t="array" aca="1" ref="AZ2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21" s="16"/>
    </row>
    <row r="22" spans="2:53" hidden="1" x14ac:dyDescent="0.35">
      <c r="B22" s="14" t="s">
        <v>79</v>
      </c>
      <c r="C22" s="16"/>
      <c r="D22" s="16" t="s">
        <v>108</v>
      </c>
      <c r="E22" s="16" t="s">
        <v>88</v>
      </c>
      <c r="F22" s="16" cm="1">
        <f t="array" ref="F22">_xlfn.IFS(Tabela18[[#This Row],[STATUS]]="Finalizado",1,Tabela18[[#This Row],[STATUS]]="Cancelado",2,Tabela18[[#This Row],[STATUS]]="Em andamento",3)</f>
        <v>1</v>
      </c>
      <c r="G22" s="16" cm="1">
        <f t="array" aca="1" ref="G2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-EMAIL]]="",$AH22&gt;$AF$1),2,
AND(Tabela18[[#This Row],[STATUS]]="Em andamento",Tabela18[[#This Row],[DATA REAL -EMAIL]]="",$AH22&lt;=$AF$1),3,
AND(Tabela18[[#This Row],[STATUS]]="Em andamento",Tabela18[[#This Row],[DATA REAL -EMAIL]]&lt;&gt;""),1)</f>
        <v>1</v>
      </c>
      <c r="H22" s="16" cm="1">
        <f t="array" aca="1" ref="H2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CLIENTE]]="",$AK22&gt;$AI$1),2,
AND(Tabela18[[#This Row],[STATUS]]="Em andamento",Tabela18[[#This Row],[DATA REAL - DOC CLIENTE]]="",$AK22&lt;=$AI$1),3,
AND(Tabela18[[#This Row],[STATUS]]="Em andamento",Tabela18[[#This Row],[DATA REAL - DOC CLIENTE]]&lt;&gt;""),1)</f>
        <v>1</v>
      </c>
      <c r="I22" s="16" cm="1">
        <f t="array" aca="1" ref="I2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06]]="",$AN22&gt;$AL$1),2,
AND(Tabela18[[#This Row],[STATUS]]="Em andamento",Tabela18[[#This Row],[DATA REAL - ANEXO 06]]="",$AN22&lt;=$AL$1),3,
AND(Tabela18[[#This Row],[STATUS]]="Em andamento",Tabela18[[#This Row],[DATA REAL - ANEXO 06]]&lt;&gt;""),1)</f>
        <v>1</v>
      </c>
      <c r="J22" s="15" cm="1">
        <f t="array" aca="1" ref="J2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LEGAIS]]="",$AQ22&gt;$AO$1),2,
AND(Tabela18[[#This Row],[STATUS]]="Em andamento",Tabela18[[#This Row],[DATA REAL - SOLIC. PROG LEGAIS]]="",$AQ22&lt;=$AO$1),3,
AND(Tabela18[[#This Row],[STATUS]]="Em andamento",Tabela18[[#This Row],[DATA REAL - SOLIC. PROG LEGAIS]]&lt;&gt;""),1)</f>
        <v>1</v>
      </c>
      <c r="K22" s="15" cm="1">
        <f t="array" aca="1" ref="K2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ENVIO]]="",$AT22&gt;$AR$1),2,
AND(Tabela18[[#This Row],[STATUS]]="Em andamento",Tabela18[[#This Row],[DATA REAL - ENVIO]]="",$AT22&lt;=$AR$1),3,
AND(Tabela18[[#This Row],[STATUS]]="Em andamento",Tabela18[[#This Row],[DATA REAL - ENVIO]]&lt;&gt;""),1)</f>
        <v>1</v>
      </c>
      <c r="L22" s="15" cm="1">
        <f t="array" aca="1" ref="L2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POSTAGEM]]="",$AW22&gt;$AU$1),2,
AND(Tabela18[[#This Row],[STATUS]]="Em andamento",Tabela18[[#This Row],[DATA REAL - POSTAGEM]]="",$AW22&lt;=$AU$1),3,
AND(Tabela18[[#This Row],[STATUS]]="Em andamento",Tabela18[[#This Row],[DATA REAL - POSTAGEM]]&lt;&gt;""),1)</f>
        <v>1</v>
      </c>
      <c r="M22" s="16" cm="1">
        <f t="array" aca="1" ref="M2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APROVAÇÃO]]="",$AZ22&gt;$AX$1),2,
AND(Tabela18[[#This Row],[STATUS]]="Em andamento",Tabela18[[#This Row],[DATA REAL - APROVAÇÃO]]="",$AZ22&lt;=$AX$1),3,
AND(Tabela18[[#This Row],[STATUS]]="Em andamento",Tabela18[[#This Row],[DATA REAL - APROVAÇÃO]]&lt;&gt;""),1)</f>
        <v>1</v>
      </c>
      <c r="N22" s="21">
        <f>IF(Tabela18[[#This Row],[DATA REAL -EMAIL]]&lt;&gt;"",Tabela18[[#This Row],[DATA REAL -EMAIL]]+30,Tabela18[[#This Row],[DATA PREV - EMAIL]]+30)</f>
        <v>44993</v>
      </c>
      <c r="O2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45104</v>
      </c>
      <c r="P2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147</v>
      </c>
      <c r="Q2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22" s="48">
        <f>MAX(Tabela18[[#This Row],[DATA REAL - POSTAGEM]],Tabela18[[#This Row],[DATA REAL - APROVAÇÃO]])-MIN(Tabela18[[#This Row],[DATA REAL - POSTAGEM]],Tabela18[[#This Row],[DATA REAL - APROVAÇÃO]])+1</f>
        <v>1</v>
      </c>
      <c r="S22" s="16"/>
      <c r="T22" s="16"/>
      <c r="U22" s="18"/>
      <c r="V22" s="18"/>
      <c r="W22" s="16" t="s">
        <v>97</v>
      </c>
      <c r="X22" s="16" t="s">
        <v>89</v>
      </c>
      <c r="Y22" s="16" t="s">
        <v>872</v>
      </c>
      <c r="Z22" s="15" t="s">
        <v>873</v>
      </c>
      <c r="AA22" s="15" t="str">
        <f>_xlfn.XLOOKUP(Tabela18[[#This Row],[CÓD. CT]],Controle_Projetos[COD CT],Controle_Projetos[COD PHD],"")</f>
        <v>IMCS-CT02-AVCB</v>
      </c>
      <c r="AB22" s="16"/>
      <c r="AC22" s="21"/>
      <c r="AD2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44957</v>
      </c>
      <c r="AE22" s="16" t="str" cm="1">
        <f t="array" aca="1" ref="AE2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2" s="21">
        <v>44963</v>
      </c>
      <c r="AG22" s="74">
        <v>44963</v>
      </c>
      <c r="AH22" s="16" cm="1">
        <f t="array" aca="1" ref="AH2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2" s="21">
        <v>44963</v>
      </c>
      <c r="AJ22" s="74">
        <v>44963</v>
      </c>
      <c r="AK22" s="16" cm="1">
        <f t="array" aca="1" ref="AK2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2" s="20">
        <f t="shared" si="0"/>
        <v>44970</v>
      </c>
      <c r="AM22" s="74">
        <v>44970</v>
      </c>
      <c r="AN22" s="15" cm="1">
        <f t="array" aca="1" ref="AN2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22" s="20">
        <f t="shared" si="1"/>
        <v>44971</v>
      </c>
      <c r="AP22" s="74">
        <v>44965</v>
      </c>
      <c r="AQ22" s="15" cm="1">
        <f t="array" aca="1" ref="AQ2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22" s="20">
        <f t="shared" si="2"/>
        <v>44979</v>
      </c>
      <c r="AS22" s="74">
        <v>44970</v>
      </c>
      <c r="AT22" s="15" cm="1">
        <f t="array" aca="1" ref="AT2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22" s="20">
        <f t="shared" si="3"/>
        <v>44977</v>
      </c>
      <c r="AV22" s="74">
        <v>45104</v>
      </c>
      <c r="AW22" s="15" cm="1">
        <f t="array" aca="1" ref="AW2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128</v>
      </c>
      <c r="AX22" s="20">
        <f t="shared" si="4"/>
        <v>45105</v>
      </c>
      <c r="AY22" s="74">
        <v>45104</v>
      </c>
      <c r="AZ22" s="15" cm="1">
        <f t="array" aca="1" ref="AZ2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22" s="16" t="s">
        <v>874</v>
      </c>
    </row>
    <row r="23" spans="2:53" hidden="1" x14ac:dyDescent="0.35">
      <c r="B23" s="14" t="s">
        <v>79</v>
      </c>
      <c r="C23" s="16" t="s">
        <v>867</v>
      </c>
      <c r="D23" s="16" t="s">
        <v>108</v>
      </c>
      <c r="E23" s="16" t="s">
        <v>153</v>
      </c>
      <c r="F23" s="16" cm="1">
        <f t="array" ref="F23">_xlfn.IFS(Tabela18[[#This Row],[STATUS]]="Finalizado",1,Tabela18[[#This Row],[STATUS]]="Cancelado",2,Tabela18[[#This Row],[STATUS]]="Em andamento",3)</f>
        <v>1</v>
      </c>
      <c r="G23" s="16" cm="1">
        <f t="array" aca="1" ref="G2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-EMAIL]]="",$AH23&gt;$AF$1),2,
AND(Tabela18[[#This Row],[STATUS]]="Em andamento",Tabela18[[#This Row],[DATA REAL -EMAIL]]="",$AH23&lt;=$AF$1),3,
AND(Tabela18[[#This Row],[STATUS]]="Em andamento",Tabela18[[#This Row],[DATA REAL -EMAIL]]&lt;&gt;""),1)</f>
        <v>1</v>
      </c>
      <c r="H23" s="16" cm="1">
        <f t="array" aca="1" ref="H2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CLIENTE]]="",$AK23&gt;$AI$1),2,
AND(Tabela18[[#This Row],[STATUS]]="Em andamento",Tabela18[[#This Row],[DATA REAL - DOC CLIENTE]]="",$AK23&lt;=$AI$1),3,
AND(Tabela18[[#This Row],[STATUS]]="Em andamento",Tabela18[[#This Row],[DATA REAL - DOC CLIENTE]]&lt;&gt;""),1)</f>
        <v>1</v>
      </c>
      <c r="I23" s="16" cm="1">
        <f t="array" aca="1" ref="I2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06]]="",$AN23&gt;$AL$1),2,
AND(Tabela18[[#This Row],[STATUS]]="Em andamento",Tabela18[[#This Row],[DATA REAL - ANEXO 06]]="",$AN23&lt;=$AL$1),3,
AND(Tabela18[[#This Row],[STATUS]]="Em andamento",Tabela18[[#This Row],[DATA REAL - ANEXO 06]]&lt;&gt;""),1)</f>
        <v>1</v>
      </c>
      <c r="J23" s="15" cm="1">
        <f t="array" aca="1" ref="J2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LEGAIS]]="",$AQ23&gt;$AO$1),2,
AND(Tabela18[[#This Row],[STATUS]]="Em andamento",Tabela18[[#This Row],[DATA REAL - SOLIC. PROG LEGAIS]]="",$AQ23&lt;=$AO$1),3,
AND(Tabela18[[#This Row],[STATUS]]="Em andamento",Tabela18[[#This Row],[DATA REAL - SOLIC. PROG LEGAIS]]&lt;&gt;""),1)</f>
        <v>1</v>
      </c>
      <c r="K23" s="15" cm="1">
        <f t="array" aca="1" ref="K2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ENVIO]]="",$AT23&gt;$AR$1),2,
AND(Tabela18[[#This Row],[STATUS]]="Em andamento",Tabela18[[#This Row],[DATA REAL - ENVIO]]="",$AT23&lt;=$AR$1),3,
AND(Tabela18[[#This Row],[STATUS]]="Em andamento",Tabela18[[#This Row],[DATA REAL - ENVIO]]&lt;&gt;""),1)</f>
        <v>1</v>
      </c>
      <c r="L23" s="15" cm="1">
        <f t="array" aca="1" ref="L2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POSTAGEM]]="",$AW23&gt;$AU$1),2,
AND(Tabela18[[#This Row],[STATUS]]="Em andamento",Tabela18[[#This Row],[DATA REAL - POSTAGEM]]="",$AW23&lt;=$AU$1),3,
AND(Tabela18[[#This Row],[STATUS]]="Em andamento",Tabela18[[#This Row],[DATA REAL - POSTAGEM]]&lt;&gt;""),1)</f>
        <v>1</v>
      </c>
      <c r="M23" s="16" cm="1">
        <f t="array" aca="1" ref="M2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APROVAÇÃO]]="",$AZ23&gt;$AX$1),2,
AND(Tabela18[[#This Row],[STATUS]]="Em andamento",Tabela18[[#This Row],[DATA REAL - APROVAÇÃO]]="",$AZ23&lt;=$AX$1),3,
AND(Tabela18[[#This Row],[STATUS]]="Em andamento",Tabela18[[#This Row],[DATA REAL - APROVAÇÃO]]&lt;&gt;""),1)</f>
        <v>1</v>
      </c>
      <c r="N23" s="21">
        <f>IF(Tabela18[[#This Row],[DATA REAL -EMAIL]]&lt;&gt;"",Tabela18[[#This Row],[DATA REAL -EMAIL]]+30,Tabela18[[#This Row],[DATA PREV - EMAIL]]+30)</f>
        <v>45023</v>
      </c>
      <c r="O2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45013</v>
      </c>
      <c r="P2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32</v>
      </c>
      <c r="Q2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12</v>
      </c>
      <c r="R23" s="48">
        <f>MAX(Tabela18[[#This Row],[DATA REAL - POSTAGEM]],Tabela18[[#This Row],[DATA REAL - APROVAÇÃO]])-MIN(Tabela18[[#This Row],[DATA REAL - POSTAGEM]],Tabela18[[#This Row],[DATA REAL - APROVAÇÃO]])+1</f>
        <v>1</v>
      </c>
      <c r="S23" s="16"/>
      <c r="T23" s="16"/>
      <c r="U23" s="18"/>
      <c r="V23" s="18"/>
      <c r="W23" s="16" t="s">
        <v>97</v>
      </c>
      <c r="X23" s="16" t="s">
        <v>153</v>
      </c>
      <c r="Y23" s="16" t="s">
        <v>875</v>
      </c>
      <c r="Z23" s="15" t="s">
        <v>155</v>
      </c>
      <c r="AA23" s="15" t="str">
        <f>_xlfn.XLOOKUP(Tabela18[[#This Row],[CÓD. CT]],Controle_Projetos[COD CT],Controle_Projetos[COD PHD],"")</f>
        <v>ADMB-CT01-GERE</v>
      </c>
      <c r="AB23" s="16"/>
      <c r="AC23" s="21"/>
      <c r="AD2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3" s="16" t="str" cm="1">
        <f t="array" aca="1" ref="AE2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3" s="21">
        <v>44993</v>
      </c>
      <c r="AG23" s="74">
        <v>44993</v>
      </c>
      <c r="AH23" s="16" cm="1">
        <f t="array" aca="1" ref="AH2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3" s="21">
        <v>44993</v>
      </c>
      <c r="AJ23" s="74">
        <v>44993</v>
      </c>
      <c r="AK23" s="16" cm="1">
        <f t="array" aca="1" ref="AK2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3" s="20">
        <f t="shared" si="0"/>
        <v>45000</v>
      </c>
      <c r="AM23" s="74">
        <v>44981</v>
      </c>
      <c r="AN23" s="15" cm="1">
        <f t="array" aca="1" ref="AN2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-18</v>
      </c>
      <c r="AO23" s="20">
        <f t="shared" si="1"/>
        <v>44984</v>
      </c>
      <c r="AP23" s="74">
        <v>44981</v>
      </c>
      <c r="AQ23" s="15" cm="1">
        <f t="array" aca="1" ref="AQ2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23" s="20">
        <f t="shared" si="2"/>
        <v>44995</v>
      </c>
      <c r="AS23" s="74">
        <v>44984</v>
      </c>
      <c r="AT23" s="15" cm="1">
        <f t="array" aca="1" ref="AT2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23" s="20">
        <f t="shared" si="3"/>
        <v>44991</v>
      </c>
      <c r="AV23" s="74">
        <v>45013</v>
      </c>
      <c r="AW23" s="15" cm="1">
        <f t="array" aca="1" ref="AW2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23</v>
      </c>
      <c r="AX23" s="20">
        <f t="shared" si="4"/>
        <v>45014</v>
      </c>
      <c r="AY23" s="74">
        <v>45013</v>
      </c>
      <c r="AZ23" s="15" cm="1">
        <f t="array" aca="1" ref="AZ2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23" s="16"/>
    </row>
    <row r="24" spans="2:53" hidden="1" x14ac:dyDescent="0.35">
      <c r="B24" s="14" t="s">
        <v>79</v>
      </c>
      <c r="C24" s="16" t="s">
        <v>867</v>
      </c>
      <c r="D24" s="16" t="s">
        <v>108</v>
      </c>
      <c r="E24" s="16" t="s">
        <v>876</v>
      </c>
      <c r="F24" s="16" cm="1">
        <f t="array" ref="F24">_xlfn.IFS(Tabela18[[#This Row],[STATUS]]="Finalizado",1,Tabela18[[#This Row],[STATUS]]="Cancelado",2,Tabela18[[#This Row],[STATUS]]="Em andamento",3)</f>
        <v>1</v>
      </c>
      <c r="G24" s="16" cm="1">
        <f t="array" aca="1" ref="G2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-EMAIL]]="",$AH24&gt;$AF$1),2,
AND(Tabela18[[#This Row],[STATUS]]="Em andamento",Tabela18[[#This Row],[DATA REAL -EMAIL]]="",$AH24&lt;=$AF$1),3,
AND(Tabela18[[#This Row],[STATUS]]="Em andamento",Tabela18[[#This Row],[DATA REAL -EMAIL]]&lt;&gt;""),1)</f>
        <v>1</v>
      </c>
      <c r="H24" s="16" cm="1">
        <f t="array" aca="1" ref="H2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CLIENTE]]="",$AK24&gt;$AI$1),2,
AND(Tabela18[[#This Row],[STATUS]]="Em andamento",Tabela18[[#This Row],[DATA REAL - DOC CLIENTE]]="",$AK24&lt;=$AI$1),3,
AND(Tabela18[[#This Row],[STATUS]]="Em andamento",Tabela18[[#This Row],[DATA REAL - DOC CLIENTE]]&lt;&gt;""),1)</f>
        <v>1</v>
      </c>
      <c r="I24" s="16" cm="1">
        <f t="array" aca="1" ref="I2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06]]="",$AN24&gt;$AL$1),2,
AND(Tabela18[[#This Row],[STATUS]]="Em andamento",Tabela18[[#This Row],[DATA REAL - ANEXO 06]]="",$AN24&lt;=$AL$1),3,
AND(Tabela18[[#This Row],[STATUS]]="Em andamento",Tabela18[[#This Row],[DATA REAL - ANEXO 06]]&lt;&gt;""),1)</f>
        <v>1</v>
      </c>
      <c r="J24" s="15" cm="1">
        <f t="array" aca="1" ref="J2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LEGAIS]]="",$AQ24&gt;$AO$1),2,
AND(Tabela18[[#This Row],[STATUS]]="Em andamento",Tabela18[[#This Row],[DATA REAL - SOLIC. PROG LEGAIS]]="",$AQ24&lt;=$AO$1),3,
AND(Tabela18[[#This Row],[STATUS]]="Em andamento",Tabela18[[#This Row],[DATA REAL - SOLIC. PROG LEGAIS]]&lt;&gt;""),1)</f>
        <v>1</v>
      </c>
      <c r="K24" s="15" cm="1">
        <f t="array" aca="1" ref="K2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ENVIO]]="",$AT24&gt;$AR$1),2,
AND(Tabela18[[#This Row],[STATUS]]="Em andamento",Tabela18[[#This Row],[DATA REAL - ENVIO]]="",$AT24&lt;=$AR$1),3,
AND(Tabela18[[#This Row],[STATUS]]="Em andamento",Tabela18[[#This Row],[DATA REAL - ENVIO]]&lt;&gt;""),1)</f>
        <v>1</v>
      </c>
      <c r="L24" s="15" cm="1">
        <f t="array" aca="1" ref="L2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POSTAGEM]]="",$AW24&gt;$AU$1),2,
AND(Tabela18[[#This Row],[STATUS]]="Em andamento",Tabela18[[#This Row],[DATA REAL - POSTAGEM]]="",$AW24&lt;=$AU$1),3,
AND(Tabela18[[#This Row],[STATUS]]="Em andamento",Tabela18[[#This Row],[DATA REAL - POSTAGEM]]&lt;&gt;""),1)</f>
        <v>1</v>
      </c>
      <c r="M24" s="16" cm="1">
        <f t="array" aca="1" ref="M2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APROVAÇÃO]]="",$AZ24&gt;$AX$1),2,
AND(Tabela18[[#This Row],[STATUS]]="Em andamento",Tabela18[[#This Row],[DATA REAL - APROVAÇÃO]]="",$AZ24&lt;=$AX$1),3,
AND(Tabela18[[#This Row],[STATUS]]="Em andamento",Tabela18[[#This Row],[DATA REAL - APROVAÇÃO]]&lt;&gt;""),1)</f>
        <v>1</v>
      </c>
      <c r="N24" s="21">
        <f>IF(Tabela18[[#This Row],[DATA REAL -EMAIL]]&lt;&gt;"",Tabela18[[#This Row],[DATA REAL -EMAIL]]+30,Tabela18[[#This Row],[DATA PREV - EMAIL]]+30)</f>
        <v>45004</v>
      </c>
      <c r="O2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45054</v>
      </c>
      <c r="P2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80</v>
      </c>
      <c r="Q2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v>
      </c>
      <c r="R24" s="48">
        <f>MAX(Tabela18[[#This Row],[DATA REAL - POSTAGEM]],Tabela18[[#This Row],[DATA REAL - APROVAÇÃO]])-MIN(Tabela18[[#This Row],[DATA REAL - POSTAGEM]],Tabela18[[#This Row],[DATA REAL - APROVAÇÃO]])+1</f>
        <v>5</v>
      </c>
      <c r="S24" s="16"/>
      <c r="T24" s="16"/>
      <c r="U24" s="18"/>
      <c r="V24" s="18"/>
      <c r="W24" s="16" t="s">
        <v>97</v>
      </c>
      <c r="X24" s="16" t="s">
        <v>89</v>
      </c>
      <c r="Y24" s="16" t="s">
        <v>877</v>
      </c>
      <c r="Z24" s="15" t="s">
        <v>249</v>
      </c>
      <c r="AA24" s="15" t="str">
        <f>_xlfn.XLOOKUP(Tabela18[[#This Row],[CÓD. CT]],Controle_Projetos[COD CT],Controle_Projetos[COD PHD],"")</f>
        <v/>
      </c>
      <c r="AB24" s="16"/>
      <c r="AC24" s="21"/>
      <c r="AD2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4" s="16" t="str" cm="1">
        <f t="array" aca="1" ref="AE2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4" s="21">
        <v>44974</v>
      </c>
      <c r="AG24" s="74">
        <v>44974</v>
      </c>
      <c r="AH24" s="16" cm="1">
        <f t="array" aca="1" ref="AH2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4" s="21">
        <v>44974</v>
      </c>
      <c r="AJ24" s="74">
        <v>44974</v>
      </c>
      <c r="AK24" s="16" cm="1">
        <f t="array" aca="1" ref="AK2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4" s="20">
        <f t="shared" si="0"/>
        <v>44981</v>
      </c>
      <c r="AM24" s="74">
        <v>44981</v>
      </c>
      <c r="AN24" s="15" cm="1">
        <f t="array" aca="1" ref="AN2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24" s="20">
        <f t="shared" si="1"/>
        <v>44984</v>
      </c>
      <c r="AP24" s="74">
        <v>44981</v>
      </c>
      <c r="AQ24" s="15" cm="1">
        <f t="array" aca="1" ref="AQ2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24" s="20">
        <f t="shared" si="2"/>
        <v>44995</v>
      </c>
      <c r="AS24" s="74">
        <v>44984</v>
      </c>
      <c r="AT24" s="15" cm="1">
        <f t="array" aca="1" ref="AT2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24" s="20">
        <f t="shared" si="3"/>
        <v>44991</v>
      </c>
      <c r="AV24" s="74">
        <v>45050</v>
      </c>
      <c r="AW24" s="15" cm="1">
        <f t="array" aca="1" ref="AW2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60</v>
      </c>
      <c r="AX24" s="20">
        <f t="shared" si="4"/>
        <v>45051</v>
      </c>
      <c r="AY24" s="74">
        <v>45054</v>
      </c>
      <c r="AZ24" s="15" cm="1">
        <f t="array" aca="1" ref="AZ2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24" s="16"/>
    </row>
    <row r="25" spans="2:53" hidden="1" x14ac:dyDescent="0.35">
      <c r="B25" s="14" t="s">
        <v>79</v>
      </c>
      <c r="C25" s="16"/>
      <c r="D25" s="16" t="s">
        <v>108</v>
      </c>
      <c r="E25" s="16" t="s">
        <v>878</v>
      </c>
      <c r="F25" s="16" cm="1">
        <f t="array" ref="F25">_xlfn.IFS(Tabela18[[#This Row],[STATUS]]="Finalizado",1,Tabela18[[#This Row],[STATUS]]="Cancelado",2,Tabela18[[#This Row],[STATUS]]="Em andamento",3)</f>
        <v>1</v>
      </c>
      <c r="G25" s="16" cm="1">
        <f t="array" aca="1" ref="G2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-EMAIL]]="",$AH25&gt;$AF$1),2,
AND(Tabela18[[#This Row],[STATUS]]="Em andamento",Tabela18[[#This Row],[DATA REAL -EMAIL]]="",$AH25&lt;=$AF$1),3,
AND(Tabela18[[#This Row],[STATUS]]="Em andamento",Tabela18[[#This Row],[DATA REAL -EMAIL]]&lt;&gt;""),1)</f>
        <v>1</v>
      </c>
      <c r="H25" s="16" cm="1">
        <f t="array" aca="1" ref="H2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CLIENTE]]="",$AK25&gt;$AI$1),2,
AND(Tabela18[[#This Row],[STATUS]]="Em andamento",Tabela18[[#This Row],[DATA REAL - DOC CLIENTE]]="",$AK25&lt;=$AI$1),3,
AND(Tabela18[[#This Row],[STATUS]]="Em andamento",Tabela18[[#This Row],[DATA REAL - DOC CLIENTE]]&lt;&gt;""),1)</f>
        <v>1</v>
      </c>
      <c r="I25" s="16" cm="1">
        <f t="array" aca="1" ref="I2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06]]="",$AN25&gt;$AL$1),2,
AND(Tabela18[[#This Row],[STATUS]]="Em andamento",Tabela18[[#This Row],[DATA REAL - ANEXO 06]]="",$AN25&lt;=$AL$1),3,
AND(Tabela18[[#This Row],[STATUS]]="Em andamento",Tabela18[[#This Row],[DATA REAL - ANEXO 06]]&lt;&gt;""),1)</f>
        <v>1</v>
      </c>
      <c r="J25" s="15" cm="1">
        <f t="array" aca="1" ref="J2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LEGAIS]]="",$AQ25&gt;$AO$1),2,
AND(Tabela18[[#This Row],[STATUS]]="Em andamento",Tabela18[[#This Row],[DATA REAL - SOLIC. PROG LEGAIS]]="",$AQ25&lt;=$AO$1),3,
AND(Tabela18[[#This Row],[STATUS]]="Em andamento",Tabela18[[#This Row],[DATA REAL - SOLIC. PROG LEGAIS]]&lt;&gt;""),1)</f>
        <v>1</v>
      </c>
      <c r="K25" s="15" cm="1">
        <f t="array" aca="1" ref="K2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ENVIO]]="",$AT25&gt;$AR$1),2,
AND(Tabela18[[#This Row],[STATUS]]="Em andamento",Tabela18[[#This Row],[DATA REAL - ENVIO]]="",$AT25&lt;=$AR$1),3,
AND(Tabela18[[#This Row],[STATUS]]="Em andamento",Tabela18[[#This Row],[DATA REAL - ENVIO]]&lt;&gt;""),1)</f>
        <v>1</v>
      </c>
      <c r="L25" s="15" cm="1">
        <f t="array" aca="1" ref="L2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POSTAGEM]]="",$AW25&gt;$AU$1),2,
AND(Tabela18[[#This Row],[STATUS]]="Em andamento",Tabela18[[#This Row],[DATA REAL - POSTAGEM]]="",$AW25&lt;=$AU$1),3,
AND(Tabela18[[#This Row],[STATUS]]="Em andamento",Tabela18[[#This Row],[DATA REAL - POSTAGEM]]&lt;&gt;""),1)</f>
        <v>1</v>
      </c>
      <c r="M25" s="16" cm="1">
        <f t="array" aca="1" ref="M2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APROVAÇÃO]]="",$AZ25&gt;$AX$1),2,
AND(Tabela18[[#This Row],[STATUS]]="Em andamento",Tabela18[[#This Row],[DATA REAL - APROVAÇÃO]]="",$AZ25&lt;=$AX$1),3,
AND(Tabela18[[#This Row],[STATUS]]="Em andamento",Tabela18[[#This Row],[DATA REAL - APROVAÇÃO]]&lt;&gt;""),1)</f>
        <v>1</v>
      </c>
      <c r="N25" s="21">
        <f>IF(Tabela18[[#This Row],[DATA REAL -EMAIL]]&lt;&gt;"",Tabela18[[#This Row],[DATA REAL -EMAIL]]+30,Tabela18[[#This Row],[DATA PREV - EMAIL]]+30)</f>
        <v>45028</v>
      </c>
      <c r="O2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45012</v>
      </c>
      <c r="P2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2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25" s="48">
        <f>MAX(Tabela18[[#This Row],[DATA REAL - POSTAGEM]],Tabela18[[#This Row],[DATA REAL - APROVAÇÃO]])-MIN(Tabela18[[#This Row],[DATA REAL - POSTAGEM]],Tabela18[[#This Row],[DATA REAL - APROVAÇÃO]])+1</f>
        <v>8</v>
      </c>
      <c r="S25" s="16"/>
      <c r="T25" s="16"/>
      <c r="U25" s="18"/>
      <c r="V25" s="18"/>
      <c r="W25" s="16" t="s">
        <v>97</v>
      </c>
      <c r="X25" s="16"/>
      <c r="Y25" s="16"/>
      <c r="Z25" s="15" t="s">
        <v>249</v>
      </c>
      <c r="AA25" s="15" t="str">
        <f>_xlfn.XLOOKUP(Tabela18[[#This Row],[CÓD. CT]],Controle_Projetos[COD CT],Controle_Projetos[COD PHD],"")</f>
        <v/>
      </c>
      <c r="AB25" s="16"/>
      <c r="AC25" s="21"/>
      <c r="AD2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5" s="16" t="str" cm="1">
        <f t="array" aca="1" ref="AE2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5" s="21">
        <v>44998</v>
      </c>
      <c r="AG25" s="74">
        <v>44998</v>
      </c>
      <c r="AH25" s="16" cm="1">
        <f t="array" aca="1" ref="AH2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5" s="21">
        <v>44998</v>
      </c>
      <c r="AJ25" s="74">
        <v>44998</v>
      </c>
      <c r="AK25" s="16" cm="1">
        <f t="array" aca="1" ref="AK2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5" s="20">
        <f t="shared" si="0"/>
        <v>45005</v>
      </c>
      <c r="AM25" s="74">
        <v>44998</v>
      </c>
      <c r="AN25" s="15" cm="1">
        <f t="array" aca="1" ref="AN2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25" s="20">
        <f t="shared" si="1"/>
        <v>44999</v>
      </c>
      <c r="AP25" s="74">
        <v>45001</v>
      </c>
      <c r="AQ25" s="15" cm="1">
        <f t="array" aca="1" ref="AQ2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25" s="20">
        <f t="shared" si="2"/>
        <v>45015</v>
      </c>
      <c r="AS25" s="74">
        <v>45002</v>
      </c>
      <c r="AT25" s="15" cm="1">
        <f t="array" aca="1" ref="AT2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-12</v>
      </c>
      <c r="AU25" s="20">
        <f t="shared" si="3"/>
        <v>45009</v>
      </c>
      <c r="AV25" s="74">
        <v>45005</v>
      </c>
      <c r="AW25" s="15" cm="1">
        <f t="array" aca="1" ref="AW2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25" s="20">
        <f t="shared" si="4"/>
        <v>45006</v>
      </c>
      <c r="AY25" s="74">
        <v>45012</v>
      </c>
      <c r="AZ25" s="15" cm="1">
        <f t="array" aca="1" ref="AZ2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25" s="16"/>
    </row>
    <row r="26" spans="2:53" hidden="1" x14ac:dyDescent="0.35">
      <c r="B26" s="14" t="s">
        <v>79</v>
      </c>
      <c r="C26" s="16"/>
      <c r="D26" s="16" t="s">
        <v>108</v>
      </c>
      <c r="E26" s="16" t="s">
        <v>879</v>
      </c>
      <c r="F26" s="16" cm="1">
        <f t="array" ref="F26">_xlfn.IFS(Tabela18[[#This Row],[STATUS]]="Finalizado",1,Tabela18[[#This Row],[STATUS]]="Cancelado",2,Tabela18[[#This Row],[STATUS]]="Em andamento",3)</f>
        <v>1</v>
      </c>
      <c r="G26" s="16" cm="1">
        <f t="array" aca="1" ref="G2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-EMAIL]]="",$AH26&gt;$AF$1),2,
AND(Tabela18[[#This Row],[STATUS]]="Em andamento",Tabela18[[#This Row],[DATA REAL -EMAIL]]="",$AH26&lt;=$AF$1),3,
AND(Tabela18[[#This Row],[STATUS]]="Em andamento",Tabela18[[#This Row],[DATA REAL -EMAIL]]&lt;&gt;""),1)</f>
        <v>1</v>
      </c>
      <c r="H26" s="16" cm="1">
        <f t="array" aca="1" ref="H2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CLIENTE]]="",$AK26&gt;$AI$1),2,
AND(Tabela18[[#This Row],[STATUS]]="Em andamento",Tabela18[[#This Row],[DATA REAL - DOC CLIENTE]]="",$AK26&lt;=$AI$1),3,
AND(Tabela18[[#This Row],[STATUS]]="Em andamento",Tabela18[[#This Row],[DATA REAL - DOC CLIENTE]]&lt;&gt;""),1)</f>
        <v>1</v>
      </c>
      <c r="I26" s="16" cm="1">
        <f t="array" aca="1" ref="I2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06]]="",$AN26&gt;$AL$1),2,
AND(Tabela18[[#This Row],[STATUS]]="Em andamento",Tabela18[[#This Row],[DATA REAL - ANEXO 06]]="",$AN26&lt;=$AL$1),3,
AND(Tabela18[[#This Row],[STATUS]]="Em andamento",Tabela18[[#This Row],[DATA REAL - ANEXO 06]]&lt;&gt;""),1)</f>
        <v>1</v>
      </c>
      <c r="J26" s="15" cm="1">
        <f t="array" aca="1" ref="J2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LEGAIS]]="",$AQ26&gt;$AO$1),2,
AND(Tabela18[[#This Row],[STATUS]]="Em andamento",Tabela18[[#This Row],[DATA REAL - SOLIC. PROG LEGAIS]]="",$AQ26&lt;=$AO$1),3,
AND(Tabela18[[#This Row],[STATUS]]="Em andamento",Tabela18[[#This Row],[DATA REAL - SOLIC. PROG LEGAIS]]&lt;&gt;""),1)</f>
        <v>1</v>
      </c>
      <c r="K26" s="15" cm="1">
        <f t="array" aca="1" ref="K2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ENVIO]]="",$AT26&gt;$AR$1),2,
AND(Tabela18[[#This Row],[STATUS]]="Em andamento",Tabela18[[#This Row],[DATA REAL - ENVIO]]="",$AT26&lt;=$AR$1),3,
AND(Tabela18[[#This Row],[STATUS]]="Em andamento",Tabela18[[#This Row],[DATA REAL - ENVIO]]&lt;&gt;""),1)</f>
        <v>1</v>
      </c>
      <c r="L26" s="15" cm="1">
        <f t="array" aca="1" ref="L2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POSTAGEM]]="",$AW26&gt;$AU$1),2,
AND(Tabela18[[#This Row],[STATUS]]="Em andamento",Tabela18[[#This Row],[DATA REAL - POSTAGEM]]="",$AW26&lt;=$AU$1),3,
AND(Tabela18[[#This Row],[STATUS]]="Em andamento",Tabela18[[#This Row],[DATA REAL - POSTAGEM]]&lt;&gt;""),1)</f>
        <v>1</v>
      </c>
      <c r="M26" s="16" cm="1">
        <f t="array" aca="1" ref="M2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APROVAÇÃO]]="",$AZ26&gt;$AX$1),2,
AND(Tabela18[[#This Row],[STATUS]]="Em andamento",Tabela18[[#This Row],[DATA REAL - APROVAÇÃO]]="",$AZ26&lt;=$AX$1),3,
AND(Tabela18[[#This Row],[STATUS]]="Em andamento",Tabela18[[#This Row],[DATA REAL - APROVAÇÃO]]&lt;&gt;""),1)</f>
        <v>1</v>
      </c>
      <c r="N26" s="21">
        <f>IF(Tabela18[[#This Row],[DATA REAL -EMAIL]]&lt;&gt;"",Tabela18[[#This Row],[DATA REAL -EMAIL]]+30,Tabela18[[#This Row],[DATA PREV - EMAIL]]+30)</f>
        <v>45036</v>
      </c>
      <c r="O2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45057</v>
      </c>
      <c r="P2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51</v>
      </c>
      <c r="Q2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22</v>
      </c>
      <c r="R26" s="48">
        <f>MAX(Tabela18[[#This Row],[DATA REAL - POSTAGEM]],Tabela18[[#This Row],[DATA REAL - APROVAÇÃO]])-MIN(Tabela18[[#This Row],[DATA REAL - POSTAGEM]],Tabela18[[#This Row],[DATA REAL - APROVAÇÃO]])+1</f>
        <v>4</v>
      </c>
      <c r="S26" s="16"/>
      <c r="T26" s="16"/>
      <c r="U26" s="18"/>
      <c r="V26" s="18"/>
      <c r="W26" s="16" t="s">
        <v>97</v>
      </c>
      <c r="X26" s="16"/>
      <c r="Y26" s="16"/>
      <c r="Z26" s="15" t="s">
        <v>249</v>
      </c>
      <c r="AA26" s="15" t="str">
        <f>_xlfn.XLOOKUP(Tabela18[[#This Row],[CÓD. CT]],Controle_Projetos[COD CT],Controle_Projetos[COD PHD],"")</f>
        <v/>
      </c>
      <c r="AB26" s="16"/>
      <c r="AC26" s="21"/>
      <c r="AD2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6" s="16" t="str" cm="1">
        <f t="array" aca="1" ref="AE2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6" s="21">
        <v>45006</v>
      </c>
      <c r="AG26" s="74">
        <v>45006</v>
      </c>
      <c r="AH26" s="16" cm="1">
        <f t="array" aca="1" ref="AH2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6" s="21">
        <v>45006</v>
      </c>
      <c r="AJ26" s="74">
        <v>45006</v>
      </c>
      <c r="AK26" s="16" cm="1">
        <f t="array" aca="1" ref="AK2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6" s="20">
        <f t="shared" si="0"/>
        <v>45013</v>
      </c>
      <c r="AM26" s="74">
        <v>45016</v>
      </c>
      <c r="AN26" s="15" cm="1">
        <f t="array" aca="1" ref="AN2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26" s="20">
        <f t="shared" si="1"/>
        <v>45019</v>
      </c>
      <c r="AP26" s="74">
        <v>45015</v>
      </c>
      <c r="AQ26" s="15" cm="1">
        <f t="array" aca="1" ref="AQ2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26" s="20">
        <f t="shared" si="2"/>
        <v>45029</v>
      </c>
      <c r="AS26" s="74">
        <v>45028</v>
      </c>
      <c r="AT26" s="15" cm="1">
        <f t="array" aca="1" ref="AT2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26" s="20">
        <f t="shared" si="3"/>
        <v>45035</v>
      </c>
      <c r="AV26" s="74">
        <v>45054</v>
      </c>
      <c r="AW26" s="15" cm="1">
        <f t="array" aca="1" ref="AW2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20</v>
      </c>
      <c r="AX26" s="20">
        <f t="shared" si="4"/>
        <v>45055</v>
      </c>
      <c r="AY26" s="74">
        <v>45057</v>
      </c>
      <c r="AZ26" s="15" cm="1">
        <f t="array" aca="1" ref="AZ2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26" s="16" t="s">
        <v>880</v>
      </c>
    </row>
    <row r="27" spans="2:53" hidden="1" x14ac:dyDescent="0.35">
      <c r="B27" s="14" t="s">
        <v>79</v>
      </c>
      <c r="C27" s="16"/>
      <c r="D27" s="16" t="s">
        <v>108</v>
      </c>
      <c r="E27" s="16" t="s">
        <v>881</v>
      </c>
      <c r="F27" s="16" cm="1">
        <f t="array" ref="F27">_xlfn.IFS(Tabela18[[#This Row],[STATUS]]="Finalizado",1,Tabela18[[#This Row],[STATUS]]="Cancelado",2,Tabela18[[#This Row],[STATUS]]="Em andamento",3)</f>
        <v>1</v>
      </c>
      <c r="G27" s="16" cm="1">
        <f t="array" aca="1" ref="G2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-EMAIL]]="",$AH27&gt;$AF$1),2,
AND(Tabela18[[#This Row],[STATUS]]="Em andamento",Tabela18[[#This Row],[DATA REAL -EMAIL]]="",$AH27&lt;=$AF$1),3,
AND(Tabela18[[#This Row],[STATUS]]="Em andamento",Tabela18[[#This Row],[DATA REAL -EMAIL]]&lt;&gt;""),1)</f>
        <v>1</v>
      </c>
      <c r="H27" s="16" cm="1">
        <f t="array" aca="1" ref="H2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CLIENTE]]="",$AK27&gt;$AI$1),2,
AND(Tabela18[[#This Row],[STATUS]]="Em andamento",Tabela18[[#This Row],[DATA REAL - DOC CLIENTE]]="",$AK27&lt;=$AI$1),3,
AND(Tabela18[[#This Row],[STATUS]]="Em andamento",Tabela18[[#This Row],[DATA REAL - DOC CLIENTE]]&lt;&gt;""),1)</f>
        <v>1</v>
      </c>
      <c r="I27" s="16" cm="1">
        <f t="array" aca="1" ref="I2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06]]="",$AN27&gt;$AL$1),2,
AND(Tabela18[[#This Row],[STATUS]]="Em andamento",Tabela18[[#This Row],[DATA REAL - ANEXO 06]]="",$AN27&lt;=$AL$1),3,
AND(Tabela18[[#This Row],[STATUS]]="Em andamento",Tabela18[[#This Row],[DATA REAL - ANEXO 06]]&lt;&gt;""),1)</f>
        <v>1</v>
      </c>
      <c r="J27" s="15" cm="1">
        <f t="array" aca="1" ref="J2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LEGAIS]]="",$AQ27&gt;$AO$1),2,
AND(Tabela18[[#This Row],[STATUS]]="Em andamento",Tabela18[[#This Row],[DATA REAL - SOLIC. PROG LEGAIS]]="",$AQ27&lt;=$AO$1),3,
AND(Tabela18[[#This Row],[STATUS]]="Em andamento",Tabela18[[#This Row],[DATA REAL - SOLIC. PROG LEGAIS]]&lt;&gt;""),1)</f>
        <v>1</v>
      </c>
      <c r="K27" s="15" cm="1">
        <f t="array" aca="1" ref="K2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ENVIO]]="",$AT27&gt;$AR$1),2,
AND(Tabela18[[#This Row],[STATUS]]="Em andamento",Tabela18[[#This Row],[DATA REAL - ENVIO]]="",$AT27&lt;=$AR$1),3,
AND(Tabela18[[#This Row],[STATUS]]="Em andamento",Tabela18[[#This Row],[DATA REAL - ENVIO]]&lt;&gt;""),1)</f>
        <v>1</v>
      </c>
      <c r="L27" s="15" cm="1">
        <f t="array" aca="1" ref="L2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POSTAGEM]]="",$AW27&gt;$AU$1),2,
AND(Tabela18[[#This Row],[STATUS]]="Em andamento",Tabela18[[#This Row],[DATA REAL - POSTAGEM]]="",$AW27&lt;=$AU$1),3,
AND(Tabela18[[#This Row],[STATUS]]="Em andamento",Tabela18[[#This Row],[DATA REAL - POSTAGEM]]&lt;&gt;""),1)</f>
        <v>1</v>
      </c>
      <c r="M27" s="16" cm="1">
        <f t="array" aca="1" ref="M2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APROVAÇÃO]]="",$AZ27&gt;$AX$1),2,
AND(Tabela18[[#This Row],[STATUS]]="Em andamento",Tabela18[[#This Row],[DATA REAL - APROVAÇÃO]]="",$AZ27&lt;=$AX$1),3,
AND(Tabela18[[#This Row],[STATUS]]="Em andamento",Tabela18[[#This Row],[DATA REAL - APROVAÇÃO]]&lt;&gt;""),1)</f>
        <v>1</v>
      </c>
      <c r="N27" s="21">
        <f>IF(Tabela18[[#This Row],[DATA REAL -EMAIL]]&lt;&gt;"",Tabela18[[#This Row],[DATA REAL -EMAIL]]+30,Tabela18[[#This Row],[DATA PREV - EMAIL]]+30)</f>
        <v>45036</v>
      </c>
      <c r="O2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45084</v>
      </c>
      <c r="P2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78</v>
      </c>
      <c r="Q2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37</v>
      </c>
      <c r="R27" s="48">
        <f>MAX(Tabela18[[#This Row],[DATA REAL - POSTAGEM]],Tabela18[[#This Row],[DATA REAL - APROVAÇÃO]])-MIN(Tabela18[[#This Row],[DATA REAL - POSTAGEM]],Tabela18[[#This Row],[DATA REAL - APROVAÇÃO]])+1</f>
        <v>1</v>
      </c>
      <c r="S27" s="16"/>
      <c r="T27" s="16"/>
      <c r="U27" s="18"/>
      <c r="V27" s="18"/>
      <c r="W27" s="16" t="s">
        <v>87</v>
      </c>
      <c r="X27" s="16"/>
      <c r="Y27" s="16"/>
      <c r="Z27" s="15" t="s">
        <v>249</v>
      </c>
      <c r="AA27" s="15" t="str">
        <f>_xlfn.XLOOKUP(Tabela18[[#This Row],[CÓD. CT]],Controle_Projetos[COD CT],Controle_Projetos[COD PHD],"")</f>
        <v/>
      </c>
      <c r="AB27" s="16"/>
      <c r="AC27" s="21"/>
      <c r="AD2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27" s="16" t="str" cm="1">
        <f t="array" aca="1" ref="AE2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7" s="21">
        <v>45006</v>
      </c>
      <c r="AG27" s="74">
        <v>45006</v>
      </c>
      <c r="AH27" s="16" cm="1">
        <f t="array" aca="1" ref="AH2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7" s="21">
        <v>45006</v>
      </c>
      <c r="AJ27" s="74">
        <v>45006</v>
      </c>
      <c r="AK27" s="16" cm="1">
        <f t="array" aca="1" ref="AK2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7" s="20">
        <f t="shared" si="0"/>
        <v>45013</v>
      </c>
      <c r="AM27" s="74">
        <v>45016</v>
      </c>
      <c r="AN27" s="15" cm="1">
        <f t="array" aca="1" ref="AN2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27" s="20">
        <f t="shared" si="1"/>
        <v>45019</v>
      </c>
      <c r="AP27" s="74">
        <v>45030</v>
      </c>
      <c r="AQ27" s="15" cm="1">
        <f t="array" aca="1" ref="AQ2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12</v>
      </c>
      <c r="AR27" s="20">
        <f t="shared" si="2"/>
        <v>45044</v>
      </c>
      <c r="AS27" s="74">
        <v>45043</v>
      </c>
      <c r="AT27" s="15" cm="1">
        <f t="array" aca="1" ref="AT2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27" s="20">
        <f t="shared" si="3"/>
        <v>45050</v>
      </c>
      <c r="AV27" s="74">
        <v>45084</v>
      </c>
      <c r="AW27" s="15" cm="1">
        <f t="array" aca="1" ref="AW2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35</v>
      </c>
      <c r="AX27" s="20">
        <f t="shared" si="4"/>
        <v>45085</v>
      </c>
      <c r="AY27" s="74">
        <v>45084</v>
      </c>
      <c r="AZ27" s="15" cm="1">
        <f t="array" aca="1" ref="AZ2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27" s="16" t="s">
        <v>882</v>
      </c>
    </row>
    <row r="28" spans="2:53" hidden="1" x14ac:dyDescent="0.35">
      <c r="B28" s="14" t="s">
        <v>79</v>
      </c>
      <c r="C28" s="16" t="s">
        <v>867</v>
      </c>
      <c r="D28" s="16" t="s">
        <v>108</v>
      </c>
      <c r="E28" s="16" t="s">
        <v>883</v>
      </c>
      <c r="F28" s="16" cm="1">
        <f t="array" ref="F28">_xlfn.IFS(Tabela18[[#This Row],[STATUS]]="Finalizado",1,Tabela18[[#This Row],[STATUS]]="Cancelado",2,Tabela18[[#This Row],[STATUS]]="Em andamento",3)</f>
        <v>1</v>
      </c>
      <c r="G28" s="16" cm="1">
        <f t="array" aca="1" ref="G2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-EMAIL]]="",$AH28&gt;$AF$1),2,
AND(Tabela18[[#This Row],[STATUS]]="Em andamento",Tabela18[[#This Row],[DATA REAL -EMAIL]]="",$AH28&lt;=$AF$1),3,
AND(Tabela18[[#This Row],[STATUS]]="Em andamento",Tabela18[[#This Row],[DATA REAL -EMAIL]]&lt;&gt;""),1)</f>
        <v>1</v>
      </c>
      <c r="H28" s="16" cm="1">
        <f t="array" aca="1" ref="H2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CLIENTE]]="",$AK28&gt;$AI$1),2,
AND(Tabela18[[#This Row],[STATUS]]="Em andamento",Tabela18[[#This Row],[DATA REAL - DOC CLIENTE]]="",$AK28&lt;=$AI$1),3,
AND(Tabela18[[#This Row],[STATUS]]="Em andamento",Tabela18[[#This Row],[DATA REAL - DOC CLIENTE]]&lt;&gt;""),1)</f>
        <v>1</v>
      </c>
      <c r="I28" s="16" cm="1">
        <f t="array" aca="1" ref="I2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06]]="",$AN28&gt;$AL$1),2,
AND(Tabela18[[#This Row],[STATUS]]="Em andamento",Tabela18[[#This Row],[DATA REAL - ANEXO 06]]="",$AN28&lt;=$AL$1),3,
AND(Tabela18[[#This Row],[STATUS]]="Em andamento",Tabela18[[#This Row],[DATA REAL - ANEXO 06]]&lt;&gt;""),1)</f>
        <v>1</v>
      </c>
      <c r="J28" s="15" cm="1">
        <f t="array" aca="1" ref="J2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LEGAIS]]="",$AQ28&gt;$AO$1),2,
AND(Tabela18[[#This Row],[STATUS]]="Em andamento",Tabela18[[#This Row],[DATA REAL - SOLIC. PROG LEGAIS]]="",$AQ28&lt;=$AO$1),3,
AND(Tabela18[[#This Row],[STATUS]]="Em andamento",Tabela18[[#This Row],[DATA REAL - SOLIC. PROG LEGAIS]]&lt;&gt;""),1)</f>
        <v>1</v>
      </c>
      <c r="K28" s="15" cm="1">
        <f t="array" aca="1" ref="K2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ENVIO]]="",$AT28&gt;$AR$1),2,
AND(Tabela18[[#This Row],[STATUS]]="Em andamento",Tabela18[[#This Row],[DATA REAL - ENVIO]]="",$AT28&lt;=$AR$1),3,
AND(Tabela18[[#This Row],[STATUS]]="Em andamento",Tabela18[[#This Row],[DATA REAL - ENVIO]]&lt;&gt;""),1)</f>
        <v>1</v>
      </c>
      <c r="L28" s="15" cm="1">
        <f t="array" aca="1" ref="L2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POSTAGEM]]="",$AW28&gt;$AU$1),2,
AND(Tabela18[[#This Row],[STATUS]]="Em andamento",Tabela18[[#This Row],[DATA REAL - POSTAGEM]]="",$AW28&lt;=$AU$1),3,
AND(Tabela18[[#This Row],[STATUS]]="Em andamento",Tabela18[[#This Row],[DATA REAL - POSTAGEM]]&lt;&gt;""),1)</f>
        <v>1</v>
      </c>
      <c r="M28" s="16" cm="1">
        <f t="array" aca="1" ref="M2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APROVAÇÃO]]="",$AZ28&gt;$AX$1),2,
AND(Tabela18[[#This Row],[STATUS]]="Em andamento",Tabela18[[#This Row],[DATA REAL - APROVAÇÃO]]="",$AZ28&lt;=$AX$1),3,
AND(Tabela18[[#This Row],[STATUS]]="Em andamento",Tabela18[[#This Row],[DATA REAL - APROVAÇÃO]]&lt;&gt;""),1)</f>
        <v>1</v>
      </c>
      <c r="N28" s="21">
        <f>IF(Tabela18[[#This Row],[DATA REAL -EMAIL]]&lt;&gt;"",Tabela18[[#This Row],[DATA REAL -EMAIL]]+30,Tabela18[[#This Row],[DATA PREV - EMAIL]]+30)</f>
        <v>45059</v>
      </c>
      <c r="O2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45117</v>
      </c>
      <c r="P2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89</v>
      </c>
      <c r="Q2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86</v>
      </c>
      <c r="R28" s="48">
        <f>MAX(Tabela18[[#This Row],[DATA REAL - POSTAGEM]],Tabela18[[#This Row],[DATA REAL - APROVAÇÃO]])-MIN(Tabela18[[#This Row],[DATA REAL - POSTAGEM]],Tabela18[[#This Row],[DATA REAL - APROVAÇÃO]])+1</f>
        <v>8</v>
      </c>
      <c r="S28" s="16"/>
      <c r="T28" s="16"/>
      <c r="U28" s="18"/>
      <c r="V28" s="18"/>
      <c r="W28" s="16" t="s">
        <v>97</v>
      </c>
      <c r="X28" s="16" t="s">
        <v>89</v>
      </c>
      <c r="Y28" s="16" t="s">
        <v>383</v>
      </c>
      <c r="Z28" s="15" t="s">
        <v>263</v>
      </c>
      <c r="AA28" s="15" t="str">
        <f>_xlfn.XLOOKUP(Tabela18[[#This Row],[CÓD. CT]],Controle_Projetos[COD CT],Controle_Projetos[COD PHD],"")</f>
        <v>CEMI-CT02-CAPA</v>
      </c>
      <c r="AB28" s="16"/>
      <c r="AC28" s="21"/>
      <c r="AD2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45028</v>
      </c>
      <c r="AE28" s="16" t="str" cm="1">
        <f t="array" aca="1" ref="AE2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8" s="21">
        <v>45029</v>
      </c>
      <c r="AG28" s="74">
        <v>45029</v>
      </c>
      <c r="AH28" s="16" cm="1">
        <f t="array" aca="1" ref="AH2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8" s="21">
        <v>45029</v>
      </c>
      <c r="AJ28" s="74">
        <v>45029</v>
      </c>
      <c r="AK28" s="16" cm="1">
        <f t="array" aca="1" ref="AK2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8" s="20">
        <f t="shared" si="0"/>
        <v>45036</v>
      </c>
      <c r="AM28" s="74">
        <v>45036</v>
      </c>
      <c r="AN28" s="15" cm="1">
        <f t="array" aca="1" ref="AN2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28" s="20">
        <f t="shared" si="1"/>
        <v>45037</v>
      </c>
      <c r="AP28" s="74">
        <v>45036</v>
      </c>
      <c r="AQ28" s="15" cm="1">
        <f t="array" aca="1" ref="AQ2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28" s="20">
        <f t="shared" si="2"/>
        <v>45050</v>
      </c>
      <c r="AS28" s="74">
        <v>45114</v>
      </c>
      <c r="AT28" s="15" cm="1">
        <f t="array" aca="1" ref="AT2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65</v>
      </c>
      <c r="AU28" s="20">
        <f t="shared" si="3"/>
        <v>45121</v>
      </c>
      <c r="AV28" s="74">
        <v>45117</v>
      </c>
      <c r="AW28" s="15" cm="1">
        <f t="array" aca="1" ref="AW2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28" s="20">
        <f t="shared" si="4"/>
        <v>45118</v>
      </c>
      <c r="AY28" s="74">
        <v>45110</v>
      </c>
      <c r="AZ28" s="15" cm="1">
        <f t="array" aca="1" ref="AZ2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28" s="16" t="s">
        <v>884</v>
      </c>
    </row>
    <row r="29" spans="2:53" hidden="1" x14ac:dyDescent="0.35">
      <c r="B29" s="14" t="s">
        <v>79</v>
      </c>
      <c r="C29" s="16" t="s">
        <v>867</v>
      </c>
      <c r="D29" s="16" t="s">
        <v>108</v>
      </c>
      <c r="E29" s="16" t="s">
        <v>885</v>
      </c>
      <c r="F29" s="16" cm="1">
        <f t="array" ref="F29">_xlfn.IFS(Tabela18[[#This Row],[STATUS]]="Finalizado",1,Tabela18[[#This Row],[STATUS]]="Cancelado",2,Tabela18[[#This Row],[STATUS]]="Em andamento",3)</f>
        <v>1</v>
      </c>
      <c r="G29" s="16" cm="1">
        <f t="array" aca="1" ref="G2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-EMAIL]]="",$AH29&gt;$AF$1),2,
AND(Tabela18[[#This Row],[STATUS]]="Em andamento",Tabela18[[#This Row],[DATA REAL -EMAIL]]="",$AH29&lt;=$AF$1),3,
AND(Tabela18[[#This Row],[STATUS]]="Em andamento",Tabela18[[#This Row],[DATA REAL -EMAIL]]&lt;&gt;""),1)</f>
        <v>1</v>
      </c>
      <c r="H29" s="16" cm="1">
        <f t="array" aca="1" ref="H2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CLIENTE]]="",$AK29&gt;$AI$1),2,
AND(Tabela18[[#This Row],[STATUS]]="Em andamento",Tabela18[[#This Row],[DATA REAL - DOC CLIENTE]]="",$AK29&lt;=$AI$1),3,
AND(Tabela18[[#This Row],[STATUS]]="Em andamento",Tabela18[[#This Row],[DATA REAL - DOC CLIENTE]]&lt;&gt;""),1)</f>
        <v>1</v>
      </c>
      <c r="I29" s="16" cm="1">
        <f t="array" aca="1" ref="I2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06]]="",$AN29&gt;$AL$1),2,
AND(Tabela18[[#This Row],[STATUS]]="Em andamento",Tabela18[[#This Row],[DATA REAL - ANEXO 06]]="",$AN29&lt;=$AL$1),3,
AND(Tabela18[[#This Row],[STATUS]]="Em andamento",Tabela18[[#This Row],[DATA REAL - ANEXO 06]]&lt;&gt;""),1)</f>
        <v>1</v>
      </c>
      <c r="J29" s="15" cm="1">
        <f t="array" aca="1" ref="J2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LEGAIS]]="",$AQ29&gt;$AO$1),2,
AND(Tabela18[[#This Row],[STATUS]]="Em andamento",Tabela18[[#This Row],[DATA REAL - SOLIC. PROG LEGAIS]]="",$AQ29&lt;=$AO$1),3,
AND(Tabela18[[#This Row],[STATUS]]="Em andamento",Tabela18[[#This Row],[DATA REAL - SOLIC. PROG LEGAIS]]&lt;&gt;""),1)</f>
        <v>1</v>
      </c>
      <c r="K29" s="15" cm="1">
        <f t="array" aca="1" ref="K2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ENVIO]]="",$AT29&gt;$AR$1),2,
AND(Tabela18[[#This Row],[STATUS]]="Em andamento",Tabela18[[#This Row],[DATA REAL - ENVIO]]="",$AT29&lt;=$AR$1),3,
AND(Tabela18[[#This Row],[STATUS]]="Em andamento",Tabela18[[#This Row],[DATA REAL - ENVIO]]&lt;&gt;""),1)</f>
        <v>1</v>
      </c>
      <c r="L29" s="15" cm="1">
        <f t="array" aca="1" ref="L2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POSTAGEM]]="",$AW29&gt;$AU$1),2,
AND(Tabela18[[#This Row],[STATUS]]="Em andamento",Tabela18[[#This Row],[DATA REAL - POSTAGEM]]="",$AW29&lt;=$AU$1),3,
AND(Tabela18[[#This Row],[STATUS]]="Em andamento",Tabela18[[#This Row],[DATA REAL - POSTAGEM]]&lt;&gt;""),1)</f>
        <v>1</v>
      </c>
      <c r="M29" s="16" cm="1">
        <f t="array" aca="1" ref="M2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APROVAÇÃO]]="",$AZ29&gt;$AX$1),2,
AND(Tabela18[[#This Row],[STATUS]]="Em andamento",Tabela18[[#This Row],[DATA REAL - APROVAÇÃO]]="",$AZ29&lt;=$AX$1),3,
AND(Tabela18[[#This Row],[STATUS]]="Em andamento",Tabela18[[#This Row],[DATA REAL - APROVAÇÃO]]&lt;&gt;""),1)</f>
        <v>1</v>
      </c>
      <c r="N29" s="21">
        <f>IF(Tabela18[[#This Row],[DATA REAL -EMAIL]]&lt;&gt;"",Tabela18[[#This Row],[DATA REAL -EMAIL]]+30,Tabela18[[#This Row],[DATA PREV - EMAIL]]+30)</f>
        <v>45059</v>
      </c>
      <c r="O2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45131</v>
      </c>
      <c r="P2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103</v>
      </c>
      <c r="Q2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86</v>
      </c>
      <c r="R29" s="48">
        <f>MAX(Tabela18[[#This Row],[DATA REAL - POSTAGEM]],Tabela18[[#This Row],[DATA REAL - APROVAÇÃO]])-MIN(Tabela18[[#This Row],[DATA REAL - POSTAGEM]],Tabela18[[#This Row],[DATA REAL - APROVAÇÃO]])+1</f>
        <v>15</v>
      </c>
      <c r="S29" s="16"/>
      <c r="T29" s="16"/>
      <c r="U29" s="18"/>
      <c r="V29" s="18"/>
      <c r="W29" s="16" t="s">
        <v>87</v>
      </c>
      <c r="X29" s="16" t="s">
        <v>89</v>
      </c>
      <c r="Y29" s="16" t="s">
        <v>383</v>
      </c>
      <c r="Z29" s="15" t="s">
        <v>263</v>
      </c>
      <c r="AA29" s="15" t="str">
        <f>_xlfn.XLOOKUP(Tabela18[[#This Row],[CÓD. CT]],Controle_Projetos[COD CT],Controle_Projetos[COD PHD],"")</f>
        <v>CEMI-CT02-CAPA</v>
      </c>
      <c r="AB29" s="16"/>
      <c r="AC29" s="21"/>
      <c r="AD2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45028</v>
      </c>
      <c r="AE29" s="16" t="str" cm="1">
        <f t="array" aca="1" ref="AE2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29" s="21">
        <v>45029</v>
      </c>
      <c r="AG29" s="74">
        <v>45029</v>
      </c>
      <c r="AH29" s="16" cm="1">
        <f t="array" aca="1" ref="AH2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29" s="21">
        <v>45029</v>
      </c>
      <c r="AJ29" s="74">
        <v>45029</v>
      </c>
      <c r="AK29" s="16" cm="1">
        <f t="array" aca="1" ref="AK2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29" s="20">
        <f t="shared" si="0"/>
        <v>45036</v>
      </c>
      <c r="AM29" s="74">
        <v>45036</v>
      </c>
      <c r="AN29" s="15" cm="1">
        <f t="array" aca="1" ref="AN2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29" s="20">
        <f t="shared" si="1"/>
        <v>45037</v>
      </c>
      <c r="AP29" s="74">
        <v>45036</v>
      </c>
      <c r="AQ29" s="15" cm="1">
        <f t="array" aca="1" ref="AQ2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29" s="20">
        <f t="shared" si="2"/>
        <v>45050</v>
      </c>
      <c r="AS29" s="74">
        <v>45114</v>
      </c>
      <c r="AT29" s="15" cm="1">
        <f t="array" aca="1" ref="AT2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65</v>
      </c>
      <c r="AU29" s="20">
        <f t="shared" si="3"/>
        <v>45121</v>
      </c>
      <c r="AV29" s="74">
        <v>45117</v>
      </c>
      <c r="AW29" s="15" cm="1">
        <f t="array" aca="1" ref="AW2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29" s="20">
        <f t="shared" si="4"/>
        <v>45118</v>
      </c>
      <c r="AY29" s="74">
        <v>45131</v>
      </c>
      <c r="AZ29" s="15" cm="1">
        <f t="array" aca="1" ref="AZ2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29" s="16" t="s">
        <v>886</v>
      </c>
    </row>
    <row r="30" spans="2:53" hidden="1" x14ac:dyDescent="0.35">
      <c r="B30" s="14" t="s">
        <v>79</v>
      </c>
      <c r="C30" s="16"/>
      <c r="D30" s="16" t="s">
        <v>108</v>
      </c>
      <c r="E30" s="16" t="s">
        <v>887</v>
      </c>
      <c r="F30" s="16" cm="1">
        <f t="array" ref="F30">_xlfn.IFS(Tabela18[[#This Row],[STATUS]]="Finalizado",1,Tabela18[[#This Row],[STATUS]]="Cancelado",2,Tabela18[[#This Row],[STATUS]]="Em andamento",3)</f>
        <v>1</v>
      </c>
      <c r="G30" s="16" cm="1">
        <f t="array" aca="1" ref="G3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-EMAIL]]="",$AH30&gt;$AF$1),2,
AND(Tabela18[[#This Row],[STATUS]]="Em andamento",Tabela18[[#This Row],[DATA REAL -EMAIL]]="",$AH30&lt;=$AF$1),3,
AND(Tabela18[[#This Row],[STATUS]]="Em andamento",Tabela18[[#This Row],[DATA REAL -EMAIL]]&lt;&gt;""),1)</f>
        <v>1</v>
      </c>
      <c r="H30" s="16" cm="1">
        <f t="array" aca="1" ref="H3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CLIENTE]]="",$AK30&gt;$AI$1),2,
AND(Tabela18[[#This Row],[STATUS]]="Em andamento",Tabela18[[#This Row],[DATA REAL - DOC CLIENTE]]="",$AK30&lt;=$AI$1),3,
AND(Tabela18[[#This Row],[STATUS]]="Em andamento",Tabela18[[#This Row],[DATA REAL - DOC CLIENTE]]&lt;&gt;""),1)</f>
        <v>1</v>
      </c>
      <c r="I30" s="16" cm="1">
        <f t="array" aca="1" ref="I3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06]]="",$AN30&gt;$AL$1),2,
AND(Tabela18[[#This Row],[STATUS]]="Em andamento",Tabela18[[#This Row],[DATA REAL - ANEXO 06]]="",$AN30&lt;=$AL$1),3,
AND(Tabela18[[#This Row],[STATUS]]="Em andamento",Tabela18[[#This Row],[DATA REAL - ANEXO 06]]&lt;&gt;""),1)</f>
        <v>1</v>
      </c>
      <c r="J30" s="15" cm="1">
        <f t="array" aca="1" ref="J3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LEGAIS]]="",$AQ30&gt;$AO$1),2,
AND(Tabela18[[#This Row],[STATUS]]="Em andamento",Tabela18[[#This Row],[DATA REAL - SOLIC. PROG LEGAIS]]="",$AQ30&lt;=$AO$1),3,
AND(Tabela18[[#This Row],[STATUS]]="Em andamento",Tabela18[[#This Row],[DATA REAL - SOLIC. PROG LEGAIS]]&lt;&gt;""),1)</f>
        <v>1</v>
      </c>
      <c r="K30" s="15" cm="1">
        <f t="array" aca="1" ref="K3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ENVIO]]="",$AT30&gt;$AR$1),2,
AND(Tabela18[[#This Row],[STATUS]]="Em andamento",Tabela18[[#This Row],[DATA REAL - ENVIO]]="",$AT30&lt;=$AR$1),3,
AND(Tabela18[[#This Row],[STATUS]]="Em andamento",Tabela18[[#This Row],[DATA REAL - ENVIO]]&lt;&gt;""),1)</f>
        <v>1</v>
      </c>
      <c r="L30" s="15" cm="1">
        <f t="array" aca="1" ref="L3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POSTAGEM]]="",$AW30&gt;$AU$1),2,
AND(Tabela18[[#This Row],[STATUS]]="Em andamento",Tabela18[[#This Row],[DATA REAL - POSTAGEM]]="",$AW30&lt;=$AU$1),3,
AND(Tabela18[[#This Row],[STATUS]]="Em andamento",Tabela18[[#This Row],[DATA REAL - POSTAGEM]]&lt;&gt;""),1)</f>
        <v>1</v>
      </c>
      <c r="M30" s="16" cm="1">
        <f t="array" aca="1" ref="M3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APROVAÇÃO]]="",$AZ30&gt;$AX$1),2,
AND(Tabela18[[#This Row],[STATUS]]="Em andamento",Tabela18[[#This Row],[DATA REAL - APROVAÇÃO]]="",$AZ30&lt;=$AX$1),3,
AND(Tabela18[[#This Row],[STATUS]]="Em andamento",Tabela18[[#This Row],[DATA REAL - APROVAÇÃO]]&lt;&gt;""),1)</f>
        <v>1</v>
      </c>
      <c r="N30" s="21">
        <f>IF(Tabela18[[#This Row],[DATA REAL -EMAIL]]&lt;&gt;"",Tabela18[[#This Row],[DATA REAL -EMAIL]]+30,Tabela18[[#This Row],[DATA PREV - EMAIL]]+30)</f>
        <v>45063</v>
      </c>
      <c r="O3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45065</v>
      </c>
      <c r="P3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32</v>
      </c>
      <c r="Q3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v>
      </c>
      <c r="R30" s="48">
        <f>MAX(Tabela18[[#This Row],[DATA REAL - POSTAGEM]],Tabela18[[#This Row],[DATA REAL - APROVAÇÃO]])-MIN(Tabela18[[#This Row],[DATA REAL - POSTAGEM]],Tabela18[[#This Row],[DATA REAL - APROVAÇÃO]])+1</f>
        <v>30</v>
      </c>
      <c r="S30" s="16"/>
      <c r="T30" s="16"/>
      <c r="U30" s="18"/>
      <c r="V30" s="18"/>
      <c r="W30" s="16" t="s">
        <v>87</v>
      </c>
      <c r="X30" s="16"/>
      <c r="Y30" s="16"/>
      <c r="Z30" s="15" t="s">
        <v>249</v>
      </c>
      <c r="AA30" s="15" t="str">
        <f>_xlfn.XLOOKUP(Tabela18[[#This Row],[CÓD. CT]],Controle_Projetos[COD CT],Controle_Projetos[COD PHD],"")</f>
        <v/>
      </c>
      <c r="AB30" s="16"/>
      <c r="AC30" s="21"/>
      <c r="AD3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0" s="16" t="str" cm="1">
        <f t="array" aca="1" ref="AE3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0" s="21">
        <v>45033</v>
      </c>
      <c r="AG30" s="74">
        <v>45033</v>
      </c>
      <c r="AH30" s="16" cm="1">
        <f t="array" aca="1" ref="AH3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0" s="21">
        <v>45033</v>
      </c>
      <c r="AJ30" s="74">
        <v>45033</v>
      </c>
      <c r="AK30" s="16" cm="1">
        <f t="array" aca="1" ref="AK3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0" s="20">
        <f t="shared" si="0"/>
        <v>45040</v>
      </c>
      <c r="AM30" s="74">
        <v>45036</v>
      </c>
      <c r="AN30" s="15" cm="1">
        <f t="array" aca="1" ref="AN3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-3</v>
      </c>
      <c r="AO30" s="20">
        <f t="shared" si="1"/>
        <v>45037</v>
      </c>
      <c r="AP30" s="74">
        <v>45035</v>
      </c>
      <c r="AQ30" s="15" cm="1">
        <f t="array" aca="1" ref="AQ3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30" s="20">
        <f t="shared" si="2"/>
        <v>45049</v>
      </c>
      <c r="AS30" s="74">
        <v>45035</v>
      </c>
      <c r="AT30" s="15" cm="1">
        <f t="array" aca="1" ref="AT3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30" s="20">
        <f t="shared" si="3"/>
        <v>45042</v>
      </c>
      <c r="AV30" s="74">
        <v>45036</v>
      </c>
      <c r="AW30" s="15" cm="1">
        <f t="array" aca="1" ref="AW3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30" s="20">
        <f t="shared" si="4"/>
        <v>45037</v>
      </c>
      <c r="AY30" s="74">
        <v>45065</v>
      </c>
      <c r="AZ30" s="15" cm="1">
        <f t="array" aca="1" ref="AZ3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29</v>
      </c>
      <c r="BA30" s="16" t="s">
        <v>888</v>
      </c>
    </row>
    <row r="31" spans="2:53" hidden="1" x14ac:dyDescent="0.35">
      <c r="B31" s="14" t="s">
        <v>79</v>
      </c>
      <c r="C31" s="16"/>
      <c r="D31" s="16" t="s">
        <v>108</v>
      </c>
      <c r="E31" s="16" t="s">
        <v>889</v>
      </c>
      <c r="F31" s="16" cm="1">
        <f t="array" ref="F31">_xlfn.IFS(Tabela18[[#This Row],[STATUS]]="Finalizado",1,Tabela18[[#This Row],[STATUS]]="Cancelado",2,Tabela18[[#This Row],[STATUS]]="Em andamento",3)</f>
        <v>1</v>
      </c>
      <c r="G31" s="16" cm="1">
        <f t="array" aca="1" ref="G3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-EMAIL]]="",$AH31&gt;$AF$1),2,
AND(Tabela18[[#This Row],[STATUS]]="Em andamento",Tabela18[[#This Row],[DATA REAL -EMAIL]]="",$AH31&lt;=$AF$1),3,
AND(Tabela18[[#This Row],[STATUS]]="Em andamento",Tabela18[[#This Row],[DATA REAL -EMAIL]]&lt;&gt;""),1)</f>
        <v>1</v>
      </c>
      <c r="H31" s="16" cm="1">
        <f t="array" aca="1" ref="H3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CLIENTE]]="",$AK31&gt;$AI$1),2,
AND(Tabela18[[#This Row],[STATUS]]="Em andamento",Tabela18[[#This Row],[DATA REAL - DOC CLIENTE]]="",$AK31&lt;=$AI$1),3,
AND(Tabela18[[#This Row],[STATUS]]="Em andamento",Tabela18[[#This Row],[DATA REAL - DOC CLIENTE]]&lt;&gt;""),1)</f>
        <v>1</v>
      </c>
      <c r="I31" s="16" cm="1">
        <f t="array" aca="1" ref="I3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06]]="",$AN31&gt;$AL$1),2,
AND(Tabela18[[#This Row],[STATUS]]="Em andamento",Tabela18[[#This Row],[DATA REAL - ANEXO 06]]="",$AN31&lt;=$AL$1),3,
AND(Tabela18[[#This Row],[STATUS]]="Em andamento",Tabela18[[#This Row],[DATA REAL - ANEXO 06]]&lt;&gt;""),1)</f>
        <v>1</v>
      </c>
      <c r="J31" s="15" cm="1">
        <f t="array" aca="1" ref="J3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LEGAIS]]="",$AQ31&gt;$AO$1),2,
AND(Tabela18[[#This Row],[STATUS]]="Em andamento",Tabela18[[#This Row],[DATA REAL - SOLIC. PROG LEGAIS]]="",$AQ31&lt;=$AO$1),3,
AND(Tabela18[[#This Row],[STATUS]]="Em andamento",Tabela18[[#This Row],[DATA REAL - SOLIC. PROG LEGAIS]]&lt;&gt;""),1)</f>
        <v>1</v>
      </c>
      <c r="K31" s="15" cm="1">
        <f t="array" aca="1" ref="K3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ENVIO]]="",$AT31&gt;$AR$1),2,
AND(Tabela18[[#This Row],[STATUS]]="Em andamento",Tabela18[[#This Row],[DATA REAL - ENVIO]]="",$AT31&lt;=$AR$1),3,
AND(Tabela18[[#This Row],[STATUS]]="Em andamento",Tabela18[[#This Row],[DATA REAL - ENVIO]]&lt;&gt;""),1)</f>
        <v>1</v>
      </c>
      <c r="L31" s="15" cm="1">
        <f t="array" aca="1" ref="L3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POSTAGEM]]="",$AW31&gt;$AU$1),2,
AND(Tabela18[[#This Row],[STATUS]]="Em andamento",Tabela18[[#This Row],[DATA REAL - POSTAGEM]]="",$AW31&lt;=$AU$1),3,
AND(Tabela18[[#This Row],[STATUS]]="Em andamento",Tabela18[[#This Row],[DATA REAL - POSTAGEM]]&lt;&gt;""),1)</f>
        <v>1</v>
      </c>
      <c r="M31" s="16" cm="1">
        <f t="array" aca="1" ref="M3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APROVAÇÃO]]="",$AZ31&gt;$AX$1),2,
AND(Tabela18[[#This Row],[STATUS]]="Em andamento",Tabela18[[#This Row],[DATA REAL - APROVAÇÃO]]="",$AZ31&lt;=$AX$1),3,
AND(Tabela18[[#This Row],[STATUS]]="Em andamento",Tabela18[[#This Row],[DATA REAL - APROVAÇÃO]]&lt;&gt;""),1)</f>
        <v>1</v>
      </c>
      <c r="N31" s="21">
        <f>IF(Tabela18[[#This Row],[DATA REAL -EMAIL]]&lt;&gt;"",Tabela18[[#This Row],[DATA REAL -EMAIL]]+30,Tabela18[[#This Row],[DATA PREV - EMAIL]]+30)</f>
        <v>45071</v>
      </c>
      <c r="O3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45131</v>
      </c>
      <c r="P3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90</v>
      </c>
      <c r="Q3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v>
      </c>
      <c r="R31" s="48">
        <f>MAX(Tabela18[[#This Row],[DATA REAL - POSTAGEM]],Tabela18[[#This Row],[DATA REAL - APROVAÇÃO]])-MIN(Tabela18[[#This Row],[DATA REAL - POSTAGEM]],Tabela18[[#This Row],[DATA REAL - APROVAÇÃO]])+1</f>
        <v>12</v>
      </c>
      <c r="S31" s="16"/>
      <c r="T31" s="16"/>
      <c r="U31" s="18"/>
      <c r="V31" s="18"/>
      <c r="W31" s="16" t="s">
        <v>97</v>
      </c>
      <c r="X31" s="16"/>
      <c r="Y31" s="16"/>
      <c r="Z31" s="15" t="s">
        <v>249</v>
      </c>
      <c r="AA31" s="15" t="str">
        <f>_xlfn.XLOOKUP(Tabela18[[#This Row],[CÓD. CT]],Controle_Projetos[COD CT],Controle_Projetos[COD PHD],"")</f>
        <v/>
      </c>
      <c r="AB31" s="16"/>
      <c r="AC31" s="21"/>
      <c r="AD3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1" s="16" t="str" cm="1">
        <f t="array" aca="1" ref="AE3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1" s="21">
        <v>45041</v>
      </c>
      <c r="AG31" s="74">
        <v>45041</v>
      </c>
      <c r="AH31" s="16" cm="1">
        <f t="array" aca="1" ref="AH3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1" s="21">
        <v>45041</v>
      </c>
      <c r="AJ31" s="74">
        <v>45041</v>
      </c>
      <c r="AK31" s="16" cm="1">
        <f t="array" aca="1" ref="AK3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1" s="20">
        <f t="shared" si="0"/>
        <v>45048</v>
      </c>
      <c r="AM31" s="74">
        <v>45056</v>
      </c>
      <c r="AN31" s="15" cm="1">
        <f t="array" aca="1" ref="AN3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9</v>
      </c>
      <c r="AO31" s="20">
        <f t="shared" si="1"/>
        <v>45057</v>
      </c>
      <c r="AP31" s="74">
        <v>45041</v>
      </c>
      <c r="AQ31" s="15" cm="1">
        <f t="array" aca="1" ref="AQ3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-15</v>
      </c>
      <c r="AR31" s="20">
        <f t="shared" si="2"/>
        <v>45055</v>
      </c>
      <c r="AS31" s="74">
        <v>45048</v>
      </c>
      <c r="AT31" s="15" cm="1">
        <f t="array" aca="1" ref="AT3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31" s="20">
        <f t="shared" si="3"/>
        <v>45055</v>
      </c>
      <c r="AV31" s="74">
        <v>45120</v>
      </c>
      <c r="AW31" s="15" cm="1">
        <f t="array" aca="1" ref="AW3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66</v>
      </c>
      <c r="AX31" s="20">
        <f t="shared" si="4"/>
        <v>45121</v>
      </c>
      <c r="AY31" s="74">
        <v>45131</v>
      </c>
      <c r="AZ31" s="15" cm="1">
        <f t="array" aca="1" ref="AZ3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11</v>
      </c>
      <c r="BA31" s="16" t="s">
        <v>890</v>
      </c>
    </row>
    <row r="32" spans="2:53" hidden="1" x14ac:dyDescent="0.35">
      <c r="B32" s="14" t="s">
        <v>79</v>
      </c>
      <c r="C32" s="16"/>
      <c r="D32" s="16" t="s">
        <v>108</v>
      </c>
      <c r="E32" s="16" t="s">
        <v>852</v>
      </c>
      <c r="F32" s="16" cm="1">
        <f t="array" ref="F32">_xlfn.IFS(Tabela18[[#This Row],[STATUS]]="Finalizado",1,Tabela18[[#This Row],[STATUS]]="Cancelado",2,Tabela18[[#This Row],[STATUS]]="Em andamento",3)</f>
        <v>1</v>
      </c>
      <c r="G32" s="16" cm="1">
        <f t="array" aca="1" ref="G3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-EMAIL]]="",$AH32&gt;$AF$1),2,
AND(Tabela18[[#This Row],[STATUS]]="Em andamento",Tabela18[[#This Row],[DATA REAL -EMAIL]]="",$AH32&lt;=$AF$1),3,
AND(Tabela18[[#This Row],[STATUS]]="Em andamento",Tabela18[[#This Row],[DATA REAL -EMAIL]]&lt;&gt;""),1)</f>
        <v>1</v>
      </c>
      <c r="H32" s="16" cm="1">
        <f t="array" aca="1" ref="H3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CLIENTE]]="",$AK32&gt;$AI$1),2,
AND(Tabela18[[#This Row],[STATUS]]="Em andamento",Tabela18[[#This Row],[DATA REAL - DOC CLIENTE]]="",$AK32&lt;=$AI$1),3,
AND(Tabela18[[#This Row],[STATUS]]="Em andamento",Tabela18[[#This Row],[DATA REAL - DOC CLIENTE]]&lt;&gt;""),1)</f>
        <v>1</v>
      </c>
      <c r="I32" s="16" cm="1">
        <f t="array" aca="1" ref="I3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06]]="",$AN32&gt;$AL$1),2,
AND(Tabela18[[#This Row],[STATUS]]="Em andamento",Tabela18[[#This Row],[DATA REAL - ANEXO 06]]="",$AN32&lt;=$AL$1),3,
AND(Tabela18[[#This Row],[STATUS]]="Em andamento",Tabela18[[#This Row],[DATA REAL - ANEXO 06]]&lt;&gt;""),1)</f>
        <v>1</v>
      </c>
      <c r="J32" s="15" cm="1">
        <f t="array" aca="1" ref="J3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LEGAIS]]="",$AQ32&gt;$AO$1),2,
AND(Tabela18[[#This Row],[STATUS]]="Em andamento",Tabela18[[#This Row],[DATA REAL - SOLIC. PROG LEGAIS]]="",$AQ32&lt;=$AO$1),3,
AND(Tabela18[[#This Row],[STATUS]]="Em andamento",Tabela18[[#This Row],[DATA REAL - SOLIC. PROG LEGAIS]]&lt;&gt;""),1)</f>
        <v>1</v>
      </c>
      <c r="K32" s="15" cm="1">
        <f t="array" aca="1" ref="K3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ENVIO]]="",$AT32&gt;$AR$1),2,
AND(Tabela18[[#This Row],[STATUS]]="Em andamento",Tabela18[[#This Row],[DATA REAL - ENVIO]]="",$AT32&lt;=$AR$1),3,
AND(Tabela18[[#This Row],[STATUS]]="Em andamento",Tabela18[[#This Row],[DATA REAL - ENVIO]]&lt;&gt;""),1)</f>
        <v>1</v>
      </c>
      <c r="L32" s="15" cm="1">
        <f t="array" aca="1" ref="L3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POSTAGEM]]="",$AW32&gt;$AU$1),2,
AND(Tabela18[[#This Row],[STATUS]]="Em andamento",Tabela18[[#This Row],[DATA REAL - POSTAGEM]]="",$AW32&lt;=$AU$1),3,
AND(Tabela18[[#This Row],[STATUS]]="Em andamento",Tabela18[[#This Row],[DATA REAL - POSTAGEM]]&lt;&gt;""),1)</f>
        <v>1</v>
      </c>
      <c r="M32" s="16" cm="1">
        <f t="array" aca="1" ref="M3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APROVAÇÃO]]="",$AZ32&gt;$AX$1),2,
AND(Tabela18[[#This Row],[STATUS]]="Em andamento",Tabela18[[#This Row],[DATA REAL - APROVAÇÃO]]="",$AZ32&lt;=$AX$1),3,
AND(Tabela18[[#This Row],[STATUS]]="Em andamento",Tabela18[[#This Row],[DATA REAL - APROVAÇÃO]]&lt;&gt;""),1)</f>
        <v>1</v>
      </c>
      <c r="N32" s="21">
        <f>IF(Tabela18[[#This Row],[DATA REAL -EMAIL]]&lt;&gt;"",Tabela18[[#This Row],[DATA REAL -EMAIL]]+30,Tabela18[[#This Row],[DATA PREV - EMAIL]]+30)</f>
        <v>45088</v>
      </c>
      <c r="O3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45063</v>
      </c>
      <c r="P3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v>
      </c>
      <c r="Q3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32" s="48">
        <f>MAX(Tabela18[[#This Row],[DATA REAL - POSTAGEM]],Tabela18[[#This Row],[DATA REAL - APROVAÇÃO]])-MIN(Tabela18[[#This Row],[DATA REAL - POSTAGEM]],Tabela18[[#This Row],[DATA REAL - APROVAÇÃO]])+1</f>
        <v>2</v>
      </c>
      <c r="S32" s="16"/>
      <c r="T32" s="16"/>
      <c r="U32" s="18"/>
      <c r="V32" s="18"/>
      <c r="W32" s="16" t="s">
        <v>97</v>
      </c>
      <c r="X32" s="16" t="s">
        <v>89</v>
      </c>
      <c r="Y32" s="16" t="s">
        <v>891</v>
      </c>
      <c r="Z32" s="15" t="s">
        <v>249</v>
      </c>
      <c r="AA32" s="15" t="str">
        <f>_xlfn.XLOOKUP(Tabela18[[#This Row],[CÓD. CT]],Controle_Projetos[COD CT],Controle_Projetos[COD PHD],"")</f>
        <v/>
      </c>
      <c r="AB32" s="16"/>
      <c r="AC32" s="21"/>
      <c r="AD3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2" s="16" t="str" cm="1">
        <f t="array" aca="1" ref="AE3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2" s="21">
        <v>45058</v>
      </c>
      <c r="AG32" s="74">
        <v>45058</v>
      </c>
      <c r="AH32" s="16" cm="1">
        <f t="array" aca="1" ref="AH3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2" s="21">
        <v>45058</v>
      </c>
      <c r="AJ32" s="74">
        <v>45058</v>
      </c>
      <c r="AK32" s="16" cm="1">
        <f t="array" aca="1" ref="AK3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2" s="20">
        <f t="shared" si="0"/>
        <v>45065</v>
      </c>
      <c r="AM32" s="74">
        <v>45058</v>
      </c>
      <c r="AN32" s="15" cm="1">
        <f t="array" aca="1" ref="AN3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32" s="20">
        <f t="shared" si="1"/>
        <v>45061</v>
      </c>
      <c r="AP32" s="74">
        <v>45058</v>
      </c>
      <c r="AQ32" s="15" cm="1">
        <f t="array" aca="1" ref="AQ3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32" s="20">
        <f t="shared" si="2"/>
        <v>45072</v>
      </c>
      <c r="AS32" s="74">
        <v>45062</v>
      </c>
      <c r="AT32" s="15" cm="1">
        <f t="array" aca="1" ref="AT3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32" s="20">
        <f t="shared" si="3"/>
        <v>45069</v>
      </c>
      <c r="AV32" s="74">
        <v>45062</v>
      </c>
      <c r="AW32" s="15" cm="1">
        <f t="array" aca="1" ref="AW3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32" s="20">
        <f t="shared" si="4"/>
        <v>45063</v>
      </c>
      <c r="AY32" s="74">
        <v>45063</v>
      </c>
      <c r="AZ32" s="15" cm="1">
        <f t="array" aca="1" ref="AZ3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32" s="16"/>
    </row>
    <row r="33" spans="2:53" hidden="1" x14ac:dyDescent="0.35">
      <c r="B33" s="14" t="s">
        <v>79</v>
      </c>
      <c r="C33" s="16"/>
      <c r="D33" s="16" t="s">
        <v>108</v>
      </c>
      <c r="E33" s="16" t="s">
        <v>878</v>
      </c>
      <c r="F33" s="16" cm="1">
        <f t="array" ref="F33">_xlfn.IFS(Tabela18[[#This Row],[STATUS]]="Finalizado",1,Tabela18[[#This Row],[STATUS]]="Cancelado",2,Tabela18[[#This Row],[STATUS]]="Em andamento",3)</f>
        <v>1</v>
      </c>
      <c r="G33" s="16" cm="1">
        <f t="array" aca="1" ref="G3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-EMAIL]]="",$AH33&gt;$AF$1),2,
AND(Tabela18[[#This Row],[STATUS]]="Em andamento",Tabela18[[#This Row],[DATA REAL -EMAIL]]="",$AH33&lt;=$AF$1),3,
AND(Tabela18[[#This Row],[STATUS]]="Em andamento",Tabela18[[#This Row],[DATA REAL -EMAIL]]&lt;&gt;""),1)</f>
        <v>1</v>
      </c>
      <c r="H33" s="16" cm="1">
        <f t="array" aca="1" ref="H3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CLIENTE]]="",$AK33&gt;$AI$1),2,
AND(Tabela18[[#This Row],[STATUS]]="Em andamento",Tabela18[[#This Row],[DATA REAL - DOC CLIENTE]]="",$AK33&lt;=$AI$1),3,
AND(Tabela18[[#This Row],[STATUS]]="Em andamento",Tabela18[[#This Row],[DATA REAL - DOC CLIENTE]]&lt;&gt;""),1)</f>
        <v>1</v>
      </c>
      <c r="I33" s="16" cm="1">
        <f t="array" aca="1" ref="I3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06]]="",$AN33&gt;$AL$1),2,
AND(Tabela18[[#This Row],[STATUS]]="Em andamento",Tabela18[[#This Row],[DATA REAL - ANEXO 06]]="",$AN33&lt;=$AL$1),3,
AND(Tabela18[[#This Row],[STATUS]]="Em andamento",Tabela18[[#This Row],[DATA REAL - ANEXO 06]]&lt;&gt;""),1)</f>
        <v>1</v>
      </c>
      <c r="J33" s="15" cm="1">
        <f t="array" aca="1" ref="J3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LEGAIS]]="",$AQ33&gt;$AO$1),2,
AND(Tabela18[[#This Row],[STATUS]]="Em andamento",Tabela18[[#This Row],[DATA REAL - SOLIC. PROG LEGAIS]]="",$AQ33&lt;=$AO$1),3,
AND(Tabela18[[#This Row],[STATUS]]="Em andamento",Tabela18[[#This Row],[DATA REAL - SOLIC. PROG LEGAIS]]&lt;&gt;""),1)</f>
        <v>1</v>
      </c>
      <c r="K33" s="15" cm="1">
        <f t="array" aca="1" ref="K3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ENVIO]]="",$AT33&gt;$AR$1),2,
AND(Tabela18[[#This Row],[STATUS]]="Em andamento",Tabela18[[#This Row],[DATA REAL - ENVIO]]="",$AT33&lt;=$AR$1),3,
AND(Tabela18[[#This Row],[STATUS]]="Em andamento",Tabela18[[#This Row],[DATA REAL - ENVIO]]&lt;&gt;""),1)</f>
        <v>1</v>
      </c>
      <c r="L33" s="15" cm="1">
        <f t="array" aca="1" ref="L3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POSTAGEM]]="",$AW33&gt;$AU$1),2,
AND(Tabela18[[#This Row],[STATUS]]="Em andamento",Tabela18[[#This Row],[DATA REAL - POSTAGEM]]="",$AW33&lt;=$AU$1),3,
AND(Tabela18[[#This Row],[STATUS]]="Em andamento",Tabela18[[#This Row],[DATA REAL - POSTAGEM]]&lt;&gt;""),1)</f>
        <v>1</v>
      </c>
      <c r="M33" s="16" cm="1">
        <f t="array" aca="1" ref="M3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APROVAÇÃO]]="",$AZ33&gt;$AX$1),2,
AND(Tabela18[[#This Row],[STATUS]]="Em andamento",Tabela18[[#This Row],[DATA REAL - APROVAÇÃO]]="",$AZ33&lt;=$AX$1),3,
AND(Tabela18[[#This Row],[STATUS]]="Em andamento",Tabela18[[#This Row],[DATA REAL - APROVAÇÃO]]&lt;&gt;""),1)</f>
        <v>1</v>
      </c>
      <c r="N33" s="21">
        <f>IF(Tabela18[[#This Row],[DATA REAL -EMAIL]]&lt;&gt;"",Tabela18[[#This Row],[DATA REAL -EMAIL]]+30,Tabela18[[#This Row],[DATA PREV - EMAIL]]+30)</f>
        <v>45088</v>
      </c>
      <c r="O3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45064</v>
      </c>
      <c r="P3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v>
      </c>
      <c r="Q3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33" s="48">
        <f>MAX(Tabela18[[#This Row],[DATA REAL - POSTAGEM]],Tabela18[[#This Row],[DATA REAL - APROVAÇÃO]])-MIN(Tabela18[[#This Row],[DATA REAL - POSTAGEM]],Tabela18[[#This Row],[DATA REAL - APROVAÇÃO]])+1</f>
        <v>6</v>
      </c>
      <c r="S33" s="16"/>
      <c r="T33" s="16"/>
      <c r="U33" s="18"/>
      <c r="V33" s="18"/>
      <c r="W33" s="16" t="s">
        <v>87</v>
      </c>
      <c r="X33" s="16"/>
      <c r="Y33" s="16"/>
      <c r="Z33" s="15" t="s">
        <v>249</v>
      </c>
      <c r="AA33" s="15" t="str">
        <f>_xlfn.XLOOKUP(Tabela18[[#This Row],[CÓD. CT]],Controle_Projetos[COD CT],Controle_Projetos[COD PHD],"")</f>
        <v/>
      </c>
      <c r="AB33" s="16"/>
      <c r="AC33" s="21"/>
      <c r="AD3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3" s="16" t="str" cm="1">
        <f t="array" aca="1" ref="AE3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3" s="21">
        <v>45058</v>
      </c>
      <c r="AG33" s="74">
        <v>45058</v>
      </c>
      <c r="AH33" s="16" cm="1">
        <f t="array" aca="1" ref="AH3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3" s="21">
        <v>45058</v>
      </c>
      <c r="AJ33" s="74">
        <v>45058</v>
      </c>
      <c r="AK33" s="16" cm="1">
        <f t="array" aca="1" ref="AK3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3" s="20">
        <f t="shared" si="0"/>
        <v>45065</v>
      </c>
      <c r="AM33" s="74">
        <v>45058</v>
      </c>
      <c r="AN33" s="15" cm="1">
        <f t="array" aca="1" ref="AN3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33" s="20">
        <f t="shared" si="1"/>
        <v>45061</v>
      </c>
      <c r="AP33" s="74">
        <v>45054</v>
      </c>
      <c r="AQ33" s="15" cm="1">
        <f t="array" aca="1" ref="AQ3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33" s="20">
        <f t="shared" si="2"/>
        <v>45068</v>
      </c>
      <c r="AS33" s="74">
        <v>45058</v>
      </c>
      <c r="AT33" s="15" cm="1">
        <f t="array" aca="1" ref="AT3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33" s="20">
        <f t="shared" si="3"/>
        <v>45065</v>
      </c>
      <c r="AV33" s="74">
        <v>45059</v>
      </c>
      <c r="AW33" s="15" cm="1">
        <f t="array" aca="1" ref="AW3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33" s="20">
        <f t="shared" si="4"/>
        <v>45061</v>
      </c>
      <c r="AY33" s="74">
        <v>45064</v>
      </c>
      <c r="AZ33" s="15" cm="1">
        <f t="array" aca="1" ref="AZ3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33" s="16"/>
    </row>
    <row r="34" spans="2:53" hidden="1" x14ac:dyDescent="0.35">
      <c r="B34" s="14" t="s">
        <v>79</v>
      </c>
      <c r="C34" s="16"/>
      <c r="D34" s="16" t="s">
        <v>108</v>
      </c>
      <c r="E34" s="16" t="s">
        <v>876</v>
      </c>
      <c r="F34" s="16" cm="1">
        <f t="array" ref="F34">_xlfn.IFS(Tabela18[[#This Row],[STATUS]]="Finalizado",1,Tabela18[[#This Row],[STATUS]]="Cancelado",2,Tabela18[[#This Row],[STATUS]]="Em andamento",3)</f>
        <v>1</v>
      </c>
      <c r="G34" s="16" cm="1">
        <f t="array" aca="1" ref="G3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-EMAIL]]="",$AH34&gt;$AF$1),2,
AND(Tabela18[[#This Row],[STATUS]]="Em andamento",Tabela18[[#This Row],[DATA REAL -EMAIL]]="",$AH34&lt;=$AF$1),3,
AND(Tabela18[[#This Row],[STATUS]]="Em andamento",Tabela18[[#This Row],[DATA REAL -EMAIL]]&lt;&gt;""),1)</f>
        <v>1</v>
      </c>
      <c r="H34" s="16" cm="1">
        <f t="array" aca="1" ref="H3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CLIENTE]]="",$AK34&gt;$AI$1),2,
AND(Tabela18[[#This Row],[STATUS]]="Em andamento",Tabela18[[#This Row],[DATA REAL - DOC CLIENTE]]="",$AK34&lt;=$AI$1),3,
AND(Tabela18[[#This Row],[STATUS]]="Em andamento",Tabela18[[#This Row],[DATA REAL - DOC CLIENTE]]&lt;&gt;""),1)</f>
        <v>1</v>
      </c>
      <c r="I34" s="16" cm="1">
        <f t="array" aca="1" ref="I3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06]]="",$AN34&gt;$AL$1),2,
AND(Tabela18[[#This Row],[STATUS]]="Em andamento",Tabela18[[#This Row],[DATA REAL - ANEXO 06]]="",$AN34&lt;=$AL$1),3,
AND(Tabela18[[#This Row],[STATUS]]="Em andamento",Tabela18[[#This Row],[DATA REAL - ANEXO 06]]&lt;&gt;""),1)</f>
        <v>1</v>
      </c>
      <c r="J34" s="15" cm="1">
        <f t="array" aca="1" ref="J3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LEGAIS]]="",$AQ34&gt;$AO$1),2,
AND(Tabela18[[#This Row],[STATUS]]="Em andamento",Tabela18[[#This Row],[DATA REAL - SOLIC. PROG LEGAIS]]="",$AQ34&lt;=$AO$1),3,
AND(Tabela18[[#This Row],[STATUS]]="Em andamento",Tabela18[[#This Row],[DATA REAL - SOLIC. PROG LEGAIS]]&lt;&gt;""),1)</f>
        <v>1</v>
      </c>
      <c r="K34" s="15" cm="1">
        <f t="array" aca="1" ref="K3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ENVIO]]="",$AT34&gt;$AR$1),2,
AND(Tabela18[[#This Row],[STATUS]]="Em andamento",Tabela18[[#This Row],[DATA REAL - ENVIO]]="",$AT34&lt;=$AR$1),3,
AND(Tabela18[[#This Row],[STATUS]]="Em andamento",Tabela18[[#This Row],[DATA REAL - ENVIO]]&lt;&gt;""),1)</f>
        <v>1</v>
      </c>
      <c r="L34" s="15" cm="1">
        <f t="array" aca="1" ref="L3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POSTAGEM]]="",$AW34&gt;$AU$1),2,
AND(Tabela18[[#This Row],[STATUS]]="Em andamento",Tabela18[[#This Row],[DATA REAL - POSTAGEM]]="",$AW34&lt;=$AU$1),3,
AND(Tabela18[[#This Row],[STATUS]]="Em andamento",Tabela18[[#This Row],[DATA REAL - POSTAGEM]]&lt;&gt;""),1)</f>
        <v>1</v>
      </c>
      <c r="M34" s="16" cm="1">
        <f t="array" aca="1" ref="M3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APROVAÇÃO]]="",$AZ34&gt;$AX$1),2,
AND(Tabela18[[#This Row],[STATUS]]="Em andamento",Tabela18[[#This Row],[DATA REAL - APROVAÇÃO]]="",$AZ34&lt;=$AX$1),3,
AND(Tabela18[[#This Row],[STATUS]]="Em andamento",Tabela18[[#This Row],[DATA REAL - APROVAÇÃO]]&lt;&gt;""),1)</f>
        <v>1</v>
      </c>
      <c r="N34" s="21">
        <f>IF(Tabela18[[#This Row],[DATA REAL -EMAIL]]&lt;&gt;"",Tabela18[[#This Row],[DATA REAL -EMAIL]]+30,Tabela18[[#This Row],[DATA PREV - EMAIL]]+30)</f>
        <v>45092</v>
      </c>
      <c r="O3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45113</v>
      </c>
      <c r="P3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51</v>
      </c>
      <c r="Q3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37</v>
      </c>
      <c r="R34" s="48">
        <f>MAX(Tabela18[[#This Row],[DATA REAL - POSTAGEM]],Tabela18[[#This Row],[DATA REAL - APROVAÇÃO]])-MIN(Tabela18[[#This Row],[DATA REAL - POSTAGEM]],Tabela18[[#This Row],[DATA REAL - APROVAÇÃO]])+1</f>
        <v>1</v>
      </c>
      <c r="S34" s="16"/>
      <c r="T34" s="16"/>
      <c r="U34" s="18"/>
      <c r="V34" s="18"/>
      <c r="W34" s="16" t="s">
        <v>97</v>
      </c>
      <c r="X34" s="16" t="s">
        <v>132</v>
      </c>
      <c r="Y34" s="16" t="s">
        <v>483</v>
      </c>
      <c r="Z34" s="15" t="s">
        <v>892</v>
      </c>
      <c r="AA34" s="15" t="str">
        <f>_xlfn.XLOOKUP(Tabela18[[#This Row],[CÓD. CT]],Controle_Projetos[COD CT],Controle_Projetos[COD PHD],"")</f>
        <v>CCAP-CT09-AGLO</v>
      </c>
      <c r="AB34" s="16">
        <v>4518017351</v>
      </c>
      <c r="AC34" s="21"/>
      <c r="AD3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4" s="16" t="str" cm="1">
        <f t="array" aca="1" ref="AE3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4" s="21">
        <v>45062</v>
      </c>
      <c r="AG34" s="74">
        <v>45062</v>
      </c>
      <c r="AH34" s="16" cm="1">
        <f t="array" aca="1" ref="AH3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4" s="21">
        <v>45062</v>
      </c>
      <c r="AJ34" s="74">
        <v>45062</v>
      </c>
      <c r="AK34" s="16" cm="1">
        <f t="array" aca="1" ref="AK3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4" s="20">
        <f t="shared" si="0"/>
        <v>45069</v>
      </c>
      <c r="AM34" s="74">
        <v>45064</v>
      </c>
      <c r="AN34" s="15" cm="1">
        <f t="array" aca="1" ref="AN3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34" s="20">
        <f t="shared" si="1"/>
        <v>45065</v>
      </c>
      <c r="AP34" s="74">
        <v>45089</v>
      </c>
      <c r="AQ34" s="15" cm="1">
        <f t="array" aca="1" ref="AQ3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25</v>
      </c>
      <c r="AR34" s="20">
        <f t="shared" si="2"/>
        <v>45103</v>
      </c>
      <c r="AS34" s="74">
        <v>45099</v>
      </c>
      <c r="AT34" s="15" cm="1">
        <f t="array" aca="1" ref="AT3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34" s="20">
        <f t="shared" si="3"/>
        <v>45106</v>
      </c>
      <c r="AV34" s="74">
        <v>45113</v>
      </c>
      <c r="AW34" s="15" cm="1">
        <f t="array" aca="1" ref="AW3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8</v>
      </c>
      <c r="AX34" s="20">
        <f t="shared" si="4"/>
        <v>45114</v>
      </c>
      <c r="AY34" s="74">
        <v>45113</v>
      </c>
      <c r="AZ34" s="15" cm="1">
        <f t="array" aca="1" ref="AZ3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34" s="16"/>
    </row>
    <row r="35" spans="2:53" hidden="1" x14ac:dyDescent="0.35">
      <c r="B35" s="14" t="s">
        <v>79</v>
      </c>
      <c r="C35" s="16"/>
      <c r="D35" s="16" t="s">
        <v>108</v>
      </c>
      <c r="E35" s="16" t="s">
        <v>860</v>
      </c>
      <c r="F35" s="16" cm="1">
        <f t="array" ref="F35">_xlfn.IFS(Tabela18[[#This Row],[STATUS]]="Finalizado",1,Tabela18[[#This Row],[STATUS]]="Cancelado",2,Tabela18[[#This Row],[STATUS]]="Em andamento",3)</f>
        <v>1</v>
      </c>
      <c r="G35" s="16" cm="1">
        <f t="array" aca="1" ref="G3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-EMAIL]]="",$AH35&gt;$AF$1),2,
AND(Tabela18[[#This Row],[STATUS]]="Em andamento",Tabela18[[#This Row],[DATA REAL -EMAIL]]="",$AH35&lt;=$AF$1),3,
AND(Tabela18[[#This Row],[STATUS]]="Em andamento",Tabela18[[#This Row],[DATA REAL -EMAIL]]&lt;&gt;""),1)</f>
        <v>1</v>
      </c>
      <c r="H35" s="16" cm="1">
        <f t="array" aca="1" ref="H3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CLIENTE]]="",$AK35&gt;$AI$1),2,
AND(Tabela18[[#This Row],[STATUS]]="Em andamento",Tabela18[[#This Row],[DATA REAL - DOC CLIENTE]]="",$AK35&lt;=$AI$1),3,
AND(Tabela18[[#This Row],[STATUS]]="Em andamento",Tabela18[[#This Row],[DATA REAL - DOC CLIENTE]]&lt;&gt;""),1)</f>
        <v>1</v>
      </c>
      <c r="I35" s="16" cm="1">
        <f t="array" aca="1" ref="I3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06]]="",$AN35&gt;$AL$1),2,
AND(Tabela18[[#This Row],[STATUS]]="Em andamento",Tabela18[[#This Row],[DATA REAL - ANEXO 06]]="",$AN35&lt;=$AL$1),3,
AND(Tabela18[[#This Row],[STATUS]]="Em andamento",Tabela18[[#This Row],[DATA REAL - ANEXO 06]]&lt;&gt;""),1)</f>
        <v>1</v>
      </c>
      <c r="J35" s="15" cm="1">
        <f t="array" aca="1" ref="J3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LEGAIS]]="",$AQ35&gt;$AO$1),2,
AND(Tabela18[[#This Row],[STATUS]]="Em andamento",Tabela18[[#This Row],[DATA REAL - SOLIC. PROG LEGAIS]]="",$AQ35&lt;=$AO$1),3,
AND(Tabela18[[#This Row],[STATUS]]="Em andamento",Tabela18[[#This Row],[DATA REAL - SOLIC. PROG LEGAIS]]&lt;&gt;""),1)</f>
        <v>1</v>
      </c>
      <c r="K35" s="15" cm="1">
        <f t="array" aca="1" ref="K3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ENVIO]]="",$AT35&gt;$AR$1),2,
AND(Tabela18[[#This Row],[STATUS]]="Em andamento",Tabela18[[#This Row],[DATA REAL - ENVIO]]="",$AT35&lt;=$AR$1),3,
AND(Tabela18[[#This Row],[STATUS]]="Em andamento",Tabela18[[#This Row],[DATA REAL - ENVIO]]&lt;&gt;""),1)</f>
        <v>1</v>
      </c>
      <c r="L35" s="15" cm="1">
        <f t="array" aca="1" ref="L3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POSTAGEM]]="",$AW35&gt;$AU$1),2,
AND(Tabela18[[#This Row],[STATUS]]="Em andamento",Tabela18[[#This Row],[DATA REAL - POSTAGEM]]="",$AW35&lt;=$AU$1),3,
AND(Tabela18[[#This Row],[STATUS]]="Em andamento",Tabela18[[#This Row],[DATA REAL - POSTAGEM]]&lt;&gt;""),1)</f>
        <v>1</v>
      </c>
      <c r="M35" s="16" cm="1">
        <f t="array" aca="1" ref="M3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APROVAÇÃO]]="",$AZ35&gt;$AX$1),2,
AND(Tabela18[[#This Row],[STATUS]]="Em andamento",Tabela18[[#This Row],[DATA REAL - APROVAÇÃO]]="",$AZ35&lt;=$AX$1),3,
AND(Tabela18[[#This Row],[STATUS]]="Em andamento",Tabela18[[#This Row],[DATA REAL - APROVAÇÃO]]&lt;&gt;""),1)</f>
        <v>1</v>
      </c>
      <c r="N35" s="21">
        <f>IF(Tabela18[[#This Row],[DATA REAL -EMAIL]]&lt;&gt;"",Tabela18[[#This Row],[DATA REAL -EMAIL]]+30,Tabela18[[#This Row],[DATA PREV - EMAIL]]+30)</f>
        <v>45108</v>
      </c>
      <c r="O3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45097</v>
      </c>
      <c r="P3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v>
      </c>
      <c r="Q3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35" s="48">
        <f>MAX(Tabela18[[#This Row],[DATA REAL - POSTAGEM]],Tabela18[[#This Row],[DATA REAL - APROVAÇÃO]])-MIN(Tabela18[[#This Row],[DATA REAL - POSTAGEM]],Tabela18[[#This Row],[DATA REAL - APROVAÇÃO]])+1</f>
        <v>1</v>
      </c>
      <c r="S35" s="16"/>
      <c r="T35" s="16"/>
      <c r="U35" s="18"/>
      <c r="V35" s="18"/>
      <c r="W35" s="16" t="s">
        <v>97</v>
      </c>
      <c r="X35" s="16"/>
      <c r="Y35" s="16" t="s">
        <v>893</v>
      </c>
      <c r="Z35" s="15" t="s">
        <v>249</v>
      </c>
      <c r="AA35" s="15" t="str">
        <f>_xlfn.XLOOKUP(Tabela18[[#This Row],[CÓD. CT]],Controle_Projetos[COD CT],Controle_Projetos[COD PHD],"")</f>
        <v/>
      </c>
      <c r="AB35" s="16"/>
      <c r="AC35" s="21"/>
      <c r="AD3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5" s="16" t="str" cm="1">
        <f t="array" aca="1" ref="AE3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5" s="21">
        <v>45078</v>
      </c>
      <c r="AG35" s="74">
        <v>45078</v>
      </c>
      <c r="AH35" s="16" cm="1">
        <f t="array" aca="1" ref="AH3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5" s="21">
        <v>45062</v>
      </c>
      <c r="AJ35" s="74">
        <v>45078</v>
      </c>
      <c r="AK35" s="16" cm="1">
        <f t="array" aca="1" ref="AK3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5" s="20">
        <f t="shared" si="0"/>
        <v>45085</v>
      </c>
      <c r="AM35" s="74">
        <v>45079</v>
      </c>
      <c r="AN35" s="15" cm="1">
        <f t="array" aca="1" ref="AN3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35" s="20">
        <f t="shared" si="1"/>
        <v>45082</v>
      </c>
      <c r="AP35" s="74">
        <v>45079</v>
      </c>
      <c r="AQ35" s="15" cm="1">
        <f t="array" aca="1" ref="AQ3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35" s="20">
        <f t="shared" si="2"/>
        <v>45093</v>
      </c>
      <c r="AS35" s="74">
        <v>45091</v>
      </c>
      <c r="AT35" s="15" cm="1">
        <f t="array" aca="1" ref="AT3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35" s="20">
        <f t="shared" si="3"/>
        <v>45098</v>
      </c>
      <c r="AV35" s="74">
        <v>45097</v>
      </c>
      <c r="AW35" s="15" cm="1">
        <f t="array" aca="1" ref="AW3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0</v>
      </c>
      <c r="AX35" s="20">
        <f t="shared" si="4"/>
        <v>45098</v>
      </c>
      <c r="AY35" s="74">
        <v>45097</v>
      </c>
      <c r="AZ35" s="15" cm="1">
        <f t="array" aca="1" ref="AZ3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35" s="16"/>
    </row>
    <row r="36" spans="2:53" hidden="1" x14ac:dyDescent="0.35">
      <c r="B36" s="14" t="s">
        <v>79</v>
      </c>
      <c r="C36" s="16"/>
      <c r="D36" s="16" t="s">
        <v>108</v>
      </c>
      <c r="E36" s="16" t="s">
        <v>860</v>
      </c>
      <c r="F36" s="16" cm="1">
        <f t="array" ref="F36">_xlfn.IFS(Tabela18[[#This Row],[STATUS]]="Finalizado",1,Tabela18[[#This Row],[STATUS]]="Cancelado",2,Tabela18[[#This Row],[STATUS]]="Em andamento",3)</f>
        <v>1</v>
      </c>
      <c r="G36" s="16" cm="1">
        <f t="array" aca="1" ref="G3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-EMAIL]]="",$AH36&gt;$AF$1),2,
AND(Tabela18[[#This Row],[STATUS]]="Em andamento",Tabela18[[#This Row],[DATA REAL -EMAIL]]="",$AH36&lt;=$AF$1),3,
AND(Tabela18[[#This Row],[STATUS]]="Em andamento",Tabela18[[#This Row],[DATA REAL -EMAIL]]&lt;&gt;""),1)</f>
        <v>1</v>
      </c>
      <c r="H36" s="16" cm="1">
        <f t="array" aca="1" ref="H3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CLIENTE]]="",$AK36&gt;$AI$1),2,
AND(Tabela18[[#This Row],[STATUS]]="Em andamento",Tabela18[[#This Row],[DATA REAL - DOC CLIENTE]]="",$AK36&lt;=$AI$1),3,
AND(Tabela18[[#This Row],[STATUS]]="Em andamento",Tabela18[[#This Row],[DATA REAL - DOC CLIENTE]]&lt;&gt;""),1)</f>
        <v>1</v>
      </c>
      <c r="I36" s="16" cm="1">
        <f t="array" aca="1" ref="I3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06]]="",$AN36&gt;$AL$1),2,
AND(Tabela18[[#This Row],[STATUS]]="Em andamento",Tabela18[[#This Row],[DATA REAL - ANEXO 06]]="",$AN36&lt;=$AL$1),3,
AND(Tabela18[[#This Row],[STATUS]]="Em andamento",Tabela18[[#This Row],[DATA REAL - ANEXO 06]]&lt;&gt;""),1)</f>
        <v>1</v>
      </c>
      <c r="J36" s="15" cm="1">
        <f t="array" aca="1" ref="J3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LEGAIS]]="",$AQ36&gt;$AO$1),2,
AND(Tabela18[[#This Row],[STATUS]]="Em andamento",Tabela18[[#This Row],[DATA REAL - SOLIC. PROG LEGAIS]]="",$AQ36&lt;=$AO$1),3,
AND(Tabela18[[#This Row],[STATUS]]="Em andamento",Tabela18[[#This Row],[DATA REAL - SOLIC. PROG LEGAIS]]&lt;&gt;""),1)</f>
        <v>1</v>
      </c>
      <c r="K36" s="15" cm="1">
        <f t="array" aca="1" ref="K3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ENVIO]]="",$AT36&gt;$AR$1),2,
AND(Tabela18[[#This Row],[STATUS]]="Em andamento",Tabela18[[#This Row],[DATA REAL - ENVIO]]="",$AT36&lt;=$AR$1),3,
AND(Tabela18[[#This Row],[STATUS]]="Em andamento",Tabela18[[#This Row],[DATA REAL - ENVIO]]&lt;&gt;""),1)</f>
        <v>1</v>
      </c>
      <c r="L36" s="15" cm="1">
        <f t="array" aca="1" ref="L3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POSTAGEM]]="",$AW36&gt;$AU$1),2,
AND(Tabela18[[#This Row],[STATUS]]="Em andamento",Tabela18[[#This Row],[DATA REAL - POSTAGEM]]="",$AW36&lt;=$AU$1),3,
AND(Tabela18[[#This Row],[STATUS]]="Em andamento",Tabela18[[#This Row],[DATA REAL - POSTAGEM]]&lt;&gt;""),1)</f>
        <v>1</v>
      </c>
      <c r="M36" s="16" cm="1">
        <f t="array" aca="1" ref="M3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APROVAÇÃO]]="",$AZ36&gt;$AX$1),2,
AND(Tabela18[[#This Row],[STATUS]]="Em andamento",Tabela18[[#This Row],[DATA REAL - APROVAÇÃO]]="",$AZ36&lt;=$AX$1),3,
AND(Tabela18[[#This Row],[STATUS]]="Em andamento",Tabela18[[#This Row],[DATA REAL - APROVAÇÃO]]&lt;&gt;""),1)</f>
        <v>1</v>
      </c>
      <c r="N36" s="21">
        <f>IF(Tabela18[[#This Row],[DATA REAL -EMAIL]]&lt;&gt;"",Tabela18[[#This Row],[DATA REAL -EMAIL]]+30,Tabela18[[#This Row],[DATA PREV - EMAIL]]+30)</f>
        <v>45092</v>
      </c>
      <c r="O3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45119</v>
      </c>
      <c r="P3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57</v>
      </c>
      <c r="Q3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45</v>
      </c>
      <c r="R36" s="48">
        <f>MAX(Tabela18[[#This Row],[DATA REAL - POSTAGEM]],Tabela18[[#This Row],[DATA REAL - APROVAÇÃO]])-MIN(Tabela18[[#This Row],[DATA REAL - POSTAGEM]],Tabela18[[#This Row],[DATA REAL - APROVAÇÃO]])+1</f>
        <v>1</v>
      </c>
      <c r="S36" s="16"/>
      <c r="T36" s="16"/>
      <c r="U36" s="18"/>
      <c r="V36" s="18"/>
      <c r="W36" s="16" t="s">
        <v>97</v>
      </c>
      <c r="X36" s="16"/>
      <c r="Y36" s="16" t="s">
        <v>894</v>
      </c>
      <c r="Z36" s="15" t="s">
        <v>249</v>
      </c>
      <c r="AA36" s="15" t="str">
        <f>_xlfn.XLOOKUP(Tabela18[[#This Row],[CÓD. CT]],Controle_Projetos[COD CT],Controle_Projetos[COD PHD],"")</f>
        <v/>
      </c>
      <c r="AB36" s="16"/>
      <c r="AC36" s="21"/>
      <c r="AD3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6" s="16" t="str" cm="1">
        <f t="array" aca="1" ref="AE3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6" s="21">
        <v>45062</v>
      </c>
      <c r="AG36" s="74">
        <v>45062</v>
      </c>
      <c r="AH36" s="16" cm="1">
        <f t="array" aca="1" ref="AH3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6" s="21">
        <v>45062</v>
      </c>
      <c r="AJ36" s="74">
        <v>45062</v>
      </c>
      <c r="AK36" s="16" cm="1">
        <f t="array" aca="1" ref="AK3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6" s="20">
        <f t="shared" ref="AL36:AL67" si="5">IF(AI36="","",IF(AJ36="",WORKDAY(AI36,AL$1,),WORKDAY(AJ36,AL$1,)))</f>
        <v>45069</v>
      </c>
      <c r="AM36" s="74">
        <v>45084</v>
      </c>
      <c r="AN36" s="15" cm="1">
        <f t="array" aca="1" ref="AN3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16</v>
      </c>
      <c r="AO36" s="20">
        <f t="shared" ref="AO36:AO67" si="6">IF(AL36="","",IF(AM36="",WORKDAY(AL36,AO$1,),WORKDAY(AM36,AO$1,)))</f>
        <v>45085</v>
      </c>
      <c r="AP36" s="74">
        <v>45103</v>
      </c>
      <c r="AQ36" s="15" cm="1">
        <f t="array" aca="1" ref="AQ3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19</v>
      </c>
      <c r="AR36" s="20">
        <f t="shared" ref="AR36:AR67" si="7">IF(AO36="","",IF(AP36="",WORKDAY(AO36,AR$1,),WORKDAY(AP36,AR$1,)))</f>
        <v>45117</v>
      </c>
      <c r="AS36" s="74">
        <v>45107</v>
      </c>
      <c r="AT36" s="15" cm="1">
        <f t="array" aca="1" ref="AT3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36" s="20">
        <f t="shared" ref="AU36:AU67" si="8">IF(AR36="","",IF(AS36="",WORKDAY(AR36,AU$1,),WORKDAY(AS36,AU$1,)))</f>
        <v>45114</v>
      </c>
      <c r="AV36" s="74">
        <v>45119</v>
      </c>
      <c r="AW36" s="15" cm="1">
        <f t="array" aca="1" ref="AW3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36" s="20">
        <f t="shared" ref="AX36:AX67" si="9">IF(AU36="","",IF(AV36="",WORKDAY(AU36,AX$1,),WORKDAY(AV36,AX$1,)))</f>
        <v>45120</v>
      </c>
      <c r="AY36" s="74">
        <v>45119</v>
      </c>
      <c r="AZ36" s="15" cm="1">
        <f t="array" aca="1" ref="AZ3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36" s="16"/>
    </row>
    <row r="37" spans="2:53" hidden="1" x14ac:dyDescent="0.35">
      <c r="B37" s="14" t="s">
        <v>79</v>
      </c>
      <c r="C37" s="16"/>
      <c r="D37" s="16" t="s">
        <v>108</v>
      </c>
      <c r="E37" s="16" t="s">
        <v>98</v>
      </c>
      <c r="F37" s="16" cm="1">
        <f t="array" ref="F37">_xlfn.IFS(Tabela18[[#This Row],[STATUS]]="Finalizado",1,Tabela18[[#This Row],[STATUS]]="Cancelado",2,Tabela18[[#This Row],[STATUS]]="Em andamento",3)</f>
        <v>1</v>
      </c>
      <c r="G37" s="16" cm="1">
        <f t="array" aca="1" ref="G3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-EMAIL]]="",$AH37&gt;$AF$1),2,
AND(Tabela18[[#This Row],[STATUS]]="Em andamento",Tabela18[[#This Row],[DATA REAL -EMAIL]]="",$AH37&lt;=$AF$1),3,
AND(Tabela18[[#This Row],[STATUS]]="Em andamento",Tabela18[[#This Row],[DATA REAL -EMAIL]]&lt;&gt;""),1)</f>
        <v>1</v>
      </c>
      <c r="H37" s="16" cm="1">
        <f t="array" aca="1" ref="H3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CLIENTE]]="",$AK37&gt;$AI$1),2,
AND(Tabela18[[#This Row],[STATUS]]="Em andamento",Tabela18[[#This Row],[DATA REAL - DOC CLIENTE]]="",$AK37&lt;=$AI$1),3,
AND(Tabela18[[#This Row],[STATUS]]="Em andamento",Tabela18[[#This Row],[DATA REAL - DOC CLIENTE]]&lt;&gt;""),1)</f>
        <v>1</v>
      </c>
      <c r="I37" s="16" cm="1">
        <f t="array" aca="1" ref="I3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06]]="",$AN37&gt;$AL$1),2,
AND(Tabela18[[#This Row],[STATUS]]="Em andamento",Tabela18[[#This Row],[DATA REAL - ANEXO 06]]="",$AN37&lt;=$AL$1),3,
AND(Tabela18[[#This Row],[STATUS]]="Em andamento",Tabela18[[#This Row],[DATA REAL - ANEXO 06]]&lt;&gt;""),1)</f>
        <v>1</v>
      </c>
      <c r="J37" s="15" cm="1">
        <f t="array" aca="1" ref="J3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LEGAIS]]="",$AQ37&gt;$AO$1),2,
AND(Tabela18[[#This Row],[STATUS]]="Em andamento",Tabela18[[#This Row],[DATA REAL - SOLIC. PROG LEGAIS]]="",$AQ37&lt;=$AO$1),3,
AND(Tabela18[[#This Row],[STATUS]]="Em andamento",Tabela18[[#This Row],[DATA REAL - SOLIC. PROG LEGAIS]]&lt;&gt;""),1)</f>
        <v>1</v>
      </c>
      <c r="K37" s="15" cm="1">
        <f t="array" aca="1" ref="K3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ENVIO]]="",$AT37&gt;$AR$1),2,
AND(Tabela18[[#This Row],[STATUS]]="Em andamento",Tabela18[[#This Row],[DATA REAL - ENVIO]]="",$AT37&lt;=$AR$1),3,
AND(Tabela18[[#This Row],[STATUS]]="Em andamento",Tabela18[[#This Row],[DATA REAL - ENVIO]]&lt;&gt;""),1)</f>
        <v>1</v>
      </c>
      <c r="L37" s="15" cm="1">
        <f t="array" aca="1" ref="L3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POSTAGEM]]="",$AW37&gt;$AU$1),2,
AND(Tabela18[[#This Row],[STATUS]]="Em andamento",Tabela18[[#This Row],[DATA REAL - POSTAGEM]]="",$AW37&lt;=$AU$1),3,
AND(Tabela18[[#This Row],[STATUS]]="Em andamento",Tabela18[[#This Row],[DATA REAL - POSTAGEM]]&lt;&gt;""),1)</f>
        <v>1</v>
      </c>
      <c r="M37" s="16" cm="1">
        <f t="array" aca="1" ref="M3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APROVAÇÃO]]="",$AZ37&gt;$AX$1),2,
AND(Tabela18[[#This Row],[STATUS]]="Em andamento",Tabela18[[#This Row],[DATA REAL - APROVAÇÃO]]="",$AZ37&lt;=$AX$1),3,
AND(Tabela18[[#This Row],[STATUS]]="Em andamento",Tabela18[[#This Row],[DATA REAL - APROVAÇÃO]]&lt;&gt;""),1)</f>
        <v>1</v>
      </c>
      <c r="N37" s="21">
        <f>IF(Tabela18[[#This Row],[DATA REAL -EMAIL]]&lt;&gt;"",Tabela18[[#This Row],[DATA REAL -EMAIL]]+30,Tabela18[[#This Row],[DATA PREV - EMAIL]]+30)</f>
        <v>45113</v>
      </c>
      <c r="O3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45105</v>
      </c>
      <c r="P3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22</v>
      </c>
      <c r="Q3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37" s="48">
        <f>MAX(Tabela18[[#This Row],[DATA REAL - POSTAGEM]],Tabela18[[#This Row],[DATA REAL - APROVAÇÃO]])-MIN(Tabela18[[#This Row],[DATA REAL - POSTAGEM]],Tabela18[[#This Row],[DATA REAL - APROVAÇÃO]])+1</f>
        <v>1</v>
      </c>
      <c r="S37" s="16"/>
      <c r="T37" s="16"/>
      <c r="U37" s="18"/>
      <c r="V37" s="18"/>
      <c r="W37" s="16" t="s">
        <v>97</v>
      </c>
      <c r="X37" s="16" t="s">
        <v>132</v>
      </c>
      <c r="Y37" s="16" t="s">
        <v>180</v>
      </c>
      <c r="Z37" s="15" t="s">
        <v>895</v>
      </c>
      <c r="AA37" s="15" t="str">
        <f>_xlfn.XLOOKUP(Tabela18[[#This Row],[CÓD. CT]],Controle_Projetos[COD CT],Controle_Projetos[COD PHD],"")</f>
        <v>SALU-CT02-MMB.</v>
      </c>
      <c r="AB37" s="16">
        <v>4518162496</v>
      </c>
      <c r="AC37" s="21"/>
      <c r="AD3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7" s="16" t="str" cm="1">
        <f t="array" aca="1" ref="AE3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7" s="21">
        <v>45083</v>
      </c>
      <c r="AG37" s="74">
        <v>45083</v>
      </c>
      <c r="AH37" s="16" cm="1">
        <f t="array" aca="1" ref="AH3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7" s="21">
        <v>45089</v>
      </c>
      <c r="AJ37" s="74">
        <v>45083</v>
      </c>
      <c r="AK37" s="16" cm="1">
        <f t="array" aca="1" ref="AK3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7" s="20">
        <f t="shared" si="5"/>
        <v>45090</v>
      </c>
      <c r="AM37" s="74">
        <v>45089</v>
      </c>
      <c r="AN37" s="15" cm="1">
        <f t="array" aca="1" ref="AN3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37" s="20">
        <f t="shared" si="6"/>
        <v>45090</v>
      </c>
      <c r="AP37" s="74">
        <v>45089</v>
      </c>
      <c r="AQ37" s="15" cm="1">
        <f t="array" aca="1" ref="AQ3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37" s="20">
        <f t="shared" si="7"/>
        <v>45103</v>
      </c>
      <c r="AS37" s="74">
        <v>45092</v>
      </c>
      <c r="AT37" s="15" cm="1">
        <f t="array" aca="1" ref="AT3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37" s="20">
        <f t="shared" si="8"/>
        <v>45099</v>
      </c>
      <c r="AV37" s="74">
        <v>45105</v>
      </c>
      <c r="AW37" s="15" cm="1">
        <f t="array" aca="1" ref="AW3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37" s="20">
        <f t="shared" si="9"/>
        <v>45106</v>
      </c>
      <c r="AY37" s="74">
        <v>45105</v>
      </c>
      <c r="AZ37" s="15" cm="1">
        <f t="array" aca="1" ref="AZ3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37" s="16"/>
    </row>
    <row r="38" spans="2:53" hidden="1" x14ac:dyDescent="0.35">
      <c r="B38" s="14" t="s">
        <v>79</v>
      </c>
      <c r="C38" s="16"/>
      <c r="D38" s="16" t="s">
        <v>108</v>
      </c>
      <c r="E38" s="16" t="s">
        <v>896</v>
      </c>
      <c r="F38" s="16" cm="1">
        <f t="array" ref="F38">_xlfn.IFS(Tabela18[[#This Row],[STATUS]]="Finalizado",1,Tabela18[[#This Row],[STATUS]]="Cancelado",2,Tabela18[[#This Row],[STATUS]]="Em andamento",3)</f>
        <v>1</v>
      </c>
      <c r="G38" s="16" cm="1">
        <f t="array" aca="1" ref="G3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-EMAIL]]="",$AH38&gt;$AF$1),2,
AND(Tabela18[[#This Row],[STATUS]]="Em andamento",Tabela18[[#This Row],[DATA REAL -EMAIL]]="",$AH38&lt;=$AF$1),3,
AND(Tabela18[[#This Row],[STATUS]]="Em andamento",Tabela18[[#This Row],[DATA REAL -EMAIL]]&lt;&gt;""),1)</f>
        <v>1</v>
      </c>
      <c r="H38" s="16" cm="1">
        <f t="array" aca="1" ref="H3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CLIENTE]]="",$AK38&gt;$AI$1),2,
AND(Tabela18[[#This Row],[STATUS]]="Em andamento",Tabela18[[#This Row],[DATA REAL - DOC CLIENTE]]="",$AK38&lt;=$AI$1),3,
AND(Tabela18[[#This Row],[STATUS]]="Em andamento",Tabela18[[#This Row],[DATA REAL - DOC CLIENTE]]&lt;&gt;""),1)</f>
        <v>1</v>
      </c>
      <c r="I38" s="16" cm="1">
        <f t="array" aca="1" ref="I3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06]]="",$AN38&gt;$AL$1),2,
AND(Tabela18[[#This Row],[STATUS]]="Em andamento",Tabela18[[#This Row],[DATA REAL - ANEXO 06]]="",$AN38&lt;=$AL$1),3,
AND(Tabela18[[#This Row],[STATUS]]="Em andamento",Tabela18[[#This Row],[DATA REAL - ANEXO 06]]&lt;&gt;""),1)</f>
        <v>1</v>
      </c>
      <c r="J38" s="15" cm="1">
        <f t="array" aca="1" ref="J3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LEGAIS]]="",$AQ38&gt;$AO$1),2,
AND(Tabela18[[#This Row],[STATUS]]="Em andamento",Tabela18[[#This Row],[DATA REAL - SOLIC. PROG LEGAIS]]="",$AQ38&lt;=$AO$1),3,
AND(Tabela18[[#This Row],[STATUS]]="Em andamento",Tabela18[[#This Row],[DATA REAL - SOLIC. PROG LEGAIS]]&lt;&gt;""),1)</f>
        <v>1</v>
      </c>
      <c r="K38" s="15" cm="1">
        <f t="array" aca="1" ref="K3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ENVIO]]="",$AT38&gt;$AR$1),2,
AND(Tabela18[[#This Row],[STATUS]]="Em andamento",Tabela18[[#This Row],[DATA REAL - ENVIO]]="",$AT38&lt;=$AR$1),3,
AND(Tabela18[[#This Row],[STATUS]]="Em andamento",Tabela18[[#This Row],[DATA REAL - ENVIO]]&lt;&gt;""),1)</f>
        <v>1</v>
      </c>
      <c r="L38" s="15" cm="1">
        <f t="array" aca="1" ref="L3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POSTAGEM]]="",$AW38&gt;$AU$1),2,
AND(Tabela18[[#This Row],[STATUS]]="Em andamento",Tabela18[[#This Row],[DATA REAL - POSTAGEM]]="",$AW38&lt;=$AU$1),3,
AND(Tabela18[[#This Row],[STATUS]]="Em andamento",Tabela18[[#This Row],[DATA REAL - POSTAGEM]]&lt;&gt;""),1)</f>
        <v>1</v>
      </c>
      <c r="M38" s="16" cm="1">
        <f t="array" aca="1" ref="M3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APROVAÇÃO]]="",$AZ38&gt;$AX$1),2,
AND(Tabela18[[#This Row],[STATUS]]="Em andamento",Tabela18[[#This Row],[DATA REAL - APROVAÇÃO]]="",$AZ38&lt;=$AX$1),3,
AND(Tabela18[[#This Row],[STATUS]]="Em andamento",Tabela18[[#This Row],[DATA REAL - APROVAÇÃO]]&lt;&gt;""),1)</f>
        <v>1</v>
      </c>
      <c r="N38" s="21">
        <f>IF(Tabela18[[#This Row],[DATA REAL -EMAIL]]&lt;&gt;"",Tabela18[[#This Row],[DATA REAL -EMAIL]]+30,Tabela18[[#This Row],[DATA PREV - EMAIL]]+30)</f>
        <v>45113</v>
      </c>
      <c r="O3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45098</v>
      </c>
      <c r="P3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v>
      </c>
      <c r="Q3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38" s="48">
        <f>MAX(Tabela18[[#This Row],[DATA REAL - POSTAGEM]],Tabela18[[#This Row],[DATA REAL - APROVAÇÃO]])-MIN(Tabela18[[#This Row],[DATA REAL - POSTAGEM]],Tabela18[[#This Row],[DATA REAL - APROVAÇÃO]])+1</f>
        <v>7</v>
      </c>
      <c r="S38" s="16"/>
      <c r="T38" s="16"/>
      <c r="U38" s="18"/>
      <c r="V38" s="18"/>
      <c r="W38" s="16" t="s">
        <v>97</v>
      </c>
      <c r="X38" s="16"/>
      <c r="Y38" s="16"/>
      <c r="Z38" s="15" t="s">
        <v>249</v>
      </c>
      <c r="AA38" s="15" t="str">
        <f>_xlfn.XLOOKUP(Tabela18[[#This Row],[CÓD. CT]],Controle_Projetos[COD CT],Controle_Projetos[COD PHD],"")</f>
        <v/>
      </c>
      <c r="AB38" s="16"/>
      <c r="AC38" s="21"/>
      <c r="AD38"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8" s="16" t="str" cm="1">
        <f t="array" aca="1" ref="AE3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8" s="21">
        <v>45083</v>
      </c>
      <c r="AG38" s="74">
        <v>45083</v>
      </c>
      <c r="AH38" s="16" cm="1">
        <f t="array" aca="1" ref="AH3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8" s="21">
        <v>45089</v>
      </c>
      <c r="AJ38" s="74">
        <v>45083</v>
      </c>
      <c r="AK38" s="16" cm="1">
        <f t="array" aca="1" ref="AK3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8" s="20">
        <f t="shared" si="5"/>
        <v>45090</v>
      </c>
      <c r="AM38" s="74">
        <v>45089</v>
      </c>
      <c r="AN38" s="15" cm="1">
        <f t="array" aca="1" ref="AN3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38" s="20">
        <f t="shared" si="6"/>
        <v>45090</v>
      </c>
      <c r="AP38" s="74">
        <v>45089</v>
      </c>
      <c r="AQ38" s="15" cm="1">
        <f t="array" aca="1" ref="AQ3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38" s="20">
        <f t="shared" si="7"/>
        <v>45103</v>
      </c>
      <c r="AS38" s="74">
        <v>45092</v>
      </c>
      <c r="AT38" s="15" cm="1">
        <f t="array" aca="1" ref="AT3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38" s="20">
        <f t="shared" si="8"/>
        <v>45099</v>
      </c>
      <c r="AV38" s="74">
        <v>45092</v>
      </c>
      <c r="AW38" s="15" cm="1">
        <f t="array" aca="1" ref="AW3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38" s="20">
        <f t="shared" si="9"/>
        <v>45093</v>
      </c>
      <c r="AY38" s="74">
        <v>45098</v>
      </c>
      <c r="AZ38" s="15" cm="1">
        <f t="array" aca="1" ref="AZ3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38" s="16"/>
    </row>
    <row r="39" spans="2:53" hidden="1" x14ac:dyDescent="0.35">
      <c r="B39" s="14" t="s">
        <v>79</v>
      </c>
      <c r="C39" s="16"/>
      <c r="D39" s="16" t="s">
        <v>108</v>
      </c>
      <c r="E39" s="16" t="s">
        <v>897</v>
      </c>
      <c r="F39" s="16" cm="1">
        <f t="array" ref="F39">_xlfn.IFS(Tabela18[[#This Row],[STATUS]]="Finalizado",1,Tabela18[[#This Row],[STATUS]]="Cancelado",2,Tabela18[[#This Row],[STATUS]]="Em andamento",3)</f>
        <v>1</v>
      </c>
      <c r="G39" s="16" cm="1">
        <f t="array" aca="1" ref="G3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-EMAIL]]="",$AH39&gt;$AF$1),2,
AND(Tabela18[[#This Row],[STATUS]]="Em andamento",Tabela18[[#This Row],[DATA REAL -EMAIL]]="",$AH39&lt;=$AF$1),3,
AND(Tabela18[[#This Row],[STATUS]]="Em andamento",Tabela18[[#This Row],[DATA REAL -EMAIL]]&lt;&gt;""),1)</f>
        <v>1</v>
      </c>
      <c r="H39" s="16" cm="1">
        <f t="array" aca="1" ref="H3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CLIENTE]]="",$AK39&gt;$AI$1),2,
AND(Tabela18[[#This Row],[STATUS]]="Em andamento",Tabela18[[#This Row],[DATA REAL - DOC CLIENTE]]="",$AK39&lt;=$AI$1),3,
AND(Tabela18[[#This Row],[STATUS]]="Em andamento",Tabela18[[#This Row],[DATA REAL - DOC CLIENTE]]&lt;&gt;""),1)</f>
        <v>1</v>
      </c>
      <c r="I39" s="16" cm="1">
        <f t="array" aca="1" ref="I3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06]]="",$AN39&gt;$AL$1),2,
AND(Tabela18[[#This Row],[STATUS]]="Em andamento",Tabela18[[#This Row],[DATA REAL - ANEXO 06]]="",$AN39&lt;=$AL$1),3,
AND(Tabela18[[#This Row],[STATUS]]="Em andamento",Tabela18[[#This Row],[DATA REAL - ANEXO 06]]&lt;&gt;""),1)</f>
        <v>1</v>
      </c>
      <c r="J39" s="15" cm="1">
        <f t="array" aca="1" ref="J3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LEGAIS]]="",$AQ39&gt;$AO$1),2,
AND(Tabela18[[#This Row],[STATUS]]="Em andamento",Tabela18[[#This Row],[DATA REAL - SOLIC. PROG LEGAIS]]="",$AQ39&lt;=$AO$1),3,
AND(Tabela18[[#This Row],[STATUS]]="Em andamento",Tabela18[[#This Row],[DATA REAL - SOLIC. PROG LEGAIS]]&lt;&gt;""),1)</f>
        <v>1</v>
      </c>
      <c r="K39" s="15" cm="1">
        <f t="array" aca="1" ref="K3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ENVIO]]="",$AT39&gt;$AR$1),2,
AND(Tabela18[[#This Row],[STATUS]]="Em andamento",Tabela18[[#This Row],[DATA REAL - ENVIO]]="",$AT39&lt;=$AR$1),3,
AND(Tabela18[[#This Row],[STATUS]]="Em andamento",Tabela18[[#This Row],[DATA REAL - ENVIO]]&lt;&gt;""),1)</f>
        <v>1</v>
      </c>
      <c r="L39" s="15" cm="1">
        <f t="array" aca="1" ref="L3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POSTAGEM]]="",$AW39&gt;$AU$1),2,
AND(Tabela18[[#This Row],[STATUS]]="Em andamento",Tabela18[[#This Row],[DATA REAL - POSTAGEM]]="",$AW39&lt;=$AU$1),3,
AND(Tabela18[[#This Row],[STATUS]]="Em andamento",Tabela18[[#This Row],[DATA REAL - POSTAGEM]]&lt;&gt;""),1)</f>
        <v>1</v>
      </c>
      <c r="M39" s="16" cm="1">
        <f t="array" aca="1" ref="M3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APROVAÇÃO]]="",$AZ39&gt;$AX$1),2,
AND(Tabela18[[#This Row],[STATUS]]="Em andamento",Tabela18[[#This Row],[DATA REAL - APROVAÇÃO]]="",$AZ39&lt;=$AX$1),3,
AND(Tabela18[[#This Row],[STATUS]]="Em andamento",Tabela18[[#This Row],[DATA REAL - APROVAÇÃO]]&lt;&gt;""),1)</f>
        <v>1</v>
      </c>
      <c r="N39" s="21">
        <f>IF(Tabela18[[#This Row],[DATA REAL -EMAIL]]&lt;&gt;"",Tabela18[[#This Row],[DATA REAL -EMAIL]]+30,Tabela18[[#This Row],[DATA PREV - EMAIL]]+30)</f>
        <v>45113</v>
      </c>
      <c r="O3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45160</v>
      </c>
      <c r="P3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77</v>
      </c>
      <c r="Q3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v>
      </c>
      <c r="R39" s="48">
        <f>MAX(Tabela18[[#This Row],[DATA REAL - POSTAGEM]],Tabela18[[#This Row],[DATA REAL - APROVAÇÃO]])-MIN(Tabela18[[#This Row],[DATA REAL - POSTAGEM]],Tabela18[[#This Row],[DATA REAL - APROVAÇÃO]])+1</f>
        <v>40</v>
      </c>
      <c r="S39" s="16"/>
      <c r="T39" s="16"/>
      <c r="U39" s="18"/>
      <c r="V39" s="18"/>
      <c r="W39" s="16" t="s">
        <v>87</v>
      </c>
      <c r="X39" s="16" t="s">
        <v>89</v>
      </c>
      <c r="Y39" s="16" t="s">
        <v>105</v>
      </c>
      <c r="Z39" s="15" t="s">
        <v>249</v>
      </c>
      <c r="AA39" s="15" t="str">
        <f>_xlfn.XLOOKUP(Tabela18[[#This Row],[CÓD. CT]],Controle_Projetos[COD CT],Controle_Projetos[COD PHD],"")</f>
        <v/>
      </c>
      <c r="AB39" s="16"/>
      <c r="AC39" s="21"/>
      <c r="AD39"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39" s="16" t="str" cm="1">
        <f t="array" aca="1" ref="AE3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39" s="21">
        <v>45083</v>
      </c>
      <c r="AG39" s="74">
        <v>45083</v>
      </c>
      <c r="AH39" s="16" cm="1">
        <f t="array" aca="1" ref="AH3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39" s="21">
        <v>45063</v>
      </c>
      <c r="AJ39" s="74">
        <v>45083</v>
      </c>
      <c r="AK39" s="16" cm="1">
        <f t="array" aca="1" ref="AK3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39" s="20">
        <f t="shared" si="5"/>
        <v>45090</v>
      </c>
      <c r="AM39" s="74">
        <v>45091</v>
      </c>
      <c r="AN39" s="15" cm="1">
        <f t="array" aca="1" ref="AN3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39" s="20">
        <f t="shared" si="6"/>
        <v>45092</v>
      </c>
      <c r="AP39" s="74">
        <v>45099</v>
      </c>
      <c r="AQ39" s="15" cm="1">
        <f t="array" aca="1" ref="AQ3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8</v>
      </c>
      <c r="AR39" s="20">
        <f t="shared" si="7"/>
        <v>45113</v>
      </c>
      <c r="AS39" s="74">
        <v>45103</v>
      </c>
      <c r="AT39" s="15" cm="1">
        <f t="array" aca="1" ref="AT3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39" s="20">
        <f t="shared" si="8"/>
        <v>45110</v>
      </c>
      <c r="AV39" s="74">
        <v>45121</v>
      </c>
      <c r="AW39" s="15" cm="1">
        <f t="array" aca="1" ref="AW3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12</v>
      </c>
      <c r="AX39" s="20">
        <f t="shared" si="9"/>
        <v>45124</v>
      </c>
      <c r="AY39" s="74">
        <v>45160</v>
      </c>
      <c r="AZ39" s="15" cm="1">
        <f t="array" aca="1" ref="AZ3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37</v>
      </c>
      <c r="BA39" s="16" t="s">
        <v>898</v>
      </c>
    </row>
    <row r="40" spans="2:53" hidden="1" x14ac:dyDescent="0.35">
      <c r="B40" s="14" t="s">
        <v>79</v>
      </c>
      <c r="C40" s="16" t="s">
        <v>867</v>
      </c>
      <c r="D40" s="16" t="s">
        <v>108</v>
      </c>
      <c r="E40" s="16" t="s">
        <v>899</v>
      </c>
      <c r="F40" s="16" cm="1">
        <f t="array" ref="F40">_xlfn.IFS(Tabela18[[#This Row],[STATUS]]="Finalizado",1,Tabela18[[#This Row],[STATUS]]="Cancelado",2,Tabela18[[#This Row],[STATUS]]="Em andamento",3)</f>
        <v>1</v>
      </c>
      <c r="G40" s="16" cm="1">
        <f t="array" aca="1" ref="G4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-EMAIL]]="",$AH40&gt;$AF$1),2,
AND(Tabela18[[#This Row],[STATUS]]="Em andamento",Tabela18[[#This Row],[DATA REAL -EMAIL]]="",$AH40&lt;=$AF$1),3,
AND(Tabela18[[#This Row],[STATUS]]="Em andamento",Tabela18[[#This Row],[DATA REAL -EMAIL]]&lt;&gt;""),1)</f>
        <v>1</v>
      </c>
      <c r="H40" s="16" cm="1">
        <f t="array" aca="1" ref="H4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CLIENTE]]="",$AK40&gt;$AI$1),2,
AND(Tabela18[[#This Row],[STATUS]]="Em andamento",Tabela18[[#This Row],[DATA REAL - DOC CLIENTE]]="",$AK40&lt;=$AI$1),3,
AND(Tabela18[[#This Row],[STATUS]]="Em andamento",Tabela18[[#This Row],[DATA REAL - DOC CLIENTE]]&lt;&gt;""),1)</f>
        <v>1</v>
      </c>
      <c r="I40" s="16" cm="1">
        <f t="array" aca="1" ref="I4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06]]="",$AN40&gt;$AL$1),2,
AND(Tabela18[[#This Row],[STATUS]]="Em andamento",Tabela18[[#This Row],[DATA REAL - ANEXO 06]]="",$AN40&lt;=$AL$1),3,
AND(Tabela18[[#This Row],[STATUS]]="Em andamento",Tabela18[[#This Row],[DATA REAL - ANEXO 06]]&lt;&gt;""),1)</f>
        <v>1</v>
      </c>
      <c r="J40" s="15" cm="1">
        <f t="array" aca="1" ref="J4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LEGAIS]]="",$AQ40&gt;$AO$1),2,
AND(Tabela18[[#This Row],[STATUS]]="Em andamento",Tabela18[[#This Row],[DATA REAL - SOLIC. PROG LEGAIS]]="",$AQ40&lt;=$AO$1),3,
AND(Tabela18[[#This Row],[STATUS]]="Em andamento",Tabela18[[#This Row],[DATA REAL - SOLIC. PROG LEGAIS]]&lt;&gt;""),1)</f>
        <v>1</v>
      </c>
      <c r="K40" s="15" cm="1">
        <f t="array" aca="1" ref="K4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ENVIO]]="",$AT40&gt;$AR$1),2,
AND(Tabela18[[#This Row],[STATUS]]="Em andamento",Tabela18[[#This Row],[DATA REAL - ENVIO]]="",$AT40&lt;=$AR$1),3,
AND(Tabela18[[#This Row],[STATUS]]="Em andamento",Tabela18[[#This Row],[DATA REAL - ENVIO]]&lt;&gt;""),1)</f>
        <v>1</v>
      </c>
      <c r="L40" s="15" cm="1">
        <f t="array" aca="1" ref="L4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POSTAGEM]]="",$AW40&gt;$AU$1),2,
AND(Tabela18[[#This Row],[STATUS]]="Em andamento",Tabela18[[#This Row],[DATA REAL - POSTAGEM]]="",$AW40&lt;=$AU$1),3,
AND(Tabela18[[#This Row],[STATUS]]="Em andamento",Tabela18[[#This Row],[DATA REAL - POSTAGEM]]&lt;&gt;""),1)</f>
        <v>1</v>
      </c>
      <c r="M40" s="16" cm="1">
        <f t="array" aca="1" ref="M4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APROVAÇÃO]]="",$AZ40&gt;$AX$1),2,
AND(Tabela18[[#This Row],[STATUS]]="Em andamento",Tabela18[[#This Row],[DATA REAL - APROVAÇÃO]]="",$AZ40&lt;=$AX$1),3,
AND(Tabela18[[#This Row],[STATUS]]="Em andamento",Tabela18[[#This Row],[DATA REAL - APROVAÇÃO]]&lt;&gt;""),1)</f>
        <v>1</v>
      </c>
      <c r="N40" s="21">
        <f>IF(Tabela18[[#This Row],[DATA REAL -EMAIL]]&lt;&gt;"",Tabela18[[#This Row],[DATA REAL -EMAIL]]+30,Tabela18[[#This Row],[DATA PREV - EMAIL]]+30)</f>
        <v>45134</v>
      </c>
      <c r="O4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45147</v>
      </c>
      <c r="P4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43</v>
      </c>
      <c r="Q4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v>
      </c>
      <c r="R40" s="48">
        <f>MAX(Tabela18[[#This Row],[DATA REAL - POSTAGEM]],Tabela18[[#This Row],[DATA REAL - APROVAÇÃO]])-MIN(Tabela18[[#This Row],[DATA REAL - POSTAGEM]],Tabela18[[#This Row],[DATA REAL - APROVAÇÃO]])+1</f>
        <v>30</v>
      </c>
      <c r="S40" s="16"/>
      <c r="T40" s="16"/>
      <c r="U40" s="18"/>
      <c r="V40" s="18"/>
      <c r="W40" s="16" t="s">
        <v>97</v>
      </c>
      <c r="X40" s="16"/>
      <c r="Y40" s="16"/>
      <c r="Z40" s="15" t="s">
        <v>249</v>
      </c>
      <c r="AA40" s="15" t="str">
        <f>_xlfn.XLOOKUP(Tabela18[[#This Row],[CÓD. CT]],Controle_Projetos[COD CT],Controle_Projetos[COD PHD],"")</f>
        <v/>
      </c>
      <c r="AB40" s="16"/>
      <c r="AC40" s="21"/>
      <c r="AD4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0" s="16" t="str" cm="1">
        <f t="array" aca="1" ref="AE4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0" s="21">
        <v>45104</v>
      </c>
      <c r="AG40" s="74">
        <v>45104</v>
      </c>
      <c r="AH40" s="16" cm="1">
        <f t="array" aca="1" ref="AH4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0" s="21">
        <v>45104</v>
      </c>
      <c r="AJ40" s="74">
        <v>45104</v>
      </c>
      <c r="AK40" s="16" cm="1">
        <f t="array" aca="1" ref="AK4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0" s="20">
        <f t="shared" si="5"/>
        <v>45111</v>
      </c>
      <c r="AM40" s="74">
        <v>45104</v>
      </c>
      <c r="AN40" s="15" cm="1">
        <f t="array" aca="1" ref="AN4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40" s="20">
        <f t="shared" si="6"/>
        <v>45105</v>
      </c>
      <c r="AP40" s="74">
        <v>45104</v>
      </c>
      <c r="AQ40" s="15" cm="1">
        <f t="array" aca="1" ref="AQ4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40" s="20">
        <f t="shared" si="7"/>
        <v>45118</v>
      </c>
      <c r="AS40" s="74">
        <v>45107</v>
      </c>
      <c r="AT40" s="15" cm="1">
        <f t="array" aca="1" ref="AT4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40" s="20">
        <f t="shared" si="8"/>
        <v>45114</v>
      </c>
      <c r="AV40" s="74">
        <v>45118</v>
      </c>
      <c r="AW40" s="15" cm="1">
        <f t="array" aca="1" ref="AW4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40" s="20">
        <f t="shared" si="9"/>
        <v>45119</v>
      </c>
      <c r="AY40" s="74">
        <v>45147</v>
      </c>
      <c r="AZ40" s="15" cm="1">
        <f t="array" aca="1" ref="AZ4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29</v>
      </c>
      <c r="BA40" s="16" t="s">
        <v>900</v>
      </c>
    </row>
    <row r="41" spans="2:53" hidden="1" x14ac:dyDescent="0.35">
      <c r="B41" s="14" t="s">
        <v>79</v>
      </c>
      <c r="C41" s="16" t="s">
        <v>867</v>
      </c>
      <c r="D41" s="16" t="s">
        <v>108</v>
      </c>
      <c r="E41" s="16" t="s">
        <v>901</v>
      </c>
      <c r="F41" s="16" cm="1">
        <f t="array" ref="F41">_xlfn.IFS(Tabela18[[#This Row],[STATUS]]="Finalizado",1,Tabela18[[#This Row],[STATUS]]="Cancelado",2,Tabela18[[#This Row],[STATUS]]="Em andamento",3)</f>
        <v>1</v>
      </c>
      <c r="G41" s="16" cm="1">
        <f t="array" aca="1" ref="G4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-EMAIL]]="",$AH41&gt;$AF$1),2,
AND(Tabela18[[#This Row],[STATUS]]="Em andamento",Tabela18[[#This Row],[DATA REAL -EMAIL]]="",$AH41&lt;=$AF$1),3,
AND(Tabela18[[#This Row],[STATUS]]="Em andamento",Tabela18[[#This Row],[DATA REAL -EMAIL]]&lt;&gt;""),1)</f>
        <v>1</v>
      </c>
      <c r="H41" s="16" cm="1">
        <f t="array" aca="1" ref="H4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CLIENTE]]="",$AK41&gt;$AI$1),2,
AND(Tabela18[[#This Row],[STATUS]]="Em andamento",Tabela18[[#This Row],[DATA REAL - DOC CLIENTE]]="",$AK41&lt;=$AI$1),3,
AND(Tabela18[[#This Row],[STATUS]]="Em andamento",Tabela18[[#This Row],[DATA REAL - DOC CLIENTE]]&lt;&gt;""),1)</f>
        <v>1</v>
      </c>
      <c r="I41" s="16" cm="1">
        <f t="array" aca="1" ref="I4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06]]="",$AN41&gt;$AL$1),2,
AND(Tabela18[[#This Row],[STATUS]]="Em andamento",Tabela18[[#This Row],[DATA REAL - ANEXO 06]]="",$AN41&lt;=$AL$1),3,
AND(Tabela18[[#This Row],[STATUS]]="Em andamento",Tabela18[[#This Row],[DATA REAL - ANEXO 06]]&lt;&gt;""),1)</f>
        <v>1</v>
      </c>
      <c r="J41" s="15" cm="1">
        <f t="array" aca="1" ref="J4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LEGAIS]]="",$AQ41&gt;$AO$1),2,
AND(Tabela18[[#This Row],[STATUS]]="Em andamento",Tabela18[[#This Row],[DATA REAL - SOLIC. PROG LEGAIS]]="",$AQ41&lt;=$AO$1),3,
AND(Tabela18[[#This Row],[STATUS]]="Em andamento",Tabela18[[#This Row],[DATA REAL - SOLIC. PROG LEGAIS]]&lt;&gt;""),1)</f>
        <v>1</v>
      </c>
      <c r="K41" s="15" cm="1">
        <f t="array" aca="1" ref="K4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ENVIO]]="",$AT41&gt;$AR$1),2,
AND(Tabela18[[#This Row],[STATUS]]="Em andamento",Tabela18[[#This Row],[DATA REAL - ENVIO]]="",$AT41&lt;=$AR$1),3,
AND(Tabela18[[#This Row],[STATUS]]="Em andamento",Tabela18[[#This Row],[DATA REAL - ENVIO]]&lt;&gt;""),1)</f>
        <v>1</v>
      </c>
      <c r="L41" s="15" cm="1">
        <f t="array" aca="1" ref="L4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POSTAGEM]]="",$AW41&gt;$AU$1),2,
AND(Tabela18[[#This Row],[STATUS]]="Em andamento",Tabela18[[#This Row],[DATA REAL - POSTAGEM]]="",$AW41&lt;=$AU$1),3,
AND(Tabela18[[#This Row],[STATUS]]="Em andamento",Tabela18[[#This Row],[DATA REAL - POSTAGEM]]&lt;&gt;""),1)</f>
        <v>1</v>
      </c>
      <c r="M41" s="16" cm="1">
        <f t="array" aca="1" ref="M4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APROVAÇÃO]]="",$AZ41&gt;$AX$1),2,
AND(Tabela18[[#This Row],[STATUS]]="Em andamento",Tabela18[[#This Row],[DATA REAL - APROVAÇÃO]]="",$AZ41&lt;=$AX$1),3,
AND(Tabela18[[#This Row],[STATUS]]="Em andamento",Tabela18[[#This Row],[DATA REAL - APROVAÇÃO]]&lt;&gt;""),1)</f>
        <v>1</v>
      </c>
      <c r="N41" s="21">
        <f>IF(Tabela18[[#This Row],[DATA REAL -EMAIL]]&lt;&gt;"",Tabela18[[#This Row],[DATA REAL -EMAIL]]+30,Tabela18[[#This Row],[DATA PREV - EMAIL]]+30)</f>
        <v>45135</v>
      </c>
      <c r="O4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45135</v>
      </c>
      <c r="P4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30</v>
      </c>
      <c r="Q4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41" s="48">
        <f>MAX(Tabela18[[#This Row],[DATA REAL - POSTAGEM]],Tabela18[[#This Row],[DATA REAL - APROVAÇÃO]])-MIN(Tabela18[[#This Row],[DATA REAL - POSTAGEM]],Tabela18[[#This Row],[DATA REAL - APROVAÇÃO]])+1</f>
        <v>3</v>
      </c>
      <c r="S41" s="16"/>
      <c r="T41" s="16"/>
      <c r="U41" s="18"/>
      <c r="V41" s="18"/>
      <c r="W41" s="16" t="s">
        <v>97</v>
      </c>
      <c r="X41" s="16"/>
      <c r="Y41" s="16"/>
      <c r="Z41" s="15" t="s">
        <v>249</v>
      </c>
      <c r="AA41" s="15" t="str">
        <f>_xlfn.XLOOKUP(Tabela18[[#This Row],[CÓD. CT]],Controle_Projetos[COD CT],Controle_Projetos[COD PHD],"")</f>
        <v/>
      </c>
      <c r="AB41" s="16"/>
      <c r="AC41" s="21"/>
      <c r="AD4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1" s="16" t="str" cm="1">
        <f t="array" aca="1" ref="AE4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1" s="21">
        <v>45105</v>
      </c>
      <c r="AG41" s="74">
        <v>45105</v>
      </c>
      <c r="AH41" s="16" cm="1">
        <f t="array" aca="1" ref="AH4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1" s="21">
        <v>45104</v>
      </c>
      <c r="AJ41" s="74">
        <v>45105</v>
      </c>
      <c r="AK41" s="16" cm="1">
        <f t="array" aca="1" ref="AK4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1" s="20">
        <f t="shared" si="5"/>
        <v>45112</v>
      </c>
      <c r="AM41" s="74">
        <v>45106</v>
      </c>
      <c r="AN41" s="15" cm="1">
        <f t="array" aca="1" ref="AN4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41" s="20">
        <f t="shared" si="6"/>
        <v>45107</v>
      </c>
      <c r="AP41" s="74">
        <v>45105</v>
      </c>
      <c r="AQ41" s="15" cm="1">
        <f t="array" aca="1" ref="AQ4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41" s="20">
        <f t="shared" si="7"/>
        <v>45119</v>
      </c>
      <c r="AS41" s="74">
        <v>45111</v>
      </c>
      <c r="AT41" s="15" cm="1">
        <f t="array" aca="1" ref="AT4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41" s="20">
        <f t="shared" si="8"/>
        <v>45118</v>
      </c>
      <c r="AV41" s="74">
        <v>45133</v>
      </c>
      <c r="AW41" s="15" cm="1">
        <f t="array" aca="1" ref="AW4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16</v>
      </c>
      <c r="AX41" s="20">
        <f t="shared" si="9"/>
        <v>45134</v>
      </c>
      <c r="AY41" s="74">
        <v>45135</v>
      </c>
      <c r="AZ41" s="15" cm="1">
        <f t="array" aca="1" ref="AZ4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41" s="16" t="s">
        <v>902</v>
      </c>
    </row>
    <row r="42" spans="2:53" hidden="1" x14ac:dyDescent="0.35">
      <c r="B42" s="14" t="s">
        <v>79</v>
      </c>
      <c r="C42" s="16" t="s">
        <v>867</v>
      </c>
      <c r="D42" s="16" t="s">
        <v>81</v>
      </c>
      <c r="E42" s="16" t="s">
        <v>903</v>
      </c>
      <c r="F42" s="16" cm="1">
        <f t="array" ref="F42">_xlfn.IFS(Tabela18[[#This Row],[STATUS]]="Finalizado",1,Tabela18[[#This Row],[STATUS]]="Cancelado",2,Tabela18[[#This Row],[STATUS]]="Em andamento",3)</f>
        <v>1</v>
      </c>
      <c r="G42" s="16" cm="1">
        <f t="array" aca="1" ref="G4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-EMAIL]]="",$AH42&gt;$AF$1),2,
AND(Tabela18[[#This Row],[STATUS]]="Em andamento",Tabela18[[#This Row],[DATA REAL -EMAIL]]="",$AH42&lt;=$AF$1),3,
AND(Tabela18[[#This Row],[STATUS]]="Em andamento",Tabela18[[#This Row],[DATA REAL -EMAIL]]&lt;&gt;""),1)</f>
        <v>1</v>
      </c>
      <c r="H42" s="16" cm="1">
        <f t="array" aca="1" ref="H4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CLIENTE]]="",$AK42&gt;$AI$1),2,
AND(Tabela18[[#This Row],[STATUS]]="Em andamento",Tabela18[[#This Row],[DATA REAL - DOC CLIENTE]]="",$AK42&lt;=$AI$1),3,
AND(Tabela18[[#This Row],[STATUS]]="Em andamento",Tabela18[[#This Row],[DATA REAL - DOC CLIENTE]]&lt;&gt;""),1)</f>
        <v>1</v>
      </c>
      <c r="I42" s="16" cm="1">
        <f t="array" aca="1" ref="I4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06]]="",$AN42&gt;$AL$1),2,
AND(Tabela18[[#This Row],[STATUS]]="Em andamento",Tabela18[[#This Row],[DATA REAL - ANEXO 06]]="",$AN42&lt;=$AL$1),3,
AND(Tabela18[[#This Row],[STATUS]]="Em andamento",Tabela18[[#This Row],[DATA REAL - ANEXO 06]]&lt;&gt;""),1)</f>
        <v>1</v>
      </c>
      <c r="J42" s="15" cm="1">
        <f t="array" aca="1" ref="J4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LEGAIS]]="",$AQ42&gt;$AO$1),2,
AND(Tabela18[[#This Row],[STATUS]]="Em andamento",Tabela18[[#This Row],[DATA REAL - SOLIC. PROG LEGAIS]]="",$AQ42&lt;=$AO$1),3,
AND(Tabela18[[#This Row],[STATUS]]="Em andamento",Tabela18[[#This Row],[DATA REAL - SOLIC. PROG LEGAIS]]&lt;&gt;""),1)</f>
        <v>1</v>
      </c>
      <c r="K42" s="15" cm="1">
        <f t="array" aca="1" ref="K4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ENVIO]]="",$AT42&gt;$AR$1),2,
AND(Tabela18[[#This Row],[STATUS]]="Em andamento",Tabela18[[#This Row],[DATA REAL - ENVIO]]="",$AT42&lt;=$AR$1),3,
AND(Tabela18[[#This Row],[STATUS]]="Em andamento",Tabela18[[#This Row],[DATA REAL - ENVIO]]&lt;&gt;""),1)</f>
        <v>1</v>
      </c>
      <c r="L42" s="15" cm="1">
        <f t="array" aca="1" ref="L4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POSTAGEM]]="",$AW42&gt;$AU$1),2,
AND(Tabela18[[#This Row],[STATUS]]="Em andamento",Tabela18[[#This Row],[DATA REAL - POSTAGEM]]="",$AW42&lt;=$AU$1),3,
AND(Tabela18[[#This Row],[STATUS]]="Em andamento",Tabela18[[#This Row],[DATA REAL - POSTAGEM]]&lt;&gt;""),1)</f>
        <v>1</v>
      </c>
      <c r="M42" s="16" cm="1">
        <f t="array" aca="1" ref="M4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APROVAÇÃO]]="",$AZ42&gt;$AX$1),2,
AND(Tabela18[[#This Row],[STATUS]]="Em andamento",Tabela18[[#This Row],[DATA REAL - APROVAÇÃO]]="",$AZ42&lt;=$AX$1),3,
AND(Tabela18[[#This Row],[STATUS]]="Em andamento",Tabela18[[#This Row],[DATA REAL - APROVAÇÃO]]&lt;&gt;""),1)</f>
        <v>1</v>
      </c>
      <c r="N42" s="21">
        <f>IF(Tabela18[[#This Row],[DATA REAL -EMAIL]]&lt;&gt;"",Tabela18[[#This Row],[DATA REAL -EMAIL]]+30,Tabela18[[#This Row],[DATA PREV - EMAIL]]+30)</f>
        <v>45143</v>
      </c>
      <c r="O4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45117</v>
      </c>
      <c r="P4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v>
      </c>
      <c r="Q4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42" s="48">
        <f>MAX(Tabela18[[#This Row],[DATA REAL - POSTAGEM]],Tabela18[[#This Row],[DATA REAL - APROVAÇÃO]])-MIN(Tabela18[[#This Row],[DATA REAL - POSTAGEM]],Tabela18[[#This Row],[DATA REAL - APROVAÇÃO]])+1</f>
        <v>1</v>
      </c>
      <c r="S42" s="16"/>
      <c r="T42" s="16"/>
      <c r="U42" s="18"/>
      <c r="V42" s="18"/>
      <c r="W42" s="16" t="s">
        <v>97</v>
      </c>
      <c r="X42" s="16"/>
      <c r="Y42" s="16"/>
      <c r="Z42" s="15" t="s">
        <v>249</v>
      </c>
      <c r="AA42" s="15" t="str">
        <f>_xlfn.XLOOKUP(Tabela18[[#This Row],[CÓD. CT]],Controle_Projetos[COD CT],Controle_Projetos[COD PHD],"")</f>
        <v/>
      </c>
      <c r="AB42" s="16"/>
      <c r="AC42" s="21"/>
      <c r="AD4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2" s="16" t="str" cm="1">
        <f t="array" aca="1" ref="AE4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2" s="21">
        <v>45113</v>
      </c>
      <c r="AG42" s="74">
        <v>45113</v>
      </c>
      <c r="AH42" s="16" cm="1">
        <f t="array" aca="1" ref="AH4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2" s="21">
        <v>45113</v>
      </c>
      <c r="AJ42" s="74">
        <v>45113</v>
      </c>
      <c r="AK42" s="16" cm="1">
        <f t="array" aca="1" ref="AK4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2" s="20">
        <f t="shared" si="5"/>
        <v>45120</v>
      </c>
      <c r="AM42" s="74">
        <v>45117</v>
      </c>
      <c r="AN42" s="15" cm="1">
        <f t="array" aca="1" ref="AN4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42" s="20">
        <f t="shared" si="6"/>
        <v>45118</v>
      </c>
      <c r="AP42" s="74">
        <v>45117</v>
      </c>
      <c r="AQ42" s="15" cm="1">
        <f t="array" aca="1" ref="AQ4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42" s="20">
        <f t="shared" si="7"/>
        <v>45131</v>
      </c>
      <c r="AS42" s="74">
        <v>45117</v>
      </c>
      <c r="AT42" s="15" cm="1">
        <f t="array" aca="1" ref="AT4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42" s="20">
        <f t="shared" si="8"/>
        <v>45124</v>
      </c>
      <c r="AV42" s="74">
        <v>45117</v>
      </c>
      <c r="AW42" s="15" cm="1">
        <f t="array" aca="1" ref="AW4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42" s="20">
        <f t="shared" si="9"/>
        <v>45118</v>
      </c>
      <c r="AY42" s="74">
        <v>45117</v>
      </c>
      <c r="AZ42" s="15" cm="1">
        <f t="array" aca="1" ref="AZ4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42" s="16"/>
    </row>
    <row r="43" spans="2:53" hidden="1" x14ac:dyDescent="0.35">
      <c r="B43" s="14" t="s">
        <v>79</v>
      </c>
      <c r="C43" s="16" t="s">
        <v>867</v>
      </c>
      <c r="D43" s="16" t="s">
        <v>81</v>
      </c>
      <c r="E43" s="16" t="s">
        <v>904</v>
      </c>
      <c r="F43" s="16" cm="1">
        <f t="array" ref="F43">_xlfn.IFS(Tabela18[[#This Row],[STATUS]]="Finalizado",1,Tabela18[[#This Row],[STATUS]]="Cancelado",2,Tabela18[[#This Row],[STATUS]]="Em andamento",3)</f>
        <v>1</v>
      </c>
      <c r="G43" s="16" cm="1">
        <f t="array" aca="1" ref="G4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-EMAIL]]="",$AH43&gt;$AF$1),2,
AND(Tabela18[[#This Row],[STATUS]]="Em andamento",Tabela18[[#This Row],[DATA REAL -EMAIL]]="",$AH43&lt;=$AF$1),3,
AND(Tabela18[[#This Row],[STATUS]]="Em andamento",Tabela18[[#This Row],[DATA REAL -EMAIL]]&lt;&gt;""),1)</f>
        <v>1</v>
      </c>
      <c r="H43" s="16" cm="1">
        <f t="array" aca="1" ref="H4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CLIENTE]]="",$AK43&gt;$AI$1),2,
AND(Tabela18[[#This Row],[STATUS]]="Em andamento",Tabela18[[#This Row],[DATA REAL - DOC CLIENTE]]="",$AK43&lt;=$AI$1),3,
AND(Tabela18[[#This Row],[STATUS]]="Em andamento",Tabela18[[#This Row],[DATA REAL - DOC CLIENTE]]&lt;&gt;""),1)</f>
        <v>1</v>
      </c>
      <c r="I43" s="16" cm="1">
        <f t="array" aca="1" ref="I4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06]]="",$AN43&gt;$AL$1),2,
AND(Tabela18[[#This Row],[STATUS]]="Em andamento",Tabela18[[#This Row],[DATA REAL - ANEXO 06]]="",$AN43&lt;=$AL$1),3,
AND(Tabela18[[#This Row],[STATUS]]="Em andamento",Tabela18[[#This Row],[DATA REAL - ANEXO 06]]&lt;&gt;""),1)</f>
        <v>1</v>
      </c>
      <c r="J43" s="15" cm="1">
        <f t="array" aca="1" ref="J4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LEGAIS]]="",$AQ43&gt;$AO$1),2,
AND(Tabela18[[#This Row],[STATUS]]="Em andamento",Tabela18[[#This Row],[DATA REAL - SOLIC. PROG LEGAIS]]="",$AQ43&lt;=$AO$1),3,
AND(Tabela18[[#This Row],[STATUS]]="Em andamento",Tabela18[[#This Row],[DATA REAL - SOLIC. PROG LEGAIS]]&lt;&gt;""),1)</f>
        <v>1</v>
      </c>
      <c r="K43" s="15" cm="1">
        <f t="array" aca="1" ref="K4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ENVIO]]="",$AT43&gt;$AR$1),2,
AND(Tabela18[[#This Row],[STATUS]]="Em andamento",Tabela18[[#This Row],[DATA REAL - ENVIO]]="",$AT43&lt;=$AR$1),3,
AND(Tabela18[[#This Row],[STATUS]]="Em andamento",Tabela18[[#This Row],[DATA REAL - ENVIO]]&lt;&gt;""),1)</f>
        <v>1</v>
      </c>
      <c r="L43" s="15" cm="1">
        <f t="array" aca="1" ref="L4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POSTAGEM]]="",$AW43&gt;$AU$1),2,
AND(Tabela18[[#This Row],[STATUS]]="Em andamento",Tabela18[[#This Row],[DATA REAL - POSTAGEM]]="",$AW43&lt;=$AU$1),3,
AND(Tabela18[[#This Row],[STATUS]]="Em andamento",Tabela18[[#This Row],[DATA REAL - POSTAGEM]]&lt;&gt;""),1)</f>
        <v>1</v>
      </c>
      <c r="M43" s="16" cm="1">
        <f t="array" aca="1" ref="M4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APROVAÇÃO]]="",$AZ43&gt;$AX$1),2,
AND(Tabela18[[#This Row],[STATUS]]="Em andamento",Tabela18[[#This Row],[DATA REAL - APROVAÇÃO]]="",$AZ43&lt;=$AX$1),3,
AND(Tabela18[[#This Row],[STATUS]]="Em andamento",Tabela18[[#This Row],[DATA REAL - APROVAÇÃO]]&lt;&gt;""),1)</f>
        <v>1</v>
      </c>
      <c r="N43" s="21">
        <f>IF(Tabela18[[#This Row],[DATA REAL -EMAIL]]&lt;&gt;"",Tabela18[[#This Row],[DATA REAL -EMAIL]]+30,Tabela18[[#This Row],[DATA PREV - EMAIL]]+30)</f>
        <v>45150</v>
      </c>
      <c r="O4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45155</v>
      </c>
      <c r="P4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35</v>
      </c>
      <c r="Q4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43" s="48">
        <f>MAX(Tabela18[[#This Row],[DATA REAL - POSTAGEM]],Tabela18[[#This Row],[DATA REAL - APROVAÇÃO]])-MIN(Tabela18[[#This Row],[DATA REAL - POSTAGEM]],Tabela18[[#This Row],[DATA REAL - APROVAÇÃO]])+1</f>
        <v>8</v>
      </c>
      <c r="S43" s="16"/>
      <c r="T43" s="16"/>
      <c r="U43" s="18"/>
      <c r="V43" s="18"/>
      <c r="W43" s="16" t="s">
        <v>905</v>
      </c>
      <c r="X43" s="16"/>
      <c r="Y43" s="16"/>
      <c r="Z43" s="15" t="s">
        <v>249</v>
      </c>
      <c r="AA43" s="15" t="str">
        <f>_xlfn.XLOOKUP(Tabela18[[#This Row],[CÓD. CT]],Controle_Projetos[COD CT],Controle_Projetos[COD PHD],"")</f>
        <v/>
      </c>
      <c r="AB43" s="16"/>
      <c r="AC43" s="21"/>
      <c r="AD4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3" s="16" t="str" cm="1">
        <f t="array" aca="1" ref="AE4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3" s="21">
        <v>45120</v>
      </c>
      <c r="AG43" s="74">
        <v>45120</v>
      </c>
      <c r="AH43" s="16" cm="1">
        <f t="array" aca="1" ref="AH4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3" s="21">
        <v>45120</v>
      </c>
      <c r="AJ43" s="74">
        <v>45120</v>
      </c>
      <c r="AK43" s="16" cm="1">
        <f t="array" aca="1" ref="AK4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3" s="20">
        <f t="shared" si="5"/>
        <v>45127</v>
      </c>
      <c r="AM43" s="74">
        <v>45120</v>
      </c>
      <c r="AN43" s="15" cm="1">
        <f t="array" aca="1" ref="AN4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43" s="20">
        <f t="shared" si="6"/>
        <v>45121</v>
      </c>
      <c r="AP43" s="74">
        <v>45120</v>
      </c>
      <c r="AQ43" s="15" cm="1">
        <f t="array" aca="1" ref="AQ4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43" s="20">
        <f t="shared" si="7"/>
        <v>45134</v>
      </c>
      <c r="AS43" s="74">
        <v>45120</v>
      </c>
      <c r="AT43" s="15" cm="1">
        <f t="array" aca="1" ref="AT4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43" s="20">
        <f t="shared" si="8"/>
        <v>45127</v>
      </c>
      <c r="AV43" s="74">
        <v>45148</v>
      </c>
      <c r="AW43" s="15" cm="1">
        <f t="array" aca="1" ref="AW4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22</v>
      </c>
      <c r="AX43" s="20">
        <f t="shared" si="9"/>
        <v>45149</v>
      </c>
      <c r="AY43" s="74">
        <v>45155</v>
      </c>
      <c r="AZ43" s="15" cm="1">
        <f t="array" aca="1" ref="AZ4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43" s="16"/>
    </row>
    <row r="44" spans="2:53" hidden="1" x14ac:dyDescent="0.35">
      <c r="B44" s="14" t="s">
        <v>79</v>
      </c>
      <c r="C44" s="16" t="s">
        <v>867</v>
      </c>
      <c r="D44" s="16" t="s">
        <v>108</v>
      </c>
      <c r="E44" s="16" t="s">
        <v>395</v>
      </c>
      <c r="F44" s="16" cm="1">
        <f t="array" ref="F44">_xlfn.IFS(Tabela18[[#This Row],[STATUS]]="Finalizado",1,Tabela18[[#This Row],[STATUS]]="Cancelado",2,Tabela18[[#This Row],[STATUS]]="Em andamento",3)</f>
        <v>1</v>
      </c>
      <c r="G44" s="16" cm="1">
        <f t="array" aca="1" ref="G4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-EMAIL]]="",$AH44&gt;$AF$1),2,
AND(Tabela18[[#This Row],[STATUS]]="Em andamento",Tabela18[[#This Row],[DATA REAL -EMAIL]]="",$AH44&lt;=$AF$1),3,
AND(Tabela18[[#This Row],[STATUS]]="Em andamento",Tabela18[[#This Row],[DATA REAL -EMAIL]]&lt;&gt;""),1)</f>
        <v>1</v>
      </c>
      <c r="H44" s="16" cm="1">
        <f t="array" aca="1" ref="H4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CLIENTE]]="",$AK44&gt;$AI$1),2,
AND(Tabela18[[#This Row],[STATUS]]="Em andamento",Tabela18[[#This Row],[DATA REAL - DOC CLIENTE]]="",$AK44&lt;=$AI$1),3,
AND(Tabela18[[#This Row],[STATUS]]="Em andamento",Tabela18[[#This Row],[DATA REAL - DOC CLIENTE]]&lt;&gt;""),1)</f>
        <v>1</v>
      </c>
      <c r="I44" s="16" cm="1">
        <f t="array" aca="1" ref="I4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06]]="",$AN44&gt;$AL$1),2,
AND(Tabela18[[#This Row],[STATUS]]="Em andamento",Tabela18[[#This Row],[DATA REAL - ANEXO 06]]="",$AN44&lt;=$AL$1),3,
AND(Tabela18[[#This Row],[STATUS]]="Em andamento",Tabela18[[#This Row],[DATA REAL - ANEXO 06]]&lt;&gt;""),1)</f>
        <v>1</v>
      </c>
      <c r="J44" s="15" cm="1">
        <f t="array" aca="1" ref="J4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LEGAIS]]="",$AQ44&gt;$AO$1),2,
AND(Tabela18[[#This Row],[STATUS]]="Em andamento",Tabela18[[#This Row],[DATA REAL - SOLIC. PROG LEGAIS]]="",$AQ44&lt;=$AO$1),3,
AND(Tabela18[[#This Row],[STATUS]]="Em andamento",Tabela18[[#This Row],[DATA REAL - SOLIC. PROG LEGAIS]]&lt;&gt;""),1)</f>
        <v>1</v>
      </c>
      <c r="K44" s="15" cm="1">
        <f t="array" aca="1" ref="K4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ENVIO]]="",$AT44&gt;$AR$1),2,
AND(Tabela18[[#This Row],[STATUS]]="Em andamento",Tabela18[[#This Row],[DATA REAL - ENVIO]]="",$AT44&lt;=$AR$1),3,
AND(Tabela18[[#This Row],[STATUS]]="Em andamento",Tabela18[[#This Row],[DATA REAL - ENVIO]]&lt;&gt;""),1)</f>
        <v>1</v>
      </c>
      <c r="L44" s="15" cm="1">
        <f t="array" aca="1" ref="L4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POSTAGEM]]="",$AW44&gt;$AU$1),2,
AND(Tabela18[[#This Row],[STATUS]]="Em andamento",Tabela18[[#This Row],[DATA REAL - POSTAGEM]]="",$AW44&lt;=$AU$1),3,
AND(Tabela18[[#This Row],[STATUS]]="Em andamento",Tabela18[[#This Row],[DATA REAL - POSTAGEM]]&lt;&gt;""),1)</f>
        <v>1</v>
      </c>
      <c r="M44" s="16" cm="1">
        <f t="array" aca="1" ref="M4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APROVAÇÃO]]="",$AZ44&gt;$AX$1),2,
AND(Tabela18[[#This Row],[STATUS]]="Em andamento",Tabela18[[#This Row],[DATA REAL - APROVAÇÃO]]="",$AZ44&lt;=$AX$1),3,
AND(Tabela18[[#This Row],[STATUS]]="Em andamento",Tabela18[[#This Row],[DATA REAL - APROVAÇÃO]]&lt;&gt;""),1)</f>
        <v>1</v>
      </c>
      <c r="N44" s="21">
        <f>IF(Tabela18[[#This Row],[DATA REAL -EMAIL]]&lt;&gt;"",Tabela18[[#This Row],[DATA REAL -EMAIL]]+30,Tabela18[[#This Row],[DATA PREV - EMAIL]]+30)</f>
        <v>45150</v>
      </c>
      <c r="O4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45196</v>
      </c>
      <c r="P4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76</v>
      </c>
      <c r="Q4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12</v>
      </c>
      <c r="R44" s="48">
        <f>MAX(Tabela18[[#This Row],[DATA REAL - POSTAGEM]],Tabela18[[#This Row],[DATA REAL - APROVAÇÃO]])-MIN(Tabela18[[#This Row],[DATA REAL - POSTAGEM]],Tabela18[[#This Row],[DATA REAL - APROVAÇÃO]])+1</f>
        <v>28</v>
      </c>
      <c r="S44" s="16"/>
      <c r="T44" s="16"/>
      <c r="U44" s="18"/>
      <c r="V44" s="18"/>
      <c r="W44" s="16" t="s">
        <v>97</v>
      </c>
      <c r="X44" s="16" t="s">
        <v>89</v>
      </c>
      <c r="Y44" s="16"/>
      <c r="Z44" s="15" t="s">
        <v>249</v>
      </c>
      <c r="AA44" s="15" t="str">
        <f>_xlfn.XLOOKUP(Tabela18[[#This Row],[CÓD. CT]],Controle_Projetos[COD CT],Controle_Projetos[COD PHD],"")</f>
        <v/>
      </c>
      <c r="AB44" s="16"/>
      <c r="AC44" s="21"/>
      <c r="AD4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4" s="16" t="str" cm="1">
        <f t="array" aca="1" ref="AE4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4" s="21">
        <v>45120</v>
      </c>
      <c r="AG44" s="74">
        <v>45120</v>
      </c>
      <c r="AH44" s="16" cm="1">
        <f t="array" aca="1" ref="AH4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4" s="21">
        <v>45120</v>
      </c>
      <c r="AJ44" s="74">
        <v>45120</v>
      </c>
      <c r="AK44" s="16" cm="1">
        <f t="array" aca="1" ref="AK4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4" s="20">
        <f t="shared" si="5"/>
        <v>45127</v>
      </c>
      <c r="AM44" s="74">
        <v>45120</v>
      </c>
      <c r="AN44" s="15" cm="1">
        <f t="array" aca="1" ref="AN4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44" s="20">
        <f t="shared" si="6"/>
        <v>45121</v>
      </c>
      <c r="AP44" s="74">
        <v>45121</v>
      </c>
      <c r="AQ44" s="15" cm="1">
        <f t="array" aca="1" ref="AQ4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44" s="20">
        <f t="shared" si="7"/>
        <v>45135</v>
      </c>
      <c r="AS44" s="74">
        <v>45132</v>
      </c>
      <c r="AT44" s="15" cm="1">
        <f t="array" aca="1" ref="AT4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44" s="20">
        <f t="shared" si="8"/>
        <v>45139</v>
      </c>
      <c r="AV44" s="74">
        <v>45169</v>
      </c>
      <c r="AW44" s="15" cm="1">
        <f t="array" aca="1" ref="AW4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31</v>
      </c>
      <c r="AX44" s="20">
        <f t="shared" si="9"/>
        <v>45170</v>
      </c>
      <c r="AY44" s="74">
        <v>45196</v>
      </c>
      <c r="AZ44" s="15" cm="1">
        <f t="array" aca="1" ref="AZ4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27</v>
      </c>
      <c r="BA44" s="16" t="s">
        <v>906</v>
      </c>
    </row>
    <row r="45" spans="2:53" hidden="1" x14ac:dyDescent="0.35">
      <c r="B45" s="14" t="s">
        <v>119</v>
      </c>
      <c r="C45" s="16" t="s">
        <v>867</v>
      </c>
      <c r="D45" s="16" t="s">
        <v>81</v>
      </c>
      <c r="E45" s="16" t="s">
        <v>907</v>
      </c>
      <c r="F45" s="16" cm="1">
        <f t="array" ref="F45">_xlfn.IFS(Tabela18[[#This Row],[STATUS]]="Finalizado",1,Tabela18[[#This Row],[STATUS]]="Cancelado",2,Tabela18[[#This Row],[STATUS]]="Em andamento",3)</f>
        <v>2</v>
      </c>
      <c r="G45" s="16" cm="1">
        <f t="array" aca="1" ref="G4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-EMAIL]]="",$AH45&gt;$AF$1),2,
AND(Tabela18[[#This Row],[STATUS]]="Em andamento",Tabela18[[#This Row],[DATA REAL -EMAIL]]="",$AH45&lt;=$AF$1),3,
AND(Tabela18[[#This Row],[STATUS]]="Em andamento",Tabela18[[#This Row],[DATA REAL -EMAIL]]&lt;&gt;""),1)</f>
        <v>1</v>
      </c>
      <c r="H45" s="16" cm="1">
        <f t="array" aca="1" ref="H4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CLIENTE]]="",$AK45&gt;$AI$1),2,
AND(Tabela18[[#This Row],[STATUS]]="Em andamento",Tabela18[[#This Row],[DATA REAL - DOC CLIENTE]]="",$AK45&lt;=$AI$1),3,
AND(Tabela18[[#This Row],[STATUS]]="Em andamento",Tabela18[[#This Row],[DATA REAL - DOC CLIENTE]]&lt;&gt;""),1)</f>
        <v>1</v>
      </c>
      <c r="I45" s="16" cm="1">
        <f t="array" aca="1" ref="I4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06]]="",$AN45&gt;$AL$1),2,
AND(Tabela18[[#This Row],[STATUS]]="Em andamento",Tabela18[[#This Row],[DATA REAL - ANEXO 06]]="",$AN45&lt;=$AL$1),3,
AND(Tabela18[[#This Row],[STATUS]]="Em andamento",Tabela18[[#This Row],[DATA REAL - ANEXO 06]]&lt;&gt;""),1)</f>
        <v>1</v>
      </c>
      <c r="J45" s="15" cm="1">
        <f t="array" aca="1" ref="J4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LEGAIS]]="",$AQ45&gt;$AO$1),2,
AND(Tabela18[[#This Row],[STATUS]]="Em andamento",Tabela18[[#This Row],[DATA REAL - SOLIC. PROG LEGAIS]]="",$AQ45&lt;=$AO$1),3,
AND(Tabela18[[#This Row],[STATUS]]="Em andamento",Tabela18[[#This Row],[DATA REAL - SOLIC. PROG LEGAIS]]&lt;&gt;""),1)</f>
        <v>1</v>
      </c>
      <c r="K45" s="15" cm="1">
        <f t="array" aca="1" ref="K4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ENVIO]]="",$AT45&gt;$AR$1),2,
AND(Tabela18[[#This Row],[STATUS]]="Em andamento",Tabela18[[#This Row],[DATA REAL - ENVIO]]="",$AT45&lt;=$AR$1),3,
AND(Tabela18[[#This Row],[STATUS]]="Em andamento",Tabela18[[#This Row],[DATA REAL - ENVIO]]&lt;&gt;""),1)</f>
        <v>1</v>
      </c>
      <c r="L45" s="15" cm="1">
        <f t="array" aca="1" ref="L4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POSTAGEM]]="",$AW45&gt;$AU$1),2,
AND(Tabela18[[#This Row],[STATUS]]="Em andamento",Tabela18[[#This Row],[DATA REAL - POSTAGEM]]="",$AW45&lt;=$AU$1),3,
AND(Tabela18[[#This Row],[STATUS]]="Em andamento",Tabela18[[#This Row],[DATA REAL - POSTAGEM]]&lt;&gt;""),1)</f>
        <v>0</v>
      </c>
      <c r="M45" s="16" cm="1">
        <f t="array" aca="1" ref="M4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APROVAÇÃO]]="",$AZ45&gt;$AX$1),2,
AND(Tabela18[[#This Row],[STATUS]]="Em andamento",Tabela18[[#This Row],[DATA REAL - APROVAÇÃO]]="",$AZ45&lt;=$AX$1),3,
AND(Tabela18[[#This Row],[STATUS]]="Em andamento",Tabela18[[#This Row],[DATA REAL - APROVAÇÃO]]&lt;&gt;""),1)</f>
        <v>0</v>
      </c>
      <c r="N45" s="21">
        <f>IF(Tabela18[[#This Row],[DATA REAL -EMAIL]]&lt;&gt;"",Tabela18[[#This Row],[DATA REAL -EMAIL]]+30,Tabela18[[#This Row],[DATA PREV - EMAIL]]+30)</f>
        <v>45178</v>
      </c>
      <c r="O4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45167</v>
      </c>
      <c r="P4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v>
      </c>
      <c r="Q4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19</v>
      </c>
      <c r="R45" s="48">
        <f>MAX(Tabela18[[#This Row],[DATA REAL - POSTAGEM]],Tabela18[[#This Row],[DATA REAL - APROVAÇÃO]])-MIN(Tabela18[[#This Row],[DATA REAL - POSTAGEM]],Tabela18[[#This Row],[DATA REAL - APROVAÇÃO]])+1</f>
        <v>1</v>
      </c>
      <c r="S45" s="16"/>
      <c r="T45" s="16"/>
      <c r="U45" s="18"/>
      <c r="V45" s="18"/>
      <c r="W45" s="16" t="s">
        <v>97</v>
      </c>
      <c r="X45" s="16"/>
      <c r="Y45" s="16"/>
      <c r="Z45" s="15" t="s">
        <v>249</v>
      </c>
      <c r="AA45" s="15" t="str">
        <f>_xlfn.XLOOKUP(Tabela18[[#This Row],[CÓD. CT]],Controle_Projetos[COD CT],Controle_Projetos[COD PHD],"")</f>
        <v/>
      </c>
      <c r="AB45" s="16"/>
      <c r="AC45" s="21"/>
      <c r="AD4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5" s="16" t="str" cm="1">
        <f t="array" aca="1" ref="AE4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5" s="21">
        <v>45148</v>
      </c>
      <c r="AG45" s="74">
        <v>45148</v>
      </c>
      <c r="AH45" s="16" cm="1">
        <f t="array" aca="1" ref="AH4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5" s="21">
        <v>45148</v>
      </c>
      <c r="AJ45" s="74">
        <v>45148</v>
      </c>
      <c r="AK45" s="16" cm="1">
        <f t="array" aca="1" ref="AK4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5" s="20">
        <f t="shared" si="5"/>
        <v>45155</v>
      </c>
      <c r="AM45" s="74">
        <v>45149</v>
      </c>
      <c r="AN45" s="15" cm="1">
        <f t="array" aca="1" ref="AN4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45" s="20">
        <f t="shared" si="6"/>
        <v>45152</v>
      </c>
      <c r="AP45" s="74">
        <v>45156</v>
      </c>
      <c r="AQ45" s="15" cm="1">
        <f t="array" aca="1" ref="AQ4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45" s="20">
        <f t="shared" si="7"/>
        <v>45170</v>
      </c>
      <c r="AS45" s="74">
        <v>45167</v>
      </c>
      <c r="AT45" s="15" cm="1">
        <f t="array" aca="1" ref="AT4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45" s="20">
        <f t="shared" si="8"/>
        <v>45174</v>
      </c>
      <c r="AV45" s="74"/>
      <c r="AW45" s="15" cm="1">
        <f t="array" aca="1" ref="AW4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45" s="20">
        <f t="shared" si="9"/>
        <v>45175</v>
      </c>
      <c r="AY45" s="74"/>
      <c r="AZ45" s="15" cm="1">
        <f t="array" aca="1" ref="AZ4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45" s="80"/>
    </row>
    <row r="46" spans="2:53" hidden="1" x14ac:dyDescent="0.35">
      <c r="B46" s="14" t="s">
        <v>79</v>
      </c>
      <c r="C46" s="16" t="s">
        <v>867</v>
      </c>
      <c r="D46" s="16" t="s">
        <v>108</v>
      </c>
      <c r="E46" s="16" t="s">
        <v>908</v>
      </c>
      <c r="F46" s="16" cm="1">
        <f t="array" ref="F46">_xlfn.IFS(Tabela18[[#This Row],[STATUS]]="Finalizado",1,Tabela18[[#This Row],[STATUS]]="Cancelado",2,Tabela18[[#This Row],[STATUS]]="Em andamento",3)</f>
        <v>1</v>
      </c>
      <c r="G46" s="16" cm="1">
        <f t="array" aca="1" ref="G4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-EMAIL]]="",$AH46&gt;$AF$1),2,
AND(Tabela18[[#This Row],[STATUS]]="Em andamento",Tabela18[[#This Row],[DATA REAL -EMAIL]]="",$AH46&lt;=$AF$1),3,
AND(Tabela18[[#This Row],[STATUS]]="Em andamento",Tabela18[[#This Row],[DATA REAL -EMAIL]]&lt;&gt;""),1)</f>
        <v>1</v>
      </c>
      <c r="H46" s="16" cm="1">
        <f t="array" aca="1" ref="H4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CLIENTE]]="",$AK46&gt;$AI$1),2,
AND(Tabela18[[#This Row],[STATUS]]="Em andamento",Tabela18[[#This Row],[DATA REAL - DOC CLIENTE]]="",$AK46&lt;=$AI$1),3,
AND(Tabela18[[#This Row],[STATUS]]="Em andamento",Tabela18[[#This Row],[DATA REAL - DOC CLIENTE]]&lt;&gt;""),1)</f>
        <v>1</v>
      </c>
      <c r="I46" s="16" cm="1">
        <f t="array" aca="1" ref="I4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06]]="",$AN46&gt;$AL$1),2,
AND(Tabela18[[#This Row],[STATUS]]="Em andamento",Tabela18[[#This Row],[DATA REAL - ANEXO 06]]="",$AN46&lt;=$AL$1),3,
AND(Tabela18[[#This Row],[STATUS]]="Em andamento",Tabela18[[#This Row],[DATA REAL - ANEXO 06]]&lt;&gt;""),1)</f>
        <v>1</v>
      </c>
      <c r="J46" s="15" cm="1">
        <f t="array" aca="1" ref="J4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LEGAIS]]="",$AQ46&gt;$AO$1),2,
AND(Tabela18[[#This Row],[STATUS]]="Em andamento",Tabela18[[#This Row],[DATA REAL - SOLIC. PROG LEGAIS]]="",$AQ46&lt;=$AO$1),3,
AND(Tabela18[[#This Row],[STATUS]]="Em andamento",Tabela18[[#This Row],[DATA REAL - SOLIC. PROG LEGAIS]]&lt;&gt;""),1)</f>
        <v>1</v>
      </c>
      <c r="K46" s="15" cm="1">
        <f t="array" aca="1" ref="K4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ENVIO]]="",$AT46&gt;$AR$1),2,
AND(Tabela18[[#This Row],[STATUS]]="Em andamento",Tabela18[[#This Row],[DATA REAL - ENVIO]]="",$AT46&lt;=$AR$1),3,
AND(Tabela18[[#This Row],[STATUS]]="Em andamento",Tabela18[[#This Row],[DATA REAL - ENVIO]]&lt;&gt;""),1)</f>
        <v>1</v>
      </c>
      <c r="L46" s="15" cm="1">
        <f t="array" aca="1" ref="L4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POSTAGEM]]="",$AW46&gt;$AU$1),2,
AND(Tabela18[[#This Row],[STATUS]]="Em andamento",Tabela18[[#This Row],[DATA REAL - POSTAGEM]]="",$AW46&lt;=$AU$1),3,
AND(Tabela18[[#This Row],[STATUS]]="Em andamento",Tabela18[[#This Row],[DATA REAL - POSTAGEM]]&lt;&gt;""),1)</f>
        <v>1</v>
      </c>
      <c r="M46" s="16" cm="1">
        <f t="array" aca="1" ref="M4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APROVAÇÃO]]="",$AZ46&gt;$AX$1),2,
AND(Tabela18[[#This Row],[STATUS]]="Em andamento",Tabela18[[#This Row],[DATA REAL - APROVAÇÃO]]="",$AZ46&lt;=$AX$1),3,
AND(Tabela18[[#This Row],[STATUS]]="Em andamento",Tabela18[[#This Row],[DATA REAL - APROVAÇÃO]]&lt;&gt;""),1)</f>
        <v>1</v>
      </c>
      <c r="N46" s="21">
        <f>IF(Tabela18[[#This Row],[DATA REAL -EMAIL]]&lt;&gt;"",Tabela18[[#This Row],[DATA REAL -EMAIL]]+30,Tabela18[[#This Row],[DATA PREV - EMAIL]]+30)</f>
        <v>45190</v>
      </c>
      <c r="O4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45183</v>
      </c>
      <c r="P4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v>
      </c>
      <c r="Q4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46" s="48">
        <f>MAX(Tabela18[[#This Row],[DATA REAL - POSTAGEM]],Tabela18[[#This Row],[DATA REAL - APROVAÇÃO]])-MIN(Tabela18[[#This Row],[DATA REAL - POSTAGEM]],Tabela18[[#This Row],[DATA REAL - APROVAÇÃO]])+1</f>
        <v>1</v>
      </c>
      <c r="S46" s="16"/>
      <c r="T46" s="16"/>
      <c r="U46" s="18"/>
      <c r="V46" s="18"/>
      <c r="W46" s="16" t="s">
        <v>97</v>
      </c>
      <c r="X46" s="16"/>
      <c r="Y46" s="16"/>
      <c r="Z46" s="15" t="s">
        <v>249</v>
      </c>
      <c r="AA46" s="15" t="str">
        <f>_xlfn.XLOOKUP(Tabela18[[#This Row],[CÓD. CT]],Controle_Projetos[COD CT],Controle_Projetos[COD PHD],"")</f>
        <v/>
      </c>
      <c r="AB46" s="16"/>
      <c r="AC46" s="21"/>
      <c r="AD4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6" s="16" t="str" cm="1">
        <f t="array" aca="1" ref="AE4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6" s="21">
        <v>45160</v>
      </c>
      <c r="AG46" s="74">
        <v>45160</v>
      </c>
      <c r="AH46" s="16" cm="1">
        <f t="array" aca="1" ref="AH4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6" s="21">
        <v>45160</v>
      </c>
      <c r="AJ46" s="74">
        <v>45160</v>
      </c>
      <c r="AK46" s="16" cm="1">
        <f t="array" aca="1" ref="AK4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6" s="20">
        <f t="shared" si="5"/>
        <v>45167</v>
      </c>
      <c r="AM46" s="74">
        <v>45163</v>
      </c>
      <c r="AN46" s="15" cm="1">
        <f t="array" aca="1" ref="AN4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-3</v>
      </c>
      <c r="AO46" s="20">
        <f t="shared" si="6"/>
        <v>45166</v>
      </c>
      <c r="AP46" s="74">
        <v>45156</v>
      </c>
      <c r="AQ46" s="15" cm="1">
        <f t="array" aca="1" ref="AQ4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-9</v>
      </c>
      <c r="AR46" s="20">
        <f t="shared" si="7"/>
        <v>45170</v>
      </c>
      <c r="AS46" s="74">
        <v>45167</v>
      </c>
      <c r="AT46" s="15" cm="1">
        <f t="array" aca="1" ref="AT4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46" s="20">
        <f t="shared" si="8"/>
        <v>45174</v>
      </c>
      <c r="AV46" s="74">
        <v>45183</v>
      </c>
      <c r="AW46" s="15" cm="1">
        <f t="array" aca="1" ref="AW4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10</v>
      </c>
      <c r="AX46" s="20">
        <f t="shared" si="9"/>
        <v>45184</v>
      </c>
      <c r="AY46" s="74">
        <v>45183</v>
      </c>
      <c r="AZ46" s="15" cm="1">
        <f t="array" aca="1" ref="AZ4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46" s="16"/>
    </row>
    <row r="47" spans="2:53" hidden="1" x14ac:dyDescent="0.35">
      <c r="B47" s="14" t="s">
        <v>79</v>
      </c>
      <c r="C47" s="16" t="s">
        <v>867</v>
      </c>
      <c r="D47" s="16" t="s">
        <v>108</v>
      </c>
      <c r="E47" s="16" t="s">
        <v>909</v>
      </c>
      <c r="F47" s="16" cm="1">
        <f t="array" ref="F47">_xlfn.IFS(Tabela18[[#This Row],[STATUS]]="Finalizado",1,Tabela18[[#This Row],[STATUS]]="Cancelado",2,Tabela18[[#This Row],[STATUS]]="Em andamento",3)</f>
        <v>1</v>
      </c>
      <c r="G47" s="16" cm="1">
        <f t="array" aca="1" ref="G4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-EMAIL]]="",$AH47&gt;$AF$1),2,
AND(Tabela18[[#This Row],[STATUS]]="Em andamento",Tabela18[[#This Row],[DATA REAL -EMAIL]]="",$AH47&lt;=$AF$1),3,
AND(Tabela18[[#This Row],[STATUS]]="Em andamento",Tabela18[[#This Row],[DATA REAL -EMAIL]]&lt;&gt;""),1)</f>
        <v>1</v>
      </c>
      <c r="H47" s="16" cm="1">
        <f t="array" aca="1" ref="H4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CLIENTE]]="",$AK47&gt;$AI$1),2,
AND(Tabela18[[#This Row],[STATUS]]="Em andamento",Tabela18[[#This Row],[DATA REAL - DOC CLIENTE]]="",$AK47&lt;=$AI$1),3,
AND(Tabela18[[#This Row],[STATUS]]="Em andamento",Tabela18[[#This Row],[DATA REAL - DOC CLIENTE]]&lt;&gt;""),1)</f>
        <v>1</v>
      </c>
      <c r="I47" s="16" cm="1">
        <f t="array" aca="1" ref="I4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06]]="",$AN47&gt;$AL$1),2,
AND(Tabela18[[#This Row],[STATUS]]="Em andamento",Tabela18[[#This Row],[DATA REAL - ANEXO 06]]="",$AN47&lt;=$AL$1),3,
AND(Tabela18[[#This Row],[STATUS]]="Em andamento",Tabela18[[#This Row],[DATA REAL - ANEXO 06]]&lt;&gt;""),1)</f>
        <v>1</v>
      </c>
      <c r="J47" s="15" cm="1">
        <f t="array" aca="1" ref="J4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LEGAIS]]="",$AQ47&gt;$AO$1),2,
AND(Tabela18[[#This Row],[STATUS]]="Em andamento",Tabela18[[#This Row],[DATA REAL - SOLIC. PROG LEGAIS]]="",$AQ47&lt;=$AO$1),3,
AND(Tabela18[[#This Row],[STATUS]]="Em andamento",Tabela18[[#This Row],[DATA REAL - SOLIC. PROG LEGAIS]]&lt;&gt;""),1)</f>
        <v>1</v>
      </c>
      <c r="K47" s="15" cm="1">
        <f t="array" aca="1" ref="K4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ENVIO]]="",$AT47&gt;$AR$1),2,
AND(Tabela18[[#This Row],[STATUS]]="Em andamento",Tabela18[[#This Row],[DATA REAL - ENVIO]]="",$AT47&lt;=$AR$1),3,
AND(Tabela18[[#This Row],[STATUS]]="Em andamento",Tabela18[[#This Row],[DATA REAL - ENVIO]]&lt;&gt;""),1)</f>
        <v>1</v>
      </c>
      <c r="L47" s="15" cm="1">
        <f t="array" aca="1" ref="L4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POSTAGEM]]="",$AW47&gt;$AU$1),2,
AND(Tabela18[[#This Row],[STATUS]]="Em andamento",Tabela18[[#This Row],[DATA REAL - POSTAGEM]]="",$AW47&lt;=$AU$1),3,
AND(Tabela18[[#This Row],[STATUS]]="Em andamento",Tabela18[[#This Row],[DATA REAL - POSTAGEM]]&lt;&gt;""),1)</f>
        <v>1</v>
      </c>
      <c r="M47" s="16" cm="1">
        <f t="array" aca="1" ref="M4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APROVAÇÃO]]="",$AZ47&gt;$AX$1),2,
AND(Tabela18[[#This Row],[STATUS]]="Em andamento",Tabela18[[#This Row],[DATA REAL - APROVAÇÃO]]="",$AZ47&lt;=$AX$1),3,
AND(Tabela18[[#This Row],[STATUS]]="Em andamento",Tabela18[[#This Row],[DATA REAL - APROVAÇÃO]]&lt;&gt;""),1)</f>
        <v>1</v>
      </c>
      <c r="N47" s="21">
        <f>IF(Tabela18[[#This Row],[DATA REAL -EMAIL]]&lt;&gt;"",Tabela18[[#This Row],[DATA REAL -EMAIL]]+30,Tabela18[[#This Row],[DATA PREV - EMAIL]]+30)</f>
        <v>45197</v>
      </c>
      <c r="O4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45195</v>
      </c>
      <c r="P4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28</v>
      </c>
      <c r="Q4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47" s="48">
        <f>MAX(Tabela18[[#This Row],[DATA REAL - POSTAGEM]],Tabela18[[#This Row],[DATA REAL - APROVAÇÃO]])-MIN(Tabela18[[#This Row],[DATA REAL - POSTAGEM]],Tabela18[[#This Row],[DATA REAL - APROVAÇÃO]])+1</f>
        <v>1</v>
      </c>
      <c r="S47" s="16"/>
      <c r="T47" s="16"/>
      <c r="U47" s="18"/>
      <c r="V47" s="18"/>
      <c r="W47" s="16" t="s">
        <v>97</v>
      </c>
      <c r="X47" s="16"/>
      <c r="Y47" s="16"/>
      <c r="Z47" s="15" t="s">
        <v>249</v>
      </c>
      <c r="AA47" s="15" t="str">
        <f>_xlfn.XLOOKUP(Tabela18[[#This Row],[CÓD. CT]],Controle_Projetos[COD CT],Controle_Projetos[COD PHD],"")</f>
        <v/>
      </c>
      <c r="AB47" s="16"/>
      <c r="AC47" s="21"/>
      <c r="AD4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7" s="16" t="str" cm="1">
        <f t="array" aca="1" ref="AE4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7" s="21">
        <v>45167</v>
      </c>
      <c r="AG47" s="74">
        <v>45167</v>
      </c>
      <c r="AH47" s="16" cm="1">
        <f t="array" aca="1" ref="AH4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7" s="21">
        <v>45167</v>
      </c>
      <c r="AJ47" s="74">
        <v>45167</v>
      </c>
      <c r="AK47" s="16" cm="1">
        <f t="array" aca="1" ref="AK4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7" s="20">
        <f t="shared" si="5"/>
        <v>45174</v>
      </c>
      <c r="AM47" s="74">
        <v>45168</v>
      </c>
      <c r="AN47" s="15" cm="1">
        <f t="array" aca="1" ref="AN4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47" s="20">
        <f t="shared" si="6"/>
        <v>45169</v>
      </c>
      <c r="AP47" s="74">
        <v>45170</v>
      </c>
      <c r="AQ47" s="15" cm="1">
        <f t="array" aca="1" ref="AQ4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47" s="20">
        <f t="shared" si="7"/>
        <v>45184</v>
      </c>
      <c r="AS47" s="74">
        <v>45180</v>
      </c>
      <c r="AT47" s="15" cm="1">
        <f t="array" aca="1" ref="AT4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47" s="20">
        <f t="shared" si="8"/>
        <v>45187</v>
      </c>
      <c r="AV47" s="74">
        <v>45195</v>
      </c>
      <c r="AW47" s="15" cm="1">
        <f t="array" aca="1" ref="AW4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v>
      </c>
      <c r="AX47" s="20">
        <f t="shared" si="9"/>
        <v>45196</v>
      </c>
      <c r="AY47" s="74">
        <v>45195</v>
      </c>
      <c r="AZ47" s="15" cm="1">
        <f t="array" aca="1" ref="AZ4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47" s="16" t="s">
        <v>910</v>
      </c>
    </row>
    <row r="48" spans="2:53" hidden="1" x14ac:dyDescent="0.35">
      <c r="B48" s="14" t="s">
        <v>79</v>
      </c>
      <c r="C48" s="16" t="s">
        <v>867</v>
      </c>
      <c r="D48" s="16" t="s">
        <v>108</v>
      </c>
      <c r="E48" s="16" t="s">
        <v>887</v>
      </c>
      <c r="F48" s="16" cm="1">
        <f t="array" ref="F48">_xlfn.IFS(Tabela18[[#This Row],[STATUS]]="Finalizado",1,Tabela18[[#This Row],[STATUS]]="Cancelado",2,Tabela18[[#This Row],[STATUS]]="Em andamento",3)</f>
        <v>1</v>
      </c>
      <c r="G48" s="16" cm="1">
        <f t="array" aca="1" ref="G4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-EMAIL]]="",$AH48&gt;$AF$1),2,
AND(Tabela18[[#This Row],[STATUS]]="Em andamento",Tabela18[[#This Row],[DATA REAL -EMAIL]]="",$AH48&lt;=$AF$1),3,
AND(Tabela18[[#This Row],[STATUS]]="Em andamento",Tabela18[[#This Row],[DATA REAL -EMAIL]]&lt;&gt;""),1)</f>
        <v>1</v>
      </c>
      <c r="H48" s="16" cm="1">
        <f t="array" aca="1" ref="H4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CLIENTE]]="",$AK48&gt;$AI$1),2,
AND(Tabela18[[#This Row],[STATUS]]="Em andamento",Tabela18[[#This Row],[DATA REAL - DOC CLIENTE]]="",$AK48&lt;=$AI$1),3,
AND(Tabela18[[#This Row],[STATUS]]="Em andamento",Tabela18[[#This Row],[DATA REAL - DOC CLIENTE]]&lt;&gt;""),1)</f>
        <v>1</v>
      </c>
      <c r="I48" s="16" cm="1">
        <f t="array" aca="1" ref="I4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06]]="",$AN48&gt;$AL$1),2,
AND(Tabela18[[#This Row],[STATUS]]="Em andamento",Tabela18[[#This Row],[DATA REAL - ANEXO 06]]="",$AN48&lt;=$AL$1),3,
AND(Tabela18[[#This Row],[STATUS]]="Em andamento",Tabela18[[#This Row],[DATA REAL - ANEXO 06]]&lt;&gt;""),1)</f>
        <v>1</v>
      </c>
      <c r="J48" s="15" cm="1">
        <f t="array" aca="1" ref="J4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LEGAIS]]="",$AQ48&gt;$AO$1),2,
AND(Tabela18[[#This Row],[STATUS]]="Em andamento",Tabela18[[#This Row],[DATA REAL - SOLIC. PROG LEGAIS]]="",$AQ48&lt;=$AO$1),3,
AND(Tabela18[[#This Row],[STATUS]]="Em andamento",Tabela18[[#This Row],[DATA REAL - SOLIC. PROG LEGAIS]]&lt;&gt;""),1)</f>
        <v>1</v>
      </c>
      <c r="K48" s="15" cm="1">
        <f t="array" aca="1" ref="K4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ENVIO]]="",$AT48&gt;$AR$1),2,
AND(Tabela18[[#This Row],[STATUS]]="Em andamento",Tabela18[[#This Row],[DATA REAL - ENVIO]]="",$AT48&lt;=$AR$1),3,
AND(Tabela18[[#This Row],[STATUS]]="Em andamento",Tabela18[[#This Row],[DATA REAL - ENVIO]]&lt;&gt;""),1)</f>
        <v>1</v>
      </c>
      <c r="L48" s="15" cm="1">
        <f t="array" aca="1" ref="L4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POSTAGEM]]="",$AW48&gt;$AU$1),2,
AND(Tabela18[[#This Row],[STATUS]]="Em andamento",Tabela18[[#This Row],[DATA REAL - POSTAGEM]]="",$AW48&lt;=$AU$1),3,
AND(Tabela18[[#This Row],[STATUS]]="Em andamento",Tabela18[[#This Row],[DATA REAL - POSTAGEM]]&lt;&gt;""),1)</f>
        <v>1</v>
      </c>
      <c r="M48" s="16" cm="1">
        <f t="array" aca="1" ref="M4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APROVAÇÃO]]="",$AZ48&gt;$AX$1),2,
AND(Tabela18[[#This Row],[STATUS]]="Em andamento",Tabela18[[#This Row],[DATA REAL - APROVAÇÃO]]="",$AZ48&lt;=$AX$1),3,
AND(Tabela18[[#This Row],[STATUS]]="Em andamento",Tabela18[[#This Row],[DATA REAL - APROVAÇÃO]]&lt;&gt;""),1)</f>
        <v>1</v>
      </c>
      <c r="N48" s="21">
        <f>IF(Tabela18[[#This Row],[DATA REAL -EMAIL]]&lt;&gt;"",Tabela18[[#This Row],[DATA REAL -EMAIL]]+30,Tabela18[[#This Row],[DATA PREV - EMAIL]]+30)</f>
        <v>45190</v>
      </c>
      <c r="O4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45274</v>
      </c>
      <c r="P4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114</v>
      </c>
      <c r="Q4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29</v>
      </c>
      <c r="R48" s="48">
        <f>MAX(Tabela18[[#This Row],[DATA REAL - POSTAGEM]],Tabela18[[#This Row],[DATA REAL - APROVAÇÃO]])-MIN(Tabela18[[#This Row],[DATA REAL - POSTAGEM]],Tabela18[[#This Row],[DATA REAL - APROVAÇÃO]])+1</f>
        <v>11</v>
      </c>
      <c r="S48" s="16"/>
      <c r="T48" s="16"/>
      <c r="U48" s="18"/>
      <c r="V48" s="18"/>
      <c r="W48" s="16" t="s">
        <v>97</v>
      </c>
      <c r="X48" s="16" t="s">
        <v>89</v>
      </c>
      <c r="Y48" s="16" t="s">
        <v>861</v>
      </c>
      <c r="Z48" s="15" t="s">
        <v>249</v>
      </c>
      <c r="AA48" s="15" t="str">
        <f>_xlfn.XLOOKUP(Tabela18[[#This Row],[CÓD. CT]],Controle_Projetos[COD CT],Controle_Projetos[COD PHD],"")</f>
        <v/>
      </c>
      <c r="AB48" s="16"/>
      <c r="AC48" s="21"/>
      <c r="AD48"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48" s="16" t="str" cm="1">
        <f t="array" aca="1" ref="AE4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8" s="21">
        <v>45160</v>
      </c>
      <c r="AG48" s="74">
        <v>45160</v>
      </c>
      <c r="AH48" s="16" cm="1">
        <f t="array" aca="1" ref="AH4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8" s="21">
        <v>45160</v>
      </c>
      <c r="AJ48" s="74">
        <v>45160</v>
      </c>
      <c r="AK48" s="16" cm="1">
        <f t="array" aca="1" ref="AK4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8" s="20">
        <f t="shared" si="5"/>
        <v>45167</v>
      </c>
      <c r="AM48" s="74">
        <v>45170</v>
      </c>
      <c r="AN48" s="15" cm="1">
        <f t="array" aca="1" ref="AN4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48" s="20">
        <f t="shared" si="6"/>
        <v>45173</v>
      </c>
      <c r="AP48" s="74">
        <v>45181</v>
      </c>
      <c r="AQ48" s="15" cm="1">
        <f t="array" aca="1" ref="AQ4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9</v>
      </c>
      <c r="AR48" s="20">
        <f t="shared" si="7"/>
        <v>45195</v>
      </c>
      <c r="AS48" s="74">
        <v>45189</v>
      </c>
      <c r="AT48" s="15" cm="1">
        <f t="array" aca="1" ref="AT4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48" s="20">
        <f t="shared" si="8"/>
        <v>45196</v>
      </c>
      <c r="AV48" s="74">
        <v>45264</v>
      </c>
      <c r="AW48" s="15" cm="1">
        <f t="array" aca="1" ref="AW4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69</v>
      </c>
      <c r="AX48" s="20">
        <f t="shared" si="9"/>
        <v>45265</v>
      </c>
      <c r="AY48" s="74">
        <v>45274</v>
      </c>
      <c r="AZ48" s="15" cm="1">
        <f t="array" aca="1" ref="AZ4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10</v>
      </c>
      <c r="BA48" s="16"/>
    </row>
    <row r="49" spans="2:53" hidden="1" x14ac:dyDescent="0.35">
      <c r="B49" s="14" t="s">
        <v>79</v>
      </c>
      <c r="C49" s="16" t="s">
        <v>867</v>
      </c>
      <c r="D49" s="16" t="s">
        <v>108</v>
      </c>
      <c r="E49" s="16" t="s">
        <v>911</v>
      </c>
      <c r="F49" s="16" cm="1">
        <f t="array" ref="F49">_xlfn.IFS(Tabela18[[#This Row],[STATUS]]="Finalizado",1,Tabela18[[#This Row],[STATUS]]="Cancelado",2,Tabela18[[#This Row],[STATUS]]="Em andamento",3)</f>
        <v>1</v>
      </c>
      <c r="G49" s="16" cm="1">
        <f t="array" aca="1" ref="G4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-EMAIL]]="",$AH49&gt;$AF$1),2,
AND(Tabela18[[#This Row],[STATUS]]="Em andamento",Tabela18[[#This Row],[DATA REAL -EMAIL]]="",$AH49&lt;=$AF$1),3,
AND(Tabela18[[#This Row],[STATUS]]="Em andamento",Tabela18[[#This Row],[DATA REAL -EMAIL]]&lt;&gt;""),1)</f>
        <v>1</v>
      </c>
      <c r="H49" s="16" cm="1">
        <f t="array" aca="1" ref="H4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CLIENTE]]="",$AK49&gt;$AI$1),2,
AND(Tabela18[[#This Row],[STATUS]]="Em andamento",Tabela18[[#This Row],[DATA REAL - DOC CLIENTE]]="",$AK49&lt;=$AI$1),3,
AND(Tabela18[[#This Row],[STATUS]]="Em andamento",Tabela18[[#This Row],[DATA REAL - DOC CLIENTE]]&lt;&gt;""),1)</f>
        <v>1</v>
      </c>
      <c r="I49" s="16" cm="1">
        <f t="array" aca="1" ref="I4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06]]="",$AN49&gt;$AL$1),2,
AND(Tabela18[[#This Row],[STATUS]]="Em andamento",Tabela18[[#This Row],[DATA REAL - ANEXO 06]]="",$AN49&lt;=$AL$1),3,
AND(Tabela18[[#This Row],[STATUS]]="Em andamento",Tabela18[[#This Row],[DATA REAL - ANEXO 06]]&lt;&gt;""),1)</f>
        <v>1</v>
      </c>
      <c r="J49" s="15" cm="1">
        <f t="array" aca="1" ref="J4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LEGAIS]]="",$AQ49&gt;$AO$1),2,
AND(Tabela18[[#This Row],[STATUS]]="Em andamento",Tabela18[[#This Row],[DATA REAL - SOLIC. PROG LEGAIS]]="",$AQ49&lt;=$AO$1),3,
AND(Tabela18[[#This Row],[STATUS]]="Em andamento",Tabela18[[#This Row],[DATA REAL - SOLIC. PROG LEGAIS]]&lt;&gt;""),1)</f>
        <v>1</v>
      </c>
      <c r="K49" s="15" cm="1">
        <f t="array" aca="1" ref="K4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ENVIO]]="",$AT49&gt;$AR$1),2,
AND(Tabela18[[#This Row],[STATUS]]="Em andamento",Tabela18[[#This Row],[DATA REAL - ENVIO]]="",$AT49&lt;=$AR$1),3,
AND(Tabela18[[#This Row],[STATUS]]="Em andamento",Tabela18[[#This Row],[DATA REAL - ENVIO]]&lt;&gt;""),1)</f>
        <v>1</v>
      </c>
      <c r="L49" s="15" cm="1">
        <f t="array" aca="1" ref="L4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POSTAGEM]]="",$AW49&gt;$AU$1),2,
AND(Tabela18[[#This Row],[STATUS]]="Em andamento",Tabela18[[#This Row],[DATA REAL - POSTAGEM]]="",$AW49&lt;=$AU$1),3,
AND(Tabela18[[#This Row],[STATUS]]="Em andamento",Tabela18[[#This Row],[DATA REAL - POSTAGEM]]&lt;&gt;""),1)</f>
        <v>1</v>
      </c>
      <c r="M49" s="16" cm="1">
        <f t="array" aca="1" ref="M4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APROVAÇÃO]]="",$AZ49&gt;$AX$1),2,
AND(Tabela18[[#This Row],[STATUS]]="Em andamento",Tabela18[[#This Row],[DATA REAL - APROVAÇÃO]]="",$AZ49&lt;=$AX$1),3,
AND(Tabela18[[#This Row],[STATUS]]="Em andamento",Tabela18[[#This Row],[DATA REAL - APROVAÇÃO]]&lt;&gt;""),1)</f>
        <v>1</v>
      </c>
      <c r="N49" s="21">
        <f>IF(Tabela18[[#This Row],[DATA REAL -EMAIL]]&lt;&gt;"",Tabela18[[#This Row],[DATA REAL -EMAIL]]+30,Tabela18[[#This Row],[DATA PREV - EMAIL]]+30)</f>
        <v>45219</v>
      </c>
      <c r="O4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45195</v>
      </c>
      <c r="P4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v>
      </c>
      <c r="Q4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49" s="48">
        <f>MAX(Tabela18[[#This Row],[DATA REAL - POSTAGEM]],Tabela18[[#This Row],[DATA REAL - APROVAÇÃO]])-MIN(Tabela18[[#This Row],[DATA REAL - POSTAGEM]],Tabela18[[#This Row],[DATA REAL - APROVAÇÃO]])+1</f>
        <v>1</v>
      </c>
      <c r="S49" s="16"/>
      <c r="T49" s="16"/>
      <c r="U49" s="18"/>
      <c r="V49" s="18"/>
      <c r="W49" s="16" t="s">
        <v>87</v>
      </c>
      <c r="X49" s="16" t="s">
        <v>912</v>
      </c>
      <c r="Y49" s="16" t="s">
        <v>913</v>
      </c>
      <c r="Z49" s="15" t="s">
        <v>914</v>
      </c>
      <c r="AA49" s="15" t="str">
        <f>_xlfn.XLOOKUP(Tabela18[[#This Row],[CÓD. CT]],Controle_Projetos[COD CT],Controle_Projetos[COD PHD],"")</f>
        <v>MROS-CT01-LPSA</v>
      </c>
      <c r="AB49" s="16"/>
      <c r="AC49" s="21"/>
      <c r="AD4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45195</v>
      </c>
      <c r="AE49" s="16" t="str" cm="1">
        <f t="array" aca="1" ref="AE4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49" s="21">
        <v>45189</v>
      </c>
      <c r="AG49" s="74">
        <v>45189</v>
      </c>
      <c r="AH49" s="16" cm="1">
        <f t="array" aca="1" ref="AH4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49" s="21">
        <v>45189</v>
      </c>
      <c r="AJ49" s="74">
        <v>45189</v>
      </c>
      <c r="AK49" s="16" cm="1">
        <f t="array" aca="1" ref="AK4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49" s="20">
        <f t="shared" si="5"/>
        <v>45196</v>
      </c>
      <c r="AM49" s="74">
        <v>45189</v>
      </c>
      <c r="AN49" s="15" cm="1">
        <f t="array" aca="1" ref="AN4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49" s="20">
        <f t="shared" si="6"/>
        <v>45190</v>
      </c>
      <c r="AP49" s="74">
        <v>45190</v>
      </c>
      <c r="AQ49" s="15" cm="1">
        <f t="array" aca="1" ref="AQ4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49" s="20">
        <f t="shared" si="7"/>
        <v>45204</v>
      </c>
      <c r="AS49" s="74">
        <v>45190</v>
      </c>
      <c r="AT49" s="15" cm="1">
        <f t="array" aca="1" ref="AT4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49" s="20">
        <f t="shared" si="8"/>
        <v>45197</v>
      </c>
      <c r="AV49" s="74">
        <v>45190</v>
      </c>
      <c r="AW49" s="15" cm="1">
        <f t="array" aca="1" ref="AW4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49" s="20">
        <f t="shared" si="9"/>
        <v>45191</v>
      </c>
      <c r="AY49" s="74">
        <v>45190</v>
      </c>
      <c r="AZ49" s="15" cm="1">
        <f t="array" aca="1" ref="AZ4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49" s="16"/>
    </row>
    <row r="50" spans="2:53" hidden="1" x14ac:dyDescent="0.35">
      <c r="B50" s="14" t="s">
        <v>79</v>
      </c>
      <c r="C50" s="16" t="s">
        <v>867</v>
      </c>
      <c r="D50" s="16" t="s">
        <v>108</v>
      </c>
      <c r="E50" s="16" t="s">
        <v>860</v>
      </c>
      <c r="F50" s="16" cm="1">
        <f t="array" ref="F50">_xlfn.IFS(Tabela18[[#This Row],[STATUS]]="Finalizado",1,Tabela18[[#This Row],[STATUS]]="Cancelado",2,Tabela18[[#This Row],[STATUS]]="Em andamento",3)</f>
        <v>1</v>
      </c>
      <c r="G50" s="16" cm="1">
        <f t="array" aca="1" ref="G5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-EMAIL]]="",$AH50&gt;$AF$1),2,
AND(Tabela18[[#This Row],[STATUS]]="Em andamento",Tabela18[[#This Row],[DATA REAL -EMAIL]]="",$AH50&lt;=$AF$1),3,
AND(Tabela18[[#This Row],[STATUS]]="Em andamento",Tabela18[[#This Row],[DATA REAL -EMAIL]]&lt;&gt;""),1)</f>
        <v>1</v>
      </c>
      <c r="H50" s="16" cm="1">
        <f t="array" aca="1" ref="H5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CLIENTE]]="",$AK50&gt;$AI$1),2,
AND(Tabela18[[#This Row],[STATUS]]="Em andamento",Tabela18[[#This Row],[DATA REAL - DOC CLIENTE]]="",$AK50&lt;=$AI$1),3,
AND(Tabela18[[#This Row],[STATUS]]="Em andamento",Tabela18[[#This Row],[DATA REAL - DOC CLIENTE]]&lt;&gt;""),1)</f>
        <v>1</v>
      </c>
      <c r="I50" s="16" cm="1">
        <f t="array" aca="1" ref="I5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06]]="",$AN50&gt;$AL$1),2,
AND(Tabela18[[#This Row],[STATUS]]="Em andamento",Tabela18[[#This Row],[DATA REAL - ANEXO 06]]="",$AN50&lt;=$AL$1),3,
AND(Tabela18[[#This Row],[STATUS]]="Em andamento",Tabela18[[#This Row],[DATA REAL - ANEXO 06]]&lt;&gt;""),1)</f>
        <v>1</v>
      </c>
      <c r="J50" s="15" cm="1">
        <f t="array" aca="1" ref="J5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LEGAIS]]="",$AQ50&gt;$AO$1),2,
AND(Tabela18[[#This Row],[STATUS]]="Em andamento",Tabela18[[#This Row],[DATA REAL - SOLIC. PROG LEGAIS]]="",$AQ50&lt;=$AO$1),3,
AND(Tabela18[[#This Row],[STATUS]]="Em andamento",Tabela18[[#This Row],[DATA REAL - SOLIC. PROG LEGAIS]]&lt;&gt;""),1)</f>
        <v>1</v>
      </c>
      <c r="K50" s="15" cm="1">
        <f t="array" aca="1" ref="K5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ENVIO]]="",$AT50&gt;$AR$1),2,
AND(Tabela18[[#This Row],[STATUS]]="Em andamento",Tabela18[[#This Row],[DATA REAL - ENVIO]]="",$AT50&lt;=$AR$1),3,
AND(Tabela18[[#This Row],[STATUS]]="Em andamento",Tabela18[[#This Row],[DATA REAL - ENVIO]]&lt;&gt;""),1)</f>
        <v>1</v>
      </c>
      <c r="L50" s="15" cm="1">
        <f t="array" aca="1" ref="L5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POSTAGEM]]="",$AW50&gt;$AU$1),2,
AND(Tabela18[[#This Row],[STATUS]]="Em andamento",Tabela18[[#This Row],[DATA REAL - POSTAGEM]]="",$AW50&lt;=$AU$1),3,
AND(Tabela18[[#This Row],[STATUS]]="Em andamento",Tabela18[[#This Row],[DATA REAL - POSTAGEM]]&lt;&gt;""),1)</f>
        <v>1</v>
      </c>
      <c r="M50" s="16" cm="1">
        <f t="array" aca="1" ref="M5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APROVAÇÃO]]="",$AZ50&gt;$AX$1),2,
AND(Tabela18[[#This Row],[STATUS]]="Em andamento",Tabela18[[#This Row],[DATA REAL - APROVAÇÃO]]="",$AZ50&lt;=$AX$1),3,
AND(Tabela18[[#This Row],[STATUS]]="Em andamento",Tabela18[[#This Row],[DATA REAL - APROVAÇÃO]]&lt;&gt;""),1)</f>
        <v>1</v>
      </c>
      <c r="N50" s="21">
        <f>IF(Tabela18[[#This Row],[DATA REAL -EMAIL]]&lt;&gt;"",Tabela18[[#This Row],[DATA REAL -EMAIL]]+30,Tabela18[[#This Row],[DATA PREV - EMAIL]]+30)</f>
        <v>45227</v>
      </c>
      <c r="O5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45293</v>
      </c>
      <c r="P5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366</v>
      </c>
      <c r="Q5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292</v>
      </c>
      <c r="R50" s="48">
        <f>MAX(Tabela18[[#This Row],[DATA REAL - POSTAGEM]],Tabela18[[#This Row],[DATA REAL - APROVAÇÃO]])-MIN(Tabela18[[#This Row],[DATA REAL - POSTAGEM]],Tabela18[[#This Row],[DATA REAL - APROVAÇÃO]])+1</f>
        <v>51</v>
      </c>
      <c r="S50" s="16"/>
      <c r="T50" s="16"/>
      <c r="U50" s="18"/>
      <c r="V50" s="18"/>
      <c r="W50" s="16" t="s">
        <v>87</v>
      </c>
      <c r="X50" s="16" t="s">
        <v>89</v>
      </c>
      <c r="Y50" s="16" t="s">
        <v>861</v>
      </c>
      <c r="Z50" s="15" t="s">
        <v>862</v>
      </c>
      <c r="AA50" s="15" t="str">
        <f>_xlfn.XLOOKUP(Tabela18[[#This Row],[CÓD. CT]],Controle_Projetos[COD CT],Controle_Projetos[COD PHD],"")</f>
        <v>IMCS-CT01-AVCB</v>
      </c>
      <c r="AB50" s="16"/>
      <c r="AC50" s="21"/>
      <c r="AD5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44927</v>
      </c>
      <c r="AE50" s="16" t="str" cm="1">
        <f t="array" aca="1" ref="AE5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0" s="21">
        <v>45197</v>
      </c>
      <c r="AG50" s="74">
        <v>45197</v>
      </c>
      <c r="AH50" s="16" cm="1">
        <f t="array" aca="1" ref="AH5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0" s="21">
        <v>45197</v>
      </c>
      <c r="AJ50" s="74">
        <v>45197</v>
      </c>
      <c r="AK50" s="16" cm="1">
        <f t="array" aca="1" ref="AK5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0" s="20">
        <f t="shared" si="5"/>
        <v>45204</v>
      </c>
      <c r="AM50" s="74">
        <v>45204</v>
      </c>
      <c r="AN50" s="15" cm="1">
        <f t="array" aca="1" ref="AN5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50" s="20">
        <f t="shared" si="6"/>
        <v>45205</v>
      </c>
      <c r="AP50" s="74">
        <v>45219</v>
      </c>
      <c r="AQ50" s="15" cm="1">
        <f t="array" aca="1" ref="AQ5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15</v>
      </c>
      <c r="AR50" s="20">
        <f t="shared" si="7"/>
        <v>45233</v>
      </c>
      <c r="AS50" s="74">
        <v>45219</v>
      </c>
      <c r="AT50" s="15" cm="1">
        <f t="array" aca="1" ref="AT5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50" s="20">
        <f t="shared" si="8"/>
        <v>45226</v>
      </c>
      <c r="AV50" s="74">
        <v>45243</v>
      </c>
      <c r="AW50" s="15" cm="1">
        <f t="array" aca="1" ref="AW5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18</v>
      </c>
      <c r="AX50" s="20">
        <f t="shared" si="9"/>
        <v>45244</v>
      </c>
      <c r="AY50" s="74">
        <v>45293</v>
      </c>
      <c r="AZ50" s="15" cm="1">
        <f t="array" aca="1" ref="AZ5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50</v>
      </c>
      <c r="BA50" s="16" t="s">
        <v>915</v>
      </c>
    </row>
    <row r="51" spans="2:53" hidden="1" x14ac:dyDescent="0.35">
      <c r="B51" s="14" t="s">
        <v>79</v>
      </c>
      <c r="C51" s="16" t="s">
        <v>867</v>
      </c>
      <c r="D51" s="16" t="s">
        <v>108</v>
      </c>
      <c r="E51" s="16" t="s">
        <v>860</v>
      </c>
      <c r="F51" s="16" cm="1">
        <f t="array" ref="F51">_xlfn.IFS(Tabela18[[#This Row],[STATUS]]="Finalizado",1,Tabela18[[#This Row],[STATUS]]="Cancelado",2,Tabela18[[#This Row],[STATUS]]="Em andamento",3)</f>
        <v>1</v>
      </c>
      <c r="G51" s="16" cm="1">
        <f t="array" aca="1" ref="G5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-EMAIL]]="",$AH51&gt;$AF$1),2,
AND(Tabela18[[#This Row],[STATUS]]="Em andamento",Tabela18[[#This Row],[DATA REAL -EMAIL]]="",$AH51&lt;=$AF$1),3,
AND(Tabela18[[#This Row],[STATUS]]="Em andamento",Tabela18[[#This Row],[DATA REAL -EMAIL]]&lt;&gt;""),1)</f>
        <v>1</v>
      </c>
      <c r="H51" s="16" cm="1">
        <f t="array" aca="1" ref="H5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CLIENTE]]="",$AK51&gt;$AI$1),2,
AND(Tabela18[[#This Row],[STATUS]]="Em andamento",Tabela18[[#This Row],[DATA REAL - DOC CLIENTE]]="",$AK51&lt;=$AI$1),3,
AND(Tabela18[[#This Row],[STATUS]]="Em andamento",Tabela18[[#This Row],[DATA REAL - DOC CLIENTE]]&lt;&gt;""),1)</f>
        <v>1</v>
      </c>
      <c r="I51" s="16" cm="1">
        <f t="array" aca="1" ref="I5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06]]="",$AN51&gt;$AL$1),2,
AND(Tabela18[[#This Row],[STATUS]]="Em andamento",Tabela18[[#This Row],[DATA REAL - ANEXO 06]]="",$AN51&lt;=$AL$1),3,
AND(Tabela18[[#This Row],[STATUS]]="Em andamento",Tabela18[[#This Row],[DATA REAL - ANEXO 06]]&lt;&gt;""),1)</f>
        <v>1</v>
      </c>
      <c r="J51" s="15" cm="1">
        <f t="array" aca="1" ref="J5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LEGAIS]]="",$AQ51&gt;$AO$1),2,
AND(Tabela18[[#This Row],[STATUS]]="Em andamento",Tabela18[[#This Row],[DATA REAL - SOLIC. PROG LEGAIS]]="",$AQ51&lt;=$AO$1),3,
AND(Tabela18[[#This Row],[STATUS]]="Em andamento",Tabela18[[#This Row],[DATA REAL - SOLIC. PROG LEGAIS]]&lt;&gt;""),1)</f>
        <v>1</v>
      </c>
      <c r="K51" s="15" cm="1">
        <f t="array" aca="1" ref="K5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ENVIO]]="",$AT51&gt;$AR$1),2,
AND(Tabela18[[#This Row],[STATUS]]="Em andamento",Tabela18[[#This Row],[DATA REAL - ENVIO]]="",$AT51&lt;=$AR$1),3,
AND(Tabela18[[#This Row],[STATUS]]="Em andamento",Tabela18[[#This Row],[DATA REAL - ENVIO]]&lt;&gt;""),1)</f>
        <v>1</v>
      </c>
      <c r="L51" s="15" cm="1">
        <f t="array" aca="1" ref="L5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POSTAGEM]]="",$AW51&gt;$AU$1),2,
AND(Tabela18[[#This Row],[STATUS]]="Em andamento",Tabela18[[#This Row],[DATA REAL - POSTAGEM]]="",$AW51&lt;=$AU$1),3,
AND(Tabela18[[#This Row],[STATUS]]="Em andamento",Tabela18[[#This Row],[DATA REAL - POSTAGEM]]&lt;&gt;""),1)</f>
        <v>1</v>
      </c>
      <c r="M51" s="16" cm="1">
        <f t="array" aca="1" ref="M5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APROVAÇÃO]]="",$AZ51&gt;$AX$1),2,
AND(Tabela18[[#This Row],[STATUS]]="Em andamento",Tabela18[[#This Row],[DATA REAL - APROVAÇÃO]]="",$AZ51&lt;=$AX$1),3,
AND(Tabela18[[#This Row],[STATUS]]="Em andamento",Tabela18[[#This Row],[DATA REAL - APROVAÇÃO]]&lt;&gt;""),1)</f>
        <v>1</v>
      </c>
      <c r="N51" s="21">
        <f>IF(Tabela18[[#This Row],[DATA REAL -EMAIL]]&lt;&gt;"",Tabela18[[#This Row],[DATA REAL -EMAIL]]+30,Tabela18[[#This Row],[DATA PREV - EMAIL]]+30)</f>
        <v>45227</v>
      </c>
      <c r="O5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45251</v>
      </c>
      <c r="P5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294</v>
      </c>
      <c r="Q5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251</v>
      </c>
      <c r="R51" s="48">
        <f>MAX(Tabela18[[#This Row],[DATA REAL - POSTAGEM]],Tabela18[[#This Row],[DATA REAL - APROVAÇÃO]])-MIN(Tabela18[[#This Row],[DATA REAL - POSTAGEM]],Tabela18[[#This Row],[DATA REAL - APROVAÇÃO]])+1</f>
        <v>5</v>
      </c>
      <c r="S51" s="16"/>
      <c r="T51" s="16"/>
      <c r="U51" s="18"/>
      <c r="V51" s="18"/>
      <c r="W51" s="16" t="s">
        <v>87</v>
      </c>
      <c r="X51" s="16" t="s">
        <v>89</v>
      </c>
      <c r="Y51" s="16" t="s">
        <v>872</v>
      </c>
      <c r="Z51" s="15" t="s">
        <v>873</v>
      </c>
      <c r="AA51" s="15" t="str">
        <f>_xlfn.XLOOKUP(Tabela18[[#This Row],[CÓD. CT]],Controle_Projetos[COD CT],Controle_Projetos[COD PHD],"")</f>
        <v>IMCS-CT02-AVCB</v>
      </c>
      <c r="AB51" s="16"/>
      <c r="AC51" s="21"/>
      <c r="AD5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44957</v>
      </c>
      <c r="AE51" s="16" t="str" cm="1">
        <f t="array" aca="1" ref="AE5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1" s="21">
        <v>45197</v>
      </c>
      <c r="AG51" s="74">
        <v>45197</v>
      </c>
      <c r="AH51" s="16" cm="1">
        <f t="array" aca="1" ref="AH5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1" s="21">
        <v>45197</v>
      </c>
      <c r="AJ51" s="74">
        <v>45197</v>
      </c>
      <c r="AK51" s="16" cm="1">
        <f t="array" aca="1" ref="AK5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1" s="20">
        <f t="shared" si="5"/>
        <v>45204</v>
      </c>
      <c r="AM51" s="74">
        <v>45204</v>
      </c>
      <c r="AN51" s="15" cm="1">
        <f t="array" aca="1" ref="AN5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51" s="20">
        <f t="shared" si="6"/>
        <v>45205</v>
      </c>
      <c r="AP51" s="74">
        <v>45197</v>
      </c>
      <c r="AQ51" s="15" cm="1">
        <f t="array" aca="1" ref="AQ5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51" s="20">
        <f t="shared" si="7"/>
        <v>45211</v>
      </c>
      <c r="AS51" s="74">
        <v>45208</v>
      </c>
      <c r="AT51" s="15" cm="1">
        <f t="array" aca="1" ref="AT5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51" s="20">
        <f t="shared" si="8"/>
        <v>45215</v>
      </c>
      <c r="AV51" s="74">
        <v>45247</v>
      </c>
      <c r="AW51" s="15" cm="1">
        <f t="array" aca="1" ref="AW5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33</v>
      </c>
      <c r="AX51" s="20">
        <f t="shared" si="9"/>
        <v>45250</v>
      </c>
      <c r="AY51" s="74">
        <v>45251</v>
      </c>
      <c r="AZ51" s="15" cm="1">
        <f t="array" aca="1" ref="AZ5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51" s="16"/>
    </row>
    <row r="52" spans="2:53" hidden="1" x14ac:dyDescent="0.35">
      <c r="B52" s="14" t="s">
        <v>79</v>
      </c>
      <c r="C52" s="16" t="s">
        <v>867</v>
      </c>
      <c r="D52" s="16" t="s">
        <v>108</v>
      </c>
      <c r="E52" s="16" t="s">
        <v>876</v>
      </c>
      <c r="F52" s="16" cm="1">
        <f t="array" ref="F52">_xlfn.IFS(Tabela18[[#This Row],[STATUS]]="Finalizado",1,Tabela18[[#This Row],[STATUS]]="Cancelado",2,Tabela18[[#This Row],[STATUS]]="Em andamento",3)</f>
        <v>1</v>
      </c>
      <c r="G52" s="16" cm="1">
        <f t="array" aca="1" ref="G5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-EMAIL]]="",$AH52&gt;$AF$1),2,
AND(Tabela18[[#This Row],[STATUS]]="Em andamento",Tabela18[[#This Row],[DATA REAL -EMAIL]]="",$AH52&lt;=$AF$1),3,
AND(Tabela18[[#This Row],[STATUS]]="Em andamento",Tabela18[[#This Row],[DATA REAL -EMAIL]]&lt;&gt;""),1)</f>
        <v>1</v>
      </c>
      <c r="H52" s="16" cm="1">
        <f t="array" aca="1" ref="H5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CLIENTE]]="",$AK52&gt;$AI$1),2,
AND(Tabela18[[#This Row],[STATUS]]="Em andamento",Tabela18[[#This Row],[DATA REAL - DOC CLIENTE]]="",$AK52&lt;=$AI$1),3,
AND(Tabela18[[#This Row],[STATUS]]="Em andamento",Tabela18[[#This Row],[DATA REAL - DOC CLIENTE]]&lt;&gt;""),1)</f>
        <v>1</v>
      </c>
      <c r="I52" s="16" cm="1">
        <f t="array" aca="1" ref="I5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06]]="",$AN52&gt;$AL$1),2,
AND(Tabela18[[#This Row],[STATUS]]="Em andamento",Tabela18[[#This Row],[DATA REAL - ANEXO 06]]="",$AN52&lt;=$AL$1),3,
AND(Tabela18[[#This Row],[STATUS]]="Em andamento",Tabela18[[#This Row],[DATA REAL - ANEXO 06]]&lt;&gt;""),1)</f>
        <v>1</v>
      </c>
      <c r="J52" s="15" cm="1">
        <f t="array" aca="1" ref="J5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LEGAIS]]="",$AQ52&gt;$AO$1),2,
AND(Tabela18[[#This Row],[STATUS]]="Em andamento",Tabela18[[#This Row],[DATA REAL - SOLIC. PROG LEGAIS]]="",$AQ52&lt;=$AO$1),3,
AND(Tabela18[[#This Row],[STATUS]]="Em andamento",Tabela18[[#This Row],[DATA REAL - SOLIC. PROG LEGAIS]]&lt;&gt;""),1)</f>
        <v>1</v>
      </c>
      <c r="K52" s="15" cm="1">
        <f t="array" aca="1" ref="K5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ENVIO]]="",$AT52&gt;$AR$1),2,
AND(Tabela18[[#This Row],[STATUS]]="Em andamento",Tabela18[[#This Row],[DATA REAL - ENVIO]]="",$AT52&lt;=$AR$1),3,
AND(Tabela18[[#This Row],[STATUS]]="Em andamento",Tabela18[[#This Row],[DATA REAL - ENVIO]]&lt;&gt;""),1)</f>
        <v>1</v>
      </c>
      <c r="L52" s="15" cm="1">
        <f t="array" aca="1" ref="L5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POSTAGEM]]="",$AW52&gt;$AU$1),2,
AND(Tabela18[[#This Row],[STATUS]]="Em andamento",Tabela18[[#This Row],[DATA REAL - POSTAGEM]]="",$AW52&lt;=$AU$1),3,
AND(Tabela18[[#This Row],[STATUS]]="Em andamento",Tabela18[[#This Row],[DATA REAL - POSTAGEM]]&lt;&gt;""),1)</f>
        <v>1</v>
      </c>
      <c r="M52" s="16" cm="1">
        <f t="array" aca="1" ref="M5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APROVAÇÃO]]="",$AZ52&gt;$AX$1),2,
AND(Tabela18[[#This Row],[STATUS]]="Em andamento",Tabela18[[#This Row],[DATA REAL - APROVAÇÃO]]="",$AZ52&lt;=$AX$1),3,
AND(Tabela18[[#This Row],[STATUS]]="Em andamento",Tabela18[[#This Row],[DATA REAL - APROVAÇÃO]]&lt;&gt;""),1)</f>
        <v>1</v>
      </c>
      <c r="N52" s="21">
        <f>IF(Tabela18[[#This Row],[DATA REAL -EMAIL]]&lt;&gt;"",Tabela18[[#This Row],[DATA REAL -EMAIL]]+30,Tabela18[[#This Row],[DATA PREV - EMAIL]]+30)</f>
        <v>45245</v>
      </c>
      <c r="O5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45266</v>
      </c>
      <c r="P5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51</v>
      </c>
      <c r="Q5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45</v>
      </c>
      <c r="R52" s="48">
        <f>MAX(Tabela18[[#This Row],[DATA REAL - POSTAGEM]],Tabela18[[#This Row],[DATA REAL - APROVAÇÃO]])-MIN(Tabela18[[#This Row],[DATA REAL - POSTAGEM]],Tabela18[[#This Row],[DATA REAL - APROVAÇÃO]])+1</f>
        <v>3</v>
      </c>
      <c r="S52" s="16"/>
      <c r="T52" s="16"/>
      <c r="U52" s="18"/>
      <c r="V52" s="18"/>
      <c r="W52" s="16" t="s">
        <v>97</v>
      </c>
      <c r="X52" s="16" t="s">
        <v>89</v>
      </c>
      <c r="Y52" s="16" t="s">
        <v>916</v>
      </c>
      <c r="Z52" s="15" t="s">
        <v>249</v>
      </c>
      <c r="AA52" s="15" t="str">
        <f>_xlfn.XLOOKUP(Tabela18[[#This Row],[CÓD. CT]],Controle_Projetos[COD CT],Controle_Projetos[COD PHD],"")</f>
        <v/>
      </c>
      <c r="AB52" s="16"/>
      <c r="AC52" s="21"/>
      <c r="AD5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2" s="16" t="str" cm="1">
        <f t="array" aca="1" ref="AE5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2" s="21">
        <v>45215</v>
      </c>
      <c r="AG52" s="74">
        <v>45215</v>
      </c>
      <c r="AH52" s="16" cm="1">
        <f t="array" aca="1" ref="AH5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2" s="21">
        <v>45218</v>
      </c>
      <c r="AJ52" s="74">
        <v>45218</v>
      </c>
      <c r="AK52" s="16" cm="1">
        <f t="array" aca="1" ref="AK5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2" s="20">
        <f t="shared" si="5"/>
        <v>45225</v>
      </c>
      <c r="AM52" s="74">
        <v>45218</v>
      </c>
      <c r="AN52" s="15" cm="1">
        <f t="array" aca="1" ref="AN5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2" s="20">
        <f t="shared" si="6"/>
        <v>45219</v>
      </c>
      <c r="AP52" s="74">
        <v>45218</v>
      </c>
      <c r="AQ52" s="15" cm="1">
        <f t="array" aca="1" ref="AQ5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52" s="20">
        <f t="shared" si="7"/>
        <v>45232</v>
      </c>
      <c r="AS52" s="74">
        <v>45260</v>
      </c>
      <c r="AT52" s="15" cm="1">
        <f t="array" aca="1" ref="AT5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29</v>
      </c>
      <c r="AU52" s="20">
        <f t="shared" si="8"/>
        <v>45267</v>
      </c>
      <c r="AV52" s="74">
        <v>45264</v>
      </c>
      <c r="AW52" s="15" cm="1">
        <f t="array" aca="1" ref="AW5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v>
      </c>
      <c r="AX52" s="20">
        <f t="shared" si="9"/>
        <v>45265</v>
      </c>
      <c r="AY52" s="74">
        <v>45266</v>
      </c>
      <c r="AZ52" s="15" cm="1">
        <f t="array" aca="1" ref="AZ5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52" s="16"/>
    </row>
    <row r="53" spans="2:53" hidden="1" x14ac:dyDescent="0.35">
      <c r="B53" s="14" t="s">
        <v>79</v>
      </c>
      <c r="C53" s="16" t="s">
        <v>867</v>
      </c>
      <c r="D53" s="16" t="s">
        <v>108</v>
      </c>
      <c r="E53" s="16" t="s">
        <v>917</v>
      </c>
      <c r="F53" s="16" cm="1">
        <f t="array" ref="F53">_xlfn.IFS(Tabela18[[#This Row],[STATUS]]="Finalizado",1,Tabela18[[#This Row],[STATUS]]="Cancelado",2,Tabela18[[#This Row],[STATUS]]="Em andamento",3)</f>
        <v>1</v>
      </c>
      <c r="G53" s="16" cm="1">
        <f t="array" aca="1" ref="G5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-EMAIL]]="",$AH53&gt;$AF$1),2,
AND(Tabela18[[#This Row],[STATUS]]="Em andamento",Tabela18[[#This Row],[DATA REAL -EMAIL]]="",$AH53&lt;=$AF$1),3,
AND(Tabela18[[#This Row],[STATUS]]="Em andamento",Tabela18[[#This Row],[DATA REAL -EMAIL]]&lt;&gt;""),1)</f>
        <v>1</v>
      </c>
      <c r="H53" s="16" cm="1">
        <f t="array" aca="1" ref="H5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CLIENTE]]="",$AK53&gt;$AI$1),2,
AND(Tabela18[[#This Row],[STATUS]]="Em andamento",Tabela18[[#This Row],[DATA REAL - DOC CLIENTE]]="",$AK53&lt;=$AI$1),3,
AND(Tabela18[[#This Row],[STATUS]]="Em andamento",Tabela18[[#This Row],[DATA REAL - DOC CLIENTE]]&lt;&gt;""),1)</f>
        <v>1</v>
      </c>
      <c r="I53" s="16" cm="1">
        <f t="array" aca="1" ref="I5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06]]="",$AN53&gt;$AL$1),2,
AND(Tabela18[[#This Row],[STATUS]]="Em andamento",Tabela18[[#This Row],[DATA REAL - ANEXO 06]]="",$AN53&lt;=$AL$1),3,
AND(Tabela18[[#This Row],[STATUS]]="Em andamento",Tabela18[[#This Row],[DATA REAL - ANEXO 06]]&lt;&gt;""),1)</f>
        <v>1</v>
      </c>
      <c r="J53" s="15" cm="1">
        <f t="array" aca="1" ref="J5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LEGAIS]]="",$AQ53&gt;$AO$1),2,
AND(Tabela18[[#This Row],[STATUS]]="Em andamento",Tabela18[[#This Row],[DATA REAL - SOLIC. PROG LEGAIS]]="",$AQ53&lt;=$AO$1),3,
AND(Tabela18[[#This Row],[STATUS]]="Em andamento",Tabela18[[#This Row],[DATA REAL - SOLIC. PROG LEGAIS]]&lt;&gt;""),1)</f>
        <v>1</v>
      </c>
      <c r="K53" s="15" cm="1">
        <f t="array" aca="1" ref="K5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ENVIO]]="",$AT53&gt;$AR$1),2,
AND(Tabela18[[#This Row],[STATUS]]="Em andamento",Tabela18[[#This Row],[DATA REAL - ENVIO]]="",$AT53&lt;=$AR$1),3,
AND(Tabela18[[#This Row],[STATUS]]="Em andamento",Tabela18[[#This Row],[DATA REAL - ENVIO]]&lt;&gt;""),1)</f>
        <v>1</v>
      </c>
      <c r="L53" s="15" cm="1">
        <f t="array" aca="1" ref="L5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POSTAGEM]]="",$AW53&gt;$AU$1),2,
AND(Tabela18[[#This Row],[STATUS]]="Em andamento",Tabela18[[#This Row],[DATA REAL - POSTAGEM]]="",$AW53&lt;=$AU$1),3,
AND(Tabela18[[#This Row],[STATUS]]="Em andamento",Tabela18[[#This Row],[DATA REAL - POSTAGEM]]&lt;&gt;""),1)</f>
        <v>1</v>
      </c>
      <c r="M53" s="16" cm="1">
        <f t="array" aca="1" ref="M5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APROVAÇÃO]]="",$AZ53&gt;$AX$1),2,
AND(Tabela18[[#This Row],[STATUS]]="Em andamento",Tabela18[[#This Row],[DATA REAL - APROVAÇÃO]]="",$AZ53&lt;=$AX$1),3,
AND(Tabela18[[#This Row],[STATUS]]="Em andamento",Tabela18[[#This Row],[DATA REAL - APROVAÇÃO]]&lt;&gt;""),1)</f>
        <v>1</v>
      </c>
      <c r="N53" s="21">
        <f>IF(Tabela18[[#This Row],[DATA REAL -EMAIL]]&lt;&gt;"",Tabela18[[#This Row],[DATA REAL -EMAIL]]+30,Tabela18[[#This Row],[DATA PREV - EMAIL]]+30)</f>
        <v>45261</v>
      </c>
      <c r="O5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45296</v>
      </c>
      <c r="P5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70</v>
      </c>
      <c r="Q5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v>
      </c>
      <c r="R53" s="48">
        <f>MAX(Tabela18[[#This Row],[DATA REAL - POSTAGEM]],Tabela18[[#This Row],[DATA REAL - APROVAÇÃO]])-MIN(Tabela18[[#This Row],[DATA REAL - POSTAGEM]],Tabela18[[#This Row],[DATA REAL - APROVAÇÃO]])+1</f>
        <v>25</v>
      </c>
      <c r="S53" s="16"/>
      <c r="T53" s="16"/>
      <c r="U53" s="18"/>
      <c r="V53" s="18"/>
      <c r="W53" s="16" t="s">
        <v>87</v>
      </c>
      <c r="X53" s="16" t="s">
        <v>918</v>
      </c>
      <c r="Y53" s="16" t="s">
        <v>220</v>
      </c>
      <c r="Z53" s="15" t="s">
        <v>221</v>
      </c>
      <c r="AA53" s="15" t="str">
        <f>_xlfn.XLOOKUP(Tabela18[[#This Row],[CÓD. CT]],Controle_Projetos[COD CT],Controle_Projetos[COD PHD],"")</f>
        <v>CRET-CT01-TANQ</v>
      </c>
      <c r="AB53" s="16"/>
      <c r="AC53" s="21">
        <v>45219</v>
      </c>
      <c r="AD5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45226</v>
      </c>
      <c r="AE53" s="16" cm="1">
        <f t="array" aca="1" ref="AE5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53" s="21">
        <v>45231</v>
      </c>
      <c r="AG53" s="74">
        <v>45231</v>
      </c>
      <c r="AH53" s="16" cm="1">
        <f t="array" aca="1" ref="AH5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3" s="21">
        <v>45236</v>
      </c>
      <c r="AJ53" s="74">
        <v>45236</v>
      </c>
      <c r="AK53" s="16" cm="1">
        <f t="array" aca="1" ref="AK5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3" s="20">
        <f t="shared" si="5"/>
        <v>45243</v>
      </c>
      <c r="AM53" s="74">
        <v>45236</v>
      </c>
      <c r="AN53" s="15" cm="1">
        <f t="array" aca="1" ref="AN5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3" s="20">
        <f t="shared" si="6"/>
        <v>45237</v>
      </c>
      <c r="AP53" s="74">
        <v>45244</v>
      </c>
      <c r="AQ53" s="15" cm="1">
        <f t="array" aca="1" ref="AQ5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8</v>
      </c>
      <c r="AR53" s="20">
        <f t="shared" si="7"/>
        <v>45258</v>
      </c>
      <c r="AS53" s="74">
        <v>45244</v>
      </c>
      <c r="AT53" s="15" cm="1">
        <f t="array" aca="1" ref="AT5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53" s="20">
        <f t="shared" si="8"/>
        <v>45251</v>
      </c>
      <c r="AV53" s="74">
        <v>45272</v>
      </c>
      <c r="AW53" s="15" cm="1">
        <f t="array" aca="1" ref="AW5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22</v>
      </c>
      <c r="AX53" s="20">
        <f t="shared" si="9"/>
        <v>45273</v>
      </c>
      <c r="AY53" s="74">
        <v>45296</v>
      </c>
      <c r="AZ53" s="15" cm="1">
        <f t="array" aca="1" ref="AZ5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24</v>
      </c>
      <c r="BA53" s="16" t="s">
        <v>919</v>
      </c>
    </row>
    <row r="54" spans="2:53" hidden="1" x14ac:dyDescent="0.35">
      <c r="B54" s="14" t="s">
        <v>119</v>
      </c>
      <c r="C54" s="16" t="s">
        <v>867</v>
      </c>
      <c r="D54" s="16" t="s">
        <v>119</v>
      </c>
      <c r="E54" s="16" t="s">
        <v>917</v>
      </c>
      <c r="F54" s="16" cm="1">
        <f t="array" ref="F54">_xlfn.IFS(Tabela18[[#This Row],[STATUS]]="Finalizado",1,Tabela18[[#This Row],[STATUS]]="Cancelado",2,Tabela18[[#This Row],[STATUS]]="Em andamento",3)</f>
        <v>2</v>
      </c>
      <c r="G54" s="16" cm="1">
        <f t="array" aca="1" ref="G5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-EMAIL]]="",$AH54&gt;$AF$1),2,
AND(Tabela18[[#This Row],[STATUS]]="Em andamento",Tabela18[[#This Row],[DATA REAL -EMAIL]]="",$AH54&lt;=$AF$1),3,
AND(Tabela18[[#This Row],[STATUS]]="Em andamento",Tabela18[[#This Row],[DATA REAL -EMAIL]]&lt;&gt;""),1)</f>
        <v>1</v>
      </c>
      <c r="H54" s="16" cm="1">
        <f t="array" aca="1" ref="H5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CLIENTE]]="",$AK54&gt;$AI$1),2,
AND(Tabela18[[#This Row],[STATUS]]="Em andamento",Tabela18[[#This Row],[DATA REAL - DOC CLIENTE]]="",$AK54&lt;=$AI$1),3,
AND(Tabela18[[#This Row],[STATUS]]="Em andamento",Tabela18[[#This Row],[DATA REAL - DOC CLIENTE]]&lt;&gt;""),1)</f>
        <v>1</v>
      </c>
      <c r="I54" s="16" cm="1">
        <f t="array" aca="1" ref="I5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06]]="",$AN54&gt;$AL$1),2,
AND(Tabela18[[#This Row],[STATUS]]="Em andamento",Tabela18[[#This Row],[DATA REAL - ANEXO 06]]="",$AN54&lt;=$AL$1),3,
AND(Tabela18[[#This Row],[STATUS]]="Em andamento",Tabela18[[#This Row],[DATA REAL - ANEXO 06]]&lt;&gt;""),1)</f>
        <v>1</v>
      </c>
      <c r="J54" s="15" cm="1">
        <f t="array" aca="1" ref="J5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LEGAIS]]="",$AQ54&gt;$AO$1),2,
AND(Tabela18[[#This Row],[STATUS]]="Em andamento",Tabela18[[#This Row],[DATA REAL - SOLIC. PROG LEGAIS]]="",$AQ54&lt;=$AO$1),3,
AND(Tabela18[[#This Row],[STATUS]]="Em andamento",Tabela18[[#This Row],[DATA REAL - SOLIC. PROG LEGAIS]]&lt;&gt;""),1)</f>
        <v>1</v>
      </c>
      <c r="K54" s="15" cm="1">
        <f t="array" aca="1" ref="K5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ENVIO]]="",$AT54&gt;$AR$1),2,
AND(Tabela18[[#This Row],[STATUS]]="Em andamento",Tabela18[[#This Row],[DATA REAL - ENVIO]]="",$AT54&lt;=$AR$1),3,
AND(Tabela18[[#This Row],[STATUS]]="Em andamento",Tabela18[[#This Row],[DATA REAL - ENVIO]]&lt;&gt;""),1)</f>
        <v>1</v>
      </c>
      <c r="L54" s="15" cm="1">
        <f t="array" aca="1" ref="L5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POSTAGEM]]="",$AW54&gt;$AU$1),2,
AND(Tabela18[[#This Row],[STATUS]]="Em andamento",Tabela18[[#This Row],[DATA REAL - POSTAGEM]]="",$AW54&lt;=$AU$1),3,
AND(Tabela18[[#This Row],[STATUS]]="Em andamento",Tabela18[[#This Row],[DATA REAL - POSTAGEM]]&lt;&gt;""),1)</f>
        <v>0</v>
      </c>
      <c r="M54" s="16" cm="1">
        <f t="array" aca="1" ref="M5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APROVAÇÃO]]="",$AZ54&gt;$AX$1),2,
AND(Tabela18[[#This Row],[STATUS]]="Em andamento",Tabela18[[#This Row],[DATA REAL - APROVAÇÃO]]="",$AZ54&lt;=$AX$1),3,
AND(Tabela18[[#This Row],[STATUS]]="Em andamento",Tabela18[[#This Row],[DATA REAL - APROVAÇÃO]]&lt;&gt;""),1)</f>
        <v>0</v>
      </c>
      <c r="N54" s="21">
        <f>IF(Tabela18[[#This Row],[DATA REAL -EMAIL]]&lt;&gt;"",Tabela18[[#This Row],[DATA REAL -EMAIL]]+30,Tabela18[[#This Row],[DATA PREV - EMAIL]]+30)</f>
        <v>45261</v>
      </c>
      <c r="O5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45244</v>
      </c>
      <c r="P5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v>
      </c>
      <c r="Q5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v>
      </c>
      <c r="R54" s="48">
        <f>MAX(Tabela18[[#This Row],[DATA REAL - POSTAGEM]],Tabela18[[#This Row],[DATA REAL - APROVAÇÃO]])-MIN(Tabela18[[#This Row],[DATA REAL - POSTAGEM]],Tabela18[[#This Row],[DATA REAL - APROVAÇÃO]])+1</f>
        <v>1</v>
      </c>
      <c r="S54" s="16"/>
      <c r="T54" s="16"/>
      <c r="U54" s="18"/>
      <c r="V54" s="18"/>
      <c r="W54" s="16" t="s">
        <v>97</v>
      </c>
      <c r="X54" s="16" t="s">
        <v>918</v>
      </c>
      <c r="Y54" s="16" t="s">
        <v>220</v>
      </c>
      <c r="Z54" s="15" t="s">
        <v>221</v>
      </c>
      <c r="AA54" s="15" t="str">
        <f>_xlfn.XLOOKUP(Tabela18[[#This Row],[CÓD. CT]],Controle_Projetos[COD CT],Controle_Projetos[COD PHD],"")</f>
        <v>CRET-CT01-TANQ</v>
      </c>
      <c r="AB54" s="16"/>
      <c r="AC54" s="21">
        <v>45219</v>
      </c>
      <c r="AD5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45226</v>
      </c>
      <c r="AE54" s="16" cm="1">
        <f t="array" aca="1" ref="AE5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54" s="21">
        <v>45231</v>
      </c>
      <c r="AG54" s="74">
        <v>45231</v>
      </c>
      <c r="AH54" s="16" cm="1">
        <f t="array" aca="1" ref="AH5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4" s="21">
        <v>45236</v>
      </c>
      <c r="AJ54" s="74">
        <v>45236</v>
      </c>
      <c r="AK54" s="16" cm="1">
        <f t="array" aca="1" ref="AK5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4" s="20">
        <f t="shared" si="5"/>
        <v>45243</v>
      </c>
      <c r="AM54" s="74">
        <v>45236</v>
      </c>
      <c r="AN54" s="15" cm="1">
        <f t="array" aca="1" ref="AN5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4" s="20">
        <f t="shared" si="6"/>
        <v>45237</v>
      </c>
      <c r="AP54" s="74">
        <v>45244</v>
      </c>
      <c r="AQ54" s="15" cm="1">
        <f t="array" aca="1" ref="AQ5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8</v>
      </c>
      <c r="AR54" s="20">
        <f t="shared" si="7"/>
        <v>45258</v>
      </c>
      <c r="AS54" s="74">
        <v>45244</v>
      </c>
      <c r="AT54" s="15" cm="1">
        <f t="array" aca="1" ref="AT5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54" s="20">
        <f t="shared" si="8"/>
        <v>45251</v>
      </c>
      <c r="AV54" s="74"/>
      <c r="AW54" s="15" cm="1">
        <f t="array" aca="1" ref="AW5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54" s="20">
        <f t="shared" si="9"/>
        <v>45252</v>
      </c>
      <c r="AY54" s="74"/>
      <c r="AZ54" s="15" cm="1">
        <f t="array" aca="1" ref="AZ5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54" s="80"/>
    </row>
    <row r="55" spans="2:53" hidden="1" x14ac:dyDescent="0.35">
      <c r="B55" s="14" t="s">
        <v>79</v>
      </c>
      <c r="C55" s="16" t="s">
        <v>867</v>
      </c>
      <c r="D55" s="16" t="s">
        <v>108</v>
      </c>
      <c r="E55" s="16" t="s">
        <v>920</v>
      </c>
      <c r="F55" s="16" cm="1">
        <f t="array" ref="F55">_xlfn.IFS(Tabela18[[#This Row],[STATUS]]="Finalizado",1,Tabela18[[#This Row],[STATUS]]="Cancelado",2,Tabela18[[#This Row],[STATUS]]="Em andamento",3)</f>
        <v>1</v>
      </c>
      <c r="G55" s="16" cm="1">
        <f t="array" aca="1" ref="G5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-EMAIL]]="",$AH55&gt;$AF$1),2,
AND(Tabela18[[#This Row],[STATUS]]="Em andamento",Tabela18[[#This Row],[DATA REAL -EMAIL]]="",$AH55&lt;=$AF$1),3,
AND(Tabela18[[#This Row],[STATUS]]="Em andamento",Tabela18[[#This Row],[DATA REAL -EMAIL]]&lt;&gt;""),1)</f>
        <v>1</v>
      </c>
      <c r="H55" s="16" cm="1">
        <f t="array" aca="1" ref="H5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CLIENTE]]="",$AK55&gt;$AI$1),2,
AND(Tabela18[[#This Row],[STATUS]]="Em andamento",Tabela18[[#This Row],[DATA REAL - DOC CLIENTE]]="",$AK55&lt;=$AI$1),3,
AND(Tabela18[[#This Row],[STATUS]]="Em andamento",Tabela18[[#This Row],[DATA REAL - DOC CLIENTE]]&lt;&gt;""),1)</f>
        <v>1</v>
      </c>
      <c r="I55" s="16" cm="1">
        <f t="array" aca="1" ref="I5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06]]="",$AN55&gt;$AL$1),2,
AND(Tabela18[[#This Row],[STATUS]]="Em andamento",Tabela18[[#This Row],[DATA REAL - ANEXO 06]]="",$AN55&lt;=$AL$1),3,
AND(Tabela18[[#This Row],[STATUS]]="Em andamento",Tabela18[[#This Row],[DATA REAL - ANEXO 06]]&lt;&gt;""),1)</f>
        <v>1</v>
      </c>
      <c r="J55" s="15" cm="1">
        <f t="array" aca="1" ref="J5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LEGAIS]]="",$AQ55&gt;$AO$1),2,
AND(Tabela18[[#This Row],[STATUS]]="Em andamento",Tabela18[[#This Row],[DATA REAL - SOLIC. PROG LEGAIS]]="",$AQ55&lt;=$AO$1),3,
AND(Tabela18[[#This Row],[STATUS]]="Em andamento",Tabela18[[#This Row],[DATA REAL - SOLIC. PROG LEGAIS]]&lt;&gt;""),1)</f>
        <v>1</v>
      </c>
      <c r="K55" s="15" cm="1">
        <f t="array" aca="1" ref="K5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ENVIO]]="",$AT55&gt;$AR$1),2,
AND(Tabela18[[#This Row],[STATUS]]="Em andamento",Tabela18[[#This Row],[DATA REAL - ENVIO]]="",$AT55&lt;=$AR$1),3,
AND(Tabela18[[#This Row],[STATUS]]="Em andamento",Tabela18[[#This Row],[DATA REAL - ENVIO]]&lt;&gt;""),1)</f>
        <v>1</v>
      </c>
      <c r="L55" s="15" cm="1">
        <f t="array" aca="1" ref="L5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POSTAGEM]]="",$AW55&gt;$AU$1),2,
AND(Tabela18[[#This Row],[STATUS]]="Em andamento",Tabela18[[#This Row],[DATA REAL - POSTAGEM]]="",$AW55&lt;=$AU$1),3,
AND(Tabela18[[#This Row],[STATUS]]="Em andamento",Tabela18[[#This Row],[DATA REAL - POSTAGEM]]&lt;&gt;""),1)</f>
        <v>1</v>
      </c>
      <c r="M55" s="16" cm="1">
        <f t="array" aca="1" ref="M5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APROVAÇÃO]]="",$AZ55&gt;$AX$1),2,
AND(Tabela18[[#This Row],[STATUS]]="Em andamento",Tabela18[[#This Row],[DATA REAL - APROVAÇÃO]]="",$AZ55&lt;=$AX$1),3,
AND(Tabela18[[#This Row],[STATUS]]="Em andamento",Tabela18[[#This Row],[DATA REAL - APROVAÇÃO]]&lt;&gt;""),1)</f>
        <v>1</v>
      </c>
      <c r="N55" s="21">
        <f>IF(Tabela18[[#This Row],[DATA REAL -EMAIL]]&lt;&gt;"",Tabela18[[#This Row],[DATA REAL -EMAIL]]+30,Tabela18[[#This Row],[DATA PREV - EMAIL]]+30)</f>
        <v>45281</v>
      </c>
      <c r="O5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45299</v>
      </c>
      <c r="P5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48</v>
      </c>
      <c r="Q5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55" s="48">
        <f>MAX(Tabela18[[#This Row],[DATA REAL - POSTAGEM]],Tabela18[[#This Row],[DATA REAL - APROVAÇÃO]])-MIN(Tabela18[[#This Row],[DATA REAL - POSTAGEM]],Tabela18[[#This Row],[DATA REAL - APROVAÇÃO]])+1</f>
        <v>20</v>
      </c>
      <c r="S55" s="16" t="s">
        <v>130</v>
      </c>
      <c r="T55" s="16"/>
      <c r="U55" s="18" t="s">
        <v>131</v>
      </c>
      <c r="V55" s="18" t="s">
        <v>131</v>
      </c>
      <c r="W55" s="16" t="s">
        <v>87</v>
      </c>
      <c r="X55" s="16" t="s">
        <v>918</v>
      </c>
      <c r="Y55" s="16" t="s">
        <v>185</v>
      </c>
      <c r="Z55" s="15" t="s">
        <v>191</v>
      </c>
      <c r="AA55" s="15" t="str">
        <f>_xlfn.XLOOKUP(Tabela18[[#This Row],[CÓD. CT]],Controle_Projetos[COD CT],Controle_Projetos[COD PHD],"")</f>
        <v>SNCL-CT01-OC78</v>
      </c>
      <c r="AB55" s="16"/>
      <c r="AC55" s="21"/>
      <c r="AD5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5" s="16" t="str" cm="1">
        <f t="array" aca="1" ref="AE5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5" s="21">
        <v>45251</v>
      </c>
      <c r="AG55" s="74">
        <v>45251</v>
      </c>
      <c r="AH55" s="16" cm="1">
        <f t="array" aca="1" ref="AH5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5" s="21">
        <v>45251</v>
      </c>
      <c r="AJ55" s="74">
        <v>45251</v>
      </c>
      <c r="AK55" s="16" cm="1">
        <f t="array" aca="1" ref="AK5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5" s="20">
        <f t="shared" si="5"/>
        <v>45258</v>
      </c>
      <c r="AM55" s="74">
        <v>45251</v>
      </c>
      <c r="AN55" s="15" cm="1">
        <f t="array" aca="1" ref="AN5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5" s="20">
        <f t="shared" si="6"/>
        <v>45252</v>
      </c>
      <c r="AP55" s="74">
        <v>45254</v>
      </c>
      <c r="AQ55" s="15" cm="1">
        <f t="array" aca="1" ref="AQ5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55" s="20">
        <f t="shared" si="7"/>
        <v>45268</v>
      </c>
      <c r="AS55" s="74">
        <v>45275</v>
      </c>
      <c r="AT55" s="15" cm="1">
        <f t="array" aca="1" ref="AT5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55" s="20">
        <f t="shared" si="8"/>
        <v>45282</v>
      </c>
      <c r="AV55" s="74">
        <v>45280</v>
      </c>
      <c r="AW55" s="15" cm="1">
        <f t="array" aca="1" ref="AW5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55" s="20">
        <f t="shared" si="9"/>
        <v>45281</v>
      </c>
      <c r="AY55" s="74">
        <v>45299</v>
      </c>
      <c r="AZ55" s="15" cm="1">
        <f t="array" aca="1" ref="AZ5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19</v>
      </c>
      <c r="BA55" s="16" t="s">
        <v>921</v>
      </c>
    </row>
    <row r="56" spans="2:53" hidden="1" x14ac:dyDescent="0.35">
      <c r="B56" s="14" t="s">
        <v>79</v>
      </c>
      <c r="C56" s="16" t="s">
        <v>867</v>
      </c>
      <c r="D56" s="16" t="s">
        <v>108</v>
      </c>
      <c r="E56" s="16" t="s">
        <v>235</v>
      </c>
      <c r="F56" s="16" cm="1">
        <f t="array" ref="F56">_xlfn.IFS(Tabela18[[#This Row],[STATUS]]="Finalizado",1,Tabela18[[#This Row],[STATUS]]="Cancelado",2,Tabela18[[#This Row],[STATUS]]="Em andamento",3)</f>
        <v>1</v>
      </c>
      <c r="G56" s="16" cm="1">
        <f t="array" aca="1" ref="G5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-EMAIL]]="",$AH56&gt;$AF$1),2,
AND(Tabela18[[#This Row],[STATUS]]="Em andamento",Tabela18[[#This Row],[DATA REAL -EMAIL]]="",$AH56&lt;=$AF$1),3,
AND(Tabela18[[#This Row],[STATUS]]="Em andamento",Tabela18[[#This Row],[DATA REAL -EMAIL]]&lt;&gt;""),1)</f>
        <v>1</v>
      </c>
      <c r="H56" s="16" cm="1">
        <f t="array" aca="1" ref="H5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CLIENTE]]="",$AK56&gt;$AI$1),2,
AND(Tabela18[[#This Row],[STATUS]]="Em andamento",Tabela18[[#This Row],[DATA REAL - DOC CLIENTE]]="",$AK56&lt;=$AI$1),3,
AND(Tabela18[[#This Row],[STATUS]]="Em andamento",Tabela18[[#This Row],[DATA REAL - DOC CLIENTE]]&lt;&gt;""),1)</f>
        <v>1</v>
      </c>
      <c r="I56" s="16" cm="1">
        <f t="array" aca="1" ref="I5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06]]="",$AN56&gt;$AL$1),2,
AND(Tabela18[[#This Row],[STATUS]]="Em andamento",Tabela18[[#This Row],[DATA REAL - ANEXO 06]]="",$AN56&lt;=$AL$1),3,
AND(Tabela18[[#This Row],[STATUS]]="Em andamento",Tabela18[[#This Row],[DATA REAL - ANEXO 06]]&lt;&gt;""),1)</f>
        <v>1</v>
      </c>
      <c r="J56" s="15" cm="1">
        <f t="array" aca="1" ref="J5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LEGAIS]]="",$AQ56&gt;$AO$1),2,
AND(Tabela18[[#This Row],[STATUS]]="Em andamento",Tabela18[[#This Row],[DATA REAL - SOLIC. PROG LEGAIS]]="",$AQ56&lt;=$AO$1),3,
AND(Tabela18[[#This Row],[STATUS]]="Em andamento",Tabela18[[#This Row],[DATA REAL - SOLIC. PROG LEGAIS]]&lt;&gt;""),1)</f>
        <v>1</v>
      </c>
      <c r="K56" s="15" cm="1">
        <f t="array" aca="1" ref="K5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ENVIO]]="",$AT56&gt;$AR$1),2,
AND(Tabela18[[#This Row],[STATUS]]="Em andamento",Tabela18[[#This Row],[DATA REAL - ENVIO]]="",$AT56&lt;=$AR$1),3,
AND(Tabela18[[#This Row],[STATUS]]="Em andamento",Tabela18[[#This Row],[DATA REAL - ENVIO]]&lt;&gt;""),1)</f>
        <v>1</v>
      </c>
      <c r="L56" s="15" cm="1">
        <f t="array" aca="1" ref="L5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POSTAGEM]]="",$AW56&gt;$AU$1),2,
AND(Tabela18[[#This Row],[STATUS]]="Em andamento",Tabela18[[#This Row],[DATA REAL - POSTAGEM]]="",$AW56&lt;=$AU$1),3,
AND(Tabela18[[#This Row],[STATUS]]="Em andamento",Tabela18[[#This Row],[DATA REAL - POSTAGEM]]&lt;&gt;""),1)</f>
        <v>1</v>
      </c>
      <c r="M56" s="16" cm="1">
        <f t="array" aca="1" ref="M5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APROVAÇÃO]]="",$AZ56&gt;$AX$1),2,
AND(Tabela18[[#This Row],[STATUS]]="Em andamento",Tabela18[[#This Row],[DATA REAL - APROVAÇÃO]]="",$AZ56&lt;=$AX$1),3,
AND(Tabela18[[#This Row],[STATUS]]="Em andamento",Tabela18[[#This Row],[DATA REAL - APROVAÇÃO]]&lt;&gt;""),1)</f>
        <v>1</v>
      </c>
      <c r="N56" s="21">
        <f>IF(Tabela18[[#This Row],[DATA REAL -EMAIL]]&lt;&gt;"",Tabela18[[#This Row],[DATA REAL -EMAIL]]+30,Tabela18[[#This Row],[DATA PREV - EMAIL]]+30)</f>
        <v>45294</v>
      </c>
      <c r="O5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45309</v>
      </c>
      <c r="P5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92</v>
      </c>
      <c r="Q5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78</v>
      </c>
      <c r="R56" s="48">
        <f>MAX(Tabela18[[#This Row],[DATA REAL - POSTAGEM]],Tabela18[[#This Row],[DATA REAL - APROVAÇÃO]])-MIN(Tabela18[[#This Row],[DATA REAL - POSTAGEM]],Tabela18[[#This Row],[DATA REAL - APROVAÇÃO]])+1</f>
        <v>4</v>
      </c>
      <c r="S56" s="16"/>
      <c r="T56" s="16"/>
      <c r="U56" s="18"/>
      <c r="V56" s="18"/>
      <c r="W56" s="16" t="s">
        <v>97</v>
      </c>
      <c r="X56" s="16" t="s">
        <v>227</v>
      </c>
      <c r="Y56" s="16" t="s">
        <v>922</v>
      </c>
      <c r="Z56" s="15" t="s">
        <v>249</v>
      </c>
      <c r="AA56" s="15" t="str">
        <f>_xlfn.XLOOKUP(Tabela18[[#This Row],[CÓD. CT]],Controle_Projetos[COD CT],Controle_Projetos[COD PHD],"")</f>
        <v/>
      </c>
      <c r="AB56" s="16"/>
      <c r="AC56" s="21"/>
      <c r="AD5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6" s="16" t="str" cm="1">
        <f t="array" aca="1" ref="AE5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6" s="21">
        <v>45264</v>
      </c>
      <c r="AG56" s="74">
        <v>45264</v>
      </c>
      <c r="AH56" s="16" cm="1">
        <f t="array" aca="1" ref="AH5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6" s="21">
        <v>45264</v>
      </c>
      <c r="AJ56" s="74">
        <v>45264</v>
      </c>
      <c r="AK56" s="16" cm="1">
        <f t="array" aca="1" ref="AK5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6" s="20">
        <f t="shared" si="5"/>
        <v>45271</v>
      </c>
      <c r="AM56" s="74">
        <v>45264</v>
      </c>
      <c r="AN56" s="15" cm="1">
        <f t="array" aca="1" ref="AN5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6" s="20">
        <f t="shared" si="6"/>
        <v>45265</v>
      </c>
      <c r="AP56" s="74">
        <v>45217</v>
      </c>
      <c r="AQ56" s="15" cm="1">
        <f t="array" aca="1" ref="AQ5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-47</v>
      </c>
      <c r="AR56" s="20">
        <f t="shared" si="7"/>
        <v>45231</v>
      </c>
      <c r="AS56" s="74">
        <v>45295</v>
      </c>
      <c r="AT56" s="15" cm="1">
        <f t="array" aca="1" ref="AT5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65</v>
      </c>
      <c r="AU56" s="20">
        <f t="shared" si="8"/>
        <v>45302</v>
      </c>
      <c r="AV56" s="74">
        <v>45306</v>
      </c>
      <c r="AW56" s="15" cm="1">
        <f t="array" aca="1" ref="AW5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56" s="20">
        <f t="shared" si="9"/>
        <v>45307</v>
      </c>
      <c r="AY56" s="74">
        <v>45309</v>
      </c>
      <c r="AZ56" s="15" cm="1">
        <f t="array" aca="1" ref="AZ5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56" s="16" t="s">
        <v>923</v>
      </c>
    </row>
    <row r="57" spans="2:53" hidden="1" x14ac:dyDescent="0.35">
      <c r="B57" s="14" t="s">
        <v>79</v>
      </c>
      <c r="C57" s="16" t="s">
        <v>867</v>
      </c>
      <c r="D57" s="16" t="s">
        <v>108</v>
      </c>
      <c r="E57" s="16" t="s">
        <v>852</v>
      </c>
      <c r="F57" s="16" cm="1">
        <f t="array" ref="F57">_xlfn.IFS(Tabela18[[#This Row],[STATUS]]="Finalizado",1,Tabela18[[#This Row],[STATUS]]="Cancelado",2,Tabela18[[#This Row],[STATUS]]="Em andamento",3)</f>
        <v>1</v>
      </c>
      <c r="G57" s="16" cm="1">
        <f t="array" aca="1" ref="G5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-EMAIL]]="",$AH57&gt;$AF$1),2,
AND(Tabela18[[#This Row],[STATUS]]="Em andamento",Tabela18[[#This Row],[DATA REAL -EMAIL]]="",$AH57&lt;=$AF$1),3,
AND(Tabela18[[#This Row],[STATUS]]="Em andamento",Tabela18[[#This Row],[DATA REAL -EMAIL]]&lt;&gt;""),1)</f>
        <v>1</v>
      </c>
      <c r="H57" s="16" cm="1">
        <f t="array" aca="1" ref="H5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CLIENTE]]="",$AK57&gt;$AI$1),2,
AND(Tabela18[[#This Row],[STATUS]]="Em andamento",Tabela18[[#This Row],[DATA REAL - DOC CLIENTE]]="",$AK57&lt;=$AI$1),3,
AND(Tabela18[[#This Row],[STATUS]]="Em andamento",Tabela18[[#This Row],[DATA REAL - DOC CLIENTE]]&lt;&gt;""),1)</f>
        <v>1</v>
      </c>
      <c r="I57" s="16" cm="1">
        <f t="array" aca="1" ref="I5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06]]="",$AN57&gt;$AL$1),2,
AND(Tabela18[[#This Row],[STATUS]]="Em andamento",Tabela18[[#This Row],[DATA REAL - ANEXO 06]]="",$AN57&lt;=$AL$1),3,
AND(Tabela18[[#This Row],[STATUS]]="Em andamento",Tabela18[[#This Row],[DATA REAL - ANEXO 06]]&lt;&gt;""),1)</f>
        <v>1</v>
      </c>
      <c r="J57" s="15" cm="1">
        <f t="array" aca="1" ref="J5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LEGAIS]]="",$AQ57&gt;$AO$1),2,
AND(Tabela18[[#This Row],[STATUS]]="Em andamento",Tabela18[[#This Row],[DATA REAL - SOLIC. PROG LEGAIS]]="",$AQ57&lt;=$AO$1),3,
AND(Tabela18[[#This Row],[STATUS]]="Em andamento",Tabela18[[#This Row],[DATA REAL - SOLIC. PROG LEGAIS]]&lt;&gt;""),1)</f>
        <v>1</v>
      </c>
      <c r="K57" s="15" cm="1">
        <f t="array" aca="1" ref="K5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ENVIO]]="",$AT57&gt;$AR$1),2,
AND(Tabela18[[#This Row],[STATUS]]="Em andamento",Tabela18[[#This Row],[DATA REAL - ENVIO]]="",$AT57&lt;=$AR$1),3,
AND(Tabela18[[#This Row],[STATUS]]="Em andamento",Tabela18[[#This Row],[DATA REAL - ENVIO]]&lt;&gt;""),1)</f>
        <v>1</v>
      </c>
      <c r="L57" s="15" cm="1">
        <f t="array" aca="1" ref="L5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POSTAGEM]]="",$AW57&gt;$AU$1),2,
AND(Tabela18[[#This Row],[STATUS]]="Em andamento",Tabela18[[#This Row],[DATA REAL - POSTAGEM]]="",$AW57&lt;=$AU$1),3,
AND(Tabela18[[#This Row],[STATUS]]="Em andamento",Tabela18[[#This Row],[DATA REAL - POSTAGEM]]&lt;&gt;""),1)</f>
        <v>1</v>
      </c>
      <c r="M57" s="16" cm="1">
        <f t="array" aca="1" ref="M5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APROVAÇÃO]]="",$AZ57&gt;$AX$1),2,
AND(Tabela18[[#This Row],[STATUS]]="Em andamento",Tabela18[[#This Row],[DATA REAL - APROVAÇÃO]]="",$AZ57&lt;=$AX$1),3,
AND(Tabela18[[#This Row],[STATUS]]="Em andamento",Tabela18[[#This Row],[DATA REAL - APROVAÇÃO]]&lt;&gt;""),1)</f>
        <v>1</v>
      </c>
      <c r="N57" s="21">
        <f>IF(Tabela18[[#This Row],[DATA REAL -EMAIL]]&lt;&gt;"",Tabela18[[#This Row],[DATA REAL -EMAIL]]+30,Tabela18[[#This Row],[DATA PREV - EMAIL]]+30)</f>
        <v>45291</v>
      </c>
      <c r="O5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45287</v>
      </c>
      <c r="P5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26</v>
      </c>
      <c r="Q5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57" s="48">
        <f>MAX(Tabela18[[#This Row],[DATA REAL - POSTAGEM]],Tabela18[[#This Row],[DATA REAL - APROVAÇÃO]])-MIN(Tabela18[[#This Row],[DATA REAL - POSTAGEM]],Tabela18[[#This Row],[DATA REAL - APROVAÇÃO]])+1</f>
        <v>10</v>
      </c>
      <c r="S57" s="16"/>
      <c r="T57" s="16"/>
      <c r="U57" s="18"/>
      <c r="V57" s="18"/>
      <c r="W57" s="16" t="s">
        <v>87</v>
      </c>
      <c r="X57" s="16" t="s">
        <v>89</v>
      </c>
      <c r="Y57" s="16" t="s">
        <v>924</v>
      </c>
      <c r="Z57" s="15" t="s">
        <v>249</v>
      </c>
      <c r="AA57" s="15" t="str">
        <f>_xlfn.XLOOKUP(Tabela18[[#This Row],[CÓD. CT]],Controle_Projetos[COD CT],Controle_Projetos[COD PHD],"")</f>
        <v/>
      </c>
      <c r="AB57" s="16"/>
      <c r="AC57" s="21"/>
      <c r="AD5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7" s="16" t="str" cm="1">
        <f t="array" aca="1" ref="AE5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7" s="21">
        <v>45261</v>
      </c>
      <c r="AG57" s="74">
        <v>45261</v>
      </c>
      <c r="AH57" s="16" cm="1">
        <f t="array" aca="1" ref="AH5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7" s="21">
        <v>45261</v>
      </c>
      <c r="AJ57" s="74">
        <v>45261</v>
      </c>
      <c r="AK57" s="16" cm="1">
        <f t="array" aca="1" ref="AK5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7" s="20">
        <f t="shared" si="5"/>
        <v>45268</v>
      </c>
      <c r="AM57" s="74">
        <v>45265</v>
      </c>
      <c r="AN57" s="15" cm="1">
        <f t="array" aca="1" ref="AN5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57" s="20">
        <f t="shared" si="6"/>
        <v>45266</v>
      </c>
      <c r="AP57" s="74">
        <v>45266</v>
      </c>
      <c r="AQ57" s="15" cm="1">
        <f t="array" aca="1" ref="AQ5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57" s="20">
        <f t="shared" si="7"/>
        <v>45280</v>
      </c>
      <c r="AS57" s="74">
        <v>45275</v>
      </c>
      <c r="AT57" s="15" cm="1">
        <f t="array" aca="1" ref="AT5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57" s="20">
        <f t="shared" si="8"/>
        <v>45282</v>
      </c>
      <c r="AV57" s="74">
        <v>45278</v>
      </c>
      <c r="AW57" s="15" cm="1">
        <f t="array" aca="1" ref="AW5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57" s="20">
        <f t="shared" si="9"/>
        <v>45279</v>
      </c>
      <c r="AY57" s="74">
        <v>45287</v>
      </c>
      <c r="AZ57" s="15" cm="1">
        <f t="array" aca="1" ref="AZ5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9</v>
      </c>
      <c r="BA57" s="16"/>
    </row>
    <row r="58" spans="2:53" hidden="1" x14ac:dyDescent="0.35">
      <c r="B58" s="14" t="s">
        <v>79</v>
      </c>
      <c r="C58" s="16" t="s">
        <v>867</v>
      </c>
      <c r="D58" s="16" t="s">
        <v>108</v>
      </c>
      <c r="E58" s="16" t="s">
        <v>876</v>
      </c>
      <c r="F58" s="16" cm="1">
        <f t="array" ref="F58">_xlfn.IFS(Tabela18[[#This Row],[STATUS]]="Finalizado",1,Tabela18[[#This Row],[STATUS]]="Cancelado",2,Tabela18[[#This Row],[STATUS]]="Em andamento",3)</f>
        <v>1</v>
      </c>
      <c r="G58" s="16" cm="1">
        <f t="array" aca="1" ref="G5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-EMAIL]]="",$AH58&gt;$AF$1),2,
AND(Tabela18[[#This Row],[STATUS]]="Em andamento",Tabela18[[#This Row],[DATA REAL -EMAIL]]="",$AH58&lt;=$AF$1),3,
AND(Tabela18[[#This Row],[STATUS]]="Em andamento",Tabela18[[#This Row],[DATA REAL -EMAIL]]&lt;&gt;""),1)</f>
        <v>1</v>
      </c>
      <c r="H58" s="16" cm="1">
        <f t="array" aca="1" ref="H5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CLIENTE]]="",$AK58&gt;$AI$1),2,
AND(Tabela18[[#This Row],[STATUS]]="Em andamento",Tabela18[[#This Row],[DATA REAL - DOC CLIENTE]]="",$AK58&lt;=$AI$1),3,
AND(Tabela18[[#This Row],[STATUS]]="Em andamento",Tabela18[[#This Row],[DATA REAL - DOC CLIENTE]]&lt;&gt;""),1)</f>
        <v>1</v>
      </c>
      <c r="I58" s="16" cm="1">
        <f t="array" aca="1" ref="I5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06]]="",$AN58&gt;$AL$1),2,
AND(Tabela18[[#This Row],[STATUS]]="Em andamento",Tabela18[[#This Row],[DATA REAL - ANEXO 06]]="",$AN58&lt;=$AL$1),3,
AND(Tabela18[[#This Row],[STATUS]]="Em andamento",Tabela18[[#This Row],[DATA REAL - ANEXO 06]]&lt;&gt;""),1)</f>
        <v>1</v>
      </c>
      <c r="J58" s="15" cm="1">
        <f t="array" aca="1" ref="J5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LEGAIS]]="",$AQ58&gt;$AO$1),2,
AND(Tabela18[[#This Row],[STATUS]]="Em andamento",Tabela18[[#This Row],[DATA REAL - SOLIC. PROG LEGAIS]]="",$AQ58&lt;=$AO$1),3,
AND(Tabela18[[#This Row],[STATUS]]="Em andamento",Tabela18[[#This Row],[DATA REAL - SOLIC. PROG LEGAIS]]&lt;&gt;""),1)</f>
        <v>1</v>
      </c>
      <c r="K58" s="15" cm="1">
        <f t="array" aca="1" ref="K5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ENVIO]]="",$AT58&gt;$AR$1),2,
AND(Tabela18[[#This Row],[STATUS]]="Em andamento",Tabela18[[#This Row],[DATA REAL - ENVIO]]="",$AT58&lt;=$AR$1),3,
AND(Tabela18[[#This Row],[STATUS]]="Em andamento",Tabela18[[#This Row],[DATA REAL - ENVIO]]&lt;&gt;""),1)</f>
        <v>1</v>
      </c>
      <c r="L58" s="15" cm="1">
        <f t="array" aca="1" ref="L5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POSTAGEM]]="",$AW58&gt;$AU$1),2,
AND(Tabela18[[#This Row],[STATUS]]="Em andamento",Tabela18[[#This Row],[DATA REAL - POSTAGEM]]="",$AW58&lt;=$AU$1),3,
AND(Tabela18[[#This Row],[STATUS]]="Em andamento",Tabela18[[#This Row],[DATA REAL - POSTAGEM]]&lt;&gt;""),1)</f>
        <v>1</v>
      </c>
      <c r="M58" s="16" cm="1">
        <f t="array" aca="1" ref="M5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APROVAÇÃO]]="",$AZ58&gt;$AX$1),2,
AND(Tabela18[[#This Row],[STATUS]]="Em andamento",Tabela18[[#This Row],[DATA REAL - APROVAÇÃO]]="",$AZ58&lt;=$AX$1),3,
AND(Tabela18[[#This Row],[STATUS]]="Em andamento",Tabela18[[#This Row],[DATA REAL - APROVAÇÃO]]&lt;&gt;""),1)</f>
        <v>1</v>
      </c>
      <c r="N58" s="21">
        <f>IF(Tabela18[[#This Row],[DATA REAL -EMAIL]]&lt;&gt;"",Tabela18[[#This Row],[DATA REAL -EMAIL]]+30,Tabela18[[#This Row],[DATA PREV - EMAIL]]+30)</f>
        <v>45310</v>
      </c>
      <c r="O5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45302</v>
      </c>
      <c r="P5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22</v>
      </c>
      <c r="Q5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v>
      </c>
      <c r="R58" s="48">
        <f>MAX(Tabela18[[#This Row],[DATA REAL - POSTAGEM]],Tabela18[[#This Row],[DATA REAL - APROVAÇÃO]])-MIN(Tabela18[[#This Row],[DATA REAL - POSTAGEM]],Tabela18[[#This Row],[DATA REAL - APROVAÇÃO]])+1</f>
        <v>1</v>
      </c>
      <c r="S58" s="16"/>
      <c r="T58" s="16"/>
      <c r="U58" s="18"/>
      <c r="V58" s="18"/>
      <c r="W58" s="16" t="s">
        <v>97</v>
      </c>
      <c r="X58" s="16" t="s">
        <v>227</v>
      </c>
      <c r="Y58" s="16" t="s">
        <v>925</v>
      </c>
      <c r="Z58" s="15" t="s">
        <v>249</v>
      </c>
      <c r="AA58" s="15" t="str">
        <f>_xlfn.XLOOKUP(Tabela18[[#This Row],[CÓD. CT]],Controle_Projetos[COD CT],Controle_Projetos[COD PHD],"")</f>
        <v/>
      </c>
      <c r="AB58" s="16"/>
      <c r="AC58" s="21"/>
      <c r="AD58"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58" s="16" t="str" cm="1">
        <f t="array" aca="1" ref="AE5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8" s="21">
        <v>45280</v>
      </c>
      <c r="AG58" s="74">
        <v>45280</v>
      </c>
      <c r="AH58" s="16" cm="1">
        <f t="array" aca="1" ref="AH5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8" s="21">
        <v>45280</v>
      </c>
      <c r="AJ58" s="74">
        <v>45280</v>
      </c>
      <c r="AK58" s="16" cm="1">
        <f t="array" aca="1" ref="AK5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8" s="20">
        <f t="shared" si="5"/>
        <v>45287</v>
      </c>
      <c r="AM58" s="74">
        <v>45280</v>
      </c>
      <c r="AN58" s="15" cm="1">
        <f t="array" aca="1" ref="AN5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8" s="20">
        <f t="shared" si="6"/>
        <v>45281</v>
      </c>
      <c r="AP58" s="74">
        <v>45299</v>
      </c>
      <c r="AQ58" s="15" cm="1">
        <f t="array" aca="1" ref="AQ5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19</v>
      </c>
      <c r="AR58" s="20">
        <f t="shared" si="7"/>
        <v>45313</v>
      </c>
      <c r="AS58" s="74">
        <v>45301</v>
      </c>
      <c r="AT58" s="15" cm="1">
        <f t="array" aca="1" ref="AT5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58" s="20">
        <f t="shared" si="8"/>
        <v>45308</v>
      </c>
      <c r="AV58" s="74">
        <v>45302</v>
      </c>
      <c r="AW58" s="15" cm="1">
        <f t="array" aca="1" ref="AW5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58" s="20">
        <f t="shared" si="9"/>
        <v>45303</v>
      </c>
      <c r="AY58" s="74">
        <v>45302</v>
      </c>
      <c r="AZ58" s="15" cm="1">
        <f t="array" aca="1" ref="AZ5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58" s="16" t="s">
        <v>926</v>
      </c>
    </row>
    <row r="59" spans="2:53" hidden="1" x14ac:dyDescent="0.35">
      <c r="B59" s="14" t="s">
        <v>79</v>
      </c>
      <c r="C59" s="16" t="s">
        <v>867</v>
      </c>
      <c r="D59" s="16" t="s">
        <v>108</v>
      </c>
      <c r="E59" s="16" t="s">
        <v>98</v>
      </c>
      <c r="F59" s="16" cm="1">
        <f t="array" ref="F59">_xlfn.IFS(Tabela18[[#This Row],[STATUS]]="Finalizado",1,Tabela18[[#This Row],[STATUS]]="Cancelado",2,Tabela18[[#This Row],[STATUS]]="Em andamento",3)</f>
        <v>1</v>
      </c>
      <c r="G59" s="16" cm="1">
        <f t="array" aca="1" ref="G5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-EMAIL]]="",$AH59&gt;$AF$1),2,
AND(Tabela18[[#This Row],[STATUS]]="Em andamento",Tabela18[[#This Row],[DATA REAL -EMAIL]]="",$AH59&lt;=$AF$1),3,
AND(Tabela18[[#This Row],[STATUS]]="Em andamento",Tabela18[[#This Row],[DATA REAL -EMAIL]]&lt;&gt;""),1)</f>
        <v>1</v>
      </c>
      <c r="H59" s="16" cm="1">
        <f t="array" aca="1" ref="H5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CLIENTE]]="",$AK59&gt;$AI$1),2,
AND(Tabela18[[#This Row],[STATUS]]="Em andamento",Tabela18[[#This Row],[DATA REAL - DOC CLIENTE]]="",$AK59&lt;=$AI$1),3,
AND(Tabela18[[#This Row],[STATUS]]="Em andamento",Tabela18[[#This Row],[DATA REAL - DOC CLIENTE]]&lt;&gt;""),1)</f>
        <v>1</v>
      </c>
      <c r="I59" s="16" cm="1">
        <f t="array" aca="1" ref="I5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06]]="",$AN59&gt;$AL$1),2,
AND(Tabela18[[#This Row],[STATUS]]="Em andamento",Tabela18[[#This Row],[DATA REAL - ANEXO 06]]="",$AN59&lt;=$AL$1),3,
AND(Tabela18[[#This Row],[STATUS]]="Em andamento",Tabela18[[#This Row],[DATA REAL - ANEXO 06]]&lt;&gt;""),1)</f>
        <v>1</v>
      </c>
      <c r="J59" s="15" cm="1">
        <f t="array" aca="1" ref="J5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LEGAIS]]="",$AQ59&gt;$AO$1),2,
AND(Tabela18[[#This Row],[STATUS]]="Em andamento",Tabela18[[#This Row],[DATA REAL - SOLIC. PROG LEGAIS]]="",$AQ59&lt;=$AO$1),3,
AND(Tabela18[[#This Row],[STATUS]]="Em andamento",Tabela18[[#This Row],[DATA REAL - SOLIC. PROG LEGAIS]]&lt;&gt;""),1)</f>
        <v>1</v>
      </c>
      <c r="K59" s="15" cm="1">
        <f t="array" aca="1" ref="K5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ENVIO]]="",$AT59&gt;$AR$1),2,
AND(Tabela18[[#This Row],[STATUS]]="Em andamento",Tabela18[[#This Row],[DATA REAL - ENVIO]]="",$AT59&lt;=$AR$1),3,
AND(Tabela18[[#This Row],[STATUS]]="Em andamento",Tabela18[[#This Row],[DATA REAL - ENVIO]]&lt;&gt;""),1)</f>
        <v>1</v>
      </c>
      <c r="L59" s="15" cm="1">
        <f t="array" aca="1" ref="L5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POSTAGEM]]="",$AW59&gt;$AU$1),2,
AND(Tabela18[[#This Row],[STATUS]]="Em andamento",Tabela18[[#This Row],[DATA REAL - POSTAGEM]]="",$AW59&lt;=$AU$1),3,
AND(Tabela18[[#This Row],[STATUS]]="Em andamento",Tabela18[[#This Row],[DATA REAL - POSTAGEM]]&lt;&gt;""),1)</f>
        <v>1</v>
      </c>
      <c r="M59" s="16" cm="1">
        <f t="array" aca="1" ref="M5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APROVAÇÃO]]="",$AZ59&gt;$AX$1),2,
AND(Tabela18[[#This Row],[STATUS]]="Em andamento",Tabela18[[#This Row],[DATA REAL - APROVAÇÃO]]="",$AZ59&lt;=$AX$1),3,
AND(Tabela18[[#This Row],[STATUS]]="Em andamento",Tabela18[[#This Row],[DATA REAL - APROVAÇÃO]]&lt;&gt;""),1)</f>
        <v>1</v>
      </c>
      <c r="N59" s="21">
        <f>IF(Tabela18[[#This Row],[DATA REAL -EMAIL]]&lt;&gt;"",Tabela18[[#This Row],[DATA REAL -EMAIL]]+30,Tabela18[[#This Row],[DATA PREV - EMAIL]]+30)</f>
        <v>45310</v>
      </c>
      <c r="O5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45306</v>
      </c>
      <c r="P5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31</v>
      </c>
      <c r="Q5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59" s="48">
        <f>MAX(Tabela18[[#This Row],[DATA REAL - POSTAGEM]],Tabela18[[#This Row],[DATA REAL - APROVAÇÃO]])-MIN(Tabela18[[#This Row],[DATA REAL - POSTAGEM]],Tabela18[[#This Row],[DATA REAL - APROVAÇÃO]])+1</f>
        <v>4</v>
      </c>
      <c r="S59" s="16"/>
      <c r="T59" s="16"/>
      <c r="U59" s="18"/>
      <c r="V59" s="18"/>
      <c r="W59" s="16" t="s">
        <v>97</v>
      </c>
      <c r="X59" s="16" t="s">
        <v>89</v>
      </c>
      <c r="Y59" s="16" t="s">
        <v>581</v>
      </c>
      <c r="Z59" s="15" t="s">
        <v>352</v>
      </c>
      <c r="AA59" s="15" t="str">
        <f>_xlfn.XLOOKUP(Tabela18[[#This Row],[CÓD. CT]],Controle_Projetos[COD CT],Controle_Projetos[COD PHD],"")</f>
        <v>SALU-CT05-TIMB</v>
      </c>
      <c r="AB59" s="16"/>
      <c r="AC59" s="21"/>
      <c r="AD5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45275</v>
      </c>
      <c r="AE59" s="16" t="str" cm="1">
        <f t="array" aca="1" ref="AE5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59" s="21">
        <v>45280</v>
      </c>
      <c r="AG59" s="74">
        <v>45280</v>
      </c>
      <c r="AH59" s="16" cm="1">
        <f t="array" aca="1" ref="AH5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59" s="21">
        <v>45280</v>
      </c>
      <c r="AJ59" s="74">
        <v>45280</v>
      </c>
      <c r="AK59" s="16" cm="1">
        <f t="array" aca="1" ref="AK5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59" s="20">
        <f t="shared" si="5"/>
        <v>45287</v>
      </c>
      <c r="AM59" s="74">
        <v>45280</v>
      </c>
      <c r="AN59" s="15" cm="1">
        <f t="array" aca="1" ref="AN5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59" s="20">
        <f t="shared" si="6"/>
        <v>45281</v>
      </c>
      <c r="AP59" s="74">
        <v>45299</v>
      </c>
      <c r="AQ59" s="15" cm="1">
        <f t="array" aca="1" ref="AQ5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19</v>
      </c>
      <c r="AR59" s="20">
        <f t="shared" si="7"/>
        <v>45313</v>
      </c>
      <c r="AS59" s="74">
        <v>45296</v>
      </c>
      <c r="AT59" s="15" cm="1">
        <f t="array" aca="1" ref="AT5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-16</v>
      </c>
      <c r="AU59" s="20">
        <f t="shared" si="8"/>
        <v>45303</v>
      </c>
      <c r="AV59" s="74">
        <v>45303</v>
      </c>
      <c r="AW59" s="15" cm="1">
        <f t="array" aca="1" ref="AW5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59" s="20">
        <f t="shared" si="9"/>
        <v>45306</v>
      </c>
      <c r="AY59" s="74">
        <v>45306</v>
      </c>
      <c r="AZ59" s="15" cm="1">
        <f t="array" aca="1" ref="AZ5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59" s="16" t="s">
        <v>927</v>
      </c>
    </row>
    <row r="60" spans="2:53" hidden="1" x14ac:dyDescent="0.35">
      <c r="B60" s="14" t="s">
        <v>79</v>
      </c>
      <c r="C60" s="16" t="s">
        <v>867</v>
      </c>
      <c r="D60" s="16" t="s">
        <v>108</v>
      </c>
      <c r="E60" s="16" t="s">
        <v>98</v>
      </c>
      <c r="F60" s="16" cm="1">
        <f t="array" ref="F60">_xlfn.IFS(Tabela18[[#This Row],[STATUS]]="Finalizado",1,Tabela18[[#This Row],[STATUS]]="Cancelado",2,Tabela18[[#This Row],[STATUS]]="Em andamento",3)</f>
        <v>1</v>
      </c>
      <c r="G60" s="16" cm="1">
        <f t="array" aca="1" ref="G6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-EMAIL]]="",$AH60&gt;$AF$1),2,
AND(Tabela18[[#This Row],[STATUS]]="Em andamento",Tabela18[[#This Row],[DATA REAL -EMAIL]]="",$AH60&lt;=$AF$1),3,
AND(Tabela18[[#This Row],[STATUS]]="Em andamento",Tabela18[[#This Row],[DATA REAL -EMAIL]]&lt;&gt;""),1)</f>
        <v>1</v>
      </c>
      <c r="H60" s="16" cm="1">
        <f t="array" aca="1" ref="H6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CLIENTE]]="",$AK60&gt;$AI$1),2,
AND(Tabela18[[#This Row],[STATUS]]="Em andamento",Tabela18[[#This Row],[DATA REAL - DOC CLIENTE]]="",$AK60&lt;=$AI$1),3,
AND(Tabela18[[#This Row],[STATUS]]="Em andamento",Tabela18[[#This Row],[DATA REAL - DOC CLIENTE]]&lt;&gt;""),1)</f>
        <v>1</v>
      </c>
      <c r="I60" s="16" cm="1">
        <f t="array" aca="1" ref="I6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06]]="",$AN60&gt;$AL$1),2,
AND(Tabela18[[#This Row],[STATUS]]="Em andamento",Tabela18[[#This Row],[DATA REAL - ANEXO 06]]="",$AN60&lt;=$AL$1),3,
AND(Tabela18[[#This Row],[STATUS]]="Em andamento",Tabela18[[#This Row],[DATA REAL - ANEXO 06]]&lt;&gt;""),1)</f>
        <v>1</v>
      </c>
      <c r="J60" s="15" cm="1">
        <f t="array" aca="1" ref="J6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LEGAIS]]="",$AQ60&gt;$AO$1),2,
AND(Tabela18[[#This Row],[STATUS]]="Em andamento",Tabela18[[#This Row],[DATA REAL - SOLIC. PROG LEGAIS]]="",$AQ60&lt;=$AO$1),3,
AND(Tabela18[[#This Row],[STATUS]]="Em andamento",Tabela18[[#This Row],[DATA REAL - SOLIC. PROG LEGAIS]]&lt;&gt;""),1)</f>
        <v>1</v>
      </c>
      <c r="K60" s="15" cm="1">
        <f t="array" aca="1" ref="K6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ENVIO]]="",$AT60&gt;$AR$1),2,
AND(Tabela18[[#This Row],[STATUS]]="Em andamento",Tabela18[[#This Row],[DATA REAL - ENVIO]]="",$AT60&lt;=$AR$1),3,
AND(Tabela18[[#This Row],[STATUS]]="Em andamento",Tabela18[[#This Row],[DATA REAL - ENVIO]]&lt;&gt;""),1)</f>
        <v>1</v>
      </c>
      <c r="L60" s="15" cm="1">
        <f t="array" aca="1" ref="L6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POSTAGEM]]="",$AW60&gt;$AU$1),2,
AND(Tabela18[[#This Row],[STATUS]]="Em andamento",Tabela18[[#This Row],[DATA REAL - POSTAGEM]]="",$AW60&lt;=$AU$1),3,
AND(Tabela18[[#This Row],[STATUS]]="Em andamento",Tabela18[[#This Row],[DATA REAL - POSTAGEM]]&lt;&gt;""),1)</f>
        <v>1</v>
      </c>
      <c r="M60" s="16" cm="1">
        <f t="array" aca="1" ref="M6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APROVAÇÃO]]="",$AZ60&gt;$AX$1),2,
AND(Tabela18[[#This Row],[STATUS]]="Em andamento",Tabela18[[#This Row],[DATA REAL - APROVAÇÃO]]="",$AZ60&lt;=$AX$1),3,
AND(Tabela18[[#This Row],[STATUS]]="Em andamento",Tabela18[[#This Row],[DATA REAL - APROVAÇÃO]]&lt;&gt;""),1)</f>
        <v>1</v>
      </c>
      <c r="N60" s="21">
        <f>IF(Tabela18[[#This Row],[DATA REAL -EMAIL]]&lt;&gt;"",Tabela18[[#This Row],[DATA REAL -EMAIL]]+30,Tabela18[[#This Row],[DATA PREV - EMAIL]]+30)</f>
        <v>45295</v>
      </c>
      <c r="O6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45305</v>
      </c>
      <c r="P6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75</v>
      </c>
      <c r="Q6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56</v>
      </c>
      <c r="R60" s="48">
        <f>MAX(Tabela18[[#This Row],[DATA REAL - POSTAGEM]],Tabela18[[#This Row],[DATA REAL - APROVAÇÃO]])-MIN(Tabela18[[#This Row],[DATA REAL - POSTAGEM]],Tabela18[[#This Row],[DATA REAL - APROVAÇÃO]])+1</f>
        <v>20</v>
      </c>
      <c r="S60" s="16"/>
      <c r="T60" s="16"/>
      <c r="U60" s="18"/>
      <c r="V60" s="18"/>
      <c r="W60" s="16" t="s">
        <v>97</v>
      </c>
      <c r="X60" s="16" t="s">
        <v>918</v>
      </c>
      <c r="Y60" s="16" t="s">
        <v>185</v>
      </c>
      <c r="Z60" s="15" t="s">
        <v>186</v>
      </c>
      <c r="AA60" s="15" t="str">
        <f>_xlfn.XLOOKUP(Tabela18[[#This Row],[CÓD. CT]],Controle_Projetos[COD CT],Controle_Projetos[COD PHD],"")</f>
        <v>SALU-CT04-DISP</v>
      </c>
      <c r="AB60" s="16"/>
      <c r="AC60" s="21"/>
      <c r="AD6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45230</v>
      </c>
      <c r="AE60" s="16" t="str" cm="1">
        <f t="array" aca="1" ref="AE6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0" s="21">
        <v>45265</v>
      </c>
      <c r="AG60" s="74">
        <v>45265</v>
      </c>
      <c r="AH60" s="16" cm="1">
        <f t="array" aca="1" ref="AH6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0" s="21">
        <v>45267</v>
      </c>
      <c r="AJ60" s="74">
        <v>45267</v>
      </c>
      <c r="AK60" s="16" cm="1">
        <f t="array" aca="1" ref="AK6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0" s="20">
        <f t="shared" si="5"/>
        <v>45274</v>
      </c>
      <c r="AM60" s="74">
        <v>45280</v>
      </c>
      <c r="AN60" s="15" cm="1">
        <f t="array" aca="1" ref="AN6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60" s="20">
        <f t="shared" si="6"/>
        <v>45281</v>
      </c>
      <c r="AP60" s="74">
        <v>45286</v>
      </c>
      <c r="AQ60" s="15" cm="1">
        <f t="array" aca="1" ref="AQ6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60" s="20">
        <f t="shared" si="7"/>
        <v>45300</v>
      </c>
      <c r="AS60" s="74">
        <v>45286</v>
      </c>
      <c r="AT60" s="15" cm="1">
        <f t="array" aca="1" ref="AT6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60" s="20">
        <f t="shared" si="8"/>
        <v>45293</v>
      </c>
      <c r="AV60" s="74">
        <v>45286</v>
      </c>
      <c r="AW60" s="15" cm="1">
        <f t="array" aca="1" ref="AW6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60" s="20">
        <f t="shared" si="9"/>
        <v>45287</v>
      </c>
      <c r="AY60" s="74">
        <v>45305</v>
      </c>
      <c r="AZ60" s="15" cm="1">
        <f t="array" aca="1" ref="AZ6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19</v>
      </c>
      <c r="BA60" s="16" t="s">
        <v>928</v>
      </c>
    </row>
    <row r="61" spans="2:53" hidden="1" x14ac:dyDescent="0.35">
      <c r="B61" s="14" t="s">
        <v>79</v>
      </c>
      <c r="C61" s="16" t="s">
        <v>867</v>
      </c>
      <c r="D61" s="16" t="s">
        <v>108</v>
      </c>
      <c r="E61" s="16" t="s">
        <v>179</v>
      </c>
      <c r="F61" s="16" cm="1">
        <f t="array" ref="F61">_xlfn.IFS(Tabela18[[#This Row],[STATUS]]="Finalizado",1,Tabela18[[#This Row],[STATUS]]="Cancelado",2,Tabela18[[#This Row],[STATUS]]="Em andamento",3)</f>
        <v>1</v>
      </c>
      <c r="G61" s="16" cm="1">
        <f t="array" aca="1" ref="G6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-EMAIL]]="",$AH61&gt;$AF$1),2,
AND(Tabela18[[#This Row],[STATUS]]="Em andamento",Tabela18[[#This Row],[DATA REAL -EMAIL]]="",$AH61&lt;=$AF$1),3,
AND(Tabela18[[#This Row],[STATUS]]="Em andamento",Tabela18[[#This Row],[DATA REAL -EMAIL]]&lt;&gt;""),1)</f>
        <v>1</v>
      </c>
      <c r="H61" s="16" cm="1">
        <f t="array" aca="1" ref="H6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CLIENTE]]="",$AK61&gt;$AI$1),2,
AND(Tabela18[[#This Row],[STATUS]]="Em andamento",Tabela18[[#This Row],[DATA REAL - DOC CLIENTE]]="",$AK61&lt;=$AI$1),3,
AND(Tabela18[[#This Row],[STATUS]]="Em andamento",Tabela18[[#This Row],[DATA REAL - DOC CLIENTE]]&lt;&gt;""),1)</f>
        <v>1</v>
      </c>
      <c r="I61" s="16" cm="1">
        <f t="array" aca="1" ref="I6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06]]="",$AN61&gt;$AL$1),2,
AND(Tabela18[[#This Row],[STATUS]]="Em andamento",Tabela18[[#This Row],[DATA REAL - ANEXO 06]]="",$AN61&lt;=$AL$1),3,
AND(Tabela18[[#This Row],[STATUS]]="Em andamento",Tabela18[[#This Row],[DATA REAL - ANEXO 06]]&lt;&gt;""),1)</f>
        <v>1</v>
      </c>
      <c r="J61" s="15" cm="1">
        <f t="array" aca="1" ref="J6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LEGAIS]]="",$AQ61&gt;$AO$1),2,
AND(Tabela18[[#This Row],[STATUS]]="Em andamento",Tabela18[[#This Row],[DATA REAL - SOLIC. PROG LEGAIS]]="",$AQ61&lt;=$AO$1),3,
AND(Tabela18[[#This Row],[STATUS]]="Em andamento",Tabela18[[#This Row],[DATA REAL - SOLIC. PROG LEGAIS]]&lt;&gt;""),1)</f>
        <v>1</v>
      </c>
      <c r="K61" s="15" cm="1">
        <f t="array" aca="1" ref="K6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ENVIO]]="",$AT61&gt;$AR$1),2,
AND(Tabela18[[#This Row],[STATUS]]="Em andamento",Tabela18[[#This Row],[DATA REAL - ENVIO]]="",$AT61&lt;=$AR$1),3,
AND(Tabela18[[#This Row],[STATUS]]="Em andamento",Tabela18[[#This Row],[DATA REAL - ENVIO]]&lt;&gt;""),1)</f>
        <v>1</v>
      </c>
      <c r="L61" s="15" cm="1">
        <f t="array" aca="1" ref="L6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POSTAGEM]]="",$AW61&gt;$AU$1),2,
AND(Tabela18[[#This Row],[STATUS]]="Em andamento",Tabela18[[#This Row],[DATA REAL - POSTAGEM]]="",$AW61&lt;=$AU$1),3,
AND(Tabela18[[#This Row],[STATUS]]="Em andamento",Tabela18[[#This Row],[DATA REAL - POSTAGEM]]&lt;&gt;""),1)</f>
        <v>1</v>
      </c>
      <c r="M61" s="16" cm="1">
        <f t="array" aca="1" ref="M6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APROVAÇÃO]]="",$AZ61&gt;$AX$1),2,
AND(Tabela18[[#This Row],[STATUS]]="Em andamento",Tabela18[[#This Row],[DATA REAL - APROVAÇÃO]]="",$AZ61&lt;=$AX$1),3,
AND(Tabela18[[#This Row],[STATUS]]="Em andamento",Tabela18[[#This Row],[DATA REAL - APROVAÇÃO]]&lt;&gt;""),1)</f>
        <v>1</v>
      </c>
      <c r="N61" s="21">
        <f>IF(Tabela18[[#This Row],[DATA REAL -EMAIL]]&lt;&gt;"",Tabela18[[#This Row],[DATA REAL -EMAIL]]+30,Tabela18[[#This Row],[DATA PREV - EMAIL]]+30)</f>
        <v>45295</v>
      </c>
      <c r="O6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45300</v>
      </c>
      <c r="P6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35</v>
      </c>
      <c r="Q6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31</v>
      </c>
      <c r="R61" s="48">
        <f>MAX(Tabela18[[#This Row],[DATA REAL - POSTAGEM]],Tabela18[[#This Row],[DATA REAL - APROVAÇÃO]])-MIN(Tabela18[[#This Row],[DATA REAL - POSTAGEM]],Tabela18[[#This Row],[DATA REAL - APROVAÇÃO]])+1</f>
        <v>2</v>
      </c>
      <c r="S61" s="16"/>
      <c r="T61" s="16"/>
      <c r="U61" s="18" t="s">
        <v>124</v>
      </c>
      <c r="V61" s="18" t="s">
        <v>124</v>
      </c>
      <c r="W61" s="16" t="s">
        <v>97</v>
      </c>
      <c r="X61" s="16" t="s">
        <v>132</v>
      </c>
      <c r="Y61" s="16" t="s">
        <v>483</v>
      </c>
      <c r="Z61" s="15" t="s">
        <v>283</v>
      </c>
      <c r="AA61" s="15" t="str">
        <f>_xlfn.XLOOKUP(Tabela18[[#This Row],[CÓD. CT]],Controle_Projetos[COD CT],Controle_Projetos[COD PHD],"")</f>
        <v>PARE-CT04-P1P3</v>
      </c>
      <c r="AB61" s="16">
        <v>4519090873</v>
      </c>
      <c r="AC61" s="21"/>
      <c r="AD6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45293</v>
      </c>
      <c r="AE61" s="16" t="str" cm="1">
        <f t="array" aca="1" ref="AE6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1" s="21">
        <v>45265</v>
      </c>
      <c r="AG61" s="74">
        <v>45265</v>
      </c>
      <c r="AH61" s="16" cm="1">
        <f t="array" aca="1" ref="AH6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1" s="21">
        <v>45265</v>
      </c>
      <c r="AJ61" s="74">
        <v>45265</v>
      </c>
      <c r="AK61" s="16" cm="1">
        <f t="array" aca="1" ref="AK6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1" s="20">
        <f t="shared" si="5"/>
        <v>45272</v>
      </c>
      <c r="AM61" s="74">
        <v>45281</v>
      </c>
      <c r="AN61" s="15" cm="1">
        <f t="array" aca="1" ref="AN6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10</v>
      </c>
      <c r="AO61" s="20">
        <f t="shared" si="6"/>
        <v>45282</v>
      </c>
      <c r="AP61" s="74">
        <v>45288</v>
      </c>
      <c r="AQ61" s="15" cm="1">
        <f t="array" aca="1" ref="AQ6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61" s="20">
        <f t="shared" si="7"/>
        <v>45302</v>
      </c>
      <c r="AS61" s="74">
        <v>45296</v>
      </c>
      <c r="AT61" s="15" cm="1">
        <f t="array" aca="1" ref="AT6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61" s="20">
        <f t="shared" si="8"/>
        <v>45303</v>
      </c>
      <c r="AV61" s="74">
        <v>45299</v>
      </c>
      <c r="AW61" s="15" cm="1">
        <f t="array" aca="1" ref="AW6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61" s="20">
        <f t="shared" si="9"/>
        <v>45300</v>
      </c>
      <c r="AY61" s="74">
        <v>45300</v>
      </c>
      <c r="AZ61" s="15" cm="1">
        <f t="array" aca="1" ref="AZ6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61" s="16" t="s">
        <v>929</v>
      </c>
    </row>
    <row r="62" spans="2:53" hidden="1" x14ac:dyDescent="0.35">
      <c r="B62" s="14" t="s">
        <v>79</v>
      </c>
      <c r="C62" s="16" t="s">
        <v>867</v>
      </c>
      <c r="D62" s="16" t="s">
        <v>108</v>
      </c>
      <c r="E62" s="16" t="s">
        <v>153</v>
      </c>
      <c r="F62" s="16" cm="1">
        <f t="array" ref="F62">_xlfn.IFS(Tabela18[[#This Row],[STATUS]]="Finalizado",1,Tabela18[[#This Row],[STATUS]]="Cancelado",2,Tabela18[[#This Row],[STATUS]]="Em andamento",3)</f>
        <v>1</v>
      </c>
      <c r="G62" s="16" cm="1">
        <f t="array" aca="1" ref="G6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-EMAIL]]="",$AH62&gt;$AF$1),2,
AND(Tabela18[[#This Row],[STATUS]]="Em andamento",Tabela18[[#This Row],[DATA REAL -EMAIL]]="",$AH62&lt;=$AF$1),3,
AND(Tabela18[[#This Row],[STATUS]]="Em andamento",Tabela18[[#This Row],[DATA REAL -EMAIL]]&lt;&gt;""),1)</f>
        <v>1</v>
      </c>
      <c r="H62" s="16" cm="1">
        <f t="array" aca="1" ref="H6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CLIENTE]]="",$AK62&gt;$AI$1),2,
AND(Tabela18[[#This Row],[STATUS]]="Em andamento",Tabela18[[#This Row],[DATA REAL - DOC CLIENTE]]="",$AK62&lt;=$AI$1),3,
AND(Tabela18[[#This Row],[STATUS]]="Em andamento",Tabela18[[#This Row],[DATA REAL - DOC CLIENTE]]&lt;&gt;""),1)</f>
        <v>1</v>
      </c>
      <c r="I62" s="16" cm="1">
        <f t="array" aca="1" ref="I6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06]]="",$AN62&gt;$AL$1),2,
AND(Tabela18[[#This Row],[STATUS]]="Em andamento",Tabela18[[#This Row],[DATA REAL - ANEXO 06]]="",$AN62&lt;=$AL$1),3,
AND(Tabela18[[#This Row],[STATUS]]="Em andamento",Tabela18[[#This Row],[DATA REAL - ANEXO 06]]&lt;&gt;""),1)</f>
        <v>1</v>
      </c>
      <c r="J62" s="15" cm="1">
        <f t="array" aca="1" ref="J6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LEGAIS]]="",$AQ62&gt;$AO$1),2,
AND(Tabela18[[#This Row],[STATUS]]="Em andamento",Tabela18[[#This Row],[DATA REAL - SOLIC. PROG LEGAIS]]="",$AQ62&lt;=$AO$1),3,
AND(Tabela18[[#This Row],[STATUS]]="Em andamento",Tabela18[[#This Row],[DATA REAL - SOLIC. PROG LEGAIS]]&lt;&gt;""),1)</f>
        <v>1</v>
      </c>
      <c r="K62" s="15" cm="1">
        <f t="array" aca="1" ref="K6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ENVIO]]="",$AT62&gt;$AR$1),2,
AND(Tabela18[[#This Row],[STATUS]]="Em andamento",Tabela18[[#This Row],[DATA REAL - ENVIO]]="",$AT62&lt;=$AR$1),3,
AND(Tabela18[[#This Row],[STATUS]]="Em andamento",Tabela18[[#This Row],[DATA REAL - ENVIO]]&lt;&gt;""),1)</f>
        <v>1</v>
      </c>
      <c r="L62" s="15" cm="1">
        <f t="array" aca="1" ref="L6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POSTAGEM]]="",$AW62&gt;$AU$1),2,
AND(Tabela18[[#This Row],[STATUS]]="Em andamento",Tabela18[[#This Row],[DATA REAL - POSTAGEM]]="",$AW62&lt;=$AU$1),3,
AND(Tabela18[[#This Row],[STATUS]]="Em andamento",Tabela18[[#This Row],[DATA REAL - POSTAGEM]]&lt;&gt;""),1)</f>
        <v>1</v>
      </c>
      <c r="M62" s="16" cm="1">
        <f t="array" aca="1" ref="M6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APROVAÇÃO]]="",$AZ62&gt;$AX$1),2,
AND(Tabela18[[#This Row],[STATUS]]="Em andamento",Tabela18[[#This Row],[DATA REAL - APROVAÇÃO]]="",$AZ62&lt;=$AX$1),3,
AND(Tabela18[[#This Row],[STATUS]]="Em andamento",Tabela18[[#This Row],[DATA REAL - APROVAÇÃO]]&lt;&gt;""),1)</f>
        <v>1</v>
      </c>
      <c r="N62" s="21">
        <f>IF(Tabela18[[#This Row],[DATA REAL -EMAIL]]&lt;&gt;"",Tabela18[[#This Row],[DATA REAL -EMAIL]]+30,Tabela18[[#This Row],[DATA PREV - EMAIL]]+30)</f>
        <v>45312</v>
      </c>
      <c r="O6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45309</v>
      </c>
      <c r="P6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v>
      </c>
      <c r="Q6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62" s="48">
        <f>MAX(Tabela18[[#This Row],[DATA REAL - POSTAGEM]],Tabela18[[#This Row],[DATA REAL - APROVAÇÃO]])-MIN(Tabela18[[#This Row],[DATA REAL - POSTAGEM]],Tabela18[[#This Row],[DATA REAL - APROVAÇÃO]])+1</f>
        <v>22</v>
      </c>
      <c r="S62" s="16"/>
      <c r="T62" s="16"/>
      <c r="U62" s="18"/>
      <c r="V62" s="18"/>
      <c r="W62" s="16" t="s">
        <v>97</v>
      </c>
      <c r="X62" s="16" t="s">
        <v>153</v>
      </c>
      <c r="Y62" s="16" t="s">
        <v>437</v>
      </c>
      <c r="Z62" s="15" t="s">
        <v>249</v>
      </c>
      <c r="AA62" s="15" t="str">
        <f>_xlfn.XLOOKUP(Tabela18[[#This Row],[CÓD. CT]],Controle_Projetos[COD CT],Controle_Projetos[COD PHD],"")</f>
        <v/>
      </c>
      <c r="AB62" s="16"/>
      <c r="AC62" s="21"/>
      <c r="AD6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2" s="16" t="str" cm="1">
        <f t="array" aca="1" ref="AE6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2" s="21">
        <v>45282</v>
      </c>
      <c r="AG62" s="74">
        <v>45282</v>
      </c>
      <c r="AH62" s="16" cm="1">
        <f t="array" aca="1" ref="AH6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2" s="21">
        <v>45286</v>
      </c>
      <c r="AJ62" s="74">
        <v>45286</v>
      </c>
      <c r="AK62" s="16" cm="1">
        <f t="array" aca="1" ref="AK6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2" s="20">
        <f t="shared" si="5"/>
        <v>45293</v>
      </c>
      <c r="AM62" s="74">
        <v>45288</v>
      </c>
      <c r="AN62" s="15" cm="1">
        <f t="array" aca="1" ref="AN6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62" s="20">
        <f t="shared" si="6"/>
        <v>45289</v>
      </c>
      <c r="AP62" s="74">
        <v>45288</v>
      </c>
      <c r="AQ62" s="15" cm="1">
        <f t="array" aca="1" ref="AQ6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62" s="20">
        <f t="shared" si="7"/>
        <v>45302</v>
      </c>
      <c r="AS62" s="74">
        <v>45288</v>
      </c>
      <c r="AT62" s="15" cm="1">
        <f t="array" aca="1" ref="AT6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62" s="20">
        <f t="shared" si="8"/>
        <v>45295</v>
      </c>
      <c r="AV62" s="74">
        <v>45288</v>
      </c>
      <c r="AW62" s="15" cm="1">
        <f t="array" aca="1" ref="AW6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62" s="20">
        <f t="shared" si="9"/>
        <v>45289</v>
      </c>
      <c r="AY62" s="74">
        <v>45309</v>
      </c>
      <c r="AZ62" s="15" cm="1">
        <f t="array" aca="1" ref="AZ6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21</v>
      </c>
      <c r="BA62" s="16"/>
    </row>
    <row r="63" spans="2:53" hidden="1" x14ac:dyDescent="0.35">
      <c r="B63" s="14" t="s">
        <v>79</v>
      </c>
      <c r="C63" s="16" t="s">
        <v>867</v>
      </c>
      <c r="D63" s="16" t="s">
        <v>108</v>
      </c>
      <c r="E63" s="16" t="s">
        <v>98</v>
      </c>
      <c r="F63" s="16" cm="1">
        <f t="array" ref="F63">_xlfn.IFS(Tabela18[[#This Row],[STATUS]]="Finalizado",1,Tabela18[[#This Row],[STATUS]]="Cancelado",2,Tabela18[[#This Row],[STATUS]]="Em andamento",3)</f>
        <v>1</v>
      </c>
      <c r="G63" s="16" cm="1">
        <f t="array" aca="1" ref="G6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-EMAIL]]="",$AH63&gt;$AF$1),2,
AND(Tabela18[[#This Row],[STATUS]]="Em andamento",Tabela18[[#This Row],[DATA REAL -EMAIL]]="",$AH63&lt;=$AF$1),3,
AND(Tabela18[[#This Row],[STATUS]]="Em andamento",Tabela18[[#This Row],[DATA REAL -EMAIL]]&lt;&gt;""),1)</f>
        <v>1</v>
      </c>
      <c r="H63" s="16" cm="1">
        <f t="array" aca="1" ref="H6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CLIENTE]]="",$AK63&gt;$AI$1),2,
AND(Tabela18[[#This Row],[STATUS]]="Em andamento",Tabela18[[#This Row],[DATA REAL - DOC CLIENTE]]="",$AK63&lt;=$AI$1),3,
AND(Tabela18[[#This Row],[STATUS]]="Em andamento",Tabela18[[#This Row],[DATA REAL - DOC CLIENTE]]&lt;&gt;""),1)</f>
        <v>1</v>
      </c>
      <c r="I63" s="16" cm="1">
        <f t="array" aca="1" ref="I6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06]]="",$AN63&gt;$AL$1),2,
AND(Tabela18[[#This Row],[STATUS]]="Em andamento",Tabela18[[#This Row],[DATA REAL - ANEXO 06]]="",$AN63&lt;=$AL$1),3,
AND(Tabela18[[#This Row],[STATUS]]="Em andamento",Tabela18[[#This Row],[DATA REAL - ANEXO 06]]&lt;&gt;""),1)</f>
        <v>1</v>
      </c>
      <c r="J63" s="15" cm="1">
        <f t="array" aca="1" ref="J6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LEGAIS]]="",$AQ63&gt;$AO$1),2,
AND(Tabela18[[#This Row],[STATUS]]="Em andamento",Tabela18[[#This Row],[DATA REAL - SOLIC. PROG LEGAIS]]="",$AQ63&lt;=$AO$1),3,
AND(Tabela18[[#This Row],[STATUS]]="Em andamento",Tabela18[[#This Row],[DATA REAL - SOLIC. PROG LEGAIS]]&lt;&gt;""),1)</f>
        <v>1</v>
      </c>
      <c r="K63" s="15" cm="1">
        <f t="array" aca="1" ref="K6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ENVIO]]="",$AT63&gt;$AR$1),2,
AND(Tabela18[[#This Row],[STATUS]]="Em andamento",Tabela18[[#This Row],[DATA REAL - ENVIO]]="",$AT63&lt;=$AR$1),3,
AND(Tabela18[[#This Row],[STATUS]]="Em andamento",Tabela18[[#This Row],[DATA REAL - ENVIO]]&lt;&gt;""),1)</f>
        <v>1</v>
      </c>
      <c r="L63" s="15" cm="1">
        <f t="array" aca="1" ref="L6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POSTAGEM]]="",$AW63&gt;$AU$1),2,
AND(Tabela18[[#This Row],[STATUS]]="Em andamento",Tabela18[[#This Row],[DATA REAL - POSTAGEM]]="",$AW63&lt;=$AU$1),3,
AND(Tabela18[[#This Row],[STATUS]]="Em andamento",Tabela18[[#This Row],[DATA REAL - POSTAGEM]]&lt;&gt;""),1)</f>
        <v>1</v>
      </c>
      <c r="M63" s="16" cm="1">
        <f t="array" aca="1" ref="M6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APROVAÇÃO]]="",$AZ63&gt;$AX$1),2,
AND(Tabela18[[#This Row],[STATUS]]="Em andamento",Tabela18[[#This Row],[DATA REAL - APROVAÇÃO]]="",$AZ63&lt;=$AX$1),3,
AND(Tabela18[[#This Row],[STATUS]]="Em andamento",Tabela18[[#This Row],[DATA REAL - APROVAÇÃO]]&lt;&gt;""),1)</f>
        <v>1</v>
      </c>
      <c r="N63" s="21">
        <f>IF(Tabela18[[#This Row],[DATA REAL -EMAIL]]&lt;&gt;"",Tabela18[[#This Row],[DATA REAL -EMAIL]]+30,Tabela18[[#This Row],[DATA PREV - EMAIL]]+30)</f>
        <v>45317</v>
      </c>
      <c r="O6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45300</v>
      </c>
      <c r="P6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6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63" s="48">
        <f>MAX(Tabela18[[#This Row],[DATA REAL - POSTAGEM]],Tabela18[[#This Row],[DATA REAL - APROVAÇÃO]])-MIN(Tabela18[[#This Row],[DATA REAL - POSTAGEM]],Tabela18[[#This Row],[DATA REAL - APROVAÇÃO]])+1</f>
        <v>1</v>
      </c>
      <c r="S63" s="16"/>
      <c r="T63" s="16"/>
      <c r="U63" s="18"/>
      <c r="V63" s="18"/>
      <c r="W63" s="16" t="s">
        <v>87</v>
      </c>
      <c r="X63" s="16" t="s">
        <v>132</v>
      </c>
      <c r="Y63" s="16" t="s">
        <v>483</v>
      </c>
      <c r="Z63" s="15" t="s">
        <v>895</v>
      </c>
      <c r="AA63" s="15" t="str">
        <f>_xlfn.XLOOKUP(Tabela18[[#This Row],[CÓD. CT]],Controle_Projetos[COD CT],Controle_Projetos[COD PHD],"")</f>
        <v>SALU-CT02-MMB.</v>
      </c>
      <c r="AB63" s="16">
        <v>4518162999</v>
      </c>
      <c r="AC63" s="21"/>
      <c r="AD6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3" s="16" t="str" cm="1">
        <f t="array" aca="1" ref="AE6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3" s="21">
        <v>45287</v>
      </c>
      <c r="AG63" s="74">
        <v>45287</v>
      </c>
      <c r="AH63" s="16" cm="1">
        <f t="array" aca="1" ref="AH6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3" s="21">
        <v>45288</v>
      </c>
      <c r="AJ63" s="74">
        <v>45288</v>
      </c>
      <c r="AK63" s="16" cm="1">
        <f t="array" aca="1" ref="AK6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3" s="20">
        <f t="shared" si="5"/>
        <v>45295</v>
      </c>
      <c r="AM63" s="74">
        <v>45288</v>
      </c>
      <c r="AN63" s="15" cm="1">
        <f t="array" aca="1" ref="AN6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63" s="20">
        <f t="shared" si="6"/>
        <v>45289</v>
      </c>
      <c r="AP63" s="74">
        <v>45286</v>
      </c>
      <c r="AQ63" s="15" cm="1">
        <f t="array" aca="1" ref="AQ6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63" s="20">
        <f t="shared" si="7"/>
        <v>45300</v>
      </c>
      <c r="AS63" s="74">
        <v>45300</v>
      </c>
      <c r="AT63" s="15" cm="1">
        <f t="array" aca="1" ref="AT6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63" s="20">
        <f t="shared" si="8"/>
        <v>45307</v>
      </c>
      <c r="AV63" s="74">
        <v>45300</v>
      </c>
      <c r="AW63" s="15" cm="1">
        <f t="array" aca="1" ref="AW6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63" s="20">
        <f t="shared" si="9"/>
        <v>45301</v>
      </c>
      <c r="AY63" s="74">
        <v>45300</v>
      </c>
      <c r="AZ63" s="15" cm="1">
        <f t="array" aca="1" ref="AZ6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63" s="16"/>
    </row>
    <row r="64" spans="2:53" hidden="1" x14ac:dyDescent="0.35">
      <c r="B64" s="14" t="s">
        <v>79</v>
      </c>
      <c r="C64" s="16" t="s">
        <v>136</v>
      </c>
      <c r="D64" s="16" t="s">
        <v>108</v>
      </c>
      <c r="E64" s="16" t="s">
        <v>930</v>
      </c>
      <c r="F64" s="16" cm="1">
        <f t="array" ref="F64">_xlfn.IFS(Tabela18[[#This Row],[STATUS]]="Finalizado",1,Tabela18[[#This Row],[STATUS]]="Cancelado",2,Tabela18[[#This Row],[STATUS]]="Em andamento",3)</f>
        <v>1</v>
      </c>
      <c r="G64" s="16" cm="1">
        <f t="array" aca="1" ref="G6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-EMAIL]]="",$AH64&gt;$AF$1),2,
AND(Tabela18[[#This Row],[STATUS]]="Em andamento",Tabela18[[#This Row],[DATA REAL -EMAIL]]="",$AH64&lt;=$AF$1),3,
AND(Tabela18[[#This Row],[STATUS]]="Em andamento",Tabela18[[#This Row],[DATA REAL -EMAIL]]&lt;&gt;""),1)</f>
        <v>1</v>
      </c>
      <c r="H64" s="16" cm="1">
        <f t="array" aca="1" ref="H6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CLIENTE]]="",$AK64&gt;$AI$1),2,
AND(Tabela18[[#This Row],[STATUS]]="Em andamento",Tabela18[[#This Row],[DATA REAL - DOC CLIENTE]]="",$AK64&lt;=$AI$1),3,
AND(Tabela18[[#This Row],[STATUS]]="Em andamento",Tabela18[[#This Row],[DATA REAL - DOC CLIENTE]]&lt;&gt;""),1)</f>
        <v>1</v>
      </c>
      <c r="I64" s="16" cm="1">
        <f t="array" aca="1" ref="I6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06]]="",$AN64&gt;$AL$1),2,
AND(Tabela18[[#This Row],[STATUS]]="Em andamento",Tabela18[[#This Row],[DATA REAL - ANEXO 06]]="",$AN64&lt;=$AL$1),3,
AND(Tabela18[[#This Row],[STATUS]]="Em andamento",Tabela18[[#This Row],[DATA REAL - ANEXO 06]]&lt;&gt;""),1)</f>
        <v>1</v>
      </c>
      <c r="J64" s="15" cm="1">
        <f t="array" aca="1" ref="J6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LEGAIS]]="",$AQ64&gt;$AO$1),2,
AND(Tabela18[[#This Row],[STATUS]]="Em andamento",Tabela18[[#This Row],[DATA REAL - SOLIC. PROG LEGAIS]]="",$AQ64&lt;=$AO$1),3,
AND(Tabela18[[#This Row],[STATUS]]="Em andamento",Tabela18[[#This Row],[DATA REAL - SOLIC. PROG LEGAIS]]&lt;&gt;""),1)</f>
        <v>1</v>
      </c>
      <c r="K64" s="15" cm="1">
        <f t="array" aca="1" ref="K6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ENVIO]]="",$AT64&gt;$AR$1),2,
AND(Tabela18[[#This Row],[STATUS]]="Em andamento",Tabela18[[#This Row],[DATA REAL - ENVIO]]="",$AT64&lt;=$AR$1),3,
AND(Tabela18[[#This Row],[STATUS]]="Em andamento",Tabela18[[#This Row],[DATA REAL - ENVIO]]&lt;&gt;""),1)</f>
        <v>1</v>
      </c>
      <c r="L64" s="15" cm="1">
        <f t="array" aca="1" ref="L6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POSTAGEM]]="",$AW64&gt;$AU$1),2,
AND(Tabela18[[#This Row],[STATUS]]="Em andamento",Tabela18[[#This Row],[DATA REAL - POSTAGEM]]="",$AW64&lt;=$AU$1),3,
AND(Tabela18[[#This Row],[STATUS]]="Em andamento",Tabela18[[#This Row],[DATA REAL - POSTAGEM]]&lt;&gt;""),1)</f>
        <v>1</v>
      </c>
      <c r="M64" s="16" cm="1">
        <f t="array" aca="1" ref="M6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APROVAÇÃO]]="",$AZ64&gt;$AX$1),2,
AND(Tabela18[[#This Row],[STATUS]]="Em andamento",Tabela18[[#This Row],[DATA REAL - APROVAÇÃO]]="",$AZ64&lt;=$AX$1),3,
AND(Tabela18[[#This Row],[STATUS]]="Em andamento",Tabela18[[#This Row],[DATA REAL - APROVAÇÃO]]&lt;&gt;""),1)</f>
        <v>1</v>
      </c>
      <c r="N64" s="21">
        <f>IF(Tabela18[[#This Row],[DATA REAL -EMAIL]]&lt;&gt;"",Tabela18[[#This Row],[DATA REAL -EMAIL]]+30,Tabela18[[#This Row],[DATA PREV - EMAIL]]+30)</f>
        <v>45294</v>
      </c>
      <c r="O6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45337</v>
      </c>
      <c r="P6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73</v>
      </c>
      <c r="Q6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37</v>
      </c>
      <c r="R64" s="48">
        <f>MAX(Tabela18[[#This Row],[DATA REAL - POSTAGEM]],Tabela18[[#This Row],[DATA REAL - APROVAÇÃO]])-MIN(Tabela18[[#This Row],[DATA REAL - POSTAGEM]],Tabela18[[#This Row],[DATA REAL - APROVAÇÃO]])+1</f>
        <v>3</v>
      </c>
      <c r="S64" s="16" t="s">
        <v>172</v>
      </c>
      <c r="T64" s="16"/>
      <c r="U64" s="18"/>
      <c r="V64" s="18"/>
      <c r="W64" s="16" t="s">
        <v>97</v>
      </c>
      <c r="X64" s="16" t="s">
        <v>89</v>
      </c>
      <c r="Y64" s="16" t="s">
        <v>931</v>
      </c>
      <c r="Z64" s="15" t="s">
        <v>254</v>
      </c>
      <c r="AA64" s="15" t="str">
        <f>_xlfn.XLOOKUP(Tabela18[[#This Row],[CÓD. CT]],Controle_Projetos[COD CT],Controle_Projetos[COD PHD],"")</f>
        <v>MILP-CT04-TCLD</v>
      </c>
      <c r="AB64" s="16"/>
      <c r="AC64" s="21"/>
      <c r="AD6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4" s="16" t="str" cm="1">
        <f t="array" aca="1" ref="AE6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4" s="21">
        <v>45264</v>
      </c>
      <c r="AG64" s="74">
        <v>45264</v>
      </c>
      <c r="AH64" s="16" cm="1">
        <f t="array" aca="1" ref="AH6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4" s="21">
        <v>45271</v>
      </c>
      <c r="AJ64" s="74">
        <v>45271</v>
      </c>
      <c r="AK64" s="16" cm="1">
        <f t="array" aca="1" ref="AK6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4" s="20">
        <f t="shared" si="5"/>
        <v>45278</v>
      </c>
      <c r="AM64" s="74">
        <v>45300</v>
      </c>
      <c r="AN64" s="15" cm="1">
        <f t="array" aca="1" ref="AN6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23</v>
      </c>
      <c r="AO64" s="20">
        <f t="shared" si="6"/>
        <v>45301</v>
      </c>
      <c r="AP64" s="74">
        <v>45299</v>
      </c>
      <c r="AQ64" s="15" cm="1">
        <f t="array" aca="1" ref="AQ6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64" s="20">
        <f t="shared" si="7"/>
        <v>45313</v>
      </c>
      <c r="AS64" s="74">
        <v>45301</v>
      </c>
      <c r="AT64" s="15" cm="1">
        <f t="array" aca="1" ref="AT6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64" s="20">
        <f t="shared" si="8"/>
        <v>45308</v>
      </c>
      <c r="AV64" s="74">
        <v>45335</v>
      </c>
      <c r="AW64" s="15" cm="1">
        <f t="array" aca="1" ref="AW6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28</v>
      </c>
      <c r="AX64" s="20">
        <f t="shared" si="9"/>
        <v>45336</v>
      </c>
      <c r="AY64" s="74">
        <v>45337</v>
      </c>
      <c r="AZ64" s="15" cm="1">
        <f t="array" aca="1" ref="AZ6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64" s="16" t="s">
        <v>932</v>
      </c>
    </row>
    <row r="65" spans="2:53" hidden="1" x14ac:dyDescent="0.35">
      <c r="B65" s="14" t="s">
        <v>79</v>
      </c>
      <c r="C65" s="16" t="s">
        <v>867</v>
      </c>
      <c r="D65" s="16" t="s">
        <v>108</v>
      </c>
      <c r="E65" s="16" t="s">
        <v>125</v>
      </c>
      <c r="F65" s="16" cm="1">
        <f t="array" ref="F65">_xlfn.IFS(Tabela18[[#This Row],[STATUS]]="Finalizado",1,Tabela18[[#This Row],[STATUS]]="Cancelado",2,Tabela18[[#This Row],[STATUS]]="Em andamento",3)</f>
        <v>1</v>
      </c>
      <c r="G65" s="16" cm="1">
        <f t="array" aca="1" ref="G6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-EMAIL]]="",$AH65&gt;$AF$1),2,
AND(Tabela18[[#This Row],[STATUS]]="Em andamento",Tabela18[[#This Row],[DATA REAL -EMAIL]]="",$AH65&lt;=$AF$1),3,
AND(Tabela18[[#This Row],[STATUS]]="Em andamento",Tabela18[[#This Row],[DATA REAL -EMAIL]]&lt;&gt;""),1)</f>
        <v>0</v>
      </c>
      <c r="H65" s="16" cm="1">
        <f t="array" aca="1" ref="H6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CLIENTE]]="",$AK65&gt;$AI$1),2,
AND(Tabela18[[#This Row],[STATUS]]="Em andamento",Tabela18[[#This Row],[DATA REAL - DOC CLIENTE]]="",$AK65&lt;=$AI$1),3,
AND(Tabela18[[#This Row],[STATUS]]="Em andamento",Tabela18[[#This Row],[DATA REAL - DOC CLIENTE]]&lt;&gt;""),1)</f>
        <v>1</v>
      </c>
      <c r="I65" s="16" cm="1">
        <f t="array" aca="1" ref="I6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06]]="",$AN65&gt;$AL$1),2,
AND(Tabela18[[#This Row],[STATUS]]="Em andamento",Tabela18[[#This Row],[DATA REAL - ANEXO 06]]="",$AN65&lt;=$AL$1),3,
AND(Tabela18[[#This Row],[STATUS]]="Em andamento",Tabela18[[#This Row],[DATA REAL - ANEXO 06]]&lt;&gt;""),1)</f>
        <v>1</v>
      </c>
      <c r="J65" s="15" cm="1">
        <f t="array" aca="1" ref="J6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LEGAIS]]="",$AQ65&gt;$AO$1),2,
AND(Tabela18[[#This Row],[STATUS]]="Em andamento",Tabela18[[#This Row],[DATA REAL - SOLIC. PROG LEGAIS]]="",$AQ65&lt;=$AO$1),3,
AND(Tabela18[[#This Row],[STATUS]]="Em andamento",Tabela18[[#This Row],[DATA REAL - SOLIC. PROG LEGAIS]]&lt;&gt;""),1)</f>
        <v>1</v>
      </c>
      <c r="K65" s="15" cm="1">
        <f t="array" aca="1" ref="K6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ENVIO]]="",$AT65&gt;$AR$1),2,
AND(Tabela18[[#This Row],[STATUS]]="Em andamento",Tabela18[[#This Row],[DATA REAL - ENVIO]]="",$AT65&lt;=$AR$1),3,
AND(Tabela18[[#This Row],[STATUS]]="Em andamento",Tabela18[[#This Row],[DATA REAL - ENVIO]]&lt;&gt;""),1)</f>
        <v>1</v>
      </c>
      <c r="L65" s="15" cm="1">
        <f t="array" aca="1" ref="L6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POSTAGEM]]="",$AW65&gt;$AU$1),2,
AND(Tabela18[[#This Row],[STATUS]]="Em andamento",Tabela18[[#This Row],[DATA REAL - POSTAGEM]]="",$AW65&lt;=$AU$1),3,
AND(Tabela18[[#This Row],[STATUS]]="Em andamento",Tabela18[[#This Row],[DATA REAL - POSTAGEM]]&lt;&gt;""),1)</f>
        <v>1</v>
      </c>
      <c r="M65" s="16" cm="1">
        <f t="array" aca="1" ref="M6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APROVAÇÃO]]="",$AZ65&gt;$AX$1),2,
AND(Tabela18[[#This Row],[STATUS]]="Em andamento",Tabela18[[#This Row],[DATA REAL - APROVAÇÃO]]="",$AZ65&lt;=$AX$1),3,
AND(Tabela18[[#This Row],[STATUS]]="Em andamento",Tabela18[[#This Row],[DATA REAL - APROVAÇÃO]]&lt;&gt;""),1)</f>
        <v>1</v>
      </c>
      <c r="N65" s="21">
        <f>IF(Tabela18[[#This Row],[DATA REAL -EMAIL]]&lt;&gt;"",Tabela18[[#This Row],[DATA REAL -EMAIL]]+30,Tabela18[[#This Row],[DATA PREV - EMAIL]]+30)</f>
        <v>30</v>
      </c>
      <c r="O6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45349</v>
      </c>
      <c r="P6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60</v>
      </c>
      <c r="Q6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28</v>
      </c>
      <c r="R65" s="48">
        <f>MAX(Tabela18[[#This Row],[DATA REAL - POSTAGEM]],Tabela18[[#This Row],[DATA REAL - APROVAÇÃO]])-MIN(Tabela18[[#This Row],[DATA REAL - POSTAGEM]],Tabela18[[#This Row],[DATA REAL - APROVAÇÃO]])+1</f>
        <v>20</v>
      </c>
      <c r="S65" s="16" t="s">
        <v>103</v>
      </c>
      <c r="T65" s="16"/>
      <c r="U65" s="18" t="s">
        <v>104</v>
      </c>
      <c r="V65" s="18" t="s">
        <v>86</v>
      </c>
      <c r="W65" s="16" t="s">
        <v>97</v>
      </c>
      <c r="X65" s="16" t="s">
        <v>89</v>
      </c>
      <c r="Y65" s="16" t="s">
        <v>99</v>
      </c>
      <c r="Z65" s="15" t="s">
        <v>127</v>
      </c>
      <c r="AA65" s="15" t="str">
        <f>_xlfn.XLOOKUP(Tabela18[[#This Row],[CÓD. CT]],Controle_Projetos[COD CT],Controle_Projetos[COD PHD],"")</f>
        <v>CIMC-CT02-CCMD</v>
      </c>
      <c r="AB65" s="16"/>
      <c r="AC65" s="21"/>
      <c r="AD6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5" s="16" t="str" cm="1">
        <f t="array" aca="1" ref="AE6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5" s="21"/>
      <c r="AG65" s="74"/>
      <c r="AH65" s="16" t="str" cm="1">
        <f t="array" aca="1" ref="AH6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65" s="21">
        <v>45288</v>
      </c>
      <c r="AJ65" s="74">
        <v>45289</v>
      </c>
      <c r="AK65" s="16" t="str" cm="1">
        <f t="array" aca="1" ref="AK6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65" s="20">
        <f t="shared" si="5"/>
        <v>45296</v>
      </c>
      <c r="AM65" s="74">
        <v>45301</v>
      </c>
      <c r="AN65" s="15" cm="1">
        <f t="array" aca="1" ref="AN6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65" s="20">
        <f t="shared" si="6"/>
        <v>45302</v>
      </c>
      <c r="AP65" s="74">
        <v>45313</v>
      </c>
      <c r="AQ65" s="15" cm="1">
        <f t="array" aca="1" ref="AQ6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12</v>
      </c>
      <c r="AR65" s="20">
        <f t="shared" si="7"/>
        <v>45327</v>
      </c>
      <c r="AS65" s="74">
        <v>45317</v>
      </c>
      <c r="AT65" s="15" cm="1">
        <f t="array" aca="1" ref="AT6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65" s="20">
        <f t="shared" si="8"/>
        <v>45324</v>
      </c>
      <c r="AV65" s="74">
        <v>45330</v>
      </c>
      <c r="AW65" s="15" cm="1">
        <f t="array" aca="1" ref="AW6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65" s="20">
        <f t="shared" si="9"/>
        <v>45331</v>
      </c>
      <c r="AY65" s="74">
        <v>45349</v>
      </c>
      <c r="AZ65" s="15" cm="1">
        <f t="array" aca="1" ref="AZ6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19</v>
      </c>
      <c r="BA65" s="16" t="s">
        <v>933</v>
      </c>
    </row>
    <row r="66" spans="2:53" hidden="1" x14ac:dyDescent="0.35">
      <c r="B66" s="14" t="s">
        <v>79</v>
      </c>
      <c r="C66" s="16" t="s">
        <v>867</v>
      </c>
      <c r="D66" s="16" t="s">
        <v>108</v>
      </c>
      <c r="E66" s="16" t="s">
        <v>125</v>
      </c>
      <c r="F66" s="16" cm="1">
        <f t="array" ref="F66">_xlfn.IFS(Tabela18[[#This Row],[STATUS]]="Finalizado",1,Tabela18[[#This Row],[STATUS]]="Cancelado",2,Tabela18[[#This Row],[STATUS]]="Em andamento",3)</f>
        <v>1</v>
      </c>
      <c r="G66" s="16" cm="1">
        <f t="array" aca="1" ref="G6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-EMAIL]]="",$AH66&gt;$AF$1),2,
AND(Tabela18[[#This Row],[STATUS]]="Em andamento",Tabela18[[#This Row],[DATA REAL -EMAIL]]="",$AH66&lt;=$AF$1),3,
AND(Tabela18[[#This Row],[STATUS]]="Em andamento",Tabela18[[#This Row],[DATA REAL -EMAIL]]&lt;&gt;""),1)</f>
        <v>0</v>
      </c>
      <c r="H66" s="16" cm="1">
        <f t="array" aca="1" ref="H6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CLIENTE]]="",$AK66&gt;$AI$1),2,
AND(Tabela18[[#This Row],[STATUS]]="Em andamento",Tabela18[[#This Row],[DATA REAL - DOC CLIENTE]]="",$AK66&lt;=$AI$1),3,
AND(Tabela18[[#This Row],[STATUS]]="Em andamento",Tabela18[[#This Row],[DATA REAL - DOC CLIENTE]]&lt;&gt;""),1)</f>
        <v>1</v>
      </c>
      <c r="I66" s="16" cm="1">
        <f t="array" aca="1" ref="I6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06]]="",$AN66&gt;$AL$1),2,
AND(Tabela18[[#This Row],[STATUS]]="Em andamento",Tabela18[[#This Row],[DATA REAL - ANEXO 06]]="",$AN66&lt;=$AL$1),3,
AND(Tabela18[[#This Row],[STATUS]]="Em andamento",Tabela18[[#This Row],[DATA REAL - ANEXO 06]]&lt;&gt;""),1)</f>
        <v>1</v>
      </c>
      <c r="J66" s="15" cm="1">
        <f t="array" aca="1" ref="J6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LEGAIS]]="",$AQ66&gt;$AO$1),2,
AND(Tabela18[[#This Row],[STATUS]]="Em andamento",Tabela18[[#This Row],[DATA REAL - SOLIC. PROG LEGAIS]]="",$AQ66&lt;=$AO$1),3,
AND(Tabela18[[#This Row],[STATUS]]="Em andamento",Tabela18[[#This Row],[DATA REAL - SOLIC. PROG LEGAIS]]&lt;&gt;""),1)</f>
        <v>1</v>
      </c>
      <c r="K66" s="15" cm="1">
        <f t="array" aca="1" ref="K6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ENVIO]]="",$AT66&gt;$AR$1),2,
AND(Tabela18[[#This Row],[STATUS]]="Em andamento",Tabela18[[#This Row],[DATA REAL - ENVIO]]="",$AT66&lt;=$AR$1),3,
AND(Tabela18[[#This Row],[STATUS]]="Em andamento",Tabela18[[#This Row],[DATA REAL - ENVIO]]&lt;&gt;""),1)</f>
        <v>1</v>
      </c>
      <c r="L66" s="15" cm="1">
        <f t="array" aca="1" ref="L6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POSTAGEM]]="",$AW66&gt;$AU$1),2,
AND(Tabela18[[#This Row],[STATUS]]="Em andamento",Tabela18[[#This Row],[DATA REAL - POSTAGEM]]="",$AW66&lt;=$AU$1),3,
AND(Tabela18[[#This Row],[STATUS]]="Em andamento",Tabela18[[#This Row],[DATA REAL - POSTAGEM]]&lt;&gt;""),1)</f>
        <v>1</v>
      </c>
      <c r="M66" s="16" cm="1">
        <f t="array" aca="1" ref="M6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APROVAÇÃO]]="",$AZ66&gt;$AX$1),2,
AND(Tabela18[[#This Row],[STATUS]]="Em andamento",Tabela18[[#This Row],[DATA REAL - APROVAÇÃO]]="",$AZ66&lt;=$AX$1),3,
AND(Tabela18[[#This Row],[STATUS]]="Em andamento",Tabela18[[#This Row],[DATA REAL - APROVAÇÃO]]&lt;&gt;""),1)</f>
        <v>1</v>
      </c>
      <c r="N66" s="21">
        <f>IF(Tabela18[[#This Row],[DATA REAL -EMAIL]]&lt;&gt;"",Tabela18[[#This Row],[DATA REAL -EMAIL]]+30,Tabela18[[#This Row],[DATA PREV - EMAIL]]+30)</f>
        <v>30</v>
      </c>
      <c r="O6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45342</v>
      </c>
      <c r="P6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53</v>
      </c>
      <c r="Q6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32</v>
      </c>
      <c r="R66" s="48">
        <f>MAX(Tabela18[[#This Row],[DATA REAL - POSTAGEM]],Tabela18[[#This Row],[DATA REAL - APROVAÇÃO]])-MIN(Tabela18[[#This Row],[DATA REAL - POSTAGEM]],Tabela18[[#This Row],[DATA REAL - APROVAÇÃO]])+1</f>
        <v>15</v>
      </c>
      <c r="S66" s="16" t="s">
        <v>103</v>
      </c>
      <c r="T66" s="16"/>
      <c r="U66" s="18" t="s">
        <v>104</v>
      </c>
      <c r="V66" s="18" t="s">
        <v>86</v>
      </c>
      <c r="W66" s="16" t="s">
        <v>87</v>
      </c>
      <c r="X66" s="16" t="s">
        <v>89</v>
      </c>
      <c r="Y66" s="16" t="s">
        <v>99</v>
      </c>
      <c r="Z66" s="15" t="s">
        <v>127</v>
      </c>
      <c r="AA66" s="15" t="str">
        <f>_xlfn.XLOOKUP(Tabela18[[#This Row],[CÓD. CT]],Controle_Projetos[COD CT],Controle_Projetos[COD PHD],"")</f>
        <v>CIMC-CT02-CCMD</v>
      </c>
      <c r="AB66" s="16"/>
      <c r="AC66" s="21"/>
      <c r="AD6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6" s="16" t="str" cm="1">
        <f t="array" aca="1" ref="AE6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6" s="21"/>
      <c r="AG66" s="74"/>
      <c r="AH66" s="16" t="str" cm="1">
        <f t="array" aca="1" ref="AH6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66" s="21">
        <v>45288</v>
      </c>
      <c r="AJ66" s="74">
        <v>45289</v>
      </c>
      <c r="AK66" s="16" t="str" cm="1">
        <f t="array" aca="1" ref="AK6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66" s="20">
        <f t="shared" si="5"/>
        <v>45296</v>
      </c>
      <c r="AM66" s="74">
        <v>45301</v>
      </c>
      <c r="AN66" s="15" cm="1">
        <f t="array" aca="1" ref="AN6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66" s="20">
        <f t="shared" si="6"/>
        <v>45302</v>
      </c>
      <c r="AP66" s="74">
        <v>45316</v>
      </c>
      <c r="AQ66" s="15" cm="1">
        <f t="array" aca="1" ref="AQ6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15</v>
      </c>
      <c r="AR66" s="20">
        <f t="shared" si="7"/>
        <v>45330</v>
      </c>
      <c r="AS66" s="74">
        <v>45321</v>
      </c>
      <c r="AT66" s="15" cm="1">
        <f t="array" aca="1" ref="AT6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66" s="20">
        <f t="shared" si="8"/>
        <v>45328</v>
      </c>
      <c r="AV66" s="74">
        <v>45328</v>
      </c>
      <c r="AW66" s="15" cm="1">
        <f t="array" aca="1" ref="AW6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66" s="20">
        <f t="shared" si="9"/>
        <v>45329</v>
      </c>
      <c r="AY66" s="74">
        <v>45342</v>
      </c>
      <c r="AZ66" s="15" cm="1">
        <f t="array" aca="1" ref="AZ6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66" s="16" t="s">
        <v>934</v>
      </c>
    </row>
    <row r="67" spans="2:53" hidden="1" x14ac:dyDescent="0.35">
      <c r="B67" s="14" t="s">
        <v>79</v>
      </c>
      <c r="C67" s="16" t="s">
        <v>136</v>
      </c>
      <c r="D67" s="16" t="s">
        <v>108</v>
      </c>
      <c r="E67" s="16" t="s">
        <v>935</v>
      </c>
      <c r="F67" s="16" cm="1">
        <f t="array" ref="F67">_xlfn.IFS(Tabela18[[#This Row],[STATUS]]="Finalizado",1,Tabela18[[#This Row],[STATUS]]="Cancelado",2,Tabela18[[#This Row],[STATUS]]="Em andamento",3)</f>
        <v>1</v>
      </c>
      <c r="G67" s="16" cm="1">
        <f t="array" aca="1" ref="G6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-EMAIL]]="",$AH67&gt;$AF$1),2,
AND(Tabela18[[#This Row],[STATUS]]="Em andamento",Tabela18[[#This Row],[DATA REAL -EMAIL]]="",$AH67&lt;=$AF$1),3,
AND(Tabela18[[#This Row],[STATUS]]="Em andamento",Tabela18[[#This Row],[DATA REAL -EMAIL]]&lt;&gt;""),1)</f>
        <v>1</v>
      </c>
      <c r="H67" s="16" cm="1">
        <f t="array" aca="1" ref="H6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CLIENTE]]="",$AK67&gt;$AI$1),2,
AND(Tabela18[[#This Row],[STATUS]]="Em andamento",Tabela18[[#This Row],[DATA REAL - DOC CLIENTE]]="",$AK67&lt;=$AI$1),3,
AND(Tabela18[[#This Row],[STATUS]]="Em andamento",Tabela18[[#This Row],[DATA REAL - DOC CLIENTE]]&lt;&gt;""),1)</f>
        <v>1</v>
      </c>
      <c r="I67" s="16" cm="1">
        <f t="array" aca="1" ref="I6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06]]="",$AN67&gt;$AL$1),2,
AND(Tabela18[[#This Row],[STATUS]]="Em andamento",Tabela18[[#This Row],[DATA REAL - ANEXO 06]]="",$AN67&lt;=$AL$1),3,
AND(Tabela18[[#This Row],[STATUS]]="Em andamento",Tabela18[[#This Row],[DATA REAL - ANEXO 06]]&lt;&gt;""),1)</f>
        <v>1</v>
      </c>
      <c r="J67" s="15" cm="1">
        <f t="array" aca="1" ref="J6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LEGAIS]]="",$AQ67&gt;$AO$1),2,
AND(Tabela18[[#This Row],[STATUS]]="Em andamento",Tabela18[[#This Row],[DATA REAL - SOLIC. PROG LEGAIS]]="",$AQ67&lt;=$AO$1),3,
AND(Tabela18[[#This Row],[STATUS]]="Em andamento",Tabela18[[#This Row],[DATA REAL - SOLIC. PROG LEGAIS]]&lt;&gt;""),1)</f>
        <v>1</v>
      </c>
      <c r="K67" s="15" cm="1">
        <f t="array" aca="1" ref="K6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ENVIO]]="",$AT67&gt;$AR$1),2,
AND(Tabela18[[#This Row],[STATUS]]="Em andamento",Tabela18[[#This Row],[DATA REAL - ENVIO]]="",$AT67&lt;=$AR$1),3,
AND(Tabela18[[#This Row],[STATUS]]="Em andamento",Tabela18[[#This Row],[DATA REAL - ENVIO]]&lt;&gt;""),1)</f>
        <v>1</v>
      </c>
      <c r="L67" s="15" cm="1">
        <f t="array" aca="1" ref="L6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POSTAGEM]]="",$AW67&gt;$AU$1),2,
AND(Tabela18[[#This Row],[STATUS]]="Em andamento",Tabela18[[#This Row],[DATA REAL - POSTAGEM]]="",$AW67&lt;=$AU$1),3,
AND(Tabela18[[#This Row],[STATUS]]="Em andamento",Tabela18[[#This Row],[DATA REAL - POSTAGEM]]&lt;&gt;""),1)</f>
        <v>1</v>
      </c>
      <c r="M67" s="16" cm="1">
        <f t="array" aca="1" ref="M6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APROVAÇÃO]]="",$AZ67&gt;$AX$1),2,
AND(Tabela18[[#This Row],[STATUS]]="Em andamento",Tabela18[[#This Row],[DATA REAL - APROVAÇÃO]]="",$AZ67&lt;=$AX$1),3,
AND(Tabela18[[#This Row],[STATUS]]="Em andamento",Tabela18[[#This Row],[DATA REAL - APROVAÇÃO]]&lt;&gt;""),1)</f>
        <v>1</v>
      </c>
      <c r="N67" s="21">
        <f>IF(Tabela18[[#This Row],[DATA REAL -EMAIL]]&lt;&gt;"",Tabela18[[#This Row],[DATA REAL -EMAIL]]+30,Tabela18[[#This Row],[DATA PREV - EMAIL]]+30)</f>
        <v>45308</v>
      </c>
      <c r="O6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45322</v>
      </c>
      <c r="P6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47</v>
      </c>
      <c r="Q6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26</v>
      </c>
      <c r="R67" s="48">
        <f>MAX(Tabela18[[#This Row],[DATA REAL - POSTAGEM]],Tabela18[[#This Row],[DATA REAL - APROVAÇÃO]])-MIN(Tabela18[[#This Row],[DATA REAL - POSTAGEM]],Tabela18[[#This Row],[DATA REAL - APROVAÇÃO]])+1</f>
        <v>10</v>
      </c>
      <c r="S67" s="16"/>
      <c r="T67" s="16"/>
      <c r="U67" s="18"/>
      <c r="V67" s="18"/>
      <c r="W67" s="16" t="s">
        <v>97</v>
      </c>
      <c r="X67" s="16" t="s">
        <v>89</v>
      </c>
      <c r="Y67" s="16" t="s">
        <v>936</v>
      </c>
      <c r="Z67" s="15" t="s">
        <v>296</v>
      </c>
      <c r="AA67" s="15" t="str">
        <f>_xlfn.XLOOKUP(Tabela18[[#This Row],[CÓD. CT]],Controle_Projetos[COD CT],Controle_Projetos[COD PHD],"")</f>
        <v>PARE-CT05-USIN</v>
      </c>
      <c r="AB67" s="16"/>
      <c r="AC67" s="21">
        <v>45258</v>
      </c>
      <c r="AD6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45293</v>
      </c>
      <c r="AE67" s="16" cm="1">
        <f t="array" aca="1" ref="AE6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36</v>
      </c>
      <c r="AF67" s="21">
        <v>45278</v>
      </c>
      <c r="AG67" s="74">
        <v>45278</v>
      </c>
      <c r="AH67" s="16" cm="1">
        <f t="array" aca="1" ref="AH6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67" s="21">
        <v>45275</v>
      </c>
      <c r="AJ67" s="74">
        <v>45275</v>
      </c>
      <c r="AK67" s="16" cm="1">
        <f t="array" aca="1" ref="AK6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67" s="20">
        <f t="shared" si="5"/>
        <v>45282</v>
      </c>
      <c r="AM67" s="74">
        <v>45301</v>
      </c>
      <c r="AN67" s="15" cm="1">
        <f t="array" aca="1" ref="AN6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20</v>
      </c>
      <c r="AO67" s="20">
        <f t="shared" si="6"/>
        <v>45302</v>
      </c>
      <c r="AP67" s="74">
        <v>45299</v>
      </c>
      <c r="AQ67" s="15" cm="1">
        <f t="array" aca="1" ref="AQ6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67" s="20">
        <f t="shared" si="7"/>
        <v>45313</v>
      </c>
      <c r="AS67" s="74">
        <v>45301</v>
      </c>
      <c r="AT67" s="15" cm="1">
        <f t="array" aca="1" ref="AT6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67" s="20">
        <f t="shared" si="8"/>
        <v>45308</v>
      </c>
      <c r="AV67" s="74">
        <v>45313</v>
      </c>
      <c r="AW67" s="15" cm="1">
        <f t="array" aca="1" ref="AW6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67" s="20">
        <f t="shared" si="9"/>
        <v>45314</v>
      </c>
      <c r="AY67" s="74">
        <v>45322</v>
      </c>
      <c r="AZ67" s="15" cm="1">
        <f t="array" aca="1" ref="AZ6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9</v>
      </c>
      <c r="BA67" s="16" t="s">
        <v>937</v>
      </c>
    </row>
    <row r="68" spans="2:53" hidden="1" x14ac:dyDescent="0.35">
      <c r="B68" s="14" t="s">
        <v>79</v>
      </c>
      <c r="C68" s="16" t="s">
        <v>136</v>
      </c>
      <c r="D68" s="16" t="s">
        <v>108</v>
      </c>
      <c r="E68" s="16" t="s">
        <v>179</v>
      </c>
      <c r="F68" s="16" cm="1">
        <f t="array" ref="F68">_xlfn.IFS(Tabela18[[#This Row],[STATUS]]="Finalizado",1,Tabela18[[#This Row],[STATUS]]="Cancelado",2,Tabela18[[#This Row],[STATUS]]="Em andamento",3)</f>
        <v>1</v>
      </c>
      <c r="G68" s="16" cm="1">
        <f t="array" aca="1" ref="G6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-EMAIL]]="",$AH68&gt;$AF$1),2,
AND(Tabela18[[#This Row],[STATUS]]="Em andamento",Tabela18[[#This Row],[DATA REAL -EMAIL]]="",$AH68&lt;=$AF$1),3,
AND(Tabela18[[#This Row],[STATUS]]="Em andamento",Tabela18[[#This Row],[DATA REAL -EMAIL]]&lt;&gt;""),1)</f>
        <v>1</v>
      </c>
      <c r="H68" s="16" cm="1">
        <f t="array" aca="1" ref="H6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CLIENTE]]="",$AK68&gt;$AI$1),2,
AND(Tabela18[[#This Row],[STATUS]]="Em andamento",Tabela18[[#This Row],[DATA REAL - DOC CLIENTE]]="",$AK68&lt;=$AI$1),3,
AND(Tabela18[[#This Row],[STATUS]]="Em andamento",Tabela18[[#This Row],[DATA REAL - DOC CLIENTE]]&lt;&gt;""),1)</f>
        <v>1</v>
      </c>
      <c r="I68" s="16" cm="1">
        <f t="array" aca="1" ref="I6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06]]="",$AN68&gt;$AL$1),2,
AND(Tabela18[[#This Row],[STATUS]]="Em andamento",Tabela18[[#This Row],[DATA REAL - ANEXO 06]]="",$AN68&lt;=$AL$1),3,
AND(Tabela18[[#This Row],[STATUS]]="Em andamento",Tabela18[[#This Row],[DATA REAL - ANEXO 06]]&lt;&gt;""),1)</f>
        <v>1</v>
      </c>
      <c r="J68" s="15" cm="1">
        <f t="array" aca="1" ref="J6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LEGAIS]]="",$AQ68&gt;$AO$1),2,
AND(Tabela18[[#This Row],[STATUS]]="Em andamento",Tabela18[[#This Row],[DATA REAL - SOLIC. PROG LEGAIS]]="",$AQ68&lt;=$AO$1),3,
AND(Tabela18[[#This Row],[STATUS]]="Em andamento",Tabela18[[#This Row],[DATA REAL - SOLIC. PROG LEGAIS]]&lt;&gt;""),1)</f>
        <v>1</v>
      </c>
      <c r="K68" s="15" cm="1">
        <f t="array" aca="1" ref="K6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ENVIO]]="",$AT68&gt;$AR$1),2,
AND(Tabela18[[#This Row],[STATUS]]="Em andamento",Tabela18[[#This Row],[DATA REAL - ENVIO]]="",$AT68&lt;=$AR$1),3,
AND(Tabela18[[#This Row],[STATUS]]="Em andamento",Tabela18[[#This Row],[DATA REAL - ENVIO]]&lt;&gt;""),1)</f>
        <v>1</v>
      </c>
      <c r="L68" s="15" cm="1">
        <f t="array" aca="1" ref="L6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POSTAGEM]]="",$AW68&gt;$AU$1),2,
AND(Tabela18[[#This Row],[STATUS]]="Em andamento",Tabela18[[#This Row],[DATA REAL - POSTAGEM]]="",$AW68&lt;=$AU$1),3,
AND(Tabela18[[#This Row],[STATUS]]="Em andamento",Tabela18[[#This Row],[DATA REAL - POSTAGEM]]&lt;&gt;""),1)</f>
        <v>1</v>
      </c>
      <c r="M68" s="16" cm="1">
        <f t="array" aca="1" ref="M6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APROVAÇÃO]]="",$AZ68&gt;$AX$1),2,
AND(Tabela18[[#This Row],[STATUS]]="Em andamento",Tabela18[[#This Row],[DATA REAL - APROVAÇÃO]]="",$AZ68&lt;=$AX$1),3,
AND(Tabela18[[#This Row],[STATUS]]="Em andamento",Tabela18[[#This Row],[DATA REAL - APROVAÇÃO]]&lt;&gt;""),1)</f>
        <v>1</v>
      </c>
      <c r="N68" s="21">
        <f>IF(Tabela18[[#This Row],[DATA REAL -EMAIL]]&lt;&gt;"",Tabela18[[#This Row],[DATA REAL -EMAIL]]+30,Tabela18[[#This Row],[DATA PREV - EMAIL]]+30)</f>
        <v>45331</v>
      </c>
      <c r="O6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45401</v>
      </c>
      <c r="P6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133</v>
      </c>
      <c r="Q6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34</v>
      </c>
      <c r="R68" s="48">
        <f>MAX(Tabela18[[#This Row],[DATA REAL - POSTAGEM]],Tabela18[[#This Row],[DATA REAL - APROVAÇÃO]])-MIN(Tabela18[[#This Row],[DATA REAL - POSTAGEM]],Tabela18[[#This Row],[DATA REAL - APROVAÇÃO]])+1</f>
        <v>3</v>
      </c>
      <c r="S68" s="16" t="s">
        <v>172</v>
      </c>
      <c r="T68" s="16"/>
      <c r="U68" s="18" t="s">
        <v>173</v>
      </c>
      <c r="V68" s="18" t="s">
        <v>152</v>
      </c>
      <c r="W68" s="16" t="s">
        <v>97</v>
      </c>
      <c r="X68" s="16" t="s">
        <v>89</v>
      </c>
      <c r="Y68" s="16" t="s">
        <v>938</v>
      </c>
      <c r="Z68" s="15" t="s">
        <v>939</v>
      </c>
      <c r="AA68" s="15" t="str">
        <f>_xlfn.XLOOKUP(Tabela18[[#This Row],[CÓD. CT]],Controle_Projetos[COD CT],Controle_Projetos[COD PHD],"")</f>
        <v>PARE-CT06-OFIC</v>
      </c>
      <c r="AB68" s="16"/>
      <c r="AC68" s="21"/>
      <c r="AD6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45293</v>
      </c>
      <c r="AE68" s="16" t="str" cm="1">
        <f t="array" aca="1" ref="AE6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68" s="21">
        <v>45279</v>
      </c>
      <c r="AG68" s="74">
        <v>45301</v>
      </c>
      <c r="AH68" s="16" cm="1">
        <f t="array" aca="1" ref="AH6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23</v>
      </c>
      <c r="AI68" s="21">
        <v>45279</v>
      </c>
      <c r="AJ68" s="74">
        <v>45268</v>
      </c>
      <c r="AK68" s="16" cm="1">
        <f t="array" aca="1" ref="AK6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23</v>
      </c>
      <c r="AL68" s="20">
        <f t="shared" ref="AL68:AL99" si="10">IF(AI68="","",IF(AJ68="",WORKDAY(AI68,AL$1,),WORKDAY(AJ68,AL$1,)))</f>
        <v>45275</v>
      </c>
      <c r="AM68" s="74">
        <v>45302</v>
      </c>
      <c r="AN68" s="15" cm="1">
        <f t="array" aca="1" ref="AN6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28</v>
      </c>
      <c r="AO68" s="20">
        <f t="shared" ref="AO68:AO99" si="11">IF(AL68="","",IF(AM68="",WORKDAY(AL68,AO$1,),WORKDAY(AM68,AO$1,)))</f>
        <v>45303</v>
      </c>
      <c r="AP68" s="74">
        <v>45278</v>
      </c>
      <c r="AQ68" s="15" cm="1">
        <f t="array" aca="1" ref="AQ6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-24</v>
      </c>
      <c r="AR68" s="20">
        <f t="shared" ref="AR68:AR99" si="12">IF(AO68="","",IF(AP68="",WORKDAY(AO68,AR$1,),WORKDAY(AP68,AR$1,)))</f>
        <v>45292</v>
      </c>
      <c r="AS68" s="74">
        <v>45302</v>
      </c>
      <c r="AT68" s="15" cm="1">
        <f t="array" aca="1" ref="AT6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68" s="20">
        <f t="shared" ref="AU68:AU99" si="13">IF(AR68="","",IF(AS68="",WORKDAY(AR68,AU$1,),WORKDAY(AS68,AU$1,)))</f>
        <v>45309</v>
      </c>
      <c r="AV68" s="74">
        <v>45399</v>
      </c>
      <c r="AW68" s="15" cm="1">
        <f t="array" aca="1" ref="AW6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91</v>
      </c>
      <c r="AX68" s="20">
        <f t="shared" ref="AX68:AX99" si="14">IF(AU68="","",IF(AV68="",WORKDAY(AU68,AX$1,),WORKDAY(AV68,AX$1,)))</f>
        <v>45400</v>
      </c>
      <c r="AY68" s="74">
        <v>45401</v>
      </c>
      <c r="AZ68" s="15" cm="1">
        <f t="array" aca="1" ref="AZ6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68" s="16" t="s">
        <v>940</v>
      </c>
    </row>
    <row r="69" spans="2:53" hidden="1" x14ac:dyDescent="0.35">
      <c r="B69" s="14" t="s">
        <v>79</v>
      </c>
      <c r="C69" s="16" t="s">
        <v>867</v>
      </c>
      <c r="D69" s="16" t="s">
        <v>108</v>
      </c>
      <c r="E69" s="16" t="s">
        <v>88</v>
      </c>
      <c r="F69" s="16" cm="1">
        <f t="array" ref="F69">_xlfn.IFS(Tabela18[[#This Row],[STATUS]]="Finalizado",1,Tabela18[[#This Row],[STATUS]]="Cancelado",2,Tabela18[[#This Row],[STATUS]]="Em andamento",3)</f>
        <v>1</v>
      </c>
      <c r="G69" s="16" cm="1">
        <f t="array" aca="1" ref="G6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-EMAIL]]="",$AH69&gt;$AF$1),2,
AND(Tabela18[[#This Row],[STATUS]]="Em andamento",Tabela18[[#This Row],[DATA REAL -EMAIL]]="",$AH69&lt;=$AF$1),3,
AND(Tabela18[[#This Row],[STATUS]]="Em andamento",Tabela18[[#This Row],[DATA REAL -EMAIL]]&lt;&gt;""),1)</f>
        <v>0</v>
      </c>
      <c r="H69" s="16" cm="1">
        <f t="array" aca="1" ref="H6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CLIENTE]]="",$AK69&gt;$AI$1),2,
AND(Tabela18[[#This Row],[STATUS]]="Em andamento",Tabela18[[#This Row],[DATA REAL - DOC CLIENTE]]="",$AK69&lt;=$AI$1),3,
AND(Tabela18[[#This Row],[STATUS]]="Em andamento",Tabela18[[#This Row],[DATA REAL - DOC CLIENTE]]&lt;&gt;""),1)</f>
        <v>1</v>
      </c>
      <c r="I69" s="16" cm="1">
        <f t="array" aca="1" ref="I6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06]]="",$AN69&gt;$AL$1),2,
AND(Tabela18[[#This Row],[STATUS]]="Em andamento",Tabela18[[#This Row],[DATA REAL - ANEXO 06]]="",$AN69&lt;=$AL$1),3,
AND(Tabela18[[#This Row],[STATUS]]="Em andamento",Tabela18[[#This Row],[DATA REAL - ANEXO 06]]&lt;&gt;""),1)</f>
        <v>1</v>
      </c>
      <c r="J69" s="15" cm="1">
        <f t="array" aca="1" ref="J6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LEGAIS]]="",$AQ69&gt;$AO$1),2,
AND(Tabela18[[#This Row],[STATUS]]="Em andamento",Tabela18[[#This Row],[DATA REAL - SOLIC. PROG LEGAIS]]="",$AQ69&lt;=$AO$1),3,
AND(Tabela18[[#This Row],[STATUS]]="Em andamento",Tabela18[[#This Row],[DATA REAL - SOLIC. PROG LEGAIS]]&lt;&gt;""),1)</f>
        <v>1</v>
      </c>
      <c r="K69" s="15" cm="1">
        <f t="array" aca="1" ref="K6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ENVIO]]="",$AT69&gt;$AR$1),2,
AND(Tabela18[[#This Row],[STATUS]]="Em andamento",Tabela18[[#This Row],[DATA REAL - ENVIO]]="",$AT69&lt;=$AR$1),3,
AND(Tabela18[[#This Row],[STATUS]]="Em andamento",Tabela18[[#This Row],[DATA REAL - ENVIO]]&lt;&gt;""),1)</f>
        <v>1</v>
      </c>
      <c r="L69" s="15" cm="1">
        <f t="array" aca="1" ref="L6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POSTAGEM]]="",$AW69&gt;$AU$1),2,
AND(Tabela18[[#This Row],[STATUS]]="Em andamento",Tabela18[[#This Row],[DATA REAL - POSTAGEM]]="",$AW69&lt;=$AU$1),3,
AND(Tabela18[[#This Row],[STATUS]]="Em andamento",Tabela18[[#This Row],[DATA REAL - POSTAGEM]]&lt;&gt;""),1)</f>
        <v>1</v>
      </c>
      <c r="M69" s="16" cm="1">
        <f t="array" aca="1" ref="M6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APROVAÇÃO]]="",$AZ69&gt;$AX$1),2,
AND(Tabela18[[#This Row],[STATUS]]="Em andamento",Tabela18[[#This Row],[DATA REAL - APROVAÇÃO]]="",$AZ69&lt;=$AX$1),3,
AND(Tabela18[[#This Row],[STATUS]]="Em andamento",Tabela18[[#This Row],[DATA REAL - APROVAÇÃO]]&lt;&gt;""),1)</f>
        <v>1</v>
      </c>
      <c r="N69" s="21">
        <f>IF(Tabela18[[#This Row],[DATA REAL -EMAIL]]&lt;&gt;"",Tabela18[[#This Row],[DATA REAL -EMAIL]]+30,Tabela18[[#This Row],[DATA PREV - EMAIL]]+30)</f>
        <v>30</v>
      </c>
      <c r="O6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45364</v>
      </c>
      <c r="P6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57</v>
      </c>
      <c r="Q6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34</v>
      </c>
      <c r="R69" s="48">
        <f>MAX(Tabela18[[#This Row],[DATA REAL - POSTAGEM]],Tabela18[[#This Row],[DATA REAL - APROVAÇÃO]])-MIN(Tabela18[[#This Row],[DATA REAL - POSTAGEM]],Tabela18[[#This Row],[DATA REAL - APROVAÇÃO]])+1</f>
        <v>9</v>
      </c>
      <c r="S69" s="16" t="s">
        <v>83</v>
      </c>
      <c r="T69" s="16"/>
      <c r="U69" s="18" t="s">
        <v>85</v>
      </c>
      <c r="V69" s="18" t="s">
        <v>86</v>
      </c>
      <c r="W69" s="16" t="s">
        <v>97</v>
      </c>
      <c r="X69" s="16" t="s">
        <v>89</v>
      </c>
      <c r="Y69" s="16" t="s">
        <v>941</v>
      </c>
      <c r="Z69" s="15" t="s">
        <v>161</v>
      </c>
      <c r="AA69" s="15" t="str">
        <f>_xlfn.XLOOKUP(Tabela18[[#This Row],[CÓD. CT]],Controle_Projetos[COD CT],Controle_Projetos[COD PHD],"")</f>
        <v>IMCS-CT06-GCIT</v>
      </c>
      <c r="AB69" s="16"/>
      <c r="AC69" s="21">
        <v>45316</v>
      </c>
      <c r="AD69"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69" s="16" cm="1">
        <f t="array" aca="1" ref="AE6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69" s="21"/>
      <c r="AG69" s="74"/>
      <c r="AH69" s="16" t="str" cm="1">
        <f t="array" aca="1" ref="AH6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69" s="21">
        <v>45307</v>
      </c>
      <c r="AJ69" s="74">
        <v>45307</v>
      </c>
      <c r="AK69" s="16" t="str" cm="1">
        <f t="array" aca="1" ref="AK6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69" s="20">
        <f t="shared" si="10"/>
        <v>45314</v>
      </c>
      <c r="AM69" s="74">
        <v>45315</v>
      </c>
      <c r="AN69" s="15" cm="1">
        <f t="array" aca="1" ref="AN6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69" s="20">
        <f t="shared" si="11"/>
        <v>45316</v>
      </c>
      <c r="AP69" s="74">
        <v>45317</v>
      </c>
      <c r="AQ69" s="15" cm="1">
        <f t="array" aca="1" ref="AQ6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69" s="20">
        <f t="shared" si="12"/>
        <v>45331</v>
      </c>
      <c r="AS69" s="74">
        <v>45341</v>
      </c>
      <c r="AT69" s="15" cm="1">
        <f t="array" aca="1" ref="AT6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69" s="20">
        <f t="shared" si="13"/>
        <v>45348</v>
      </c>
      <c r="AV69" s="74">
        <v>45356</v>
      </c>
      <c r="AW69" s="15" cm="1">
        <f t="array" aca="1" ref="AW6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v>
      </c>
      <c r="AX69" s="20">
        <f t="shared" si="14"/>
        <v>45357</v>
      </c>
      <c r="AY69" s="74">
        <v>45364</v>
      </c>
      <c r="AZ69" s="15" cm="1">
        <f t="array" aca="1" ref="AZ6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69" s="16" t="s">
        <v>942</v>
      </c>
    </row>
    <row r="70" spans="2:53" hidden="1" x14ac:dyDescent="0.35">
      <c r="B70" s="14" t="s">
        <v>79</v>
      </c>
      <c r="C70" s="16" t="s">
        <v>867</v>
      </c>
      <c r="D70" s="16" t="s">
        <v>108</v>
      </c>
      <c r="E70" s="16" t="s">
        <v>98</v>
      </c>
      <c r="F70" s="16" cm="1">
        <f t="array" ref="F70">_xlfn.IFS(Tabela18[[#This Row],[STATUS]]="Finalizado",1,Tabela18[[#This Row],[STATUS]]="Cancelado",2,Tabela18[[#This Row],[STATUS]]="Em andamento",3)</f>
        <v>1</v>
      </c>
      <c r="G70" s="16" cm="1">
        <f t="array" aca="1" ref="G7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-EMAIL]]="",$AH70&gt;$AF$1),2,
AND(Tabela18[[#This Row],[STATUS]]="Em andamento",Tabela18[[#This Row],[DATA REAL -EMAIL]]="",$AH70&lt;=$AF$1),3,
AND(Tabela18[[#This Row],[STATUS]]="Em andamento",Tabela18[[#This Row],[DATA REAL -EMAIL]]&lt;&gt;""),1)</f>
        <v>0</v>
      </c>
      <c r="H70" s="16" cm="1">
        <f t="array" aca="1" ref="H7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CLIENTE]]="",$AK70&gt;$AI$1),2,
AND(Tabela18[[#This Row],[STATUS]]="Em andamento",Tabela18[[#This Row],[DATA REAL - DOC CLIENTE]]="",$AK70&lt;=$AI$1),3,
AND(Tabela18[[#This Row],[STATUS]]="Em andamento",Tabela18[[#This Row],[DATA REAL - DOC CLIENTE]]&lt;&gt;""),1)</f>
        <v>1</v>
      </c>
      <c r="I70" s="16" cm="1">
        <f t="array" aca="1" ref="I7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06]]="",$AN70&gt;$AL$1),2,
AND(Tabela18[[#This Row],[STATUS]]="Em andamento",Tabela18[[#This Row],[DATA REAL - ANEXO 06]]="",$AN70&lt;=$AL$1),3,
AND(Tabela18[[#This Row],[STATUS]]="Em andamento",Tabela18[[#This Row],[DATA REAL - ANEXO 06]]&lt;&gt;""),1)</f>
        <v>1</v>
      </c>
      <c r="J70" s="15" cm="1">
        <f t="array" aca="1" ref="J7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LEGAIS]]="",$AQ70&gt;$AO$1),2,
AND(Tabela18[[#This Row],[STATUS]]="Em andamento",Tabela18[[#This Row],[DATA REAL - SOLIC. PROG LEGAIS]]="",$AQ70&lt;=$AO$1),3,
AND(Tabela18[[#This Row],[STATUS]]="Em andamento",Tabela18[[#This Row],[DATA REAL - SOLIC. PROG LEGAIS]]&lt;&gt;""),1)</f>
        <v>1</v>
      </c>
      <c r="K70" s="15" cm="1">
        <f t="array" aca="1" ref="K7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ENVIO]]="",$AT70&gt;$AR$1),2,
AND(Tabela18[[#This Row],[STATUS]]="Em andamento",Tabela18[[#This Row],[DATA REAL - ENVIO]]="",$AT70&lt;=$AR$1),3,
AND(Tabela18[[#This Row],[STATUS]]="Em andamento",Tabela18[[#This Row],[DATA REAL - ENVIO]]&lt;&gt;""),1)</f>
        <v>1</v>
      </c>
      <c r="L70" s="15" cm="1">
        <f t="array" aca="1" ref="L7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POSTAGEM]]="",$AW70&gt;$AU$1),2,
AND(Tabela18[[#This Row],[STATUS]]="Em andamento",Tabela18[[#This Row],[DATA REAL - POSTAGEM]]="",$AW70&lt;=$AU$1),3,
AND(Tabela18[[#This Row],[STATUS]]="Em andamento",Tabela18[[#This Row],[DATA REAL - POSTAGEM]]&lt;&gt;""),1)</f>
        <v>1</v>
      </c>
      <c r="M70" s="16" cm="1">
        <f t="array" aca="1" ref="M7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APROVAÇÃO]]="",$AZ70&gt;$AX$1),2,
AND(Tabela18[[#This Row],[STATUS]]="Em andamento",Tabela18[[#This Row],[DATA REAL - APROVAÇÃO]]="",$AZ70&lt;=$AX$1),3,
AND(Tabela18[[#This Row],[STATUS]]="Em andamento",Tabela18[[#This Row],[DATA REAL - APROVAÇÃO]]&lt;&gt;""),1)</f>
        <v>1</v>
      </c>
      <c r="N70" s="21">
        <f>IF(Tabela18[[#This Row],[DATA REAL -EMAIL]]&lt;&gt;"",Tabela18[[#This Row],[DATA REAL -EMAIL]]+30,Tabela18[[#This Row],[DATA PREV - EMAIL]]+30)</f>
        <v>30</v>
      </c>
      <c r="O7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45379</v>
      </c>
      <c r="P7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62</v>
      </c>
      <c r="Q7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70" s="48">
        <f>MAX(Tabela18[[#This Row],[DATA REAL - POSTAGEM]],Tabela18[[#This Row],[DATA REAL - APROVAÇÃO]])-MIN(Tabela18[[#This Row],[DATA REAL - POSTAGEM]],Tabela18[[#This Row],[DATA REAL - APROVAÇÃO]])+1</f>
        <v>38</v>
      </c>
      <c r="S70" s="16" t="s">
        <v>103</v>
      </c>
      <c r="T70" s="16"/>
      <c r="U70" s="18" t="s">
        <v>104</v>
      </c>
      <c r="V70" s="18" t="s">
        <v>86</v>
      </c>
      <c r="W70" s="16" t="s">
        <v>97</v>
      </c>
      <c r="X70" s="16" t="s">
        <v>89</v>
      </c>
      <c r="Y70" s="16" t="s">
        <v>144</v>
      </c>
      <c r="Z70" s="15" t="s">
        <v>145</v>
      </c>
      <c r="AA70" s="15" t="str">
        <f>_xlfn.XLOOKUP(Tabela18[[#This Row],[CÓD. CT]],Controle_Projetos[COD CT],Controle_Projetos[COD PHD],"")</f>
        <v>SALU-CT06-MARA</v>
      </c>
      <c r="AB70" s="16"/>
      <c r="AC70" s="21">
        <v>45316</v>
      </c>
      <c r="AD7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0" s="16" cm="1">
        <f t="array" aca="1" ref="AE7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70" s="21"/>
      <c r="AG70" s="74"/>
      <c r="AH70" s="16" t="str" cm="1">
        <f t="array" aca="1" ref="AH7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70" s="21">
        <v>45317</v>
      </c>
      <c r="AJ70" s="74">
        <v>45317</v>
      </c>
      <c r="AK70" s="16" t="str" cm="1">
        <f t="array" aca="1" ref="AK7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70" s="20">
        <f t="shared" si="10"/>
        <v>45324</v>
      </c>
      <c r="AM70" s="74">
        <v>45317</v>
      </c>
      <c r="AN70" s="15" cm="1">
        <f t="array" aca="1" ref="AN7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70" s="20">
        <f t="shared" si="11"/>
        <v>45320</v>
      </c>
      <c r="AP70" s="74">
        <v>45320</v>
      </c>
      <c r="AQ70" s="15" cm="1">
        <f t="array" aca="1" ref="AQ7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70" s="20">
        <f t="shared" si="12"/>
        <v>45334</v>
      </c>
      <c r="AS70" s="74">
        <v>45330</v>
      </c>
      <c r="AT70" s="15" cm="1">
        <f t="array" aca="1" ref="AT7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70" s="20">
        <f t="shared" si="13"/>
        <v>45337</v>
      </c>
      <c r="AV70" s="74">
        <v>45342</v>
      </c>
      <c r="AW70" s="15" cm="1">
        <f t="array" aca="1" ref="AW7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70" s="20">
        <f t="shared" si="14"/>
        <v>45343</v>
      </c>
      <c r="AY70" s="74">
        <v>45379</v>
      </c>
      <c r="AZ70" s="15" cm="1">
        <f t="array" aca="1" ref="AZ7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37</v>
      </c>
      <c r="BA70" s="16" t="s">
        <v>943</v>
      </c>
    </row>
    <row r="71" spans="2:53" hidden="1" x14ac:dyDescent="0.35">
      <c r="B71" s="14" t="s">
        <v>79</v>
      </c>
      <c r="C71" s="16" t="s">
        <v>867</v>
      </c>
      <c r="D71" s="16" t="s">
        <v>108</v>
      </c>
      <c r="E71" s="16" t="s">
        <v>235</v>
      </c>
      <c r="F71" s="16" cm="1">
        <f t="array" ref="F71">_xlfn.IFS(Tabela18[[#This Row],[STATUS]]="Finalizado",1,Tabela18[[#This Row],[STATUS]]="Cancelado",2,Tabela18[[#This Row],[STATUS]]="Em andamento",3)</f>
        <v>1</v>
      </c>
      <c r="G71" s="16" cm="1">
        <f t="array" aca="1" ref="G7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-EMAIL]]="",$AH71&gt;$AF$1),2,
AND(Tabela18[[#This Row],[STATUS]]="Em andamento",Tabela18[[#This Row],[DATA REAL -EMAIL]]="",$AH71&lt;=$AF$1),3,
AND(Tabela18[[#This Row],[STATUS]]="Em andamento",Tabela18[[#This Row],[DATA REAL -EMAIL]]&lt;&gt;""),1)</f>
        <v>1</v>
      </c>
      <c r="H71" s="16" cm="1">
        <f t="array" aca="1" ref="H7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CLIENTE]]="",$AK71&gt;$AI$1),2,
AND(Tabela18[[#This Row],[STATUS]]="Em andamento",Tabela18[[#This Row],[DATA REAL - DOC CLIENTE]]="",$AK71&lt;=$AI$1),3,
AND(Tabela18[[#This Row],[STATUS]]="Em andamento",Tabela18[[#This Row],[DATA REAL - DOC CLIENTE]]&lt;&gt;""),1)</f>
        <v>1</v>
      </c>
      <c r="I71" s="16" cm="1">
        <f t="array" aca="1" ref="I7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06]]="",$AN71&gt;$AL$1),2,
AND(Tabela18[[#This Row],[STATUS]]="Em andamento",Tabela18[[#This Row],[DATA REAL - ANEXO 06]]="",$AN71&lt;=$AL$1),3,
AND(Tabela18[[#This Row],[STATUS]]="Em andamento",Tabela18[[#This Row],[DATA REAL - ANEXO 06]]&lt;&gt;""),1)</f>
        <v>1</v>
      </c>
      <c r="J71" s="15" cm="1">
        <f t="array" aca="1" ref="J7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LEGAIS]]="",$AQ71&gt;$AO$1),2,
AND(Tabela18[[#This Row],[STATUS]]="Em andamento",Tabela18[[#This Row],[DATA REAL - SOLIC. PROG LEGAIS]]="",$AQ71&lt;=$AO$1),3,
AND(Tabela18[[#This Row],[STATUS]]="Em andamento",Tabela18[[#This Row],[DATA REAL - SOLIC. PROG LEGAIS]]&lt;&gt;""),1)</f>
        <v>1</v>
      </c>
      <c r="K71" s="15" cm="1">
        <f t="array" aca="1" ref="K7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ENVIO]]="",$AT71&gt;$AR$1),2,
AND(Tabela18[[#This Row],[STATUS]]="Em andamento",Tabela18[[#This Row],[DATA REAL - ENVIO]]="",$AT71&lt;=$AR$1),3,
AND(Tabela18[[#This Row],[STATUS]]="Em andamento",Tabela18[[#This Row],[DATA REAL - ENVIO]]&lt;&gt;""),1)</f>
        <v>1</v>
      </c>
      <c r="L71" s="15" cm="1">
        <f t="array" aca="1" ref="L7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POSTAGEM]]="",$AW71&gt;$AU$1),2,
AND(Tabela18[[#This Row],[STATUS]]="Em andamento",Tabela18[[#This Row],[DATA REAL - POSTAGEM]]="",$AW71&lt;=$AU$1),3,
AND(Tabela18[[#This Row],[STATUS]]="Em andamento",Tabela18[[#This Row],[DATA REAL - POSTAGEM]]&lt;&gt;""),1)</f>
        <v>1</v>
      </c>
      <c r="M71" s="16" cm="1">
        <f t="array" aca="1" ref="M7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APROVAÇÃO]]="",$AZ71&gt;$AX$1),2,
AND(Tabela18[[#This Row],[STATUS]]="Em andamento",Tabela18[[#This Row],[DATA REAL - APROVAÇÃO]]="",$AZ71&lt;=$AX$1),3,
AND(Tabela18[[#This Row],[STATUS]]="Em andamento",Tabela18[[#This Row],[DATA REAL - APROVAÇÃO]]&lt;&gt;""),1)</f>
        <v>1</v>
      </c>
      <c r="N71" s="21">
        <f>IF(Tabela18[[#This Row],[DATA REAL -EMAIL]]&lt;&gt;"",Tabela18[[#This Row],[DATA REAL -EMAIL]]+30,Tabela18[[#This Row],[DATA PREV - EMAIL]]+30)</f>
        <v>45339</v>
      </c>
      <c r="O7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45383</v>
      </c>
      <c r="P7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74</v>
      </c>
      <c r="Q7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33</v>
      </c>
      <c r="R71" s="48">
        <f>MAX(Tabela18[[#This Row],[DATA REAL - POSTAGEM]],Tabela18[[#This Row],[DATA REAL - APROVAÇÃO]])-MIN(Tabela18[[#This Row],[DATA REAL - POSTAGEM]],Tabela18[[#This Row],[DATA REAL - APROVAÇÃO]])+1</f>
        <v>36</v>
      </c>
      <c r="S71" s="16" t="s">
        <v>122</v>
      </c>
      <c r="T71" s="16"/>
      <c r="U71" s="18" t="s">
        <v>124</v>
      </c>
      <c r="V71" s="18" t="s">
        <v>124</v>
      </c>
      <c r="W71" s="16" t="s">
        <v>87</v>
      </c>
      <c r="X71" s="16" t="s">
        <v>912</v>
      </c>
      <c r="Y71" s="16" t="s">
        <v>944</v>
      </c>
      <c r="Z71" s="15" t="s">
        <v>945</v>
      </c>
      <c r="AA71" s="15" t="str">
        <f>_xlfn.XLOOKUP(Tabela18[[#This Row],[CÓD. CT]],Controle_Projetos[COD CT],Controle_Projetos[COD PHD],"")</f>
        <v>CCAP-CT10-JMON</v>
      </c>
      <c r="AB71" s="16"/>
      <c r="AC71" s="21">
        <v>45328</v>
      </c>
      <c r="AD7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1" s="16" cm="1">
        <f t="array" aca="1" ref="AE7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71" s="21">
        <v>45309</v>
      </c>
      <c r="AG71" s="74">
        <v>45309</v>
      </c>
      <c r="AH71" s="16" cm="1">
        <f t="array" aca="1" ref="AH7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1" s="21">
        <v>45313</v>
      </c>
      <c r="AJ71" s="74">
        <v>45313</v>
      </c>
      <c r="AK71" s="16" cm="1">
        <f t="array" aca="1" ref="AK7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1" s="20">
        <f t="shared" si="10"/>
        <v>45320</v>
      </c>
      <c r="AM71" s="74">
        <v>45320</v>
      </c>
      <c r="AN71" s="15" cm="1">
        <f t="array" aca="1" ref="AN7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71" s="20">
        <f t="shared" si="11"/>
        <v>45321</v>
      </c>
      <c r="AP71" s="74">
        <v>45320</v>
      </c>
      <c r="AQ71" s="15" cm="1">
        <f t="array" aca="1" ref="AQ7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71" s="20">
        <f t="shared" si="12"/>
        <v>45334</v>
      </c>
      <c r="AS71" s="74">
        <v>45342</v>
      </c>
      <c r="AT71" s="15" cm="1">
        <f t="array" aca="1" ref="AT7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71" s="20">
        <f t="shared" si="13"/>
        <v>45349</v>
      </c>
      <c r="AV71" s="74">
        <v>45348</v>
      </c>
      <c r="AW71" s="15" cm="1">
        <f t="array" aca="1" ref="AW7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0</v>
      </c>
      <c r="AX71" s="20">
        <f t="shared" si="14"/>
        <v>45349</v>
      </c>
      <c r="AY71" s="74">
        <v>45383</v>
      </c>
      <c r="AZ71" s="15" cm="1">
        <f t="array" aca="1" ref="AZ7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35</v>
      </c>
      <c r="BA71" s="16" t="s">
        <v>946</v>
      </c>
    </row>
    <row r="72" spans="2:53" hidden="1" x14ac:dyDescent="0.35">
      <c r="B72" s="14" t="s">
        <v>79</v>
      </c>
      <c r="C72" s="16" t="s">
        <v>867</v>
      </c>
      <c r="D72" s="16" t="s">
        <v>108</v>
      </c>
      <c r="E72" s="16" t="s">
        <v>98</v>
      </c>
      <c r="F72" s="16" cm="1">
        <f t="array" ref="F72">_xlfn.IFS(Tabela18[[#This Row],[STATUS]]="Finalizado",1,Tabela18[[#This Row],[STATUS]]="Cancelado",2,Tabela18[[#This Row],[STATUS]]="Em andamento",3)</f>
        <v>1</v>
      </c>
      <c r="G72" s="16" cm="1">
        <f t="array" aca="1" ref="G7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-EMAIL]]="",$AH72&gt;$AF$1),2,
AND(Tabela18[[#This Row],[STATUS]]="Em andamento",Tabela18[[#This Row],[DATA REAL -EMAIL]]="",$AH72&lt;=$AF$1),3,
AND(Tabela18[[#This Row],[STATUS]]="Em andamento",Tabela18[[#This Row],[DATA REAL -EMAIL]]&lt;&gt;""),1)</f>
        <v>0</v>
      </c>
      <c r="H72" s="16" cm="1">
        <f t="array" aca="1" ref="H7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CLIENTE]]="",$AK72&gt;$AI$1),2,
AND(Tabela18[[#This Row],[STATUS]]="Em andamento",Tabela18[[#This Row],[DATA REAL - DOC CLIENTE]]="",$AK72&lt;=$AI$1),3,
AND(Tabela18[[#This Row],[STATUS]]="Em andamento",Tabela18[[#This Row],[DATA REAL - DOC CLIENTE]]&lt;&gt;""),1)</f>
        <v>1</v>
      </c>
      <c r="I72" s="16" cm="1">
        <f t="array" aca="1" ref="I7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06]]="",$AN72&gt;$AL$1),2,
AND(Tabela18[[#This Row],[STATUS]]="Em andamento",Tabela18[[#This Row],[DATA REAL - ANEXO 06]]="",$AN72&lt;=$AL$1),3,
AND(Tabela18[[#This Row],[STATUS]]="Em andamento",Tabela18[[#This Row],[DATA REAL - ANEXO 06]]&lt;&gt;""),1)</f>
        <v>1</v>
      </c>
      <c r="J72" s="15" cm="1">
        <f t="array" aca="1" ref="J7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LEGAIS]]="",$AQ72&gt;$AO$1),2,
AND(Tabela18[[#This Row],[STATUS]]="Em andamento",Tabela18[[#This Row],[DATA REAL - SOLIC. PROG LEGAIS]]="",$AQ72&lt;=$AO$1),3,
AND(Tabela18[[#This Row],[STATUS]]="Em andamento",Tabela18[[#This Row],[DATA REAL - SOLIC. PROG LEGAIS]]&lt;&gt;""),1)</f>
        <v>1</v>
      </c>
      <c r="K72" s="15" cm="1">
        <f t="array" aca="1" ref="K7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ENVIO]]="",$AT72&gt;$AR$1),2,
AND(Tabela18[[#This Row],[STATUS]]="Em andamento",Tabela18[[#This Row],[DATA REAL - ENVIO]]="",$AT72&lt;=$AR$1),3,
AND(Tabela18[[#This Row],[STATUS]]="Em andamento",Tabela18[[#This Row],[DATA REAL - ENVIO]]&lt;&gt;""),1)</f>
        <v>1</v>
      </c>
      <c r="L72" s="15" cm="1">
        <f t="array" aca="1" ref="L7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POSTAGEM]]="",$AW72&gt;$AU$1),2,
AND(Tabela18[[#This Row],[STATUS]]="Em andamento",Tabela18[[#This Row],[DATA REAL - POSTAGEM]]="",$AW72&lt;=$AU$1),3,
AND(Tabela18[[#This Row],[STATUS]]="Em andamento",Tabela18[[#This Row],[DATA REAL - POSTAGEM]]&lt;&gt;""),1)</f>
        <v>1</v>
      </c>
      <c r="M72" s="16" cm="1">
        <f t="array" aca="1" ref="M7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APROVAÇÃO]]="",$AZ72&gt;$AX$1),2,
AND(Tabela18[[#This Row],[STATUS]]="Em andamento",Tabela18[[#This Row],[DATA REAL - APROVAÇÃO]]="",$AZ72&lt;=$AX$1),3,
AND(Tabela18[[#This Row],[STATUS]]="Em andamento",Tabela18[[#This Row],[DATA REAL - APROVAÇÃO]]&lt;&gt;""),1)</f>
        <v>1</v>
      </c>
      <c r="N72" s="21">
        <f>IF(Tabela18[[#This Row],[DATA REAL -EMAIL]]&lt;&gt;"",Tabela18[[#This Row],[DATA REAL -EMAIL]]+30,Tabela18[[#This Row],[DATA PREV - EMAIL]]+30)</f>
        <v>30</v>
      </c>
      <c r="O7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45342</v>
      </c>
      <c r="P7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v>
      </c>
      <c r="Q7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72" s="48">
        <f>MAX(Tabela18[[#This Row],[DATA REAL - POSTAGEM]],Tabela18[[#This Row],[DATA REAL - APROVAÇÃO]])-MIN(Tabela18[[#This Row],[DATA REAL - POSTAGEM]],Tabela18[[#This Row],[DATA REAL - APROVAÇÃO]])+1</f>
        <v>2</v>
      </c>
      <c r="S72" s="16" t="s">
        <v>103</v>
      </c>
      <c r="T72" s="16"/>
      <c r="U72" s="18" t="s">
        <v>104</v>
      </c>
      <c r="V72" s="18" t="s">
        <v>86</v>
      </c>
      <c r="W72" s="16" t="s">
        <v>87</v>
      </c>
      <c r="X72" s="16" t="s">
        <v>89</v>
      </c>
      <c r="Y72" s="16" t="s">
        <v>144</v>
      </c>
      <c r="Z72" s="15" t="s">
        <v>145</v>
      </c>
      <c r="AA72" s="15" t="str">
        <f>_xlfn.XLOOKUP(Tabela18[[#This Row],[CÓD. CT]],Controle_Projetos[COD CT],Controle_Projetos[COD PHD],"")</f>
        <v>SALU-CT06-MARA</v>
      </c>
      <c r="AB72" s="16"/>
      <c r="AC72" s="21">
        <v>45316</v>
      </c>
      <c r="AD7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2" s="16" cm="1">
        <f t="array" aca="1" ref="AE7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72" s="21"/>
      <c r="AG72" s="74"/>
      <c r="AH72" s="16" t="str" cm="1">
        <f t="array" aca="1" ref="AH7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72" s="21">
        <v>45317</v>
      </c>
      <c r="AJ72" s="74">
        <v>45317</v>
      </c>
      <c r="AK72" s="16" t="str" cm="1">
        <f t="array" aca="1" ref="AK7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72" s="20">
        <f t="shared" si="10"/>
        <v>45324</v>
      </c>
      <c r="AM72" s="74">
        <v>45321</v>
      </c>
      <c r="AN72" s="15" cm="1">
        <f t="array" aca="1" ref="AN7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72" s="20">
        <f t="shared" si="11"/>
        <v>45322</v>
      </c>
      <c r="AP72" s="74">
        <v>45321</v>
      </c>
      <c r="AQ72" s="15" cm="1">
        <f t="array" aca="1" ref="AQ7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72" s="20">
        <f t="shared" si="12"/>
        <v>45335</v>
      </c>
      <c r="AS72" s="74">
        <v>45341</v>
      </c>
      <c r="AT72" s="15" cm="1">
        <f t="array" aca="1" ref="AT7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72" s="20">
        <f t="shared" si="13"/>
        <v>45348</v>
      </c>
      <c r="AV72" s="74">
        <v>45341</v>
      </c>
      <c r="AW72" s="15" cm="1">
        <f t="array" aca="1" ref="AW7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72" s="20">
        <f t="shared" si="14"/>
        <v>45342</v>
      </c>
      <c r="AY72" s="74">
        <v>45342</v>
      </c>
      <c r="AZ72" s="15" cm="1">
        <f t="array" aca="1" ref="AZ7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72" s="16" t="s">
        <v>947</v>
      </c>
    </row>
    <row r="73" spans="2:53" hidden="1" x14ac:dyDescent="0.35">
      <c r="B73" s="14" t="s">
        <v>79</v>
      </c>
      <c r="C73" s="16" t="s">
        <v>867</v>
      </c>
      <c r="D73" s="16" t="s">
        <v>108</v>
      </c>
      <c r="E73" s="16" t="s">
        <v>88</v>
      </c>
      <c r="F73" s="16" cm="1">
        <f t="array" ref="F73">_xlfn.IFS(Tabela18[[#This Row],[STATUS]]="Finalizado",1,Tabela18[[#This Row],[STATUS]]="Cancelado",2,Tabela18[[#This Row],[STATUS]]="Em andamento",3)</f>
        <v>1</v>
      </c>
      <c r="G73" s="16" cm="1">
        <f t="array" aca="1" ref="G7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-EMAIL]]="",$AH73&gt;$AF$1),2,
AND(Tabela18[[#This Row],[STATUS]]="Em andamento",Tabela18[[#This Row],[DATA REAL -EMAIL]]="",$AH73&lt;=$AF$1),3,
AND(Tabela18[[#This Row],[STATUS]]="Em andamento",Tabela18[[#This Row],[DATA REAL -EMAIL]]&lt;&gt;""),1)</f>
        <v>0</v>
      </c>
      <c r="H73" s="16" cm="1">
        <f t="array" aca="1" ref="H7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CLIENTE]]="",$AK73&gt;$AI$1),2,
AND(Tabela18[[#This Row],[STATUS]]="Em andamento",Tabela18[[#This Row],[DATA REAL - DOC CLIENTE]]="",$AK73&lt;=$AI$1),3,
AND(Tabela18[[#This Row],[STATUS]]="Em andamento",Tabela18[[#This Row],[DATA REAL - DOC CLIENTE]]&lt;&gt;""),1)</f>
        <v>1</v>
      </c>
      <c r="I73" s="16" cm="1">
        <f t="array" aca="1" ref="I7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06]]="",$AN73&gt;$AL$1),2,
AND(Tabela18[[#This Row],[STATUS]]="Em andamento",Tabela18[[#This Row],[DATA REAL - ANEXO 06]]="",$AN73&lt;=$AL$1),3,
AND(Tabela18[[#This Row],[STATUS]]="Em andamento",Tabela18[[#This Row],[DATA REAL - ANEXO 06]]&lt;&gt;""),1)</f>
        <v>1</v>
      </c>
      <c r="J73" s="15" cm="1">
        <f t="array" aca="1" ref="J7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LEGAIS]]="",$AQ73&gt;$AO$1),2,
AND(Tabela18[[#This Row],[STATUS]]="Em andamento",Tabela18[[#This Row],[DATA REAL - SOLIC. PROG LEGAIS]]="",$AQ73&lt;=$AO$1),3,
AND(Tabela18[[#This Row],[STATUS]]="Em andamento",Tabela18[[#This Row],[DATA REAL - SOLIC. PROG LEGAIS]]&lt;&gt;""),1)</f>
        <v>1</v>
      </c>
      <c r="K73" s="15" cm="1">
        <f t="array" aca="1" ref="K7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ENVIO]]="",$AT73&gt;$AR$1),2,
AND(Tabela18[[#This Row],[STATUS]]="Em andamento",Tabela18[[#This Row],[DATA REAL - ENVIO]]="",$AT73&lt;=$AR$1),3,
AND(Tabela18[[#This Row],[STATUS]]="Em andamento",Tabela18[[#This Row],[DATA REAL - ENVIO]]&lt;&gt;""),1)</f>
        <v>1</v>
      </c>
      <c r="L73" s="15" cm="1">
        <f t="array" aca="1" ref="L7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POSTAGEM]]="",$AW73&gt;$AU$1),2,
AND(Tabela18[[#This Row],[STATUS]]="Em andamento",Tabela18[[#This Row],[DATA REAL - POSTAGEM]]="",$AW73&lt;=$AU$1),3,
AND(Tabela18[[#This Row],[STATUS]]="Em andamento",Tabela18[[#This Row],[DATA REAL - POSTAGEM]]&lt;&gt;""),1)</f>
        <v>1</v>
      </c>
      <c r="M73" s="16" cm="1">
        <f t="array" aca="1" ref="M7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APROVAÇÃO]]="",$AZ73&gt;$AX$1),2,
AND(Tabela18[[#This Row],[STATUS]]="Em andamento",Tabela18[[#This Row],[DATA REAL - APROVAÇÃO]]="",$AZ73&lt;=$AX$1),3,
AND(Tabela18[[#This Row],[STATUS]]="Em andamento",Tabela18[[#This Row],[DATA REAL - APROVAÇÃO]]&lt;&gt;""),1)</f>
        <v>1</v>
      </c>
      <c r="N73" s="21">
        <f>IF(Tabela18[[#This Row],[DATA REAL -EMAIL]]&lt;&gt;"",Tabela18[[#This Row],[DATA REAL -EMAIL]]+30,Tabela18[[#This Row],[DATA PREV - EMAIL]]+30)</f>
        <v>30</v>
      </c>
      <c r="O7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45379</v>
      </c>
      <c r="P7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41</v>
      </c>
      <c r="Q7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v>
      </c>
      <c r="R73" s="48">
        <f>MAX(Tabela18[[#This Row],[DATA REAL - POSTAGEM]],Tabela18[[#This Row],[DATA REAL - APROVAÇÃO]])-MIN(Tabela18[[#This Row],[DATA REAL - POSTAGEM]],Tabela18[[#This Row],[DATA REAL - APROVAÇÃO]])+1</f>
        <v>9</v>
      </c>
      <c r="S73" s="16" t="s">
        <v>83</v>
      </c>
      <c r="T73" s="16"/>
      <c r="U73" s="18" t="s">
        <v>85</v>
      </c>
      <c r="V73" s="18" t="s">
        <v>86</v>
      </c>
      <c r="W73" s="16" t="s">
        <v>87</v>
      </c>
      <c r="X73" s="16" t="s">
        <v>89</v>
      </c>
      <c r="Y73" s="16" t="s">
        <v>941</v>
      </c>
      <c r="Z73" s="15" t="s">
        <v>161</v>
      </c>
      <c r="AA73" s="15" t="str">
        <f>_xlfn.XLOOKUP(Tabela18[[#This Row],[CÓD. CT]],Controle_Projetos[COD CT],Controle_Projetos[COD PHD],"")</f>
        <v>IMCS-CT06-GCIT</v>
      </c>
      <c r="AB73" s="16"/>
      <c r="AC73" s="21">
        <v>45316</v>
      </c>
      <c r="AD7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3" s="16" cm="1">
        <f t="array" aca="1" ref="AE7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73" s="21"/>
      <c r="AG73" s="74"/>
      <c r="AH73" s="16" t="str" cm="1">
        <f t="array" aca="1" ref="AH7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73" s="21">
        <v>45341</v>
      </c>
      <c r="AJ73" s="74">
        <v>45341</v>
      </c>
      <c r="AK73" s="16" t="str" cm="1">
        <f t="array" aca="1" ref="AK7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73" s="20">
        <f t="shared" si="10"/>
        <v>45348</v>
      </c>
      <c r="AM73" s="74">
        <v>45342</v>
      </c>
      <c r="AN73" s="15" cm="1">
        <f t="array" aca="1" ref="AN7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73" s="20">
        <f t="shared" si="11"/>
        <v>45343</v>
      </c>
      <c r="AP73" s="74">
        <v>45338</v>
      </c>
      <c r="AQ73" s="15" cm="1">
        <f t="array" aca="1" ref="AQ7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73" s="20">
        <f t="shared" si="12"/>
        <v>45352</v>
      </c>
      <c r="AS73" s="74">
        <v>45345</v>
      </c>
      <c r="AT73" s="15" cm="1">
        <f t="array" aca="1" ref="AT7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73" s="20">
        <f t="shared" si="13"/>
        <v>45352</v>
      </c>
      <c r="AV73" s="74">
        <v>45371</v>
      </c>
      <c r="AW73" s="15" cm="1">
        <f t="array" aca="1" ref="AW7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20</v>
      </c>
      <c r="AX73" s="20">
        <f t="shared" si="14"/>
        <v>45372</v>
      </c>
      <c r="AY73" s="74">
        <v>45379</v>
      </c>
      <c r="AZ73" s="15" cm="1">
        <f t="array" aca="1" ref="AZ7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73" s="16" t="s">
        <v>948</v>
      </c>
    </row>
    <row r="74" spans="2:53" hidden="1" x14ac:dyDescent="0.35">
      <c r="B74" s="14" t="s">
        <v>79</v>
      </c>
      <c r="C74" s="16" t="s">
        <v>867</v>
      </c>
      <c r="D74" s="16" t="s">
        <v>108</v>
      </c>
      <c r="E74" s="16" t="s">
        <v>896</v>
      </c>
      <c r="F74" s="16" cm="1">
        <f t="array" ref="F74">_xlfn.IFS(Tabela18[[#This Row],[STATUS]]="Finalizado",1,Tabela18[[#This Row],[STATUS]]="Cancelado",2,Tabela18[[#This Row],[STATUS]]="Em andamento",3)</f>
        <v>1</v>
      </c>
      <c r="G74" s="16" cm="1">
        <f t="array" aca="1" ref="G7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-EMAIL]]="",$AH74&gt;$AF$1),2,
AND(Tabela18[[#This Row],[STATUS]]="Em andamento",Tabela18[[#This Row],[DATA REAL -EMAIL]]="",$AH74&lt;=$AF$1),3,
AND(Tabela18[[#This Row],[STATUS]]="Em andamento",Tabela18[[#This Row],[DATA REAL -EMAIL]]&lt;&gt;""),1)</f>
        <v>1</v>
      </c>
      <c r="H74" s="16" cm="1">
        <f t="array" aca="1" ref="H7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CLIENTE]]="",$AK74&gt;$AI$1),2,
AND(Tabela18[[#This Row],[STATUS]]="Em andamento",Tabela18[[#This Row],[DATA REAL - DOC CLIENTE]]="",$AK74&lt;=$AI$1),3,
AND(Tabela18[[#This Row],[STATUS]]="Em andamento",Tabela18[[#This Row],[DATA REAL - DOC CLIENTE]]&lt;&gt;""),1)</f>
        <v>1</v>
      </c>
      <c r="I74" s="16" cm="1">
        <f t="array" aca="1" ref="I7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06]]="",$AN74&gt;$AL$1),2,
AND(Tabela18[[#This Row],[STATUS]]="Em andamento",Tabela18[[#This Row],[DATA REAL - ANEXO 06]]="",$AN74&lt;=$AL$1),3,
AND(Tabela18[[#This Row],[STATUS]]="Em andamento",Tabela18[[#This Row],[DATA REAL - ANEXO 06]]&lt;&gt;""),1)</f>
        <v>1</v>
      </c>
      <c r="J74" s="15" cm="1">
        <f t="array" aca="1" ref="J7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LEGAIS]]="",$AQ74&gt;$AO$1),2,
AND(Tabela18[[#This Row],[STATUS]]="Em andamento",Tabela18[[#This Row],[DATA REAL - SOLIC. PROG LEGAIS]]="",$AQ74&lt;=$AO$1),3,
AND(Tabela18[[#This Row],[STATUS]]="Em andamento",Tabela18[[#This Row],[DATA REAL - SOLIC. PROG LEGAIS]]&lt;&gt;""),1)</f>
        <v>1</v>
      </c>
      <c r="K74" s="15" cm="1">
        <f t="array" aca="1" ref="K7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ENVIO]]="",$AT74&gt;$AR$1),2,
AND(Tabela18[[#This Row],[STATUS]]="Em andamento",Tabela18[[#This Row],[DATA REAL - ENVIO]]="",$AT74&lt;=$AR$1),3,
AND(Tabela18[[#This Row],[STATUS]]="Em andamento",Tabela18[[#This Row],[DATA REAL - ENVIO]]&lt;&gt;""),1)</f>
        <v>1</v>
      </c>
      <c r="L74" s="15" cm="1">
        <f t="array" aca="1" ref="L7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POSTAGEM]]="",$AW74&gt;$AU$1),2,
AND(Tabela18[[#This Row],[STATUS]]="Em andamento",Tabela18[[#This Row],[DATA REAL - POSTAGEM]]="",$AW74&lt;=$AU$1),3,
AND(Tabela18[[#This Row],[STATUS]]="Em andamento",Tabela18[[#This Row],[DATA REAL - POSTAGEM]]&lt;&gt;""),1)</f>
        <v>1</v>
      </c>
      <c r="M74" s="16" cm="1">
        <f t="array" aca="1" ref="M7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APROVAÇÃO]]="",$AZ74&gt;$AX$1),2,
AND(Tabela18[[#This Row],[STATUS]]="Em andamento",Tabela18[[#This Row],[DATA REAL - APROVAÇÃO]]="",$AZ74&lt;=$AX$1),3,
AND(Tabela18[[#This Row],[STATUS]]="Em andamento",Tabela18[[#This Row],[DATA REAL - APROVAÇÃO]]&lt;&gt;""),1)</f>
        <v>1</v>
      </c>
      <c r="N74" s="21">
        <f>IF(Tabela18[[#This Row],[DATA REAL -EMAIL]]&lt;&gt;"",Tabela18[[#This Row],[DATA REAL -EMAIL]]+30,Tabela18[[#This Row],[DATA PREV - EMAIL]]+30)</f>
        <v>45381</v>
      </c>
      <c r="O7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45365</v>
      </c>
      <c r="P7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7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74" s="48">
        <f>MAX(Tabela18[[#This Row],[DATA REAL - POSTAGEM]],Tabela18[[#This Row],[DATA REAL - APROVAÇÃO]])-MIN(Tabela18[[#This Row],[DATA REAL - POSTAGEM]],Tabela18[[#This Row],[DATA REAL - APROVAÇÃO]])+1</f>
        <v>2</v>
      </c>
      <c r="S74" s="16" t="s">
        <v>158</v>
      </c>
      <c r="T74" s="16"/>
      <c r="U74" s="18" t="s">
        <v>159</v>
      </c>
      <c r="V74" s="18" t="s">
        <v>152</v>
      </c>
      <c r="W74" s="16" t="s">
        <v>87</v>
      </c>
      <c r="X74" s="16" t="s">
        <v>132</v>
      </c>
      <c r="Y74" s="16" t="s">
        <v>180</v>
      </c>
      <c r="Z74" s="15" t="s">
        <v>895</v>
      </c>
      <c r="AA74" s="15" t="str">
        <f>_xlfn.XLOOKUP(Tabela18[[#This Row],[CÓD. CT]],Controle_Projetos[COD CT],Controle_Projetos[COD PHD],"")</f>
        <v>SALU-CT02-MMB.</v>
      </c>
      <c r="AB74" s="16">
        <v>4518162496</v>
      </c>
      <c r="AC74" s="21"/>
      <c r="AD7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74" s="16" t="str" cm="1">
        <f t="array" aca="1" ref="AE7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74" s="21">
        <v>45351</v>
      </c>
      <c r="AG74" s="74">
        <v>45351</v>
      </c>
      <c r="AH74" s="16" cm="1">
        <f t="array" aca="1" ref="AH7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4" s="21">
        <v>45351</v>
      </c>
      <c r="AJ74" s="74">
        <v>45351</v>
      </c>
      <c r="AK74" s="16" cm="1">
        <f t="array" aca="1" ref="AK7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4" s="20">
        <f t="shared" si="10"/>
        <v>45358</v>
      </c>
      <c r="AM74" s="74">
        <v>45351</v>
      </c>
      <c r="AN74" s="15" cm="1">
        <f t="array" aca="1" ref="AN7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74" s="20">
        <f t="shared" si="11"/>
        <v>45352</v>
      </c>
      <c r="AP74" s="74">
        <v>45351</v>
      </c>
      <c r="AQ74" s="15" cm="1">
        <f t="array" aca="1" ref="AQ7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74" s="20">
        <f t="shared" si="12"/>
        <v>45365</v>
      </c>
      <c r="AS74" s="74">
        <v>45351</v>
      </c>
      <c r="AT74" s="15" cm="1">
        <f t="array" aca="1" ref="AT7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74" s="20">
        <f t="shared" si="13"/>
        <v>45358</v>
      </c>
      <c r="AV74" s="74">
        <v>45364</v>
      </c>
      <c r="AW74" s="15" cm="1">
        <f t="array" aca="1" ref="AW7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74" s="20">
        <f t="shared" si="14"/>
        <v>45365</v>
      </c>
      <c r="AY74" s="74">
        <v>45365</v>
      </c>
      <c r="AZ74" s="15" cm="1">
        <f t="array" aca="1" ref="AZ7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74" s="16" t="s">
        <v>949</v>
      </c>
    </row>
    <row r="75" spans="2:53" hidden="1" x14ac:dyDescent="0.35">
      <c r="B75" s="14" t="s">
        <v>79</v>
      </c>
      <c r="C75" s="16" t="s">
        <v>136</v>
      </c>
      <c r="D75" s="16" t="s">
        <v>81</v>
      </c>
      <c r="E75" s="16" t="s">
        <v>395</v>
      </c>
      <c r="F75" s="16" cm="1">
        <f t="array" ref="F75">_xlfn.IFS(Tabela18[[#This Row],[STATUS]]="Finalizado",1,Tabela18[[#This Row],[STATUS]]="Cancelado",2,Tabela18[[#This Row],[STATUS]]="Em andamento",3)</f>
        <v>1</v>
      </c>
      <c r="G75" s="16" cm="1">
        <f t="array" aca="1" ref="G7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-EMAIL]]="",$AH75&gt;$AF$1),2,
AND(Tabela18[[#This Row],[STATUS]]="Em andamento",Tabela18[[#This Row],[DATA REAL -EMAIL]]="",$AH75&lt;=$AF$1),3,
AND(Tabela18[[#This Row],[STATUS]]="Em andamento",Tabela18[[#This Row],[DATA REAL -EMAIL]]&lt;&gt;""),1)</f>
        <v>1</v>
      </c>
      <c r="H75" s="16" cm="1">
        <f t="array" aca="1" ref="H7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CLIENTE]]="",$AK75&gt;$AI$1),2,
AND(Tabela18[[#This Row],[STATUS]]="Em andamento",Tabela18[[#This Row],[DATA REAL - DOC CLIENTE]]="",$AK75&lt;=$AI$1),3,
AND(Tabela18[[#This Row],[STATUS]]="Em andamento",Tabela18[[#This Row],[DATA REAL - DOC CLIENTE]]&lt;&gt;""),1)</f>
        <v>1</v>
      </c>
      <c r="I75" s="16" cm="1">
        <f t="array" aca="1" ref="I7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06]]="",$AN75&gt;$AL$1),2,
AND(Tabela18[[#This Row],[STATUS]]="Em andamento",Tabela18[[#This Row],[DATA REAL - ANEXO 06]]="",$AN75&lt;=$AL$1),3,
AND(Tabela18[[#This Row],[STATUS]]="Em andamento",Tabela18[[#This Row],[DATA REAL - ANEXO 06]]&lt;&gt;""),1)</f>
        <v>1</v>
      </c>
      <c r="J75" s="15" cm="1">
        <f t="array" aca="1" ref="J7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LEGAIS]]="",$AQ75&gt;$AO$1),2,
AND(Tabela18[[#This Row],[STATUS]]="Em andamento",Tabela18[[#This Row],[DATA REAL - SOLIC. PROG LEGAIS]]="",$AQ75&lt;=$AO$1),3,
AND(Tabela18[[#This Row],[STATUS]]="Em andamento",Tabela18[[#This Row],[DATA REAL - SOLIC. PROG LEGAIS]]&lt;&gt;""),1)</f>
        <v>1</v>
      </c>
      <c r="K75" s="15" cm="1">
        <f t="array" aca="1" ref="K7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ENVIO]]="",$AT75&gt;$AR$1),2,
AND(Tabela18[[#This Row],[STATUS]]="Em andamento",Tabela18[[#This Row],[DATA REAL - ENVIO]]="",$AT75&lt;=$AR$1),3,
AND(Tabela18[[#This Row],[STATUS]]="Em andamento",Tabela18[[#This Row],[DATA REAL - ENVIO]]&lt;&gt;""),1)</f>
        <v>1</v>
      </c>
      <c r="L75" s="15" cm="1">
        <f t="array" aca="1" ref="L7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POSTAGEM]]="",$AW75&gt;$AU$1),2,
AND(Tabela18[[#This Row],[STATUS]]="Em andamento",Tabela18[[#This Row],[DATA REAL - POSTAGEM]]="",$AW75&lt;=$AU$1),3,
AND(Tabela18[[#This Row],[STATUS]]="Em andamento",Tabela18[[#This Row],[DATA REAL - POSTAGEM]]&lt;&gt;""),1)</f>
        <v>1</v>
      </c>
      <c r="M75" s="16" cm="1">
        <f t="array" aca="1" ref="M7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APROVAÇÃO]]="",$AZ75&gt;$AX$1),2,
AND(Tabela18[[#This Row],[STATUS]]="Em andamento",Tabela18[[#This Row],[DATA REAL - APROVAÇÃO]]="",$AZ75&lt;=$AX$1),3,
AND(Tabela18[[#This Row],[STATUS]]="Em andamento",Tabela18[[#This Row],[DATA REAL - APROVAÇÃO]]&lt;&gt;""),1)</f>
        <v>1</v>
      </c>
      <c r="N75" s="21">
        <f>IF(Tabela18[[#This Row],[DATA REAL -EMAIL]]&lt;&gt;"",Tabela18[[#This Row],[DATA REAL -EMAIL]]+30,Tabela18[[#This Row],[DATA PREV - EMAIL]]+30)</f>
        <v>45386</v>
      </c>
      <c r="O7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45408</v>
      </c>
      <c r="P7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53</v>
      </c>
      <c r="Q7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75" s="48">
        <f>MAX(Tabela18[[#This Row],[DATA REAL - POSTAGEM]],Tabela18[[#This Row],[DATA REAL - APROVAÇÃO]])-MIN(Tabela18[[#This Row],[DATA REAL - POSTAGEM]],Tabela18[[#This Row],[DATA REAL - APROVAÇÃO]])+1</f>
        <v>4</v>
      </c>
      <c r="S75" s="16" t="s">
        <v>122</v>
      </c>
      <c r="T75" s="16"/>
      <c r="U75" s="18" t="s">
        <v>124</v>
      </c>
      <c r="V75" s="18" t="s">
        <v>124</v>
      </c>
      <c r="W75" s="16" t="s">
        <v>87</v>
      </c>
      <c r="X75" s="16" t="s">
        <v>89</v>
      </c>
      <c r="Y75" s="16" t="s">
        <v>950</v>
      </c>
      <c r="Z75" s="15" t="s">
        <v>951</v>
      </c>
      <c r="AA75" s="15" t="str">
        <f>_xlfn.XLOOKUP(Tabela18[[#This Row],[CÓD. CT]],Controle_Projetos[COD CT],Controle_Projetos[COD PHD],"")</f>
        <v>EMPA-CT02-FICO</v>
      </c>
      <c r="AB75" s="16"/>
      <c r="AC75" s="21"/>
      <c r="AD7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45355</v>
      </c>
      <c r="AE75" s="16" t="str" cm="1">
        <f t="array" aca="1" ref="AE7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75" s="21">
        <v>45356</v>
      </c>
      <c r="AG75" s="74">
        <v>45356</v>
      </c>
      <c r="AH75" s="16" cm="1">
        <f t="array" aca="1" ref="AH7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5" s="21">
        <v>45357</v>
      </c>
      <c r="AJ75" s="74">
        <v>45357</v>
      </c>
      <c r="AK75" s="16" cm="1">
        <f t="array" aca="1" ref="AK7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5" s="20">
        <f t="shared" si="10"/>
        <v>45364</v>
      </c>
      <c r="AM75" s="74">
        <v>45365</v>
      </c>
      <c r="AN75" s="15" cm="1">
        <f t="array" aca="1" ref="AN7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75" s="20">
        <f t="shared" si="11"/>
        <v>45366</v>
      </c>
      <c r="AP75" s="74">
        <v>45363</v>
      </c>
      <c r="AQ75" s="15" cm="1">
        <f t="array" aca="1" ref="AQ7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75" s="20">
        <f t="shared" si="12"/>
        <v>45377</v>
      </c>
      <c r="AS75" s="74">
        <v>45366</v>
      </c>
      <c r="AT75" s="15" cm="1">
        <f t="array" aca="1" ref="AT7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75" s="20">
        <f t="shared" si="13"/>
        <v>45373</v>
      </c>
      <c r="AV75" s="74">
        <v>45405</v>
      </c>
      <c r="AW75" s="15" cm="1">
        <f t="array" aca="1" ref="AW7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33</v>
      </c>
      <c r="AX75" s="20">
        <f t="shared" si="14"/>
        <v>45406</v>
      </c>
      <c r="AY75" s="74">
        <v>45408</v>
      </c>
      <c r="AZ75" s="15" cm="1">
        <f t="array" aca="1" ref="AZ7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75" s="16" t="s">
        <v>952</v>
      </c>
    </row>
    <row r="76" spans="2:53" hidden="1" x14ac:dyDescent="0.35">
      <c r="B76" s="14" t="s">
        <v>79</v>
      </c>
      <c r="C76" s="16" t="s">
        <v>867</v>
      </c>
      <c r="D76" s="16" t="s">
        <v>108</v>
      </c>
      <c r="E76" s="16" t="s">
        <v>88</v>
      </c>
      <c r="F76" s="16" cm="1">
        <f t="array" ref="F76">_xlfn.IFS(Tabela18[[#This Row],[STATUS]]="Finalizado",1,Tabela18[[#This Row],[STATUS]]="Cancelado",2,Tabela18[[#This Row],[STATUS]]="Em andamento",3)</f>
        <v>1</v>
      </c>
      <c r="G76" s="16" cm="1">
        <f t="array" aca="1" ref="G7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-EMAIL]]="",$AH76&gt;$AF$1),2,
AND(Tabela18[[#This Row],[STATUS]]="Em andamento",Tabela18[[#This Row],[DATA REAL -EMAIL]]="",$AH76&lt;=$AF$1),3,
AND(Tabela18[[#This Row],[STATUS]]="Em andamento",Tabela18[[#This Row],[DATA REAL -EMAIL]]&lt;&gt;""),1)</f>
        <v>1</v>
      </c>
      <c r="H76" s="16" cm="1">
        <f t="array" aca="1" ref="H7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CLIENTE]]="",$AK76&gt;$AI$1),2,
AND(Tabela18[[#This Row],[STATUS]]="Em andamento",Tabela18[[#This Row],[DATA REAL - DOC CLIENTE]]="",$AK76&lt;=$AI$1),3,
AND(Tabela18[[#This Row],[STATUS]]="Em andamento",Tabela18[[#This Row],[DATA REAL - DOC CLIENTE]]&lt;&gt;""),1)</f>
        <v>1</v>
      </c>
      <c r="I76" s="16" cm="1">
        <f t="array" aca="1" ref="I7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06]]="",$AN76&gt;$AL$1),2,
AND(Tabela18[[#This Row],[STATUS]]="Em andamento",Tabela18[[#This Row],[DATA REAL - ANEXO 06]]="",$AN76&lt;=$AL$1),3,
AND(Tabela18[[#This Row],[STATUS]]="Em andamento",Tabela18[[#This Row],[DATA REAL - ANEXO 06]]&lt;&gt;""),1)</f>
        <v>1</v>
      </c>
      <c r="J76" s="15" cm="1">
        <f t="array" aca="1" ref="J7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LEGAIS]]="",$AQ76&gt;$AO$1),2,
AND(Tabela18[[#This Row],[STATUS]]="Em andamento",Tabela18[[#This Row],[DATA REAL - SOLIC. PROG LEGAIS]]="",$AQ76&lt;=$AO$1),3,
AND(Tabela18[[#This Row],[STATUS]]="Em andamento",Tabela18[[#This Row],[DATA REAL - SOLIC. PROG LEGAIS]]&lt;&gt;""),1)</f>
        <v>1</v>
      </c>
      <c r="K76" s="15" cm="1">
        <f t="array" aca="1" ref="K7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ENVIO]]="",$AT76&gt;$AR$1),2,
AND(Tabela18[[#This Row],[STATUS]]="Em andamento",Tabela18[[#This Row],[DATA REAL - ENVIO]]="",$AT76&lt;=$AR$1),3,
AND(Tabela18[[#This Row],[STATUS]]="Em andamento",Tabela18[[#This Row],[DATA REAL - ENVIO]]&lt;&gt;""),1)</f>
        <v>1</v>
      </c>
      <c r="L76" s="15" cm="1">
        <f t="array" aca="1" ref="L7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POSTAGEM]]="",$AW76&gt;$AU$1),2,
AND(Tabela18[[#This Row],[STATUS]]="Em andamento",Tabela18[[#This Row],[DATA REAL - POSTAGEM]]="",$AW76&lt;=$AU$1),3,
AND(Tabela18[[#This Row],[STATUS]]="Em andamento",Tabela18[[#This Row],[DATA REAL - POSTAGEM]]&lt;&gt;""),1)</f>
        <v>1</v>
      </c>
      <c r="M76" s="16" cm="1">
        <f t="array" aca="1" ref="M7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APROVAÇÃO]]="",$AZ76&gt;$AX$1),2,
AND(Tabela18[[#This Row],[STATUS]]="Em andamento",Tabela18[[#This Row],[DATA REAL - APROVAÇÃO]]="",$AZ76&lt;=$AX$1),3,
AND(Tabela18[[#This Row],[STATUS]]="Em andamento",Tabela18[[#This Row],[DATA REAL - APROVAÇÃO]]&lt;&gt;""),1)</f>
        <v>1</v>
      </c>
      <c r="N76" s="21">
        <f>IF(Tabela18[[#This Row],[DATA REAL -EMAIL]]&lt;&gt;"",Tabela18[[#This Row],[DATA REAL -EMAIL]]+30,Tabela18[[#This Row],[DATA PREV - EMAIL]]+30)</f>
        <v>45396</v>
      </c>
      <c r="O7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45426</v>
      </c>
      <c r="P7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67</v>
      </c>
      <c r="Q7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v>
      </c>
      <c r="R76" s="48">
        <f>MAX(Tabela18[[#This Row],[DATA REAL - POSTAGEM]],Tabela18[[#This Row],[DATA REAL - APROVAÇÃO]])-MIN(Tabela18[[#This Row],[DATA REAL - POSTAGEM]],Tabela18[[#This Row],[DATA REAL - APROVAÇÃO]])+1</f>
        <v>19</v>
      </c>
      <c r="S76" s="16" t="s">
        <v>83</v>
      </c>
      <c r="T76" s="16"/>
      <c r="U76" s="18" t="s">
        <v>85</v>
      </c>
      <c r="V76" s="18" t="s">
        <v>86</v>
      </c>
      <c r="W76" s="16" t="s">
        <v>87</v>
      </c>
      <c r="X76" s="16" t="s">
        <v>89</v>
      </c>
      <c r="Y76" s="16" t="s">
        <v>105</v>
      </c>
      <c r="Z76" s="15" t="s">
        <v>106</v>
      </c>
      <c r="AA76" s="15" t="str">
        <f>_xlfn.XLOOKUP(Tabela18[[#This Row],[CÓD. CT]],Controle_Projetos[COD CT],Controle_Projetos[COD PHD],"")</f>
        <v>IMCS-CT07-SEGR</v>
      </c>
      <c r="AB76" s="16"/>
      <c r="AC76" s="21">
        <v>45364</v>
      </c>
      <c r="AD7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45359</v>
      </c>
      <c r="AE76" s="16" t="str" cm="1">
        <f t="array" aca="1" ref="AE7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76" s="21">
        <v>45366</v>
      </c>
      <c r="AG76" s="74">
        <v>45366</v>
      </c>
      <c r="AH76" s="16" cm="1">
        <f t="array" aca="1" ref="AH7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6" s="21">
        <v>45366</v>
      </c>
      <c r="AJ76" s="74">
        <v>45366</v>
      </c>
      <c r="AK76" s="16" cm="1">
        <f t="array" aca="1" ref="AK7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6" s="20">
        <f t="shared" si="10"/>
        <v>45373</v>
      </c>
      <c r="AM76" s="74">
        <v>45372</v>
      </c>
      <c r="AN76" s="15" cm="1">
        <f t="array" aca="1" ref="AN7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76" s="20">
        <f t="shared" si="11"/>
        <v>45373</v>
      </c>
      <c r="AP76" s="74">
        <v>45371</v>
      </c>
      <c r="AQ76" s="15" cm="1">
        <f t="array" aca="1" ref="AQ7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76" s="20">
        <f t="shared" si="12"/>
        <v>45385</v>
      </c>
      <c r="AS76" s="74">
        <v>45379</v>
      </c>
      <c r="AT76" s="15" cm="1">
        <f t="array" aca="1" ref="AT7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76" s="20">
        <f t="shared" si="13"/>
        <v>45386</v>
      </c>
      <c r="AV76" s="74">
        <v>45408</v>
      </c>
      <c r="AW76" s="15" cm="1">
        <f t="array" aca="1" ref="AW7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23</v>
      </c>
      <c r="AX76" s="20">
        <f t="shared" si="14"/>
        <v>45411</v>
      </c>
      <c r="AY76" s="74">
        <v>45426</v>
      </c>
      <c r="AZ76" s="15" cm="1">
        <f t="array" aca="1" ref="AZ7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16</v>
      </c>
      <c r="BA76" s="16" t="s">
        <v>953</v>
      </c>
    </row>
    <row r="77" spans="2:53" hidden="1" x14ac:dyDescent="0.35">
      <c r="B77" s="14" t="s">
        <v>79</v>
      </c>
      <c r="C77" s="16" t="s">
        <v>867</v>
      </c>
      <c r="D77" s="16" t="s">
        <v>108</v>
      </c>
      <c r="E77" s="16" t="s">
        <v>88</v>
      </c>
      <c r="F77" s="16" cm="1">
        <f t="array" ref="F77">_xlfn.IFS(Tabela18[[#This Row],[STATUS]]="Finalizado",1,Tabela18[[#This Row],[STATUS]]="Cancelado",2,Tabela18[[#This Row],[STATUS]]="Em andamento",3)</f>
        <v>1</v>
      </c>
      <c r="G77" s="16" cm="1">
        <f t="array" aca="1" ref="G7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-EMAIL]]="",$AH77&gt;$AF$1),2,
AND(Tabela18[[#This Row],[STATUS]]="Em andamento",Tabela18[[#This Row],[DATA REAL -EMAIL]]="",$AH77&lt;=$AF$1),3,
AND(Tabela18[[#This Row],[STATUS]]="Em andamento",Tabela18[[#This Row],[DATA REAL -EMAIL]]&lt;&gt;""),1)</f>
        <v>1</v>
      </c>
      <c r="H77" s="16" cm="1">
        <f t="array" aca="1" ref="H7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CLIENTE]]="",$AK77&gt;$AI$1),2,
AND(Tabela18[[#This Row],[STATUS]]="Em andamento",Tabela18[[#This Row],[DATA REAL - DOC CLIENTE]]="",$AK77&lt;=$AI$1),3,
AND(Tabela18[[#This Row],[STATUS]]="Em andamento",Tabela18[[#This Row],[DATA REAL - DOC CLIENTE]]&lt;&gt;""),1)</f>
        <v>1</v>
      </c>
      <c r="I77" s="16" cm="1">
        <f t="array" aca="1" ref="I7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06]]="",$AN77&gt;$AL$1),2,
AND(Tabela18[[#This Row],[STATUS]]="Em andamento",Tabela18[[#This Row],[DATA REAL - ANEXO 06]]="",$AN77&lt;=$AL$1),3,
AND(Tabela18[[#This Row],[STATUS]]="Em andamento",Tabela18[[#This Row],[DATA REAL - ANEXO 06]]&lt;&gt;""),1)</f>
        <v>1</v>
      </c>
      <c r="J77" s="15" cm="1">
        <f t="array" aca="1" ref="J7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LEGAIS]]="",$AQ77&gt;$AO$1),2,
AND(Tabela18[[#This Row],[STATUS]]="Em andamento",Tabela18[[#This Row],[DATA REAL - SOLIC. PROG LEGAIS]]="",$AQ77&lt;=$AO$1),3,
AND(Tabela18[[#This Row],[STATUS]]="Em andamento",Tabela18[[#This Row],[DATA REAL - SOLIC. PROG LEGAIS]]&lt;&gt;""),1)</f>
        <v>1</v>
      </c>
      <c r="K77" s="15" cm="1">
        <f t="array" aca="1" ref="K7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ENVIO]]="",$AT77&gt;$AR$1),2,
AND(Tabela18[[#This Row],[STATUS]]="Em andamento",Tabela18[[#This Row],[DATA REAL - ENVIO]]="",$AT77&lt;=$AR$1),3,
AND(Tabela18[[#This Row],[STATUS]]="Em andamento",Tabela18[[#This Row],[DATA REAL - ENVIO]]&lt;&gt;""),1)</f>
        <v>1</v>
      </c>
      <c r="L77" s="15" cm="1">
        <f t="array" aca="1" ref="L7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POSTAGEM]]="",$AW77&gt;$AU$1),2,
AND(Tabela18[[#This Row],[STATUS]]="Em andamento",Tabela18[[#This Row],[DATA REAL - POSTAGEM]]="",$AW77&lt;=$AU$1),3,
AND(Tabela18[[#This Row],[STATUS]]="Em andamento",Tabela18[[#This Row],[DATA REAL - POSTAGEM]]&lt;&gt;""),1)</f>
        <v>1</v>
      </c>
      <c r="M77" s="16" cm="1">
        <f t="array" aca="1" ref="M7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APROVAÇÃO]]="",$AZ77&gt;$AX$1),2,
AND(Tabela18[[#This Row],[STATUS]]="Em andamento",Tabela18[[#This Row],[DATA REAL - APROVAÇÃO]]="",$AZ77&lt;=$AX$1),3,
AND(Tabela18[[#This Row],[STATUS]]="Em andamento",Tabela18[[#This Row],[DATA REAL - APROVAÇÃO]]&lt;&gt;""),1)</f>
        <v>1</v>
      </c>
      <c r="N77" s="21">
        <f>IF(Tabela18[[#This Row],[DATA REAL -EMAIL]]&lt;&gt;"",Tabela18[[#This Row],[DATA REAL -EMAIL]]+30,Tabela18[[#This Row],[DATA PREV - EMAIL]]+30)</f>
        <v>45396</v>
      </c>
      <c r="O7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45457</v>
      </c>
      <c r="P7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98</v>
      </c>
      <c r="Q7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v>
      </c>
      <c r="R77" s="48">
        <f>MAX(Tabela18[[#This Row],[DATA REAL - POSTAGEM]],Tabela18[[#This Row],[DATA REAL - APROVAÇÃO]])-MIN(Tabela18[[#This Row],[DATA REAL - POSTAGEM]],Tabela18[[#This Row],[DATA REAL - APROVAÇÃO]])+1</f>
        <v>50</v>
      </c>
      <c r="S77" s="16" t="s">
        <v>83</v>
      </c>
      <c r="T77" s="16"/>
      <c r="U77" s="18" t="s">
        <v>85</v>
      </c>
      <c r="V77" s="18" t="s">
        <v>86</v>
      </c>
      <c r="W77" s="16" t="s">
        <v>97</v>
      </c>
      <c r="X77" s="16" t="s">
        <v>89</v>
      </c>
      <c r="Y77" s="16" t="s">
        <v>105</v>
      </c>
      <c r="Z77" s="15" t="s">
        <v>106</v>
      </c>
      <c r="AA77" s="15" t="str">
        <f>_xlfn.XLOOKUP(Tabela18[[#This Row],[CÓD. CT]],Controle_Projetos[COD CT],Controle_Projetos[COD PHD],"")</f>
        <v>IMCS-CT07-SEGR</v>
      </c>
      <c r="AB77" s="16"/>
      <c r="AC77" s="21">
        <v>45364</v>
      </c>
      <c r="AD7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45359</v>
      </c>
      <c r="AE77" s="16" t="str" cm="1">
        <f t="array" aca="1" ref="AE7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77" s="21">
        <v>45366</v>
      </c>
      <c r="AG77" s="74">
        <v>45366</v>
      </c>
      <c r="AH77" s="16" cm="1">
        <f t="array" aca="1" ref="AH7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7" s="21">
        <v>45366</v>
      </c>
      <c r="AJ77" s="74">
        <v>45366</v>
      </c>
      <c r="AK77" s="16" cm="1">
        <f t="array" aca="1" ref="AK7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7" s="20">
        <f t="shared" si="10"/>
        <v>45373</v>
      </c>
      <c r="AM77" s="74">
        <v>45372</v>
      </c>
      <c r="AN77" s="15" cm="1">
        <f t="array" aca="1" ref="AN7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77" s="20">
        <f t="shared" si="11"/>
        <v>45373</v>
      </c>
      <c r="AP77" s="74">
        <v>45371</v>
      </c>
      <c r="AQ77" s="15" cm="1">
        <f t="array" aca="1" ref="AQ7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77" s="20">
        <f t="shared" si="12"/>
        <v>45385</v>
      </c>
      <c r="AS77" s="74">
        <v>45379</v>
      </c>
      <c r="AT77" s="15" cm="1">
        <f t="array" aca="1" ref="AT7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77" s="20">
        <f t="shared" si="13"/>
        <v>45386</v>
      </c>
      <c r="AV77" s="74">
        <v>45408</v>
      </c>
      <c r="AW77" s="15" cm="1">
        <f t="array" aca="1" ref="AW7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23</v>
      </c>
      <c r="AX77" s="20">
        <f t="shared" si="14"/>
        <v>45411</v>
      </c>
      <c r="AY77" s="74">
        <v>45457</v>
      </c>
      <c r="AZ77" s="15" cm="1">
        <f t="array" aca="1" ref="AZ7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47</v>
      </c>
      <c r="BA77" s="16" t="s">
        <v>954</v>
      </c>
    </row>
    <row r="78" spans="2:53" hidden="1" x14ac:dyDescent="0.35">
      <c r="B78" s="14" t="s">
        <v>79</v>
      </c>
      <c r="C78" s="16" t="s">
        <v>867</v>
      </c>
      <c r="D78" s="16" t="s">
        <v>108</v>
      </c>
      <c r="E78" s="16" t="s">
        <v>795</v>
      </c>
      <c r="F78" s="16" cm="1">
        <f t="array" ref="F78">_xlfn.IFS(Tabela18[[#This Row],[STATUS]]="Finalizado",1,Tabela18[[#This Row],[STATUS]]="Cancelado",2,Tabela18[[#This Row],[STATUS]]="Em andamento",3)</f>
        <v>1</v>
      </c>
      <c r="G78" s="16" cm="1">
        <f t="array" aca="1" ref="G7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-EMAIL]]="",$AH78&gt;$AF$1),2,
AND(Tabela18[[#This Row],[STATUS]]="Em andamento",Tabela18[[#This Row],[DATA REAL -EMAIL]]="",$AH78&lt;=$AF$1),3,
AND(Tabela18[[#This Row],[STATUS]]="Em andamento",Tabela18[[#This Row],[DATA REAL -EMAIL]]&lt;&gt;""),1)</f>
        <v>1</v>
      </c>
      <c r="H78" s="16" cm="1">
        <f t="array" aca="1" ref="H7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CLIENTE]]="",$AK78&gt;$AI$1),2,
AND(Tabela18[[#This Row],[STATUS]]="Em andamento",Tabela18[[#This Row],[DATA REAL - DOC CLIENTE]]="",$AK78&lt;=$AI$1),3,
AND(Tabela18[[#This Row],[STATUS]]="Em andamento",Tabela18[[#This Row],[DATA REAL - DOC CLIENTE]]&lt;&gt;""),1)</f>
        <v>1</v>
      </c>
      <c r="I78" s="16" cm="1">
        <f t="array" aca="1" ref="I7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06]]="",$AN78&gt;$AL$1),2,
AND(Tabela18[[#This Row],[STATUS]]="Em andamento",Tabela18[[#This Row],[DATA REAL - ANEXO 06]]="",$AN78&lt;=$AL$1),3,
AND(Tabela18[[#This Row],[STATUS]]="Em andamento",Tabela18[[#This Row],[DATA REAL - ANEXO 06]]&lt;&gt;""),1)</f>
        <v>1</v>
      </c>
      <c r="J78" s="15" cm="1">
        <f t="array" aca="1" ref="J7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LEGAIS]]="",$AQ78&gt;$AO$1),2,
AND(Tabela18[[#This Row],[STATUS]]="Em andamento",Tabela18[[#This Row],[DATA REAL - SOLIC. PROG LEGAIS]]="",$AQ78&lt;=$AO$1),3,
AND(Tabela18[[#This Row],[STATUS]]="Em andamento",Tabela18[[#This Row],[DATA REAL - SOLIC. PROG LEGAIS]]&lt;&gt;""),1)</f>
        <v>1</v>
      </c>
      <c r="K78" s="15" cm="1">
        <f t="array" aca="1" ref="K7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ENVIO]]="",$AT78&gt;$AR$1),2,
AND(Tabela18[[#This Row],[STATUS]]="Em andamento",Tabela18[[#This Row],[DATA REAL - ENVIO]]="",$AT78&lt;=$AR$1),3,
AND(Tabela18[[#This Row],[STATUS]]="Em andamento",Tabela18[[#This Row],[DATA REAL - ENVIO]]&lt;&gt;""),1)</f>
        <v>1</v>
      </c>
      <c r="L78" s="15" cm="1">
        <f t="array" aca="1" ref="L7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POSTAGEM]]="",$AW78&gt;$AU$1),2,
AND(Tabela18[[#This Row],[STATUS]]="Em andamento",Tabela18[[#This Row],[DATA REAL - POSTAGEM]]="",$AW78&lt;=$AU$1),3,
AND(Tabela18[[#This Row],[STATUS]]="Em andamento",Tabela18[[#This Row],[DATA REAL - POSTAGEM]]&lt;&gt;""),1)</f>
        <v>1</v>
      </c>
      <c r="M78" s="16" cm="1">
        <f t="array" aca="1" ref="M7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APROVAÇÃO]]="",$AZ78&gt;$AX$1),2,
AND(Tabela18[[#This Row],[STATUS]]="Em andamento",Tabela18[[#This Row],[DATA REAL - APROVAÇÃO]]="",$AZ78&lt;=$AX$1),3,
AND(Tabela18[[#This Row],[STATUS]]="Em andamento",Tabela18[[#This Row],[DATA REAL - APROVAÇÃO]]&lt;&gt;""),1)</f>
        <v>1</v>
      </c>
      <c r="N78" s="21">
        <f>IF(Tabela18[[#This Row],[DATA REAL -EMAIL]]&lt;&gt;"",Tabela18[[#This Row],[DATA REAL -EMAIL]]+30,Tabela18[[#This Row],[DATA PREV - EMAIL]]+30)</f>
        <v>45396</v>
      </c>
      <c r="O7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45406</v>
      </c>
      <c r="P7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43</v>
      </c>
      <c r="Q7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31</v>
      </c>
      <c r="R78" s="48">
        <f>MAX(Tabela18[[#This Row],[DATA REAL - POSTAGEM]],Tabela18[[#This Row],[DATA REAL - APROVAÇÃO]])-MIN(Tabela18[[#This Row],[DATA REAL - POSTAGEM]],Tabela18[[#This Row],[DATA REAL - APROVAÇÃO]])+1</f>
        <v>1</v>
      </c>
      <c r="S78" s="16" t="s">
        <v>83</v>
      </c>
      <c r="T78" s="16"/>
      <c r="U78" s="18" t="s">
        <v>85</v>
      </c>
      <c r="V78" s="18" t="s">
        <v>955</v>
      </c>
      <c r="W78" s="16" t="s">
        <v>97</v>
      </c>
      <c r="X78" s="16" t="s">
        <v>132</v>
      </c>
      <c r="Y78" s="16" t="s">
        <v>483</v>
      </c>
      <c r="Z78" s="15" t="s">
        <v>956</v>
      </c>
      <c r="AA78" s="15" t="str">
        <f>_xlfn.XLOOKUP(Tabela18[[#This Row],[CÓD. CT]],Controle_Projetos[COD CT],Controle_Projetos[COD PHD],"")</f>
        <v>TERE-CT01-TANQ</v>
      </c>
      <c r="AB78" s="16">
        <v>4519638434</v>
      </c>
      <c r="AC78" s="21">
        <v>45364</v>
      </c>
      <c r="AD7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45363</v>
      </c>
      <c r="AE78" s="16" cm="1">
        <f t="array" aca="1" ref="AE7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78" s="21">
        <v>45366</v>
      </c>
      <c r="AG78" s="74">
        <v>45366</v>
      </c>
      <c r="AH78" s="16" cm="1">
        <f t="array" aca="1" ref="AH7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8" s="21">
        <v>45366</v>
      </c>
      <c r="AJ78" s="74">
        <v>45366</v>
      </c>
      <c r="AK78" s="16" cm="1">
        <f t="array" aca="1" ref="AK7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8" s="20">
        <f t="shared" si="10"/>
        <v>45373</v>
      </c>
      <c r="AM78" s="74">
        <v>45372</v>
      </c>
      <c r="AN78" s="15" cm="1">
        <f t="array" aca="1" ref="AN7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78" s="20">
        <f t="shared" si="11"/>
        <v>45373</v>
      </c>
      <c r="AP78" s="74">
        <v>45370</v>
      </c>
      <c r="AQ78" s="15" cm="1">
        <f t="array" aca="1" ref="AQ7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78" s="20">
        <f t="shared" si="12"/>
        <v>45384</v>
      </c>
      <c r="AS78" s="74">
        <v>45394</v>
      </c>
      <c r="AT78" s="15" cm="1">
        <f t="array" aca="1" ref="AT7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78" s="20">
        <f t="shared" si="13"/>
        <v>45401</v>
      </c>
      <c r="AV78" s="74">
        <v>45406</v>
      </c>
      <c r="AW78" s="15" cm="1">
        <f t="array" aca="1" ref="AW7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78" s="20">
        <f t="shared" si="14"/>
        <v>45407</v>
      </c>
      <c r="AY78" s="74">
        <v>45406</v>
      </c>
      <c r="AZ78" s="15" cm="1">
        <f t="array" aca="1" ref="AZ7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78" s="16" t="s">
        <v>957</v>
      </c>
    </row>
    <row r="79" spans="2:53" hidden="1" x14ac:dyDescent="0.35">
      <c r="B79" s="14" t="s">
        <v>79</v>
      </c>
      <c r="C79" s="16" t="s">
        <v>136</v>
      </c>
      <c r="D79" s="16" t="s">
        <v>108</v>
      </c>
      <c r="E79" s="16" t="s">
        <v>235</v>
      </c>
      <c r="F79" s="16" cm="1">
        <f t="array" ref="F79">_xlfn.IFS(Tabela18[[#This Row],[STATUS]]="Finalizado",1,Tabela18[[#This Row],[STATUS]]="Cancelado",2,Tabela18[[#This Row],[STATUS]]="Em andamento",3)</f>
        <v>1</v>
      </c>
      <c r="G79" s="16" cm="1">
        <f t="array" aca="1" ref="G7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-EMAIL]]="",$AH79&gt;$AF$1),2,
AND(Tabela18[[#This Row],[STATUS]]="Em andamento",Tabela18[[#This Row],[DATA REAL -EMAIL]]="",$AH79&lt;=$AF$1),3,
AND(Tabela18[[#This Row],[STATUS]]="Em andamento",Tabela18[[#This Row],[DATA REAL -EMAIL]]&lt;&gt;""),1)</f>
        <v>1</v>
      </c>
      <c r="H79" s="16" cm="1">
        <f t="array" aca="1" ref="H7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CLIENTE]]="",$AK79&gt;$AI$1),2,
AND(Tabela18[[#This Row],[STATUS]]="Em andamento",Tabela18[[#This Row],[DATA REAL - DOC CLIENTE]]="",$AK79&lt;=$AI$1),3,
AND(Tabela18[[#This Row],[STATUS]]="Em andamento",Tabela18[[#This Row],[DATA REAL - DOC CLIENTE]]&lt;&gt;""),1)</f>
        <v>1</v>
      </c>
      <c r="I79" s="16" cm="1">
        <f t="array" aca="1" ref="I7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06]]="",$AN79&gt;$AL$1),2,
AND(Tabela18[[#This Row],[STATUS]]="Em andamento",Tabela18[[#This Row],[DATA REAL - ANEXO 06]]="",$AN79&lt;=$AL$1),3,
AND(Tabela18[[#This Row],[STATUS]]="Em andamento",Tabela18[[#This Row],[DATA REAL - ANEXO 06]]&lt;&gt;""),1)</f>
        <v>1</v>
      </c>
      <c r="J79" s="15" cm="1">
        <f t="array" aca="1" ref="J7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LEGAIS]]="",$AQ79&gt;$AO$1),2,
AND(Tabela18[[#This Row],[STATUS]]="Em andamento",Tabela18[[#This Row],[DATA REAL - SOLIC. PROG LEGAIS]]="",$AQ79&lt;=$AO$1),3,
AND(Tabela18[[#This Row],[STATUS]]="Em andamento",Tabela18[[#This Row],[DATA REAL - SOLIC. PROG LEGAIS]]&lt;&gt;""),1)</f>
        <v>1</v>
      </c>
      <c r="K79" s="15" cm="1">
        <f t="array" aca="1" ref="K7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ENVIO]]="",$AT79&gt;$AR$1),2,
AND(Tabela18[[#This Row],[STATUS]]="Em andamento",Tabela18[[#This Row],[DATA REAL - ENVIO]]="",$AT79&lt;=$AR$1),3,
AND(Tabela18[[#This Row],[STATUS]]="Em andamento",Tabela18[[#This Row],[DATA REAL - ENVIO]]&lt;&gt;""),1)</f>
        <v>1</v>
      </c>
      <c r="L79" s="15" cm="1">
        <f t="array" aca="1" ref="L7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POSTAGEM]]="",$AW79&gt;$AU$1),2,
AND(Tabela18[[#This Row],[STATUS]]="Em andamento",Tabela18[[#This Row],[DATA REAL - POSTAGEM]]="",$AW79&lt;=$AU$1),3,
AND(Tabela18[[#This Row],[STATUS]]="Em andamento",Tabela18[[#This Row],[DATA REAL - POSTAGEM]]&lt;&gt;""),1)</f>
        <v>1</v>
      </c>
      <c r="M79" s="16" cm="1">
        <f t="array" aca="1" ref="M7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APROVAÇÃO]]="",$AZ79&gt;$AX$1),2,
AND(Tabela18[[#This Row],[STATUS]]="Em andamento",Tabela18[[#This Row],[DATA REAL - APROVAÇÃO]]="",$AZ79&lt;=$AX$1),3,
AND(Tabela18[[#This Row],[STATUS]]="Em andamento",Tabela18[[#This Row],[DATA REAL - APROVAÇÃO]]&lt;&gt;""),1)</f>
        <v>1</v>
      </c>
      <c r="N79" s="21">
        <f>IF(Tabela18[[#This Row],[DATA REAL -EMAIL]]&lt;&gt;"",Tabela18[[#This Row],[DATA REAL -EMAIL]]+30,Tabela18[[#This Row],[DATA PREV - EMAIL]]+30)</f>
        <v>45413</v>
      </c>
      <c r="O7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45455</v>
      </c>
      <c r="P7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72</v>
      </c>
      <c r="Q7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36</v>
      </c>
      <c r="R79" s="48">
        <f>MAX(Tabela18[[#This Row],[DATA REAL - POSTAGEM]],Tabela18[[#This Row],[DATA REAL - APROVAÇÃO]])-MIN(Tabela18[[#This Row],[DATA REAL - POSTAGEM]],Tabela18[[#This Row],[DATA REAL - APROVAÇÃO]])+1</f>
        <v>42</v>
      </c>
      <c r="S79" s="16" t="s">
        <v>158</v>
      </c>
      <c r="T79" s="16"/>
      <c r="U79" s="18" t="s">
        <v>159</v>
      </c>
      <c r="V79" s="18" t="s">
        <v>152</v>
      </c>
      <c r="W79" s="16" t="s">
        <v>97</v>
      </c>
      <c r="X79" s="16" t="s">
        <v>585</v>
      </c>
      <c r="Y79" s="16" t="s">
        <v>958</v>
      </c>
      <c r="Z79" s="15" t="s">
        <v>959</v>
      </c>
      <c r="AA79" s="15" t="str">
        <f>_xlfn.XLOOKUP(Tabela18[[#This Row],[CÓD. CT]],Controle_Projetos[COD CT],Controle_Projetos[COD PHD],"")</f>
        <v>CCAP-CT11-RUMO</v>
      </c>
      <c r="AB79" s="16"/>
      <c r="AC79" s="21">
        <v>45383</v>
      </c>
      <c r="AD7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45419</v>
      </c>
      <c r="AE79" s="16" cm="1">
        <f t="array" aca="1" ref="AE7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37</v>
      </c>
      <c r="AF79" s="21">
        <v>45383</v>
      </c>
      <c r="AG79" s="74">
        <v>45383</v>
      </c>
      <c r="AH79" s="16" cm="1">
        <f t="array" aca="1" ref="AH7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79" s="21">
        <v>45384</v>
      </c>
      <c r="AJ79" s="74">
        <v>45384</v>
      </c>
      <c r="AK79" s="16" cm="1">
        <f t="array" aca="1" ref="AK7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79" s="20">
        <f t="shared" si="10"/>
        <v>45391</v>
      </c>
      <c r="AM79" s="74">
        <v>45391</v>
      </c>
      <c r="AN79" s="15" cm="1">
        <f t="array" aca="1" ref="AN7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79" s="20">
        <f t="shared" si="11"/>
        <v>45392</v>
      </c>
      <c r="AP79" s="74">
        <v>45390</v>
      </c>
      <c r="AQ79" s="15" cm="1">
        <f t="array" aca="1" ref="AQ7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79" s="20">
        <f t="shared" si="12"/>
        <v>45404</v>
      </c>
      <c r="AS79" s="74">
        <v>45405</v>
      </c>
      <c r="AT79" s="15" cm="1">
        <f t="array" aca="1" ref="AT7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79" s="20">
        <f t="shared" si="13"/>
        <v>45412</v>
      </c>
      <c r="AV79" s="74">
        <v>45414</v>
      </c>
      <c r="AW79" s="15" cm="1">
        <f t="array" aca="1" ref="AW7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79" s="20">
        <f t="shared" si="14"/>
        <v>45415</v>
      </c>
      <c r="AY79" s="74">
        <v>45455</v>
      </c>
      <c r="AZ79" s="15" cm="1">
        <f t="array" aca="1" ref="AZ7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41</v>
      </c>
      <c r="BA79" s="16" t="s">
        <v>960</v>
      </c>
    </row>
    <row r="80" spans="2:53" hidden="1" x14ac:dyDescent="0.35">
      <c r="B80" s="14" t="s">
        <v>79</v>
      </c>
      <c r="C80" s="16" t="s">
        <v>136</v>
      </c>
      <c r="D80" s="16" t="s">
        <v>108</v>
      </c>
      <c r="E80" s="16" t="s">
        <v>179</v>
      </c>
      <c r="F80" s="16" cm="1">
        <f t="array" ref="F80">_xlfn.IFS(Tabela18[[#This Row],[STATUS]]="Finalizado",1,Tabela18[[#This Row],[STATUS]]="Cancelado",2,Tabela18[[#This Row],[STATUS]]="Em andamento",3)</f>
        <v>1</v>
      </c>
      <c r="G80" s="16" cm="1">
        <f t="array" aca="1" ref="G8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-EMAIL]]="",$AH80&gt;$AF$1),2,
AND(Tabela18[[#This Row],[STATUS]]="Em andamento",Tabela18[[#This Row],[DATA REAL -EMAIL]]="",$AH80&lt;=$AF$1),3,
AND(Tabela18[[#This Row],[STATUS]]="Em andamento",Tabela18[[#This Row],[DATA REAL -EMAIL]]&lt;&gt;""),1)</f>
        <v>1</v>
      </c>
      <c r="H80" s="16" cm="1">
        <f t="array" aca="1" ref="H8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CLIENTE]]="",$AK80&gt;$AI$1),2,
AND(Tabela18[[#This Row],[STATUS]]="Em andamento",Tabela18[[#This Row],[DATA REAL - DOC CLIENTE]]="",$AK80&lt;=$AI$1),3,
AND(Tabela18[[#This Row],[STATUS]]="Em andamento",Tabela18[[#This Row],[DATA REAL - DOC CLIENTE]]&lt;&gt;""),1)</f>
        <v>1</v>
      </c>
      <c r="I80" s="16" cm="1">
        <f t="array" aca="1" ref="I8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06]]="",$AN80&gt;$AL$1),2,
AND(Tabela18[[#This Row],[STATUS]]="Em andamento",Tabela18[[#This Row],[DATA REAL - ANEXO 06]]="",$AN80&lt;=$AL$1),3,
AND(Tabela18[[#This Row],[STATUS]]="Em andamento",Tabela18[[#This Row],[DATA REAL - ANEXO 06]]&lt;&gt;""),1)</f>
        <v>1</v>
      </c>
      <c r="J80" s="15" cm="1">
        <f t="array" aca="1" ref="J8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LEGAIS]]="",$AQ80&gt;$AO$1),2,
AND(Tabela18[[#This Row],[STATUS]]="Em andamento",Tabela18[[#This Row],[DATA REAL - SOLIC. PROG LEGAIS]]="",$AQ80&lt;=$AO$1),3,
AND(Tabela18[[#This Row],[STATUS]]="Em andamento",Tabela18[[#This Row],[DATA REAL - SOLIC. PROG LEGAIS]]&lt;&gt;""),1)</f>
        <v>1</v>
      </c>
      <c r="K80" s="15" cm="1">
        <f t="array" aca="1" ref="K8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ENVIO]]="",$AT80&gt;$AR$1),2,
AND(Tabela18[[#This Row],[STATUS]]="Em andamento",Tabela18[[#This Row],[DATA REAL - ENVIO]]="",$AT80&lt;=$AR$1),3,
AND(Tabela18[[#This Row],[STATUS]]="Em andamento",Tabela18[[#This Row],[DATA REAL - ENVIO]]&lt;&gt;""),1)</f>
        <v>1</v>
      </c>
      <c r="L80" s="15" cm="1">
        <f t="array" aca="1" ref="L8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POSTAGEM]]="",$AW80&gt;$AU$1),2,
AND(Tabela18[[#This Row],[STATUS]]="Em andamento",Tabela18[[#This Row],[DATA REAL - POSTAGEM]]="",$AW80&lt;=$AU$1),3,
AND(Tabela18[[#This Row],[STATUS]]="Em andamento",Tabela18[[#This Row],[DATA REAL - POSTAGEM]]&lt;&gt;""),1)</f>
        <v>1</v>
      </c>
      <c r="M80" s="16" cm="1">
        <f t="array" aca="1" ref="M8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APROVAÇÃO]]="",$AZ80&gt;$AX$1),2,
AND(Tabela18[[#This Row],[STATUS]]="Em andamento",Tabela18[[#This Row],[DATA REAL - APROVAÇÃO]]="",$AZ80&lt;=$AX$1),3,
AND(Tabela18[[#This Row],[STATUS]]="Em andamento",Tabela18[[#This Row],[DATA REAL - APROVAÇÃO]]&lt;&gt;""),1)</f>
        <v>1</v>
      </c>
      <c r="N80" s="21">
        <f>IF(Tabela18[[#This Row],[DATA REAL -EMAIL]]&lt;&gt;"",Tabela18[[#This Row],[DATA REAL -EMAIL]]+30,Tabela18[[#This Row],[DATA PREV - EMAIL]]+30)</f>
        <v>45415</v>
      </c>
      <c r="O8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45420</v>
      </c>
      <c r="P8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36</v>
      </c>
      <c r="Q8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v>
      </c>
      <c r="R80" s="48">
        <f>MAX(Tabela18[[#This Row],[DATA REAL - POSTAGEM]],Tabela18[[#This Row],[DATA REAL - APROVAÇÃO]])-MIN(Tabela18[[#This Row],[DATA REAL - POSTAGEM]],Tabela18[[#This Row],[DATA REAL - APROVAÇÃO]])+1</f>
        <v>13</v>
      </c>
      <c r="S80" s="16" t="s">
        <v>122</v>
      </c>
      <c r="T80" s="16"/>
      <c r="U80" s="18" t="s">
        <v>124</v>
      </c>
      <c r="V80" s="18" t="s">
        <v>124</v>
      </c>
      <c r="W80" s="16" t="s">
        <v>97</v>
      </c>
      <c r="X80" s="16" t="s">
        <v>455</v>
      </c>
      <c r="Y80" s="16" t="s">
        <v>961</v>
      </c>
      <c r="Z80" s="15" t="s">
        <v>962</v>
      </c>
      <c r="AA80" s="15" t="str">
        <f>_xlfn.XLOOKUP(Tabela18[[#This Row],[CÓD. CT]],Controle_Projetos[COD CT],Controle_Projetos[COD PHD],"")</f>
        <v>PARE-CT07-BORB</v>
      </c>
      <c r="AB80" s="16"/>
      <c r="AC80" s="21">
        <v>45385</v>
      </c>
      <c r="AD8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45384</v>
      </c>
      <c r="AE80" s="16" cm="1">
        <f t="array" aca="1" ref="AE8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80" s="21">
        <v>45385</v>
      </c>
      <c r="AG80" s="74">
        <v>45385</v>
      </c>
      <c r="AH80" s="16" cm="1">
        <f t="array" aca="1" ref="AH8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0" s="21">
        <v>45386</v>
      </c>
      <c r="AJ80" s="74">
        <v>45386</v>
      </c>
      <c r="AK80" s="16" cm="1">
        <f t="array" aca="1" ref="AK8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0" s="20">
        <f t="shared" si="10"/>
        <v>45393</v>
      </c>
      <c r="AM80" s="74">
        <v>45392</v>
      </c>
      <c r="AN80" s="15" cm="1">
        <f t="array" aca="1" ref="AN8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80" s="20">
        <f t="shared" si="11"/>
        <v>45393</v>
      </c>
      <c r="AP80" s="74">
        <v>45392</v>
      </c>
      <c r="AQ80" s="15" cm="1">
        <f t="array" aca="1" ref="AQ8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80" s="20">
        <f t="shared" si="12"/>
        <v>45406</v>
      </c>
      <c r="AS80" s="74">
        <v>45404</v>
      </c>
      <c r="AT80" s="15" cm="1">
        <f t="array" aca="1" ref="AT8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80" s="20">
        <f t="shared" si="13"/>
        <v>45411</v>
      </c>
      <c r="AV80" s="74">
        <v>45408</v>
      </c>
      <c r="AW80" s="15" cm="1">
        <f t="array" aca="1" ref="AW8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v>
      </c>
      <c r="AX80" s="20">
        <f t="shared" si="14"/>
        <v>45411</v>
      </c>
      <c r="AY80" s="74">
        <v>45420</v>
      </c>
      <c r="AZ80" s="15" cm="1">
        <f t="array" aca="1" ref="AZ8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10</v>
      </c>
      <c r="BA80" s="16" t="s">
        <v>963</v>
      </c>
    </row>
    <row r="81" spans="2:53" hidden="1" x14ac:dyDescent="0.35">
      <c r="B81" s="14" t="s">
        <v>119</v>
      </c>
      <c r="C81" s="16" t="s">
        <v>867</v>
      </c>
      <c r="D81" s="16" t="s">
        <v>119</v>
      </c>
      <c r="E81" s="16" t="s">
        <v>98</v>
      </c>
      <c r="F81" s="16" cm="1">
        <f t="array" ref="F81">_xlfn.IFS(Tabela18[[#This Row],[STATUS]]="Finalizado",1,Tabela18[[#This Row],[STATUS]]="Cancelado",2,Tabela18[[#This Row],[STATUS]]="Em andamento",3)</f>
        <v>2</v>
      </c>
      <c r="G81" s="16" cm="1">
        <f t="array" aca="1" ref="G8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-EMAIL]]="",$AH81&gt;$AF$1),2,
AND(Tabela18[[#This Row],[STATUS]]="Em andamento",Tabela18[[#This Row],[DATA REAL -EMAIL]]="",$AH81&lt;=$AF$1),3,
AND(Tabela18[[#This Row],[STATUS]]="Em andamento",Tabela18[[#This Row],[DATA REAL -EMAIL]]&lt;&gt;""),1)</f>
        <v>1</v>
      </c>
      <c r="H81" s="16" cm="1">
        <f t="array" aca="1" ref="H8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CLIENTE]]="",$AK81&gt;$AI$1),2,
AND(Tabela18[[#This Row],[STATUS]]="Em andamento",Tabela18[[#This Row],[DATA REAL - DOC CLIENTE]]="",$AK81&lt;=$AI$1),3,
AND(Tabela18[[#This Row],[STATUS]]="Em andamento",Tabela18[[#This Row],[DATA REAL - DOC CLIENTE]]&lt;&gt;""),1)</f>
        <v>1</v>
      </c>
      <c r="I81" s="16" cm="1">
        <f t="array" aca="1" ref="I8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06]]="",$AN81&gt;$AL$1),2,
AND(Tabela18[[#This Row],[STATUS]]="Em andamento",Tabela18[[#This Row],[DATA REAL - ANEXO 06]]="",$AN81&lt;=$AL$1),3,
AND(Tabela18[[#This Row],[STATUS]]="Em andamento",Tabela18[[#This Row],[DATA REAL - ANEXO 06]]&lt;&gt;""),1)</f>
        <v>1</v>
      </c>
      <c r="J81" s="15" cm="1">
        <f t="array" aca="1" ref="J8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LEGAIS]]="",$AQ81&gt;$AO$1),2,
AND(Tabela18[[#This Row],[STATUS]]="Em andamento",Tabela18[[#This Row],[DATA REAL - SOLIC. PROG LEGAIS]]="",$AQ81&lt;=$AO$1),3,
AND(Tabela18[[#This Row],[STATUS]]="Em andamento",Tabela18[[#This Row],[DATA REAL - SOLIC. PROG LEGAIS]]&lt;&gt;""),1)</f>
        <v>1</v>
      </c>
      <c r="K81" s="15" cm="1">
        <f t="array" aca="1" ref="K8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ENVIO]]="",$AT81&gt;$AR$1),2,
AND(Tabela18[[#This Row],[STATUS]]="Em andamento",Tabela18[[#This Row],[DATA REAL - ENVIO]]="",$AT81&lt;=$AR$1),3,
AND(Tabela18[[#This Row],[STATUS]]="Em andamento",Tabela18[[#This Row],[DATA REAL - ENVIO]]&lt;&gt;""),1)</f>
        <v>1</v>
      </c>
      <c r="L81" s="15" cm="1">
        <f t="array" aca="1" ref="L8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POSTAGEM]]="",$AW81&gt;$AU$1),2,
AND(Tabela18[[#This Row],[STATUS]]="Em andamento",Tabela18[[#This Row],[DATA REAL - POSTAGEM]]="",$AW81&lt;=$AU$1),3,
AND(Tabela18[[#This Row],[STATUS]]="Em andamento",Tabela18[[#This Row],[DATA REAL - POSTAGEM]]&lt;&gt;""),1)</f>
        <v>1</v>
      </c>
      <c r="M81" s="16" cm="1">
        <f t="array" aca="1" ref="M8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APROVAÇÃO]]="",$AZ81&gt;$AX$1),2,
AND(Tabela18[[#This Row],[STATUS]]="Em andamento",Tabela18[[#This Row],[DATA REAL - APROVAÇÃO]]="",$AZ81&lt;=$AX$1),3,
AND(Tabela18[[#This Row],[STATUS]]="Em andamento",Tabela18[[#This Row],[DATA REAL - APROVAÇÃO]]&lt;&gt;""),1)</f>
        <v>0</v>
      </c>
      <c r="N81" s="21">
        <f>IF(Tabela18[[#This Row],[DATA REAL -EMAIL]]&lt;&gt;"",Tabela18[[#This Row],[DATA REAL -EMAIL]]+30,Tabela18[[#This Row],[DATA PREV - EMAIL]]+30)</f>
        <v>45423</v>
      </c>
      <c r="O8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45407</v>
      </c>
      <c r="P8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177</v>
      </c>
      <c r="Q8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176</v>
      </c>
      <c r="R81" s="48">
        <f>MAX(Tabela18[[#This Row],[DATA REAL - POSTAGEM]],Tabela18[[#This Row],[DATA REAL - APROVAÇÃO]])-MIN(Tabela18[[#This Row],[DATA REAL - POSTAGEM]],Tabela18[[#This Row],[DATA REAL - APROVAÇÃO]])+1</f>
        <v>1</v>
      </c>
      <c r="S81" s="16" t="s">
        <v>103</v>
      </c>
      <c r="T81" s="16"/>
      <c r="U81" s="18" t="s">
        <v>104</v>
      </c>
      <c r="V81" s="18" t="s">
        <v>86</v>
      </c>
      <c r="W81" s="16" t="s">
        <v>97</v>
      </c>
      <c r="X81" s="16" t="s">
        <v>918</v>
      </c>
      <c r="Y81" s="16" t="s">
        <v>185</v>
      </c>
      <c r="Z81" s="15" t="s">
        <v>186</v>
      </c>
      <c r="AA81" s="15" t="str">
        <f>_xlfn.XLOOKUP(Tabela18[[#This Row],[CÓD. CT]],Controle_Projetos[COD CT],Controle_Projetos[COD PHD],"")</f>
        <v>SALU-CT04-DISP</v>
      </c>
      <c r="AB81" s="16"/>
      <c r="AC81" s="21">
        <v>45387</v>
      </c>
      <c r="AD8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45230</v>
      </c>
      <c r="AE81" s="16" t="str" cm="1">
        <f t="array" aca="1" ref="AE8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81" s="21">
        <v>45393</v>
      </c>
      <c r="AG81" s="74">
        <v>45393</v>
      </c>
      <c r="AH81" s="16" cm="1">
        <f t="array" aca="1" ref="AH8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1" s="21">
        <v>45393</v>
      </c>
      <c r="AJ81" s="74">
        <v>45393</v>
      </c>
      <c r="AK81" s="16" cm="1">
        <f t="array" aca="1" ref="AK8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1" s="20">
        <f t="shared" si="10"/>
        <v>45400</v>
      </c>
      <c r="AM81" s="74">
        <v>45394</v>
      </c>
      <c r="AN81" s="15" cm="1">
        <f t="array" aca="1" ref="AN8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81" s="20">
        <f t="shared" si="11"/>
        <v>45397</v>
      </c>
      <c r="AP81" s="74">
        <v>45397</v>
      </c>
      <c r="AQ81" s="15" cm="1">
        <f t="array" aca="1" ref="AQ8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81" s="20">
        <f t="shared" si="12"/>
        <v>45411</v>
      </c>
      <c r="AS81" s="74">
        <v>45406</v>
      </c>
      <c r="AT81" s="15" cm="1">
        <f t="array" aca="1" ref="AT8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81" s="20">
        <f t="shared" si="13"/>
        <v>45413</v>
      </c>
      <c r="AV81" s="74">
        <v>45407</v>
      </c>
      <c r="AW81" s="15" cm="1">
        <f t="array" aca="1" ref="AW8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81" s="20">
        <f t="shared" si="14"/>
        <v>45408</v>
      </c>
      <c r="AY81" s="74"/>
      <c r="AZ81" s="15" cm="1">
        <f t="array" aca="1" ref="AZ8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1" s="80" t="s">
        <v>964</v>
      </c>
    </row>
    <row r="82" spans="2:53" hidden="1" x14ac:dyDescent="0.35">
      <c r="B82" s="14" t="s">
        <v>79</v>
      </c>
      <c r="C82" s="16" t="s">
        <v>867</v>
      </c>
      <c r="D82" s="16" t="s">
        <v>108</v>
      </c>
      <c r="E82" s="16" t="s">
        <v>897</v>
      </c>
      <c r="F82" s="16" cm="1">
        <f t="array" ref="F82">_xlfn.IFS(Tabela18[[#This Row],[STATUS]]="Finalizado",1,Tabela18[[#This Row],[STATUS]]="Cancelado",2,Tabela18[[#This Row],[STATUS]]="Em andamento",3)</f>
        <v>1</v>
      </c>
      <c r="G82" s="16" cm="1">
        <f t="array" aca="1" ref="G8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-EMAIL]]="",$AH82&gt;$AF$1),2,
AND(Tabela18[[#This Row],[STATUS]]="Em andamento",Tabela18[[#This Row],[DATA REAL -EMAIL]]="",$AH82&lt;=$AF$1),3,
AND(Tabela18[[#This Row],[STATUS]]="Em andamento",Tabela18[[#This Row],[DATA REAL -EMAIL]]&lt;&gt;""),1)</f>
        <v>1</v>
      </c>
      <c r="H82" s="16" cm="1">
        <f t="array" aca="1" ref="H8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CLIENTE]]="",$AK82&gt;$AI$1),2,
AND(Tabela18[[#This Row],[STATUS]]="Em andamento",Tabela18[[#This Row],[DATA REAL - DOC CLIENTE]]="",$AK82&lt;=$AI$1),3,
AND(Tabela18[[#This Row],[STATUS]]="Em andamento",Tabela18[[#This Row],[DATA REAL - DOC CLIENTE]]&lt;&gt;""),1)</f>
        <v>1</v>
      </c>
      <c r="I82" s="16" cm="1">
        <f t="array" aca="1" ref="I8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06]]="",$AN82&gt;$AL$1),2,
AND(Tabela18[[#This Row],[STATUS]]="Em andamento",Tabela18[[#This Row],[DATA REAL - ANEXO 06]]="",$AN82&lt;=$AL$1),3,
AND(Tabela18[[#This Row],[STATUS]]="Em andamento",Tabela18[[#This Row],[DATA REAL - ANEXO 06]]&lt;&gt;""),1)</f>
        <v>1</v>
      </c>
      <c r="J82" s="15" cm="1">
        <f t="array" aca="1" ref="J8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LEGAIS]]="",$AQ82&gt;$AO$1),2,
AND(Tabela18[[#This Row],[STATUS]]="Em andamento",Tabela18[[#This Row],[DATA REAL - SOLIC. PROG LEGAIS]]="",$AQ82&lt;=$AO$1),3,
AND(Tabela18[[#This Row],[STATUS]]="Em andamento",Tabela18[[#This Row],[DATA REAL - SOLIC. PROG LEGAIS]]&lt;&gt;""),1)</f>
        <v>1</v>
      </c>
      <c r="K82" s="15" cm="1">
        <f t="array" aca="1" ref="K8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ENVIO]]="",$AT82&gt;$AR$1),2,
AND(Tabela18[[#This Row],[STATUS]]="Em andamento",Tabela18[[#This Row],[DATA REAL - ENVIO]]="",$AT82&lt;=$AR$1),3,
AND(Tabela18[[#This Row],[STATUS]]="Em andamento",Tabela18[[#This Row],[DATA REAL - ENVIO]]&lt;&gt;""),1)</f>
        <v>1</v>
      </c>
      <c r="L82" s="15" cm="1">
        <f t="array" aca="1" ref="L8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POSTAGEM]]="",$AW82&gt;$AU$1),2,
AND(Tabela18[[#This Row],[STATUS]]="Em andamento",Tabela18[[#This Row],[DATA REAL - POSTAGEM]]="",$AW82&lt;=$AU$1),3,
AND(Tabela18[[#This Row],[STATUS]]="Em andamento",Tabela18[[#This Row],[DATA REAL - POSTAGEM]]&lt;&gt;""),1)</f>
        <v>1</v>
      </c>
      <c r="M82" s="16" cm="1">
        <f t="array" aca="1" ref="M8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APROVAÇÃO]]="",$AZ82&gt;$AX$1),2,
AND(Tabela18[[#This Row],[STATUS]]="Em andamento",Tabela18[[#This Row],[DATA REAL - APROVAÇÃO]]="",$AZ82&lt;=$AX$1),3,
AND(Tabela18[[#This Row],[STATUS]]="Em andamento",Tabela18[[#This Row],[DATA REAL - APROVAÇÃO]]&lt;&gt;""),1)</f>
        <v>1</v>
      </c>
      <c r="N82" s="21">
        <f>IF(Tabela18[[#This Row],[DATA REAL -EMAIL]]&lt;&gt;"",Tabela18[[#This Row],[DATA REAL -EMAIL]]+30,Tabela18[[#This Row],[DATA PREV - EMAIL]]+30)</f>
        <v>45423</v>
      </c>
      <c r="O8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45488</v>
      </c>
      <c r="P8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95</v>
      </c>
      <c r="Q8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39</v>
      </c>
      <c r="R82" s="48">
        <f>MAX(Tabela18[[#This Row],[DATA REAL - POSTAGEM]],Tabela18[[#This Row],[DATA REAL - APROVAÇÃO]])-MIN(Tabela18[[#This Row],[DATA REAL - POSTAGEM]],Tabela18[[#This Row],[DATA REAL - APROVAÇÃO]])+1</f>
        <v>1</v>
      </c>
      <c r="S82" s="16" t="s">
        <v>83</v>
      </c>
      <c r="T82" s="16"/>
      <c r="U82" s="18" t="s">
        <v>85</v>
      </c>
      <c r="V82" s="18" t="s">
        <v>86</v>
      </c>
      <c r="W82" s="16" t="s">
        <v>87</v>
      </c>
      <c r="X82" s="16" t="s">
        <v>89</v>
      </c>
      <c r="Y82" s="16" t="s">
        <v>105</v>
      </c>
      <c r="Z82" s="15" t="s">
        <v>965</v>
      </c>
      <c r="AA82" s="15" t="str">
        <f>_xlfn.XLOOKUP(Tabela18[[#This Row],[CÓD. CT]],Controle_Projetos[COD CT],Controle_Projetos[COD PHD],"")</f>
        <v>TERR-CT07-P145</v>
      </c>
      <c r="AB82" s="16"/>
      <c r="AC82" s="21">
        <v>45383</v>
      </c>
      <c r="AD8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45432</v>
      </c>
      <c r="AE82" s="16" cm="1">
        <f t="array" aca="1" ref="AE8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50</v>
      </c>
      <c r="AF82" s="21">
        <v>45393</v>
      </c>
      <c r="AG82" s="74">
        <v>45393</v>
      </c>
      <c r="AH82" s="16" cm="1">
        <f t="array" aca="1" ref="AH8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2" s="21">
        <v>45393</v>
      </c>
      <c r="AJ82" s="74">
        <v>45393</v>
      </c>
      <c r="AK82" s="16" cm="1">
        <f t="array" aca="1" ref="AK8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2" s="20">
        <f t="shared" si="10"/>
        <v>45400</v>
      </c>
      <c r="AM82" s="74">
        <v>45394</v>
      </c>
      <c r="AN82" s="15" cm="1">
        <f t="array" aca="1" ref="AN8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82" s="20">
        <f t="shared" si="11"/>
        <v>45397</v>
      </c>
      <c r="AP82" s="74">
        <v>45398</v>
      </c>
      <c r="AQ82" s="15" cm="1">
        <f t="array" aca="1" ref="AQ8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82" s="20">
        <f t="shared" si="12"/>
        <v>45412</v>
      </c>
      <c r="AS82" s="74">
        <v>45418</v>
      </c>
      <c r="AT82" s="15" cm="1">
        <f t="array" aca="1" ref="AT8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82" s="20">
        <f t="shared" si="13"/>
        <v>45425</v>
      </c>
      <c r="AV82" s="74">
        <v>45488</v>
      </c>
      <c r="AW82" s="15" cm="1">
        <f t="array" aca="1" ref="AW8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64</v>
      </c>
      <c r="AX82" s="20">
        <f t="shared" si="14"/>
        <v>45489</v>
      </c>
      <c r="AY82" s="74">
        <v>45488</v>
      </c>
      <c r="AZ82" s="15" cm="1">
        <f t="array" aca="1" ref="AZ8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82" s="16" t="s">
        <v>966</v>
      </c>
    </row>
    <row r="83" spans="2:53" hidden="1" x14ac:dyDescent="0.35">
      <c r="B83" s="14" t="s">
        <v>119</v>
      </c>
      <c r="C83" s="16" t="s">
        <v>867</v>
      </c>
      <c r="D83" s="16" t="s">
        <v>119</v>
      </c>
      <c r="E83" s="16" t="s">
        <v>897</v>
      </c>
      <c r="F83" s="16" cm="1">
        <f t="array" ref="F83">_xlfn.IFS(Tabela18[[#This Row],[STATUS]]="Finalizado",1,Tabela18[[#This Row],[STATUS]]="Cancelado",2,Tabela18[[#This Row],[STATUS]]="Em andamento",3)</f>
        <v>2</v>
      </c>
      <c r="G83" s="16" cm="1">
        <f t="array" aca="1" ref="G8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-EMAIL]]="",$AH83&gt;$AF$1),2,
AND(Tabela18[[#This Row],[STATUS]]="Em andamento",Tabela18[[#This Row],[DATA REAL -EMAIL]]="",$AH83&lt;=$AF$1),3,
AND(Tabela18[[#This Row],[STATUS]]="Em andamento",Tabela18[[#This Row],[DATA REAL -EMAIL]]&lt;&gt;""),1)</f>
        <v>1</v>
      </c>
      <c r="H83" s="16" cm="1">
        <f t="array" aca="1" ref="H8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CLIENTE]]="",$AK83&gt;$AI$1),2,
AND(Tabela18[[#This Row],[STATUS]]="Em andamento",Tabela18[[#This Row],[DATA REAL - DOC CLIENTE]]="",$AK83&lt;=$AI$1),3,
AND(Tabela18[[#This Row],[STATUS]]="Em andamento",Tabela18[[#This Row],[DATA REAL - DOC CLIENTE]]&lt;&gt;""),1)</f>
        <v>1</v>
      </c>
      <c r="I83" s="16" cm="1">
        <f t="array" aca="1" ref="I8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06]]="",$AN83&gt;$AL$1),2,
AND(Tabela18[[#This Row],[STATUS]]="Em andamento",Tabela18[[#This Row],[DATA REAL - ANEXO 06]]="",$AN83&lt;=$AL$1),3,
AND(Tabela18[[#This Row],[STATUS]]="Em andamento",Tabela18[[#This Row],[DATA REAL - ANEXO 06]]&lt;&gt;""),1)</f>
        <v>1</v>
      </c>
      <c r="J83" s="15" cm="1">
        <f t="array" aca="1" ref="J8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LEGAIS]]="",$AQ83&gt;$AO$1),2,
AND(Tabela18[[#This Row],[STATUS]]="Em andamento",Tabela18[[#This Row],[DATA REAL - SOLIC. PROG LEGAIS]]="",$AQ83&lt;=$AO$1),3,
AND(Tabela18[[#This Row],[STATUS]]="Em andamento",Tabela18[[#This Row],[DATA REAL - SOLIC. PROG LEGAIS]]&lt;&gt;""),1)</f>
        <v>1</v>
      </c>
      <c r="K83" s="15" cm="1">
        <f t="array" aca="1" ref="K8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ENVIO]]="",$AT83&gt;$AR$1),2,
AND(Tabela18[[#This Row],[STATUS]]="Em andamento",Tabela18[[#This Row],[DATA REAL - ENVIO]]="",$AT83&lt;=$AR$1),3,
AND(Tabela18[[#This Row],[STATUS]]="Em andamento",Tabela18[[#This Row],[DATA REAL - ENVIO]]&lt;&gt;""),1)</f>
        <v>1</v>
      </c>
      <c r="L83" s="15" cm="1">
        <f t="array" aca="1" ref="L8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POSTAGEM]]="",$AW83&gt;$AU$1),2,
AND(Tabela18[[#This Row],[STATUS]]="Em andamento",Tabela18[[#This Row],[DATA REAL - POSTAGEM]]="",$AW83&lt;=$AU$1),3,
AND(Tabela18[[#This Row],[STATUS]]="Em andamento",Tabela18[[#This Row],[DATA REAL - POSTAGEM]]&lt;&gt;""),1)</f>
        <v>0</v>
      </c>
      <c r="M83" s="16" cm="1">
        <f t="array" aca="1" ref="M8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APROVAÇÃO]]="",$AZ83&gt;$AX$1),2,
AND(Tabela18[[#This Row],[STATUS]]="Em andamento",Tabela18[[#This Row],[DATA REAL - APROVAÇÃO]]="",$AZ83&lt;=$AX$1),3,
AND(Tabela18[[#This Row],[STATUS]]="Em andamento",Tabela18[[#This Row],[DATA REAL - APROVAÇÃO]]&lt;&gt;""),1)</f>
        <v>0</v>
      </c>
      <c r="N83" s="21">
        <f>IF(Tabela18[[#This Row],[DATA REAL -EMAIL]]&lt;&gt;"",Tabela18[[#This Row],[DATA REAL -EMAIL]]+30,Tabela18[[#This Row],[DATA PREV - EMAIL]]+30)</f>
        <v>45423</v>
      </c>
      <c r="O8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45432</v>
      </c>
      <c r="P8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39</v>
      </c>
      <c r="Q8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39</v>
      </c>
      <c r="R83" s="48">
        <f>MAX(Tabela18[[#This Row],[DATA REAL - POSTAGEM]],Tabela18[[#This Row],[DATA REAL - APROVAÇÃO]])-MIN(Tabela18[[#This Row],[DATA REAL - POSTAGEM]],Tabela18[[#This Row],[DATA REAL - APROVAÇÃO]])+1</f>
        <v>1</v>
      </c>
      <c r="S83" s="16" t="s">
        <v>103</v>
      </c>
      <c r="T83" s="16"/>
      <c r="U83" s="18" t="s">
        <v>104</v>
      </c>
      <c r="V83" s="18" t="s">
        <v>86</v>
      </c>
      <c r="W83" s="16" t="s">
        <v>97</v>
      </c>
      <c r="X83" s="16" t="s">
        <v>89</v>
      </c>
      <c r="Y83" s="16" t="s">
        <v>105</v>
      </c>
      <c r="Z83" s="15" t="s">
        <v>965</v>
      </c>
      <c r="AA83" s="15" t="str">
        <f>_xlfn.XLOOKUP(Tabela18[[#This Row],[CÓD. CT]],Controle_Projetos[COD CT],Controle_Projetos[COD PHD],"")</f>
        <v>TERR-CT07-P145</v>
      </c>
      <c r="AB83" s="16"/>
      <c r="AC83" s="21">
        <v>45383</v>
      </c>
      <c r="AD8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45432</v>
      </c>
      <c r="AE83" s="16" cm="1">
        <f t="array" aca="1" ref="AE8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50</v>
      </c>
      <c r="AF83" s="21">
        <v>45393</v>
      </c>
      <c r="AG83" s="74">
        <v>45393</v>
      </c>
      <c r="AH83" s="16" cm="1">
        <f t="array" aca="1" ref="AH8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3" s="21">
        <v>45393</v>
      </c>
      <c r="AJ83" s="74">
        <v>45393</v>
      </c>
      <c r="AK83" s="16" cm="1">
        <f t="array" aca="1" ref="AK8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3" s="20">
        <f t="shared" si="10"/>
        <v>45400</v>
      </c>
      <c r="AM83" s="74">
        <v>45394</v>
      </c>
      <c r="AN83" s="15" cm="1">
        <f t="array" aca="1" ref="AN8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83" s="20">
        <f t="shared" si="11"/>
        <v>45397</v>
      </c>
      <c r="AP83" s="74">
        <v>45398</v>
      </c>
      <c r="AQ83" s="15" cm="1">
        <f t="array" aca="1" ref="AQ8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83" s="20">
        <f t="shared" si="12"/>
        <v>45412</v>
      </c>
      <c r="AS83" s="74">
        <v>45418</v>
      </c>
      <c r="AT83" s="15" cm="1">
        <f t="array" aca="1" ref="AT8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83" s="20">
        <f t="shared" si="13"/>
        <v>45425</v>
      </c>
      <c r="AV83" s="74"/>
      <c r="AW83" s="15" cm="1">
        <f t="array" aca="1" ref="AW8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83" s="20">
        <f t="shared" si="14"/>
        <v>45426</v>
      </c>
      <c r="AY83" s="74"/>
      <c r="AZ83" s="15" cm="1">
        <f t="array" aca="1" ref="AZ8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3" s="80" t="s">
        <v>967</v>
      </c>
    </row>
    <row r="84" spans="2:53" hidden="1" x14ac:dyDescent="0.35">
      <c r="B84" s="14" t="s">
        <v>119</v>
      </c>
      <c r="C84" s="16" t="s">
        <v>867</v>
      </c>
      <c r="D84" s="16" t="s">
        <v>119</v>
      </c>
      <c r="E84" s="16" t="s">
        <v>98</v>
      </c>
      <c r="F84" s="16" cm="1">
        <f t="array" ref="F84">_xlfn.IFS(Tabela18[[#This Row],[STATUS]]="Finalizado",1,Tabela18[[#This Row],[STATUS]]="Cancelado",2,Tabela18[[#This Row],[STATUS]]="Em andamento",3)</f>
        <v>2</v>
      </c>
      <c r="G84" s="16" cm="1">
        <f t="array" aca="1" ref="G8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-EMAIL]]="",$AH84&gt;$AF$1),2,
AND(Tabela18[[#This Row],[STATUS]]="Em andamento",Tabela18[[#This Row],[DATA REAL -EMAIL]]="",$AH84&lt;=$AF$1),3,
AND(Tabela18[[#This Row],[STATUS]]="Em andamento",Tabela18[[#This Row],[DATA REAL -EMAIL]]&lt;&gt;""),1)</f>
        <v>1</v>
      </c>
      <c r="H84" s="16" cm="1">
        <f t="array" aca="1" ref="H8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CLIENTE]]="",$AK84&gt;$AI$1),2,
AND(Tabela18[[#This Row],[STATUS]]="Em andamento",Tabela18[[#This Row],[DATA REAL - DOC CLIENTE]]="",$AK84&lt;=$AI$1),3,
AND(Tabela18[[#This Row],[STATUS]]="Em andamento",Tabela18[[#This Row],[DATA REAL - DOC CLIENTE]]&lt;&gt;""),1)</f>
        <v>1</v>
      </c>
      <c r="I84" s="16" cm="1">
        <f t="array" aca="1" ref="I8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06]]="",$AN84&gt;$AL$1),2,
AND(Tabela18[[#This Row],[STATUS]]="Em andamento",Tabela18[[#This Row],[DATA REAL - ANEXO 06]]="",$AN84&lt;=$AL$1),3,
AND(Tabela18[[#This Row],[STATUS]]="Em andamento",Tabela18[[#This Row],[DATA REAL - ANEXO 06]]&lt;&gt;""),1)</f>
        <v>1</v>
      </c>
      <c r="J84" s="15" cm="1">
        <f t="array" aca="1" ref="J8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LEGAIS]]="",$AQ84&gt;$AO$1),2,
AND(Tabela18[[#This Row],[STATUS]]="Em andamento",Tabela18[[#This Row],[DATA REAL - SOLIC. PROG LEGAIS]]="",$AQ84&lt;=$AO$1),3,
AND(Tabela18[[#This Row],[STATUS]]="Em andamento",Tabela18[[#This Row],[DATA REAL - SOLIC. PROG LEGAIS]]&lt;&gt;""),1)</f>
        <v>1</v>
      </c>
      <c r="K84" s="15" cm="1">
        <f t="array" aca="1" ref="K8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ENVIO]]="",$AT84&gt;$AR$1),2,
AND(Tabela18[[#This Row],[STATUS]]="Em andamento",Tabela18[[#This Row],[DATA REAL - ENVIO]]="",$AT84&lt;=$AR$1),3,
AND(Tabela18[[#This Row],[STATUS]]="Em andamento",Tabela18[[#This Row],[DATA REAL - ENVIO]]&lt;&gt;""),1)</f>
        <v>0</v>
      </c>
      <c r="L84" s="15" cm="1">
        <f t="array" aca="1" ref="L8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POSTAGEM]]="",$AW84&gt;$AU$1),2,
AND(Tabela18[[#This Row],[STATUS]]="Em andamento",Tabela18[[#This Row],[DATA REAL - POSTAGEM]]="",$AW84&lt;=$AU$1),3,
AND(Tabela18[[#This Row],[STATUS]]="Em andamento",Tabela18[[#This Row],[DATA REAL - POSTAGEM]]&lt;&gt;""),1)</f>
        <v>0</v>
      </c>
      <c r="M84" s="16" cm="1">
        <f t="array" aca="1" ref="M8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APROVAÇÃO]]="",$AZ84&gt;$AX$1),2,
AND(Tabela18[[#This Row],[STATUS]]="Em andamento",Tabela18[[#This Row],[DATA REAL - APROVAÇÃO]]="",$AZ84&lt;=$AX$1),3,
AND(Tabela18[[#This Row],[STATUS]]="Em andamento",Tabela18[[#This Row],[DATA REAL - APROVAÇÃO]]&lt;&gt;""),1)</f>
        <v>0</v>
      </c>
      <c r="N84" s="21">
        <f>IF(Tabela18[[#This Row],[DATA REAL -EMAIL]]&lt;&gt;"",Tabela18[[#This Row],[DATA REAL -EMAIL]]+30,Tabela18[[#This Row],[DATA PREV - EMAIL]]+30)</f>
        <v>45430</v>
      </c>
      <c r="O8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45405</v>
      </c>
      <c r="P8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v>
      </c>
      <c r="Q8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84" s="48">
        <f>MAX(Tabela18[[#This Row],[DATA REAL - POSTAGEM]],Tabela18[[#This Row],[DATA REAL - APROVAÇÃO]])-MIN(Tabela18[[#This Row],[DATA REAL - POSTAGEM]],Tabela18[[#This Row],[DATA REAL - APROVAÇÃO]])+1</f>
        <v>1</v>
      </c>
      <c r="S84" s="16" t="s">
        <v>158</v>
      </c>
      <c r="T84" s="16"/>
      <c r="U84" s="18" t="s">
        <v>159</v>
      </c>
      <c r="V84" s="18" t="s">
        <v>152</v>
      </c>
      <c r="W84" s="16" t="s">
        <v>87</v>
      </c>
      <c r="X84" s="16" t="s">
        <v>89</v>
      </c>
      <c r="Y84" s="16" t="s">
        <v>968</v>
      </c>
      <c r="Z84" s="15" t="s">
        <v>969</v>
      </c>
      <c r="AA84" s="15" t="str">
        <f>_xlfn.XLOOKUP(Tabela18[[#This Row],[CÓD. CT]],Controle_Projetos[COD CT],Controle_Projetos[COD PHD],"")</f>
        <v>SALU-CT07-MINE</v>
      </c>
      <c r="AB84" s="16"/>
      <c r="AC84" s="21">
        <v>45393</v>
      </c>
      <c r="AD8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45399</v>
      </c>
      <c r="AE84" s="16" cm="1">
        <f t="array" aca="1" ref="AE8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7</v>
      </c>
      <c r="AF84" s="21">
        <v>45400</v>
      </c>
      <c r="AG84" s="74">
        <v>45400</v>
      </c>
      <c r="AH84" s="16" cm="1">
        <f t="array" aca="1" ref="AH8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4" s="21">
        <v>45400</v>
      </c>
      <c r="AJ84" s="74">
        <v>45401</v>
      </c>
      <c r="AK84" s="16" cm="1">
        <f t="array" aca="1" ref="AK8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4" s="20">
        <f t="shared" si="10"/>
        <v>45408</v>
      </c>
      <c r="AM84" s="74">
        <v>45400</v>
      </c>
      <c r="AN84" s="15" cm="1">
        <f t="array" aca="1" ref="AN8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84" s="20">
        <f t="shared" si="11"/>
        <v>45401</v>
      </c>
      <c r="AP84" s="74">
        <v>45405</v>
      </c>
      <c r="AQ84" s="15" cm="1">
        <f t="array" aca="1" ref="AQ8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84" s="20">
        <f t="shared" si="12"/>
        <v>45419</v>
      </c>
      <c r="AS84" s="74"/>
      <c r="AT84" s="15" cm="1">
        <f t="array" aca="1" ref="AT8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84" s="20">
        <f t="shared" si="13"/>
        <v>45426</v>
      </c>
      <c r="AV84" s="74"/>
      <c r="AW84" s="15" cm="1">
        <f t="array" aca="1" ref="AW8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84" s="20">
        <f t="shared" si="14"/>
        <v>45427</v>
      </c>
      <c r="AY84" s="74"/>
      <c r="AZ84" s="15" cm="1">
        <f t="array" aca="1" ref="AZ8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4" s="80"/>
    </row>
    <row r="85" spans="2:53" hidden="1" x14ac:dyDescent="0.35">
      <c r="B85" s="14" t="s">
        <v>79</v>
      </c>
      <c r="C85" s="16" t="s">
        <v>867</v>
      </c>
      <c r="D85" s="16" t="s">
        <v>108</v>
      </c>
      <c r="E85" s="16" t="s">
        <v>98</v>
      </c>
      <c r="F85" s="16" cm="1">
        <f t="array" ref="F85">_xlfn.IFS(Tabela18[[#This Row],[STATUS]]="Finalizado",1,Tabela18[[#This Row],[STATUS]]="Cancelado",2,Tabela18[[#This Row],[STATUS]]="Em andamento",3)</f>
        <v>1</v>
      </c>
      <c r="G85" s="16" cm="1">
        <f t="array" aca="1" ref="G8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-EMAIL]]="",$AH85&gt;$AF$1),2,
AND(Tabela18[[#This Row],[STATUS]]="Em andamento",Tabela18[[#This Row],[DATA REAL -EMAIL]]="",$AH85&lt;=$AF$1),3,
AND(Tabela18[[#This Row],[STATUS]]="Em andamento",Tabela18[[#This Row],[DATA REAL -EMAIL]]&lt;&gt;""),1)</f>
        <v>1</v>
      </c>
      <c r="H85" s="16" cm="1">
        <f t="array" aca="1" ref="H8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CLIENTE]]="",$AK85&gt;$AI$1),2,
AND(Tabela18[[#This Row],[STATUS]]="Em andamento",Tabela18[[#This Row],[DATA REAL - DOC CLIENTE]]="",$AK85&lt;=$AI$1),3,
AND(Tabela18[[#This Row],[STATUS]]="Em andamento",Tabela18[[#This Row],[DATA REAL - DOC CLIENTE]]&lt;&gt;""),1)</f>
        <v>1</v>
      </c>
      <c r="I85" s="16" cm="1">
        <f t="array" aca="1" ref="I8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06]]="",$AN85&gt;$AL$1),2,
AND(Tabela18[[#This Row],[STATUS]]="Em andamento",Tabela18[[#This Row],[DATA REAL - ANEXO 06]]="",$AN85&lt;=$AL$1),3,
AND(Tabela18[[#This Row],[STATUS]]="Em andamento",Tabela18[[#This Row],[DATA REAL - ANEXO 06]]&lt;&gt;""),1)</f>
        <v>1</v>
      </c>
      <c r="J85" s="15" cm="1">
        <f t="array" aca="1" ref="J8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LEGAIS]]="",$AQ85&gt;$AO$1),2,
AND(Tabela18[[#This Row],[STATUS]]="Em andamento",Tabela18[[#This Row],[DATA REAL - SOLIC. PROG LEGAIS]]="",$AQ85&lt;=$AO$1),3,
AND(Tabela18[[#This Row],[STATUS]]="Em andamento",Tabela18[[#This Row],[DATA REAL - SOLIC. PROG LEGAIS]]&lt;&gt;""),1)</f>
        <v>1</v>
      </c>
      <c r="K85" s="15" cm="1">
        <f t="array" aca="1" ref="K8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ENVIO]]="",$AT85&gt;$AR$1),2,
AND(Tabela18[[#This Row],[STATUS]]="Em andamento",Tabela18[[#This Row],[DATA REAL - ENVIO]]="",$AT85&lt;=$AR$1),3,
AND(Tabela18[[#This Row],[STATUS]]="Em andamento",Tabela18[[#This Row],[DATA REAL - ENVIO]]&lt;&gt;""),1)</f>
        <v>1</v>
      </c>
      <c r="L85" s="15" cm="1">
        <f t="array" aca="1" ref="L8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POSTAGEM]]="",$AW85&gt;$AU$1),2,
AND(Tabela18[[#This Row],[STATUS]]="Em andamento",Tabela18[[#This Row],[DATA REAL - POSTAGEM]]="",$AW85&lt;=$AU$1),3,
AND(Tabela18[[#This Row],[STATUS]]="Em andamento",Tabela18[[#This Row],[DATA REAL - POSTAGEM]]&lt;&gt;""),1)</f>
        <v>1</v>
      </c>
      <c r="M85" s="16" cm="1">
        <f t="array" aca="1" ref="M8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APROVAÇÃO]]="",$AZ85&gt;$AX$1),2,
AND(Tabela18[[#This Row],[STATUS]]="Em andamento",Tabela18[[#This Row],[DATA REAL - APROVAÇÃO]]="",$AZ85&lt;=$AX$1),3,
AND(Tabela18[[#This Row],[STATUS]]="Em andamento",Tabela18[[#This Row],[DATA REAL - APROVAÇÃO]]&lt;&gt;""),1)</f>
        <v>1</v>
      </c>
      <c r="N85" s="21">
        <f>IF(Tabela18[[#This Row],[DATA REAL -EMAIL]]&lt;&gt;"",Tabela18[[#This Row],[DATA REAL -EMAIL]]+30,Tabela18[[#This Row],[DATA PREV - EMAIL]]+30)</f>
        <v>45430</v>
      </c>
      <c r="O8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45420</v>
      </c>
      <c r="P8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v>
      </c>
      <c r="Q8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v>
      </c>
      <c r="R85" s="48">
        <f>MAX(Tabela18[[#This Row],[DATA REAL - POSTAGEM]],Tabela18[[#This Row],[DATA REAL - APROVAÇÃO]])-MIN(Tabela18[[#This Row],[DATA REAL - POSTAGEM]],Tabela18[[#This Row],[DATA REAL - APROVAÇÃO]])+1</f>
        <v>1</v>
      </c>
      <c r="S85" s="16" t="s">
        <v>158</v>
      </c>
      <c r="T85" s="16"/>
      <c r="U85" s="18" t="s">
        <v>159</v>
      </c>
      <c r="V85" s="18" t="s">
        <v>152</v>
      </c>
      <c r="W85" s="16" t="s">
        <v>97</v>
      </c>
      <c r="X85" s="16" t="s">
        <v>89</v>
      </c>
      <c r="Y85" s="16" t="s">
        <v>968</v>
      </c>
      <c r="Z85" s="15" t="s">
        <v>969</v>
      </c>
      <c r="AA85" s="15" t="str">
        <f>_xlfn.XLOOKUP(Tabela18[[#This Row],[CÓD. CT]],Controle_Projetos[COD CT],Controle_Projetos[COD PHD],"")</f>
        <v>SALU-CT07-MINE</v>
      </c>
      <c r="AB85" s="16"/>
      <c r="AC85" s="21">
        <v>45393</v>
      </c>
      <c r="AD8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45399</v>
      </c>
      <c r="AE85" s="16" cm="1">
        <f t="array" aca="1" ref="AE8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7</v>
      </c>
      <c r="AF85" s="21">
        <v>45400</v>
      </c>
      <c r="AG85" s="74">
        <v>45400</v>
      </c>
      <c r="AH85" s="16" cm="1">
        <f t="array" aca="1" ref="AH8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5" s="21">
        <v>45400</v>
      </c>
      <c r="AJ85" s="74">
        <v>45401</v>
      </c>
      <c r="AK85" s="16" cm="1">
        <f t="array" aca="1" ref="AK8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5" s="20">
        <f t="shared" si="10"/>
        <v>45408</v>
      </c>
      <c r="AM85" s="74">
        <v>45400</v>
      </c>
      <c r="AN85" s="15" cm="1">
        <f t="array" aca="1" ref="AN8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85" s="20">
        <f t="shared" si="11"/>
        <v>45401</v>
      </c>
      <c r="AP85" s="74">
        <v>45405</v>
      </c>
      <c r="AQ85" s="15" cm="1">
        <f t="array" aca="1" ref="AQ8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85" s="20">
        <f t="shared" si="12"/>
        <v>45419</v>
      </c>
      <c r="AS85" s="74">
        <v>45420</v>
      </c>
      <c r="AT85" s="15" cm="1">
        <f t="array" aca="1" ref="AT8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85" s="20">
        <f t="shared" si="13"/>
        <v>45427</v>
      </c>
      <c r="AV85" s="74">
        <v>45420</v>
      </c>
      <c r="AW85" s="15" cm="1">
        <f t="array" aca="1" ref="AW8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85" s="20">
        <f t="shared" si="14"/>
        <v>45421</v>
      </c>
      <c r="AY85" s="74">
        <v>45420</v>
      </c>
      <c r="AZ85" s="15" cm="1">
        <f t="array" aca="1" ref="AZ8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85" s="16"/>
    </row>
    <row r="86" spans="2:53" hidden="1" x14ac:dyDescent="0.35">
      <c r="B86" s="14" t="s">
        <v>119</v>
      </c>
      <c r="C86" s="16" t="s">
        <v>867</v>
      </c>
      <c r="D86" s="16" t="s">
        <v>119</v>
      </c>
      <c r="E86" s="16" t="s">
        <v>98</v>
      </c>
      <c r="F86" s="16" cm="1">
        <f t="array" ref="F86">_xlfn.IFS(Tabela18[[#This Row],[STATUS]]="Finalizado",1,Tabela18[[#This Row],[STATUS]]="Cancelado",2,Tabela18[[#This Row],[STATUS]]="Em andamento",3)</f>
        <v>2</v>
      </c>
      <c r="G86" s="16" cm="1">
        <f t="array" aca="1" ref="G8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-EMAIL]]="",$AH86&gt;$AF$1),2,
AND(Tabela18[[#This Row],[STATUS]]="Em andamento",Tabela18[[#This Row],[DATA REAL -EMAIL]]="",$AH86&lt;=$AF$1),3,
AND(Tabela18[[#This Row],[STATUS]]="Em andamento",Tabela18[[#This Row],[DATA REAL -EMAIL]]&lt;&gt;""),1)</f>
        <v>1</v>
      </c>
      <c r="H86" s="16" cm="1">
        <f t="array" aca="1" ref="H8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CLIENTE]]="",$AK86&gt;$AI$1),2,
AND(Tabela18[[#This Row],[STATUS]]="Em andamento",Tabela18[[#This Row],[DATA REAL - DOC CLIENTE]]="",$AK86&lt;=$AI$1),3,
AND(Tabela18[[#This Row],[STATUS]]="Em andamento",Tabela18[[#This Row],[DATA REAL - DOC CLIENTE]]&lt;&gt;""),1)</f>
        <v>1</v>
      </c>
      <c r="I86" s="16" cm="1">
        <f t="array" aca="1" ref="I8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06]]="",$AN86&gt;$AL$1),2,
AND(Tabela18[[#This Row],[STATUS]]="Em andamento",Tabela18[[#This Row],[DATA REAL - ANEXO 06]]="",$AN86&lt;=$AL$1),3,
AND(Tabela18[[#This Row],[STATUS]]="Em andamento",Tabela18[[#This Row],[DATA REAL - ANEXO 06]]&lt;&gt;""),1)</f>
        <v>1</v>
      </c>
      <c r="J86" s="15" cm="1">
        <f t="array" aca="1" ref="J8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LEGAIS]]="",$AQ86&gt;$AO$1),2,
AND(Tabela18[[#This Row],[STATUS]]="Em andamento",Tabela18[[#This Row],[DATA REAL - SOLIC. PROG LEGAIS]]="",$AQ86&lt;=$AO$1),3,
AND(Tabela18[[#This Row],[STATUS]]="Em andamento",Tabela18[[#This Row],[DATA REAL - SOLIC. PROG LEGAIS]]&lt;&gt;""),1)</f>
        <v>1</v>
      </c>
      <c r="K86" s="15" cm="1">
        <f t="array" aca="1" ref="K8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ENVIO]]="",$AT86&gt;$AR$1),2,
AND(Tabela18[[#This Row],[STATUS]]="Em andamento",Tabela18[[#This Row],[DATA REAL - ENVIO]]="",$AT86&lt;=$AR$1),3,
AND(Tabela18[[#This Row],[STATUS]]="Em andamento",Tabela18[[#This Row],[DATA REAL - ENVIO]]&lt;&gt;""),1)</f>
        <v>0</v>
      </c>
      <c r="L86" s="15" cm="1">
        <f t="array" aca="1" ref="L8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POSTAGEM]]="",$AW86&gt;$AU$1),2,
AND(Tabela18[[#This Row],[STATUS]]="Em andamento",Tabela18[[#This Row],[DATA REAL - POSTAGEM]]="",$AW86&lt;=$AU$1),3,
AND(Tabela18[[#This Row],[STATUS]]="Em andamento",Tabela18[[#This Row],[DATA REAL - POSTAGEM]]&lt;&gt;""),1)</f>
        <v>0</v>
      </c>
      <c r="M86" s="16" cm="1">
        <f t="array" aca="1" ref="M8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APROVAÇÃO]]="",$AZ86&gt;$AX$1),2,
AND(Tabela18[[#This Row],[STATUS]]="Em andamento",Tabela18[[#This Row],[DATA REAL - APROVAÇÃO]]="",$AZ86&lt;=$AX$1),3,
AND(Tabela18[[#This Row],[STATUS]]="Em andamento",Tabela18[[#This Row],[DATA REAL - APROVAÇÃO]]&lt;&gt;""),1)</f>
        <v>0</v>
      </c>
      <c r="N86" s="21">
        <f>IF(Tabela18[[#This Row],[DATA REAL -EMAIL]]&lt;&gt;"",Tabela18[[#This Row],[DATA REAL -EMAIL]]+30,Tabela18[[#This Row],[DATA PREV - EMAIL]]+30)</f>
        <v>45430</v>
      </c>
      <c r="O8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45405</v>
      </c>
      <c r="P8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v>
      </c>
      <c r="Q8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v>
      </c>
      <c r="R86" s="48">
        <f>MAX(Tabela18[[#This Row],[DATA REAL - POSTAGEM]],Tabela18[[#This Row],[DATA REAL - APROVAÇÃO]])-MIN(Tabela18[[#This Row],[DATA REAL - POSTAGEM]],Tabela18[[#This Row],[DATA REAL - APROVAÇÃO]])+1</f>
        <v>1</v>
      </c>
      <c r="S86" s="16" t="s">
        <v>158</v>
      </c>
      <c r="T86" s="16"/>
      <c r="U86" s="18" t="s">
        <v>159</v>
      </c>
      <c r="V86" s="18" t="s">
        <v>152</v>
      </c>
      <c r="W86" s="16" t="s">
        <v>87</v>
      </c>
      <c r="X86" s="16" t="s">
        <v>89</v>
      </c>
      <c r="Y86" s="16" t="s">
        <v>968</v>
      </c>
      <c r="Z86" s="15" t="s">
        <v>969</v>
      </c>
      <c r="AA86" s="15" t="str">
        <f>_xlfn.XLOOKUP(Tabela18[[#This Row],[CÓD. CT]],Controle_Projetos[COD CT],Controle_Projetos[COD PHD],"")</f>
        <v>SALU-CT07-MINE</v>
      </c>
      <c r="AB86" s="16"/>
      <c r="AC86" s="21">
        <v>45393</v>
      </c>
      <c r="AD8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45399</v>
      </c>
      <c r="AE86" s="16" cm="1">
        <f t="array" aca="1" ref="AE8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7</v>
      </c>
      <c r="AF86" s="21">
        <v>45400</v>
      </c>
      <c r="AG86" s="74">
        <v>45400</v>
      </c>
      <c r="AH86" s="16" cm="1">
        <f t="array" aca="1" ref="AH8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6" s="21">
        <v>45400</v>
      </c>
      <c r="AJ86" s="74">
        <v>45401</v>
      </c>
      <c r="AK86" s="16" cm="1">
        <f t="array" aca="1" ref="AK8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6" s="20">
        <f t="shared" si="10"/>
        <v>45408</v>
      </c>
      <c r="AM86" s="74">
        <v>45400</v>
      </c>
      <c r="AN86" s="15" cm="1">
        <f t="array" aca="1" ref="AN8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86" s="20">
        <f t="shared" si="11"/>
        <v>45401</v>
      </c>
      <c r="AP86" s="74">
        <v>45405</v>
      </c>
      <c r="AQ86" s="15" cm="1">
        <f t="array" aca="1" ref="AQ8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86" s="20">
        <f t="shared" si="12"/>
        <v>45419</v>
      </c>
      <c r="AS86" s="74"/>
      <c r="AT86" s="15" cm="1">
        <f t="array" aca="1" ref="AT8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86" s="20">
        <f t="shared" si="13"/>
        <v>45426</v>
      </c>
      <c r="AV86" s="74"/>
      <c r="AW86" s="15" cm="1">
        <f t="array" aca="1" ref="AW8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86" s="20">
        <f t="shared" si="14"/>
        <v>45427</v>
      </c>
      <c r="AY86" s="74"/>
      <c r="AZ86" s="15" cm="1">
        <f t="array" aca="1" ref="AZ8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6" s="80"/>
    </row>
    <row r="87" spans="2:53" hidden="1" x14ac:dyDescent="0.35">
      <c r="B87" s="14" t="s">
        <v>79</v>
      </c>
      <c r="C87" s="16" t="s">
        <v>136</v>
      </c>
      <c r="D87" s="16" t="s">
        <v>81</v>
      </c>
      <c r="E87" s="16" t="s">
        <v>970</v>
      </c>
      <c r="F87" s="16" cm="1">
        <f t="array" ref="F87">_xlfn.IFS(Tabela18[[#This Row],[STATUS]]="Finalizado",1,Tabela18[[#This Row],[STATUS]]="Cancelado",2,Tabela18[[#This Row],[STATUS]]="Em andamento",3)</f>
        <v>1</v>
      </c>
      <c r="G87" s="16" cm="1">
        <f t="array" aca="1" ref="G8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-EMAIL]]="",$AH87&gt;$AF$1),2,
AND(Tabela18[[#This Row],[STATUS]]="Em andamento",Tabela18[[#This Row],[DATA REAL -EMAIL]]="",$AH87&lt;=$AF$1),3,
AND(Tabela18[[#This Row],[STATUS]]="Em andamento",Tabela18[[#This Row],[DATA REAL -EMAIL]]&lt;&gt;""),1)</f>
        <v>1</v>
      </c>
      <c r="H87" s="16" cm="1">
        <f t="array" aca="1" ref="H8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CLIENTE]]="",$AK87&gt;$AI$1),2,
AND(Tabela18[[#This Row],[STATUS]]="Em andamento",Tabela18[[#This Row],[DATA REAL - DOC CLIENTE]]="",$AK87&lt;=$AI$1),3,
AND(Tabela18[[#This Row],[STATUS]]="Em andamento",Tabela18[[#This Row],[DATA REAL - DOC CLIENTE]]&lt;&gt;""),1)</f>
        <v>1</v>
      </c>
      <c r="I87" s="16" cm="1">
        <f t="array" aca="1" ref="I8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06]]="",$AN87&gt;$AL$1),2,
AND(Tabela18[[#This Row],[STATUS]]="Em andamento",Tabela18[[#This Row],[DATA REAL - ANEXO 06]]="",$AN87&lt;=$AL$1),3,
AND(Tabela18[[#This Row],[STATUS]]="Em andamento",Tabela18[[#This Row],[DATA REAL - ANEXO 06]]&lt;&gt;""),1)</f>
        <v>1</v>
      </c>
      <c r="J87" s="15" cm="1">
        <f t="array" aca="1" ref="J8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LEGAIS]]="",$AQ87&gt;$AO$1),2,
AND(Tabela18[[#This Row],[STATUS]]="Em andamento",Tabela18[[#This Row],[DATA REAL - SOLIC. PROG LEGAIS]]="",$AQ87&lt;=$AO$1),3,
AND(Tabela18[[#This Row],[STATUS]]="Em andamento",Tabela18[[#This Row],[DATA REAL - SOLIC. PROG LEGAIS]]&lt;&gt;""),1)</f>
        <v>1</v>
      </c>
      <c r="K87" s="15" cm="1">
        <f t="array" aca="1" ref="K8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ENVIO]]="",$AT87&gt;$AR$1),2,
AND(Tabela18[[#This Row],[STATUS]]="Em andamento",Tabela18[[#This Row],[DATA REAL - ENVIO]]="",$AT87&lt;=$AR$1),3,
AND(Tabela18[[#This Row],[STATUS]]="Em andamento",Tabela18[[#This Row],[DATA REAL - ENVIO]]&lt;&gt;""),1)</f>
        <v>1</v>
      </c>
      <c r="L87" s="15" cm="1">
        <f t="array" aca="1" ref="L8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POSTAGEM]]="",$AW87&gt;$AU$1),2,
AND(Tabela18[[#This Row],[STATUS]]="Em andamento",Tabela18[[#This Row],[DATA REAL - POSTAGEM]]="",$AW87&lt;=$AU$1),3,
AND(Tabela18[[#This Row],[STATUS]]="Em andamento",Tabela18[[#This Row],[DATA REAL - POSTAGEM]]&lt;&gt;""),1)</f>
        <v>1</v>
      </c>
      <c r="M87" s="16" cm="1">
        <f t="array" aca="1" ref="M8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APROVAÇÃO]]="",$AZ87&gt;$AX$1),2,
AND(Tabela18[[#This Row],[STATUS]]="Em andamento",Tabela18[[#This Row],[DATA REAL - APROVAÇÃO]]="",$AZ87&lt;=$AX$1),3,
AND(Tabela18[[#This Row],[STATUS]]="Em andamento",Tabela18[[#This Row],[DATA REAL - APROVAÇÃO]]&lt;&gt;""),1)</f>
        <v>1</v>
      </c>
      <c r="N87" s="21">
        <f>IF(Tabela18[[#This Row],[DATA REAL -EMAIL]]&lt;&gt;"",Tabela18[[#This Row],[DATA REAL -EMAIL]]+30,Tabela18[[#This Row],[DATA PREV - EMAIL]]+30)</f>
        <v>45427</v>
      </c>
      <c r="O8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45408</v>
      </c>
      <c r="P8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11</v>
      </c>
      <c r="Q8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87" s="48">
        <f>MAX(Tabela18[[#This Row],[DATA REAL - POSTAGEM]],Tabela18[[#This Row],[DATA REAL - APROVAÇÃO]])-MIN(Tabela18[[#This Row],[DATA REAL - POSTAGEM]],Tabela18[[#This Row],[DATA REAL - APROVAÇÃO]])+1</f>
        <v>1</v>
      </c>
      <c r="S87" s="16" t="s">
        <v>83</v>
      </c>
      <c r="T87" s="16"/>
      <c r="U87" s="18" t="s">
        <v>85</v>
      </c>
      <c r="V87" s="18" t="s">
        <v>86</v>
      </c>
      <c r="W87" s="16" t="s">
        <v>97</v>
      </c>
      <c r="X87" s="16" t="s">
        <v>971</v>
      </c>
      <c r="Y87" s="16" t="s">
        <v>972</v>
      </c>
      <c r="Z87" s="15" t="s">
        <v>973</v>
      </c>
      <c r="AA87" s="15" t="str">
        <f>_xlfn.XLOOKUP(Tabela18[[#This Row],[CÓD. CT]],Controle_Projetos[COD CT],Controle_Projetos[COD PHD],"")</f>
        <v>ATRI-CT01-AERO</v>
      </c>
      <c r="AB87" s="16"/>
      <c r="AC87" s="21">
        <v>45394</v>
      </c>
      <c r="AD8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45404</v>
      </c>
      <c r="AE87" s="16" cm="1">
        <f t="array" aca="1" ref="AE8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11</v>
      </c>
      <c r="AF87" s="21">
        <v>45394</v>
      </c>
      <c r="AG87" s="74">
        <v>45397</v>
      </c>
      <c r="AH87" s="16" cm="1">
        <f t="array" aca="1" ref="AH8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4</v>
      </c>
      <c r="AI87" s="21">
        <v>45397</v>
      </c>
      <c r="AJ87" s="74">
        <v>45397</v>
      </c>
      <c r="AK87" s="16" cm="1">
        <f t="array" aca="1" ref="AK8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4</v>
      </c>
      <c r="AL87" s="20">
        <f t="shared" si="10"/>
        <v>45404</v>
      </c>
      <c r="AM87" s="74">
        <v>45404</v>
      </c>
      <c r="AN87" s="15" cm="1">
        <f t="array" aca="1" ref="AN8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87" s="20">
        <f t="shared" si="11"/>
        <v>45405</v>
      </c>
      <c r="AP87" s="74">
        <v>45400</v>
      </c>
      <c r="AQ87" s="15" cm="1">
        <f t="array" aca="1" ref="AQ8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87" s="20">
        <f t="shared" si="12"/>
        <v>45414</v>
      </c>
      <c r="AS87" s="74">
        <v>45408</v>
      </c>
      <c r="AT87" s="15" cm="1">
        <f t="array" aca="1" ref="AT8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87" s="20">
        <f t="shared" si="13"/>
        <v>45415</v>
      </c>
      <c r="AV87" s="74">
        <v>45408</v>
      </c>
      <c r="AW87" s="15" cm="1">
        <f t="array" aca="1" ref="AW8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87" s="20">
        <f t="shared" si="14"/>
        <v>45411</v>
      </c>
      <c r="AY87" s="74">
        <v>45408</v>
      </c>
      <c r="AZ87" s="15" cm="1">
        <f t="array" aca="1" ref="AZ8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87" s="16" t="s">
        <v>974</v>
      </c>
    </row>
    <row r="88" spans="2:53" hidden="1" x14ac:dyDescent="0.35">
      <c r="B88" s="14" t="s">
        <v>119</v>
      </c>
      <c r="C88" s="16" t="s">
        <v>867</v>
      </c>
      <c r="D88" s="16" t="s">
        <v>119</v>
      </c>
      <c r="E88" s="16" t="s">
        <v>975</v>
      </c>
      <c r="F88" s="16" cm="1">
        <f t="array" ref="F88">_xlfn.IFS(Tabela18[[#This Row],[STATUS]]="Finalizado",1,Tabela18[[#This Row],[STATUS]]="Cancelado",2,Tabela18[[#This Row],[STATUS]]="Em andamento",3)</f>
        <v>2</v>
      </c>
      <c r="G88" s="16" cm="1">
        <f t="array" aca="1" ref="G8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-EMAIL]]="",$AH88&gt;$AF$1),2,
AND(Tabela18[[#This Row],[STATUS]]="Em andamento",Tabela18[[#This Row],[DATA REAL -EMAIL]]="",$AH88&lt;=$AF$1),3,
AND(Tabela18[[#This Row],[STATUS]]="Em andamento",Tabela18[[#This Row],[DATA REAL -EMAIL]]&lt;&gt;""),1)</f>
        <v>1</v>
      </c>
      <c r="H88" s="16" cm="1">
        <f t="array" aca="1" ref="H8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CLIENTE]]="",$AK88&gt;$AI$1),2,
AND(Tabela18[[#This Row],[STATUS]]="Em andamento",Tabela18[[#This Row],[DATA REAL - DOC CLIENTE]]="",$AK88&lt;=$AI$1),3,
AND(Tabela18[[#This Row],[STATUS]]="Em andamento",Tabela18[[#This Row],[DATA REAL - DOC CLIENTE]]&lt;&gt;""),1)</f>
        <v>1</v>
      </c>
      <c r="I88" s="16" cm="1">
        <f t="array" aca="1" ref="I8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06]]="",$AN88&gt;$AL$1),2,
AND(Tabela18[[#This Row],[STATUS]]="Em andamento",Tabela18[[#This Row],[DATA REAL - ANEXO 06]]="",$AN88&lt;=$AL$1),3,
AND(Tabela18[[#This Row],[STATUS]]="Em andamento",Tabela18[[#This Row],[DATA REAL - ANEXO 06]]&lt;&gt;""),1)</f>
        <v>1</v>
      </c>
      <c r="J88" s="15" cm="1">
        <f t="array" aca="1" ref="J8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LEGAIS]]="",$AQ88&gt;$AO$1),2,
AND(Tabela18[[#This Row],[STATUS]]="Em andamento",Tabela18[[#This Row],[DATA REAL - SOLIC. PROG LEGAIS]]="",$AQ88&lt;=$AO$1),3,
AND(Tabela18[[#This Row],[STATUS]]="Em andamento",Tabela18[[#This Row],[DATA REAL - SOLIC. PROG LEGAIS]]&lt;&gt;""),1)</f>
        <v>1</v>
      </c>
      <c r="K88" s="15" cm="1">
        <f t="array" aca="1" ref="K8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ENVIO]]="",$AT88&gt;$AR$1),2,
AND(Tabela18[[#This Row],[STATUS]]="Em andamento",Tabela18[[#This Row],[DATA REAL - ENVIO]]="",$AT88&lt;=$AR$1),3,
AND(Tabela18[[#This Row],[STATUS]]="Em andamento",Tabela18[[#This Row],[DATA REAL - ENVIO]]&lt;&gt;""),1)</f>
        <v>1</v>
      </c>
      <c r="L88" s="15" cm="1">
        <f t="array" aca="1" ref="L8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POSTAGEM]]="",$AW88&gt;$AU$1),2,
AND(Tabela18[[#This Row],[STATUS]]="Em andamento",Tabela18[[#This Row],[DATA REAL - POSTAGEM]]="",$AW88&lt;=$AU$1),3,
AND(Tabela18[[#This Row],[STATUS]]="Em andamento",Tabela18[[#This Row],[DATA REAL - POSTAGEM]]&lt;&gt;""),1)</f>
        <v>0</v>
      </c>
      <c r="M88" s="16" cm="1">
        <f t="array" aca="1" ref="M8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APROVAÇÃO]]="",$AZ88&gt;$AX$1),2,
AND(Tabela18[[#This Row],[STATUS]]="Em andamento",Tabela18[[#This Row],[DATA REAL - APROVAÇÃO]]="",$AZ88&lt;=$AX$1),3,
AND(Tabela18[[#This Row],[STATUS]]="Em andamento",Tabela18[[#This Row],[DATA REAL - APROVAÇÃO]]&lt;&gt;""),1)</f>
        <v>0</v>
      </c>
      <c r="N88" s="21">
        <f>IF(Tabela18[[#This Row],[DATA REAL -EMAIL]]&lt;&gt;"",Tabela18[[#This Row],[DATA REAL -EMAIL]]+30,Tabela18[[#This Row],[DATA PREV - EMAIL]]+30)</f>
        <v>45434</v>
      </c>
      <c r="O8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45428</v>
      </c>
      <c r="P8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24</v>
      </c>
      <c r="Q8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88" s="48">
        <f>MAX(Tabela18[[#This Row],[DATA REAL - POSTAGEM]],Tabela18[[#This Row],[DATA REAL - APROVAÇÃO]])-MIN(Tabela18[[#This Row],[DATA REAL - POSTAGEM]],Tabela18[[#This Row],[DATA REAL - APROVAÇÃO]])+1</f>
        <v>1</v>
      </c>
      <c r="S88" s="16" t="s">
        <v>130</v>
      </c>
      <c r="T88" s="16"/>
      <c r="U88" s="18" t="s">
        <v>131</v>
      </c>
      <c r="V88" s="18" t="s">
        <v>131</v>
      </c>
      <c r="W88" s="16" t="s">
        <v>87</v>
      </c>
      <c r="X88" s="16" t="s">
        <v>89</v>
      </c>
      <c r="Y88" s="16" t="s">
        <v>105</v>
      </c>
      <c r="Z88" s="15" t="s">
        <v>976</v>
      </c>
      <c r="AA88" s="15" t="str">
        <f>_xlfn.XLOOKUP(Tabela18[[#This Row],[CÓD. CT]],Controle_Projetos[COD CT],Controle_Projetos[COD PHD],"")</f>
        <v>ATER-CT01-FORQ</v>
      </c>
      <c r="AB88" s="16"/>
      <c r="AC88" s="21">
        <v>45398</v>
      </c>
      <c r="AD8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45427</v>
      </c>
      <c r="AE88" s="16" cm="1">
        <f t="array" aca="1" ref="AE8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30</v>
      </c>
      <c r="AF88" s="21">
        <v>45404</v>
      </c>
      <c r="AG88" s="74">
        <v>45404</v>
      </c>
      <c r="AH88" s="16" cm="1">
        <f t="array" aca="1" ref="AH8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88" s="21">
        <v>45404</v>
      </c>
      <c r="AJ88" s="74">
        <v>45405</v>
      </c>
      <c r="AK88" s="16" cm="1">
        <f t="array" aca="1" ref="AK8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88" s="20">
        <f t="shared" si="10"/>
        <v>45412</v>
      </c>
      <c r="AM88" s="74">
        <v>45405</v>
      </c>
      <c r="AN88" s="15" cm="1">
        <f t="array" aca="1" ref="AN8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88" s="20">
        <f t="shared" si="11"/>
        <v>45406</v>
      </c>
      <c r="AP88" s="74">
        <v>45407</v>
      </c>
      <c r="AQ88" s="15" cm="1">
        <f t="array" aca="1" ref="AQ8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88" s="20">
        <f t="shared" si="12"/>
        <v>45421</v>
      </c>
      <c r="AS88" s="74">
        <v>45428</v>
      </c>
      <c r="AT88" s="15" cm="1">
        <f t="array" aca="1" ref="AT8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88" s="20">
        <f t="shared" si="13"/>
        <v>45435</v>
      </c>
      <c r="AV88" s="74"/>
      <c r="AW88" s="15" cm="1">
        <f t="array" aca="1" ref="AW8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88" s="20">
        <f t="shared" si="14"/>
        <v>45436</v>
      </c>
      <c r="AY88" s="74"/>
      <c r="AZ88" s="15" cm="1">
        <f t="array" aca="1" ref="AZ8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88" s="80" t="s">
        <v>977</v>
      </c>
    </row>
    <row r="89" spans="2:53" hidden="1" x14ac:dyDescent="0.35">
      <c r="B89" s="14" t="s">
        <v>79</v>
      </c>
      <c r="C89" s="16" t="s">
        <v>867</v>
      </c>
      <c r="D89" s="16" t="s">
        <v>108</v>
      </c>
      <c r="E89" s="16" t="s">
        <v>975</v>
      </c>
      <c r="F89" s="16" cm="1">
        <f t="array" ref="F89">_xlfn.IFS(Tabela18[[#This Row],[STATUS]]="Finalizado",1,Tabela18[[#This Row],[STATUS]]="Cancelado",2,Tabela18[[#This Row],[STATUS]]="Em andamento",3)</f>
        <v>1</v>
      </c>
      <c r="G89" s="16" cm="1">
        <f t="array" aca="1" ref="G8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-EMAIL]]="",$AH89&gt;$AF$1),2,
AND(Tabela18[[#This Row],[STATUS]]="Em andamento",Tabela18[[#This Row],[DATA REAL -EMAIL]]="",$AH89&lt;=$AF$1),3,
AND(Tabela18[[#This Row],[STATUS]]="Em andamento",Tabela18[[#This Row],[DATA REAL -EMAIL]]&lt;&gt;""),1)</f>
        <v>1</v>
      </c>
      <c r="H89" s="16" cm="1">
        <f t="array" aca="1" ref="H8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CLIENTE]]="",$AK89&gt;$AI$1),2,
AND(Tabela18[[#This Row],[STATUS]]="Em andamento",Tabela18[[#This Row],[DATA REAL - DOC CLIENTE]]="",$AK89&lt;=$AI$1),3,
AND(Tabela18[[#This Row],[STATUS]]="Em andamento",Tabela18[[#This Row],[DATA REAL - DOC CLIENTE]]&lt;&gt;""),1)</f>
        <v>1</v>
      </c>
      <c r="I89" s="16" cm="1">
        <f t="array" aca="1" ref="I8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06]]="",$AN89&gt;$AL$1),2,
AND(Tabela18[[#This Row],[STATUS]]="Em andamento",Tabela18[[#This Row],[DATA REAL - ANEXO 06]]="",$AN89&lt;=$AL$1),3,
AND(Tabela18[[#This Row],[STATUS]]="Em andamento",Tabela18[[#This Row],[DATA REAL - ANEXO 06]]&lt;&gt;""),1)</f>
        <v>1</v>
      </c>
      <c r="J89" s="15" cm="1">
        <f t="array" aca="1" ref="J8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LEGAIS]]="",$AQ89&gt;$AO$1),2,
AND(Tabela18[[#This Row],[STATUS]]="Em andamento",Tabela18[[#This Row],[DATA REAL - SOLIC. PROG LEGAIS]]="",$AQ89&lt;=$AO$1),3,
AND(Tabela18[[#This Row],[STATUS]]="Em andamento",Tabela18[[#This Row],[DATA REAL - SOLIC. PROG LEGAIS]]&lt;&gt;""),1)</f>
        <v>1</v>
      </c>
      <c r="K89" s="15" cm="1">
        <f t="array" aca="1" ref="K8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ENVIO]]="",$AT89&gt;$AR$1),2,
AND(Tabela18[[#This Row],[STATUS]]="Em andamento",Tabela18[[#This Row],[DATA REAL - ENVIO]]="",$AT89&lt;=$AR$1),3,
AND(Tabela18[[#This Row],[STATUS]]="Em andamento",Tabela18[[#This Row],[DATA REAL - ENVIO]]&lt;&gt;""),1)</f>
        <v>1</v>
      </c>
      <c r="L89" s="15" cm="1">
        <f t="array" aca="1" ref="L8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POSTAGEM]]="",$AW89&gt;$AU$1),2,
AND(Tabela18[[#This Row],[STATUS]]="Em andamento",Tabela18[[#This Row],[DATA REAL - POSTAGEM]]="",$AW89&lt;=$AU$1),3,
AND(Tabela18[[#This Row],[STATUS]]="Em andamento",Tabela18[[#This Row],[DATA REAL - POSTAGEM]]&lt;&gt;""),1)</f>
        <v>1</v>
      </c>
      <c r="M89" s="16" cm="1">
        <f t="array" aca="1" ref="M8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APROVAÇÃO]]="",$AZ89&gt;$AX$1),2,
AND(Tabela18[[#This Row],[STATUS]]="Em andamento",Tabela18[[#This Row],[DATA REAL - APROVAÇÃO]]="",$AZ89&lt;=$AX$1),3,
AND(Tabela18[[#This Row],[STATUS]]="Em andamento",Tabela18[[#This Row],[DATA REAL - APROVAÇÃO]]&lt;&gt;""),1)</f>
        <v>1</v>
      </c>
      <c r="N89" s="21">
        <f>IF(Tabela18[[#This Row],[DATA REAL -EMAIL]]&lt;&gt;"",Tabela18[[#This Row],[DATA REAL -EMAIL]]+30,Tabela18[[#This Row],[DATA PREV - EMAIL]]+30)</f>
        <v>45434</v>
      </c>
      <c r="O8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45461</v>
      </c>
      <c r="P8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57</v>
      </c>
      <c r="Q8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89" s="48">
        <f>MAX(Tabela18[[#This Row],[DATA REAL - POSTAGEM]],Tabela18[[#This Row],[DATA REAL - APROVAÇÃO]])-MIN(Tabela18[[#This Row],[DATA REAL - POSTAGEM]],Tabela18[[#This Row],[DATA REAL - APROVAÇÃO]])+1</f>
        <v>9</v>
      </c>
      <c r="S89" s="16" t="s">
        <v>978</v>
      </c>
      <c r="T89" s="16"/>
      <c r="U89" s="18" t="s">
        <v>979</v>
      </c>
      <c r="V89" s="18" t="s">
        <v>979</v>
      </c>
      <c r="W89" s="16" t="s">
        <v>97</v>
      </c>
      <c r="X89" s="16" t="s">
        <v>89</v>
      </c>
      <c r="Y89" s="16" t="s">
        <v>105</v>
      </c>
      <c r="Z89" s="15" t="s">
        <v>976</v>
      </c>
      <c r="AA89" s="15" t="str">
        <f>_xlfn.XLOOKUP(Tabela18[[#This Row],[CÓD. CT]],Controle_Projetos[COD CT],Controle_Projetos[COD PHD],"")</f>
        <v>ATER-CT01-FORQ</v>
      </c>
      <c r="AB89" s="16"/>
      <c r="AC89" s="21">
        <v>45398</v>
      </c>
      <c r="AD8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45427</v>
      </c>
      <c r="AE89" s="16" cm="1">
        <f t="array" aca="1" ref="AE8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30</v>
      </c>
      <c r="AF89" s="21">
        <v>45398</v>
      </c>
      <c r="AG89" s="74">
        <v>45404</v>
      </c>
      <c r="AH89" s="16" cm="1">
        <f t="array" aca="1" ref="AH8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7</v>
      </c>
      <c r="AI89" s="21">
        <v>45404</v>
      </c>
      <c r="AJ89" s="74">
        <v>45405</v>
      </c>
      <c r="AK89" s="16" cm="1">
        <f t="array" aca="1" ref="AK8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7</v>
      </c>
      <c r="AL89" s="20">
        <f t="shared" si="10"/>
        <v>45412</v>
      </c>
      <c r="AM89" s="74">
        <v>45405</v>
      </c>
      <c r="AN89" s="15" cm="1">
        <f t="array" aca="1" ref="AN8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89" s="20">
        <f t="shared" si="11"/>
        <v>45406</v>
      </c>
      <c r="AP89" s="74">
        <v>45407</v>
      </c>
      <c r="AQ89" s="15" cm="1">
        <f t="array" aca="1" ref="AQ8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89" s="20">
        <f t="shared" si="12"/>
        <v>45421</v>
      </c>
      <c r="AS89" s="74">
        <v>45428</v>
      </c>
      <c r="AT89" s="15" cm="1">
        <f t="array" aca="1" ref="AT8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89" s="20">
        <f t="shared" si="13"/>
        <v>45435</v>
      </c>
      <c r="AV89" s="74">
        <v>45453</v>
      </c>
      <c r="AW89" s="15" cm="1">
        <f t="array" aca="1" ref="AW8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19</v>
      </c>
      <c r="AX89" s="20">
        <f t="shared" si="14"/>
        <v>45454</v>
      </c>
      <c r="AY89" s="74">
        <v>45461</v>
      </c>
      <c r="AZ89" s="15" cm="1">
        <f t="array" aca="1" ref="AZ8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89" s="16" t="s">
        <v>980</v>
      </c>
    </row>
    <row r="90" spans="2:53" hidden="1" x14ac:dyDescent="0.35">
      <c r="B90" s="14" t="s">
        <v>79</v>
      </c>
      <c r="C90" s="16" t="s">
        <v>867</v>
      </c>
      <c r="D90" s="16" t="s">
        <v>108</v>
      </c>
      <c r="E90" s="16" t="s">
        <v>196</v>
      </c>
      <c r="F90" s="16" cm="1">
        <f t="array" ref="F90">_xlfn.IFS(Tabela18[[#This Row],[STATUS]]="Finalizado",1,Tabela18[[#This Row],[STATUS]]="Cancelado",2,Tabela18[[#This Row],[STATUS]]="Em andamento",3)</f>
        <v>1</v>
      </c>
      <c r="G90" s="16" cm="1">
        <f t="array" aca="1" ref="G9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-EMAIL]]="",$AH90&gt;$AF$1),2,
AND(Tabela18[[#This Row],[STATUS]]="Em andamento",Tabela18[[#This Row],[DATA REAL -EMAIL]]="",$AH90&lt;=$AF$1),3,
AND(Tabela18[[#This Row],[STATUS]]="Em andamento",Tabela18[[#This Row],[DATA REAL -EMAIL]]&lt;&gt;""),1)</f>
        <v>1</v>
      </c>
      <c r="H90" s="16" cm="1">
        <f t="array" aca="1" ref="H9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CLIENTE]]="",$AK90&gt;$AI$1),2,
AND(Tabela18[[#This Row],[STATUS]]="Em andamento",Tabela18[[#This Row],[DATA REAL - DOC CLIENTE]]="",$AK90&lt;=$AI$1),3,
AND(Tabela18[[#This Row],[STATUS]]="Em andamento",Tabela18[[#This Row],[DATA REAL - DOC CLIENTE]]&lt;&gt;""),1)</f>
        <v>1</v>
      </c>
      <c r="I90" s="16" cm="1">
        <f t="array" aca="1" ref="I9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06]]="",$AN90&gt;$AL$1),2,
AND(Tabela18[[#This Row],[STATUS]]="Em andamento",Tabela18[[#This Row],[DATA REAL - ANEXO 06]]="",$AN90&lt;=$AL$1),3,
AND(Tabela18[[#This Row],[STATUS]]="Em andamento",Tabela18[[#This Row],[DATA REAL - ANEXO 06]]&lt;&gt;""),1)</f>
        <v>1</v>
      </c>
      <c r="J90" s="15" cm="1">
        <f t="array" aca="1" ref="J9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LEGAIS]]="",$AQ90&gt;$AO$1),2,
AND(Tabela18[[#This Row],[STATUS]]="Em andamento",Tabela18[[#This Row],[DATA REAL - SOLIC. PROG LEGAIS]]="",$AQ90&lt;=$AO$1),3,
AND(Tabela18[[#This Row],[STATUS]]="Em andamento",Tabela18[[#This Row],[DATA REAL - SOLIC. PROG LEGAIS]]&lt;&gt;""),1)</f>
        <v>1</v>
      </c>
      <c r="K90" s="15" cm="1">
        <f t="array" aca="1" ref="K9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ENVIO]]="",$AT90&gt;$AR$1),2,
AND(Tabela18[[#This Row],[STATUS]]="Em andamento",Tabela18[[#This Row],[DATA REAL - ENVIO]]="",$AT90&lt;=$AR$1),3,
AND(Tabela18[[#This Row],[STATUS]]="Em andamento",Tabela18[[#This Row],[DATA REAL - ENVIO]]&lt;&gt;""),1)</f>
        <v>1</v>
      </c>
      <c r="L90" s="15" cm="1">
        <f t="array" aca="1" ref="L9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POSTAGEM]]="",$AW90&gt;$AU$1),2,
AND(Tabela18[[#This Row],[STATUS]]="Em andamento",Tabela18[[#This Row],[DATA REAL - POSTAGEM]]="",$AW90&lt;=$AU$1),3,
AND(Tabela18[[#This Row],[STATUS]]="Em andamento",Tabela18[[#This Row],[DATA REAL - POSTAGEM]]&lt;&gt;""),1)</f>
        <v>1</v>
      </c>
      <c r="M90" s="16" cm="1">
        <f t="array" aca="1" ref="M9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APROVAÇÃO]]="",$AZ90&gt;$AX$1),2,
AND(Tabela18[[#This Row],[STATUS]]="Em andamento",Tabela18[[#This Row],[DATA REAL - APROVAÇÃO]]="",$AZ90&lt;=$AX$1),3,
AND(Tabela18[[#This Row],[STATUS]]="Em andamento",Tabela18[[#This Row],[DATA REAL - APROVAÇÃO]]&lt;&gt;""),1)</f>
        <v>1</v>
      </c>
      <c r="N90" s="21">
        <f>IF(Tabela18[[#This Row],[DATA REAL -EMAIL]]&lt;&gt;"",Tabela18[[#This Row],[DATA REAL -EMAIL]]+30,Tabela18[[#This Row],[DATA PREV - EMAIL]]+30)</f>
        <v>45442</v>
      </c>
      <c r="O9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45455</v>
      </c>
      <c r="P9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43</v>
      </c>
      <c r="Q9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v>
      </c>
      <c r="R90" s="48">
        <f>MAX(Tabela18[[#This Row],[DATA REAL - POSTAGEM]],Tabela18[[#This Row],[DATA REAL - APROVAÇÃO]])-MIN(Tabela18[[#This Row],[DATA REAL - POSTAGEM]],Tabela18[[#This Row],[DATA REAL - APROVAÇÃO]])+1</f>
        <v>3</v>
      </c>
      <c r="S90" s="16" t="s">
        <v>158</v>
      </c>
      <c r="T90" s="16"/>
      <c r="U90" s="18" t="s">
        <v>159</v>
      </c>
      <c r="V90" s="18" t="s">
        <v>152</v>
      </c>
      <c r="W90" s="16" t="s">
        <v>97</v>
      </c>
      <c r="X90" s="16" t="s">
        <v>89</v>
      </c>
      <c r="Y90" s="16" t="s">
        <v>981</v>
      </c>
      <c r="Z90" s="15" t="s">
        <v>197</v>
      </c>
      <c r="AA90" s="15" t="str">
        <f>_xlfn.XLOOKUP(Tabela18[[#This Row],[CÓD. CT]],Controle_Projetos[COD CT],Controle_Projetos[COD PHD],"")</f>
        <v>VAVE-CT07-PDER</v>
      </c>
      <c r="AB90" s="16"/>
      <c r="AC90" s="21">
        <v>45408</v>
      </c>
      <c r="AD9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45415</v>
      </c>
      <c r="AE90" s="16" cm="1">
        <f t="array" aca="1" ref="AE9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90" s="21">
        <v>45412</v>
      </c>
      <c r="AG90" s="74">
        <v>45412</v>
      </c>
      <c r="AH90" s="16" cm="1">
        <f t="array" aca="1" ref="AH9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0" s="21">
        <v>45412</v>
      </c>
      <c r="AJ90" s="74">
        <v>45412</v>
      </c>
      <c r="AK90" s="16" cm="1">
        <f t="array" aca="1" ref="AK9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0" s="20">
        <f t="shared" si="10"/>
        <v>45419</v>
      </c>
      <c r="AM90" s="74">
        <v>45419</v>
      </c>
      <c r="AN90" s="15" cm="1">
        <f t="array" aca="1" ref="AN9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90" s="20">
        <f t="shared" si="11"/>
        <v>45420</v>
      </c>
      <c r="AP90" s="74">
        <v>45412</v>
      </c>
      <c r="AQ90" s="15" cm="1">
        <f t="array" aca="1" ref="AQ9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90" s="20">
        <f t="shared" si="12"/>
        <v>45426</v>
      </c>
      <c r="AS90" s="74">
        <v>45419</v>
      </c>
      <c r="AT90" s="15" cm="1">
        <f t="array" aca="1" ref="AT9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90" s="20">
        <f t="shared" si="13"/>
        <v>45426</v>
      </c>
      <c r="AV90" s="74">
        <v>45453</v>
      </c>
      <c r="AW90" s="15" cm="1">
        <f t="array" aca="1" ref="AW9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28</v>
      </c>
      <c r="AX90" s="20">
        <f t="shared" si="14"/>
        <v>45454</v>
      </c>
      <c r="AY90" s="74">
        <v>45455</v>
      </c>
      <c r="AZ90" s="15" cm="1">
        <f t="array" aca="1" ref="AZ9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90" s="16" t="s">
        <v>982</v>
      </c>
    </row>
    <row r="91" spans="2:53" hidden="1" x14ac:dyDescent="0.35">
      <c r="B91" s="14" t="s">
        <v>79</v>
      </c>
      <c r="C91" s="16" t="s">
        <v>867</v>
      </c>
      <c r="D91" s="16" t="s">
        <v>108</v>
      </c>
      <c r="E91" s="16" t="s">
        <v>196</v>
      </c>
      <c r="F91" s="16" cm="1">
        <f t="array" ref="F91">_xlfn.IFS(Tabela18[[#This Row],[STATUS]]="Finalizado",1,Tabela18[[#This Row],[STATUS]]="Cancelado",2,Tabela18[[#This Row],[STATUS]]="Em andamento",3)</f>
        <v>1</v>
      </c>
      <c r="G91" s="16" cm="1">
        <f t="array" aca="1" ref="G9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-EMAIL]]="",$AH91&gt;$AF$1),2,
AND(Tabela18[[#This Row],[STATUS]]="Em andamento",Tabela18[[#This Row],[DATA REAL -EMAIL]]="",$AH91&lt;=$AF$1),3,
AND(Tabela18[[#This Row],[STATUS]]="Em andamento",Tabela18[[#This Row],[DATA REAL -EMAIL]]&lt;&gt;""),1)</f>
        <v>1</v>
      </c>
      <c r="H91" s="16" cm="1">
        <f t="array" aca="1" ref="H9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CLIENTE]]="",$AK91&gt;$AI$1),2,
AND(Tabela18[[#This Row],[STATUS]]="Em andamento",Tabela18[[#This Row],[DATA REAL - DOC CLIENTE]]="",$AK91&lt;=$AI$1),3,
AND(Tabela18[[#This Row],[STATUS]]="Em andamento",Tabela18[[#This Row],[DATA REAL - DOC CLIENTE]]&lt;&gt;""),1)</f>
        <v>1</v>
      </c>
      <c r="I91" s="16" cm="1">
        <f t="array" aca="1" ref="I9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06]]="",$AN91&gt;$AL$1),2,
AND(Tabela18[[#This Row],[STATUS]]="Em andamento",Tabela18[[#This Row],[DATA REAL - ANEXO 06]]="",$AN91&lt;=$AL$1),3,
AND(Tabela18[[#This Row],[STATUS]]="Em andamento",Tabela18[[#This Row],[DATA REAL - ANEXO 06]]&lt;&gt;""),1)</f>
        <v>1</v>
      </c>
      <c r="J91" s="15" cm="1">
        <f t="array" aca="1" ref="J9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LEGAIS]]="",$AQ91&gt;$AO$1),2,
AND(Tabela18[[#This Row],[STATUS]]="Em andamento",Tabela18[[#This Row],[DATA REAL - SOLIC. PROG LEGAIS]]="",$AQ91&lt;=$AO$1),3,
AND(Tabela18[[#This Row],[STATUS]]="Em andamento",Tabela18[[#This Row],[DATA REAL - SOLIC. PROG LEGAIS]]&lt;&gt;""),1)</f>
        <v>1</v>
      </c>
      <c r="K91" s="15" cm="1">
        <f t="array" aca="1" ref="K9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ENVIO]]="",$AT91&gt;$AR$1),2,
AND(Tabela18[[#This Row],[STATUS]]="Em andamento",Tabela18[[#This Row],[DATA REAL - ENVIO]]="",$AT91&lt;=$AR$1),3,
AND(Tabela18[[#This Row],[STATUS]]="Em andamento",Tabela18[[#This Row],[DATA REAL - ENVIO]]&lt;&gt;""),1)</f>
        <v>1</v>
      </c>
      <c r="L91" s="15" cm="1">
        <f t="array" aca="1" ref="L9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POSTAGEM]]="",$AW91&gt;$AU$1),2,
AND(Tabela18[[#This Row],[STATUS]]="Em andamento",Tabela18[[#This Row],[DATA REAL - POSTAGEM]]="",$AW91&lt;=$AU$1),3,
AND(Tabela18[[#This Row],[STATUS]]="Em andamento",Tabela18[[#This Row],[DATA REAL - POSTAGEM]]&lt;&gt;""),1)</f>
        <v>1</v>
      </c>
      <c r="M91" s="16" cm="1">
        <f t="array" aca="1" ref="M9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APROVAÇÃO]]="",$AZ91&gt;$AX$1),2,
AND(Tabela18[[#This Row],[STATUS]]="Em andamento",Tabela18[[#This Row],[DATA REAL - APROVAÇÃO]]="",$AZ91&lt;=$AX$1),3,
AND(Tabela18[[#This Row],[STATUS]]="Em andamento",Tabela18[[#This Row],[DATA REAL - APROVAÇÃO]]&lt;&gt;""),1)</f>
        <v>1</v>
      </c>
      <c r="N91" s="21">
        <f>IF(Tabela18[[#This Row],[DATA REAL -EMAIL]]&lt;&gt;"",Tabela18[[#This Row],[DATA REAL -EMAIL]]+30,Tabela18[[#This Row],[DATA PREV - EMAIL]]+30)</f>
        <v>45442</v>
      </c>
      <c r="O9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45455</v>
      </c>
      <c r="P9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43</v>
      </c>
      <c r="Q9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7</v>
      </c>
      <c r="R91" s="48">
        <f>MAX(Tabela18[[#This Row],[DATA REAL - POSTAGEM]],Tabela18[[#This Row],[DATA REAL - APROVAÇÃO]])-MIN(Tabela18[[#This Row],[DATA REAL - POSTAGEM]],Tabela18[[#This Row],[DATA REAL - APROVAÇÃO]])+1</f>
        <v>17</v>
      </c>
      <c r="S91" s="16" t="s">
        <v>158</v>
      </c>
      <c r="T91" s="16"/>
      <c r="U91" s="18" t="s">
        <v>159</v>
      </c>
      <c r="V91" s="18" t="s">
        <v>152</v>
      </c>
      <c r="W91" s="16" t="s">
        <v>87</v>
      </c>
      <c r="X91" s="16" t="s">
        <v>89</v>
      </c>
      <c r="Y91" s="16" t="s">
        <v>981</v>
      </c>
      <c r="Z91" s="15" t="s">
        <v>197</v>
      </c>
      <c r="AA91" s="15" t="str">
        <f>_xlfn.XLOOKUP(Tabela18[[#This Row],[CÓD. CT]],Controle_Projetos[COD CT],Controle_Projetos[COD PHD],"")</f>
        <v>VAVE-CT07-PDER</v>
      </c>
      <c r="AB91" s="16"/>
      <c r="AC91" s="21">
        <v>45408</v>
      </c>
      <c r="AD9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45415</v>
      </c>
      <c r="AE91" s="16" cm="1">
        <f t="array" aca="1" ref="AE9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91" s="21">
        <v>45412</v>
      </c>
      <c r="AG91" s="74">
        <v>45412</v>
      </c>
      <c r="AH91" s="16" cm="1">
        <f t="array" aca="1" ref="AH9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1" s="21">
        <v>45412</v>
      </c>
      <c r="AJ91" s="74">
        <v>45412</v>
      </c>
      <c r="AK91" s="16" cm="1">
        <f t="array" aca="1" ref="AK9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1" s="20">
        <f t="shared" si="10"/>
        <v>45419</v>
      </c>
      <c r="AM91" s="74">
        <v>45419</v>
      </c>
      <c r="AN91" s="15" cm="1">
        <f t="array" aca="1" ref="AN9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91" s="20">
        <f t="shared" si="11"/>
        <v>45420</v>
      </c>
      <c r="AP91" s="74">
        <v>45412</v>
      </c>
      <c r="AQ91" s="15" cm="1">
        <f t="array" aca="1" ref="AQ9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91" s="20">
        <f t="shared" si="12"/>
        <v>45426</v>
      </c>
      <c r="AS91" s="74">
        <v>45419</v>
      </c>
      <c r="AT91" s="15" cm="1">
        <f t="array" aca="1" ref="AT9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91" s="20">
        <f t="shared" si="13"/>
        <v>45426</v>
      </c>
      <c r="AV91" s="74">
        <v>45439</v>
      </c>
      <c r="AW91" s="15" cm="1">
        <f t="array" aca="1" ref="AW9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14</v>
      </c>
      <c r="AX91" s="20">
        <f t="shared" si="14"/>
        <v>45440</v>
      </c>
      <c r="AY91" s="74">
        <v>45455</v>
      </c>
      <c r="AZ91" s="15" cm="1">
        <f t="array" aca="1" ref="AZ9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16</v>
      </c>
      <c r="BA91" s="16" t="s">
        <v>983</v>
      </c>
    </row>
    <row r="92" spans="2:53" hidden="1" x14ac:dyDescent="0.35">
      <c r="B92" s="14" t="s">
        <v>79</v>
      </c>
      <c r="C92" s="16" t="s">
        <v>867</v>
      </c>
      <c r="D92" s="16" t="s">
        <v>108</v>
      </c>
      <c r="E92" s="16" t="s">
        <v>795</v>
      </c>
      <c r="F92" s="16" cm="1">
        <f t="array" ref="F92">_xlfn.IFS(Tabela18[[#This Row],[STATUS]]="Finalizado",1,Tabela18[[#This Row],[STATUS]]="Cancelado",2,Tabela18[[#This Row],[STATUS]]="Em andamento",3)</f>
        <v>1</v>
      </c>
      <c r="G92" s="16" cm="1">
        <f t="array" aca="1" ref="G9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-EMAIL]]="",$AH92&gt;$AF$1),2,
AND(Tabela18[[#This Row],[STATUS]]="Em andamento",Tabela18[[#This Row],[DATA REAL -EMAIL]]="",$AH92&lt;=$AF$1),3,
AND(Tabela18[[#This Row],[STATUS]]="Em andamento",Tabela18[[#This Row],[DATA REAL -EMAIL]]&lt;&gt;""),1)</f>
        <v>1</v>
      </c>
      <c r="H92" s="16" cm="1">
        <f t="array" aca="1" ref="H9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CLIENTE]]="",$AK92&gt;$AI$1),2,
AND(Tabela18[[#This Row],[STATUS]]="Em andamento",Tabela18[[#This Row],[DATA REAL - DOC CLIENTE]]="",$AK92&lt;=$AI$1),3,
AND(Tabela18[[#This Row],[STATUS]]="Em andamento",Tabela18[[#This Row],[DATA REAL - DOC CLIENTE]]&lt;&gt;""),1)</f>
        <v>1</v>
      </c>
      <c r="I92" s="16" cm="1">
        <f t="array" aca="1" ref="I9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06]]="",$AN92&gt;$AL$1),2,
AND(Tabela18[[#This Row],[STATUS]]="Em andamento",Tabela18[[#This Row],[DATA REAL - ANEXO 06]]="",$AN92&lt;=$AL$1),3,
AND(Tabela18[[#This Row],[STATUS]]="Em andamento",Tabela18[[#This Row],[DATA REAL - ANEXO 06]]&lt;&gt;""),1)</f>
        <v>1</v>
      </c>
      <c r="J92" s="15" cm="1">
        <f t="array" aca="1" ref="J9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LEGAIS]]="",$AQ92&gt;$AO$1),2,
AND(Tabela18[[#This Row],[STATUS]]="Em andamento",Tabela18[[#This Row],[DATA REAL - SOLIC. PROG LEGAIS]]="",$AQ92&lt;=$AO$1),3,
AND(Tabela18[[#This Row],[STATUS]]="Em andamento",Tabela18[[#This Row],[DATA REAL - SOLIC. PROG LEGAIS]]&lt;&gt;""),1)</f>
        <v>1</v>
      </c>
      <c r="K92" s="15" cm="1">
        <f t="array" aca="1" ref="K9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ENVIO]]="",$AT92&gt;$AR$1),2,
AND(Tabela18[[#This Row],[STATUS]]="Em andamento",Tabela18[[#This Row],[DATA REAL - ENVIO]]="",$AT92&lt;=$AR$1),3,
AND(Tabela18[[#This Row],[STATUS]]="Em andamento",Tabela18[[#This Row],[DATA REAL - ENVIO]]&lt;&gt;""),1)</f>
        <v>1</v>
      </c>
      <c r="L92" s="15" cm="1">
        <f t="array" aca="1" ref="L9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POSTAGEM]]="",$AW92&gt;$AU$1),2,
AND(Tabela18[[#This Row],[STATUS]]="Em andamento",Tabela18[[#This Row],[DATA REAL - POSTAGEM]]="",$AW92&lt;=$AU$1),3,
AND(Tabela18[[#This Row],[STATUS]]="Em andamento",Tabela18[[#This Row],[DATA REAL - POSTAGEM]]&lt;&gt;""),1)</f>
        <v>1</v>
      </c>
      <c r="M92" s="16" cm="1">
        <f t="array" aca="1" ref="M9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APROVAÇÃO]]="",$AZ92&gt;$AX$1),2,
AND(Tabela18[[#This Row],[STATUS]]="Em andamento",Tabela18[[#This Row],[DATA REAL - APROVAÇÃO]]="",$AZ92&lt;=$AX$1),3,
AND(Tabela18[[#This Row],[STATUS]]="Em andamento",Tabela18[[#This Row],[DATA REAL - APROVAÇÃO]]&lt;&gt;""),1)</f>
        <v>1</v>
      </c>
      <c r="N92" s="21">
        <f>IF(Tabela18[[#This Row],[DATA REAL -EMAIL]]&lt;&gt;"",Tabela18[[#This Row],[DATA REAL -EMAIL]]+30,Tabela18[[#This Row],[DATA PREV - EMAIL]]+30)</f>
        <v>45450</v>
      </c>
      <c r="O9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45427</v>
      </c>
      <c r="P9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64</v>
      </c>
      <c r="Q9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58</v>
      </c>
      <c r="R92" s="48">
        <f>MAX(Tabela18[[#This Row],[DATA REAL - POSTAGEM]],Tabela18[[#This Row],[DATA REAL - APROVAÇÃO]])-MIN(Tabela18[[#This Row],[DATA REAL - POSTAGEM]],Tabela18[[#This Row],[DATA REAL - APROVAÇÃO]])+1</f>
        <v>7</v>
      </c>
      <c r="S92" s="16" t="s">
        <v>83</v>
      </c>
      <c r="T92" s="16"/>
      <c r="U92" s="18" t="s">
        <v>85</v>
      </c>
      <c r="V92" s="18" t="s">
        <v>86</v>
      </c>
      <c r="W92" s="16" t="s">
        <v>87</v>
      </c>
      <c r="X92" s="16" t="s">
        <v>132</v>
      </c>
      <c r="Y92" s="16" t="s">
        <v>483</v>
      </c>
      <c r="Z92" s="15" t="s">
        <v>956</v>
      </c>
      <c r="AA92" s="15" t="str">
        <f>_xlfn.XLOOKUP(Tabela18[[#This Row],[CÓD. CT]],Controle_Projetos[COD CT],Controle_Projetos[COD PHD],"")</f>
        <v>TERE-CT01-TANQ</v>
      </c>
      <c r="AB92" s="16" t="s">
        <v>984</v>
      </c>
      <c r="AC92" s="21">
        <v>45364</v>
      </c>
      <c r="AD9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45363</v>
      </c>
      <c r="AE92" s="16" cm="1">
        <f t="array" aca="1" ref="AE9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92" s="21">
        <v>45420</v>
      </c>
      <c r="AG92" s="74">
        <v>45420</v>
      </c>
      <c r="AH92" s="16" cm="1">
        <f t="array" aca="1" ref="AH9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2" s="21">
        <v>45420</v>
      </c>
      <c r="AJ92" s="74">
        <v>45420</v>
      </c>
      <c r="AK92" s="16" cm="1">
        <f t="array" aca="1" ref="AK9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2" s="20">
        <f t="shared" si="10"/>
        <v>45427</v>
      </c>
      <c r="AM92" s="74">
        <v>45421</v>
      </c>
      <c r="AN92" s="15" cm="1">
        <f t="array" aca="1" ref="AN9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92" s="20">
        <f t="shared" si="11"/>
        <v>45422</v>
      </c>
      <c r="AP92" s="74">
        <v>45412</v>
      </c>
      <c r="AQ92" s="15" cm="1">
        <f t="array" aca="1" ref="AQ9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-9</v>
      </c>
      <c r="AR92" s="20">
        <f t="shared" si="12"/>
        <v>45426</v>
      </c>
      <c r="AS92" s="74">
        <v>45412</v>
      </c>
      <c r="AT92" s="15" cm="1">
        <f t="array" aca="1" ref="AT9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92" s="20">
        <f t="shared" si="13"/>
        <v>45419</v>
      </c>
      <c r="AV92" s="74">
        <v>45421</v>
      </c>
      <c r="AW92" s="15" cm="1">
        <f t="array" aca="1" ref="AW9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92" s="20">
        <f t="shared" si="14"/>
        <v>45422</v>
      </c>
      <c r="AY92" s="74">
        <v>45427</v>
      </c>
      <c r="AZ92" s="15" cm="1">
        <f t="array" aca="1" ref="AZ9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92" s="16"/>
    </row>
    <row r="93" spans="2:53" hidden="1" x14ac:dyDescent="0.35">
      <c r="B93" s="14" t="s">
        <v>79</v>
      </c>
      <c r="C93" s="16" t="s">
        <v>136</v>
      </c>
      <c r="D93" s="16" t="s">
        <v>108</v>
      </c>
      <c r="E93" s="16" t="s">
        <v>917</v>
      </c>
      <c r="F93" s="16" cm="1">
        <f t="array" ref="F93">_xlfn.IFS(Tabela18[[#This Row],[STATUS]]="Finalizado",1,Tabela18[[#This Row],[STATUS]]="Cancelado",2,Tabela18[[#This Row],[STATUS]]="Em andamento",3)</f>
        <v>1</v>
      </c>
      <c r="G93" s="16" cm="1">
        <f t="array" aca="1" ref="G9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-EMAIL]]="",$AH93&gt;$AF$1),2,
AND(Tabela18[[#This Row],[STATUS]]="Em andamento",Tabela18[[#This Row],[DATA REAL -EMAIL]]="",$AH93&lt;=$AF$1),3,
AND(Tabela18[[#This Row],[STATUS]]="Em andamento",Tabela18[[#This Row],[DATA REAL -EMAIL]]&lt;&gt;""),1)</f>
        <v>1</v>
      </c>
      <c r="H93" s="16" cm="1">
        <f t="array" aca="1" ref="H9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CLIENTE]]="",$AK93&gt;$AI$1),2,
AND(Tabela18[[#This Row],[STATUS]]="Em andamento",Tabela18[[#This Row],[DATA REAL - DOC CLIENTE]]="",$AK93&lt;=$AI$1),3,
AND(Tabela18[[#This Row],[STATUS]]="Em andamento",Tabela18[[#This Row],[DATA REAL - DOC CLIENTE]]&lt;&gt;""),1)</f>
        <v>1</v>
      </c>
      <c r="I93" s="16" cm="1">
        <f t="array" aca="1" ref="I9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06]]="",$AN93&gt;$AL$1),2,
AND(Tabela18[[#This Row],[STATUS]]="Em andamento",Tabela18[[#This Row],[DATA REAL - ANEXO 06]]="",$AN93&lt;=$AL$1),3,
AND(Tabela18[[#This Row],[STATUS]]="Em andamento",Tabela18[[#This Row],[DATA REAL - ANEXO 06]]&lt;&gt;""),1)</f>
        <v>1</v>
      </c>
      <c r="J93" s="15" cm="1">
        <f t="array" aca="1" ref="J9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LEGAIS]]="",$AQ93&gt;$AO$1),2,
AND(Tabela18[[#This Row],[STATUS]]="Em andamento",Tabela18[[#This Row],[DATA REAL - SOLIC. PROG LEGAIS]]="",$AQ93&lt;=$AO$1),3,
AND(Tabela18[[#This Row],[STATUS]]="Em andamento",Tabela18[[#This Row],[DATA REAL - SOLIC. PROG LEGAIS]]&lt;&gt;""),1)</f>
        <v>1</v>
      </c>
      <c r="K93" s="15" cm="1">
        <f t="array" aca="1" ref="K9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ENVIO]]="",$AT93&gt;$AR$1),2,
AND(Tabela18[[#This Row],[STATUS]]="Em andamento",Tabela18[[#This Row],[DATA REAL - ENVIO]]="",$AT93&lt;=$AR$1),3,
AND(Tabela18[[#This Row],[STATUS]]="Em andamento",Tabela18[[#This Row],[DATA REAL - ENVIO]]&lt;&gt;""),1)</f>
        <v>1</v>
      </c>
      <c r="L93" s="15" cm="1">
        <f t="array" aca="1" ref="L9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POSTAGEM]]="",$AW93&gt;$AU$1),2,
AND(Tabela18[[#This Row],[STATUS]]="Em andamento",Tabela18[[#This Row],[DATA REAL - POSTAGEM]]="",$AW93&lt;=$AU$1),3,
AND(Tabela18[[#This Row],[STATUS]]="Em andamento",Tabela18[[#This Row],[DATA REAL - POSTAGEM]]&lt;&gt;""),1)</f>
        <v>1</v>
      </c>
      <c r="M93" s="16" cm="1">
        <f t="array" aca="1" ref="M9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APROVAÇÃO]]="",$AZ93&gt;$AX$1),2,
AND(Tabela18[[#This Row],[STATUS]]="Em andamento",Tabela18[[#This Row],[DATA REAL - APROVAÇÃO]]="",$AZ93&lt;=$AX$1),3,
AND(Tabela18[[#This Row],[STATUS]]="Em andamento",Tabela18[[#This Row],[DATA REAL - APROVAÇÃO]]&lt;&gt;""),1)</f>
        <v>1</v>
      </c>
      <c r="N93" s="21">
        <f>IF(Tabela18[[#This Row],[DATA REAL -EMAIL]]&lt;&gt;"",Tabela18[[#This Row],[DATA REAL -EMAIL]]+30,Tabela18[[#This Row],[DATA PREV - EMAIL]]+30)</f>
        <v>45449</v>
      </c>
      <c r="O9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45456</v>
      </c>
      <c r="P9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230</v>
      </c>
      <c r="Q9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203</v>
      </c>
      <c r="R93" s="48">
        <f>MAX(Tabela18[[#This Row],[DATA REAL - POSTAGEM]],Tabela18[[#This Row],[DATA REAL - APROVAÇÃO]])-MIN(Tabela18[[#This Row],[DATA REAL - POSTAGEM]],Tabela18[[#This Row],[DATA REAL - APROVAÇÃO]])+1</f>
        <v>25</v>
      </c>
      <c r="S93" s="16" t="s">
        <v>83</v>
      </c>
      <c r="T93" s="16"/>
      <c r="U93" s="18" t="s">
        <v>85</v>
      </c>
      <c r="V93" s="18" t="s">
        <v>86</v>
      </c>
      <c r="W93" s="16" t="s">
        <v>97</v>
      </c>
      <c r="X93" s="16" t="s">
        <v>918</v>
      </c>
      <c r="Y93" s="16" t="s">
        <v>220</v>
      </c>
      <c r="Z93" s="15" t="s">
        <v>221</v>
      </c>
      <c r="AA93" s="15" t="str">
        <f>_xlfn.XLOOKUP(Tabela18[[#This Row],[CÓD. CT]],Controle_Projetos[COD CT],Controle_Projetos[COD PHD],"")</f>
        <v>CRET-CT01-TANQ</v>
      </c>
      <c r="AB93" s="16"/>
      <c r="AC93" s="21">
        <v>45219</v>
      </c>
      <c r="AD9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45226</v>
      </c>
      <c r="AE93" s="16" cm="1">
        <f t="array" aca="1" ref="AE9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93" s="21">
        <v>45419</v>
      </c>
      <c r="AG93" s="74">
        <v>45419</v>
      </c>
      <c r="AH93" s="16" cm="1">
        <f t="array" aca="1" ref="AH9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3" s="21">
        <v>45419</v>
      </c>
      <c r="AJ93" s="74">
        <v>45419</v>
      </c>
      <c r="AK93" s="16" cm="1">
        <f t="array" aca="1" ref="AK9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3" s="20">
        <f t="shared" si="10"/>
        <v>45426</v>
      </c>
      <c r="AM93" s="74">
        <v>45426</v>
      </c>
      <c r="AN93" s="15" cm="1">
        <f t="array" aca="1" ref="AN9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93" s="20">
        <f t="shared" si="11"/>
        <v>45427</v>
      </c>
      <c r="AP93" s="74">
        <v>45428</v>
      </c>
      <c r="AQ93" s="15" cm="1">
        <f t="array" aca="1" ref="AQ9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93" s="20">
        <f t="shared" si="12"/>
        <v>45442</v>
      </c>
      <c r="AS93" s="74">
        <v>45429</v>
      </c>
      <c r="AT93" s="15" cm="1">
        <f t="array" aca="1" ref="AT9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-12</v>
      </c>
      <c r="AU93" s="20">
        <f t="shared" si="13"/>
        <v>45436</v>
      </c>
      <c r="AV93" s="74">
        <v>45432</v>
      </c>
      <c r="AW93" s="15" cm="1">
        <f t="array" aca="1" ref="AW9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93" s="20">
        <f t="shared" si="14"/>
        <v>45433</v>
      </c>
      <c r="AY93" s="74">
        <v>45456</v>
      </c>
      <c r="AZ93" s="15" cm="1">
        <f t="array" aca="1" ref="AZ9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24</v>
      </c>
      <c r="BA93" s="16" t="s">
        <v>985</v>
      </c>
    </row>
    <row r="94" spans="2:53" hidden="1" x14ac:dyDescent="0.35">
      <c r="B94" s="14" t="s">
        <v>79</v>
      </c>
      <c r="C94" s="16" t="s">
        <v>867</v>
      </c>
      <c r="D94" s="16" t="s">
        <v>108</v>
      </c>
      <c r="E94" s="16" t="s">
        <v>897</v>
      </c>
      <c r="F94" s="16" cm="1">
        <f t="array" ref="F94">_xlfn.IFS(Tabela18[[#This Row],[STATUS]]="Finalizado",1,Tabela18[[#This Row],[STATUS]]="Cancelado",2,Tabela18[[#This Row],[STATUS]]="Em andamento",3)</f>
        <v>1</v>
      </c>
      <c r="G94" s="16" cm="1">
        <f t="array" aca="1" ref="G9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-EMAIL]]="",$AH94&gt;$AF$1),2,
AND(Tabela18[[#This Row],[STATUS]]="Em andamento",Tabela18[[#This Row],[DATA REAL -EMAIL]]="",$AH94&lt;=$AF$1),3,
AND(Tabela18[[#This Row],[STATUS]]="Em andamento",Tabela18[[#This Row],[DATA REAL -EMAIL]]&lt;&gt;""),1)</f>
        <v>1</v>
      </c>
      <c r="H94" s="16" cm="1">
        <f t="array" aca="1" ref="H9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CLIENTE]]="",$AK94&gt;$AI$1),2,
AND(Tabela18[[#This Row],[STATUS]]="Em andamento",Tabela18[[#This Row],[DATA REAL - DOC CLIENTE]]="",$AK94&lt;=$AI$1),3,
AND(Tabela18[[#This Row],[STATUS]]="Em andamento",Tabela18[[#This Row],[DATA REAL - DOC CLIENTE]]&lt;&gt;""),1)</f>
        <v>1</v>
      </c>
      <c r="I94" s="16" cm="1">
        <f t="array" aca="1" ref="I9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06]]="",$AN94&gt;$AL$1),2,
AND(Tabela18[[#This Row],[STATUS]]="Em andamento",Tabela18[[#This Row],[DATA REAL - ANEXO 06]]="",$AN94&lt;=$AL$1),3,
AND(Tabela18[[#This Row],[STATUS]]="Em andamento",Tabela18[[#This Row],[DATA REAL - ANEXO 06]]&lt;&gt;""),1)</f>
        <v>1</v>
      </c>
      <c r="J94" s="15" cm="1">
        <f t="array" aca="1" ref="J9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LEGAIS]]="",$AQ94&gt;$AO$1),2,
AND(Tabela18[[#This Row],[STATUS]]="Em andamento",Tabela18[[#This Row],[DATA REAL - SOLIC. PROG LEGAIS]]="",$AQ94&lt;=$AO$1),3,
AND(Tabela18[[#This Row],[STATUS]]="Em andamento",Tabela18[[#This Row],[DATA REAL - SOLIC. PROG LEGAIS]]&lt;&gt;""),1)</f>
        <v>1</v>
      </c>
      <c r="K94" s="15" cm="1">
        <f t="array" aca="1" ref="K9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ENVIO]]="",$AT94&gt;$AR$1),2,
AND(Tabela18[[#This Row],[STATUS]]="Em andamento",Tabela18[[#This Row],[DATA REAL - ENVIO]]="",$AT94&lt;=$AR$1),3,
AND(Tabela18[[#This Row],[STATUS]]="Em andamento",Tabela18[[#This Row],[DATA REAL - ENVIO]]&lt;&gt;""),1)</f>
        <v>1</v>
      </c>
      <c r="L94" s="15" cm="1">
        <f t="array" aca="1" ref="L9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POSTAGEM]]="",$AW94&gt;$AU$1),2,
AND(Tabela18[[#This Row],[STATUS]]="Em andamento",Tabela18[[#This Row],[DATA REAL - POSTAGEM]]="",$AW94&lt;=$AU$1),3,
AND(Tabela18[[#This Row],[STATUS]]="Em andamento",Tabela18[[#This Row],[DATA REAL - POSTAGEM]]&lt;&gt;""),1)</f>
        <v>1</v>
      </c>
      <c r="M94" s="16" cm="1">
        <f t="array" aca="1" ref="M9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APROVAÇÃO]]="",$AZ94&gt;$AX$1),2,
AND(Tabela18[[#This Row],[STATUS]]="Em andamento",Tabela18[[#This Row],[DATA REAL - APROVAÇÃO]]="",$AZ94&lt;=$AX$1),3,
AND(Tabela18[[#This Row],[STATUS]]="Em andamento",Tabela18[[#This Row],[DATA REAL - APROVAÇÃO]]&lt;&gt;""),1)</f>
        <v>1</v>
      </c>
      <c r="N94" s="21">
        <f>IF(Tabela18[[#This Row],[DATA REAL -EMAIL]]&lt;&gt;"",Tabela18[[#This Row],[DATA REAL -EMAIL]]+30,Tabela18[[#This Row],[DATA PREV - EMAIL]]+30)</f>
        <v>45442</v>
      </c>
      <c r="O9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45553</v>
      </c>
      <c r="P9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141</v>
      </c>
      <c r="Q9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94" s="48">
        <f>MAX(Tabela18[[#This Row],[DATA REAL - POSTAGEM]],Tabela18[[#This Row],[DATA REAL - APROVAÇÃO]])-MIN(Tabela18[[#This Row],[DATA REAL - POSTAGEM]],Tabela18[[#This Row],[DATA REAL - APROVAÇÃO]])+1</f>
        <v>34</v>
      </c>
      <c r="S94" s="16" t="s">
        <v>83</v>
      </c>
      <c r="T94" s="16"/>
      <c r="U94" s="18" t="s">
        <v>85</v>
      </c>
      <c r="V94" s="18" t="s">
        <v>86</v>
      </c>
      <c r="W94" s="16" t="s">
        <v>97</v>
      </c>
      <c r="X94" s="16" t="s">
        <v>89</v>
      </c>
      <c r="Y94" s="16" t="s">
        <v>986</v>
      </c>
      <c r="Z94" s="15" t="s">
        <v>987</v>
      </c>
      <c r="AA94" s="15" t="str">
        <f>_xlfn.XLOOKUP(Tabela18[[#This Row],[CÓD. CT]],Controle_Projetos[COD CT],Controle_Projetos[COD PHD],"")</f>
        <v>TERR-CT08-RMAC</v>
      </c>
      <c r="AB94" s="16"/>
      <c r="AC94" s="21">
        <v>45412</v>
      </c>
      <c r="AD9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45432</v>
      </c>
      <c r="AE94" s="16" cm="1">
        <f t="array" aca="1" ref="AE9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21</v>
      </c>
      <c r="AF94" s="21">
        <v>45412</v>
      </c>
      <c r="AG94" s="74">
        <v>45412</v>
      </c>
      <c r="AH94" s="16" cm="1">
        <f t="array" aca="1" ref="AH9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4" s="21">
        <v>45412</v>
      </c>
      <c r="AJ94" s="74">
        <v>45412</v>
      </c>
      <c r="AK94" s="16" cm="1">
        <f t="array" aca="1" ref="AK9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4" s="20">
        <f t="shared" si="10"/>
        <v>45419</v>
      </c>
      <c r="AM94" s="74">
        <v>45433</v>
      </c>
      <c r="AN94" s="15" cm="1">
        <f t="array" aca="1" ref="AN9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15</v>
      </c>
      <c r="AO94" s="20">
        <f t="shared" si="11"/>
        <v>45434</v>
      </c>
      <c r="AP94" s="74">
        <v>45422</v>
      </c>
      <c r="AQ94" s="15" cm="1">
        <f t="array" aca="1" ref="AQ9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-11</v>
      </c>
      <c r="AR94" s="20">
        <f t="shared" si="12"/>
        <v>45436</v>
      </c>
      <c r="AS94" s="74">
        <v>45436</v>
      </c>
      <c r="AT94" s="15" cm="1">
        <f t="array" aca="1" ref="AT9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94" s="20">
        <f t="shared" si="13"/>
        <v>45443</v>
      </c>
      <c r="AV94" s="74">
        <v>45520</v>
      </c>
      <c r="AW94" s="15" cm="1">
        <f t="array" aca="1" ref="AW9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78</v>
      </c>
      <c r="AX94" s="20">
        <f t="shared" si="14"/>
        <v>45523</v>
      </c>
      <c r="AY94" s="74">
        <v>45553</v>
      </c>
      <c r="AZ94" s="15" cm="1">
        <f t="array" aca="1" ref="AZ9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31</v>
      </c>
      <c r="BA94" s="16" t="s">
        <v>988</v>
      </c>
    </row>
    <row r="95" spans="2:53" hidden="1" x14ac:dyDescent="0.35">
      <c r="B95" s="14" t="s">
        <v>119</v>
      </c>
      <c r="C95" s="16" t="s">
        <v>867</v>
      </c>
      <c r="D95" s="16" t="s">
        <v>119</v>
      </c>
      <c r="E95" s="16" t="s">
        <v>897</v>
      </c>
      <c r="F95" s="16" cm="1">
        <f t="array" ref="F95">_xlfn.IFS(Tabela18[[#This Row],[STATUS]]="Finalizado",1,Tabela18[[#This Row],[STATUS]]="Cancelado",2,Tabela18[[#This Row],[STATUS]]="Em andamento",3)</f>
        <v>2</v>
      </c>
      <c r="G95" s="16" cm="1">
        <f t="array" aca="1" ref="G9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-EMAIL]]="",$AH95&gt;$AF$1),2,
AND(Tabela18[[#This Row],[STATUS]]="Em andamento",Tabela18[[#This Row],[DATA REAL -EMAIL]]="",$AH95&lt;=$AF$1),3,
AND(Tabela18[[#This Row],[STATUS]]="Em andamento",Tabela18[[#This Row],[DATA REAL -EMAIL]]&lt;&gt;""),1)</f>
        <v>1</v>
      </c>
      <c r="H95" s="16" cm="1">
        <f t="array" aca="1" ref="H9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CLIENTE]]="",$AK95&gt;$AI$1),2,
AND(Tabela18[[#This Row],[STATUS]]="Em andamento",Tabela18[[#This Row],[DATA REAL - DOC CLIENTE]]="",$AK95&lt;=$AI$1),3,
AND(Tabela18[[#This Row],[STATUS]]="Em andamento",Tabela18[[#This Row],[DATA REAL - DOC CLIENTE]]&lt;&gt;""),1)</f>
        <v>1</v>
      </c>
      <c r="I95" s="16" cm="1">
        <f t="array" aca="1" ref="I9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06]]="",$AN95&gt;$AL$1),2,
AND(Tabela18[[#This Row],[STATUS]]="Em andamento",Tabela18[[#This Row],[DATA REAL - ANEXO 06]]="",$AN95&lt;=$AL$1),3,
AND(Tabela18[[#This Row],[STATUS]]="Em andamento",Tabela18[[#This Row],[DATA REAL - ANEXO 06]]&lt;&gt;""),1)</f>
        <v>1</v>
      </c>
      <c r="J95" s="15" cm="1">
        <f t="array" aca="1" ref="J9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LEGAIS]]="",$AQ95&gt;$AO$1),2,
AND(Tabela18[[#This Row],[STATUS]]="Em andamento",Tabela18[[#This Row],[DATA REAL - SOLIC. PROG LEGAIS]]="",$AQ95&lt;=$AO$1),3,
AND(Tabela18[[#This Row],[STATUS]]="Em andamento",Tabela18[[#This Row],[DATA REAL - SOLIC. PROG LEGAIS]]&lt;&gt;""),1)</f>
        <v>1</v>
      </c>
      <c r="K95" s="15" cm="1">
        <f t="array" aca="1" ref="K9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ENVIO]]="",$AT95&gt;$AR$1),2,
AND(Tabela18[[#This Row],[STATUS]]="Em andamento",Tabela18[[#This Row],[DATA REAL - ENVIO]]="",$AT95&lt;=$AR$1),3,
AND(Tabela18[[#This Row],[STATUS]]="Em andamento",Tabela18[[#This Row],[DATA REAL - ENVIO]]&lt;&gt;""),1)</f>
        <v>1</v>
      </c>
      <c r="L95" s="15" cm="1">
        <f t="array" aca="1" ref="L9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POSTAGEM]]="",$AW95&gt;$AU$1),2,
AND(Tabela18[[#This Row],[STATUS]]="Em andamento",Tabela18[[#This Row],[DATA REAL - POSTAGEM]]="",$AW95&lt;=$AU$1),3,
AND(Tabela18[[#This Row],[STATUS]]="Em andamento",Tabela18[[#This Row],[DATA REAL - POSTAGEM]]&lt;&gt;""),1)</f>
        <v>0</v>
      </c>
      <c r="M95" s="16" cm="1">
        <f t="array" aca="1" ref="M9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APROVAÇÃO]]="",$AZ95&gt;$AX$1),2,
AND(Tabela18[[#This Row],[STATUS]]="Em andamento",Tabela18[[#This Row],[DATA REAL - APROVAÇÃO]]="",$AZ95&lt;=$AX$1),3,
AND(Tabela18[[#This Row],[STATUS]]="Em andamento",Tabela18[[#This Row],[DATA REAL - APROVAÇÃO]]&lt;&gt;""),1)</f>
        <v>0</v>
      </c>
      <c r="N95" s="21">
        <f>IF(Tabela18[[#This Row],[DATA REAL -EMAIL]]&lt;&gt;"",Tabela18[[#This Row],[DATA REAL -EMAIL]]+30,Tabela18[[#This Row],[DATA PREV - EMAIL]]+30)</f>
        <v>45463</v>
      </c>
      <c r="O9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45457</v>
      </c>
      <c r="P9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v>
      </c>
      <c r="Q9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25</v>
      </c>
      <c r="R95" s="48">
        <f>MAX(Tabela18[[#This Row],[DATA REAL - POSTAGEM]],Tabela18[[#This Row],[DATA REAL - APROVAÇÃO]])-MIN(Tabela18[[#This Row],[DATA REAL - POSTAGEM]],Tabela18[[#This Row],[DATA REAL - APROVAÇÃO]])+1</f>
        <v>1</v>
      </c>
      <c r="S95" s="16" t="s">
        <v>83</v>
      </c>
      <c r="T95" s="16"/>
      <c r="U95" s="18" t="s">
        <v>85</v>
      </c>
      <c r="V95" s="18" t="s">
        <v>86</v>
      </c>
      <c r="W95" s="16" t="s">
        <v>87</v>
      </c>
      <c r="X95" s="16" t="s">
        <v>89</v>
      </c>
      <c r="Y95" s="16" t="s">
        <v>986</v>
      </c>
      <c r="Z95" s="15" t="s">
        <v>987</v>
      </c>
      <c r="AA95" s="15" t="str">
        <f>_xlfn.XLOOKUP(Tabela18[[#This Row],[CÓD. CT]],Controle_Projetos[COD CT],Controle_Projetos[COD PHD],"")</f>
        <v>TERR-CT08-RMAC</v>
      </c>
      <c r="AB95" s="16"/>
      <c r="AC95" s="21">
        <v>45433</v>
      </c>
      <c r="AD9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45432</v>
      </c>
      <c r="AE95" s="16" cm="1">
        <f t="array" aca="1" ref="AE9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95" s="21">
        <v>45433</v>
      </c>
      <c r="AG95" s="74">
        <v>45433</v>
      </c>
      <c r="AH95" s="16" cm="1">
        <f t="array" aca="1" ref="AH9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5" s="21">
        <v>45433</v>
      </c>
      <c r="AJ95" s="74">
        <v>45433</v>
      </c>
      <c r="AK95" s="16" cm="1">
        <f t="array" aca="1" ref="AK9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5" s="20">
        <f t="shared" si="10"/>
        <v>45440</v>
      </c>
      <c r="AM95" s="74">
        <v>45433</v>
      </c>
      <c r="AN95" s="15" cm="1">
        <f t="array" aca="1" ref="AN9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95" s="20">
        <f t="shared" si="11"/>
        <v>45434</v>
      </c>
      <c r="AP95" s="74">
        <v>45436</v>
      </c>
      <c r="AQ95" s="15" cm="1">
        <f t="array" aca="1" ref="AQ9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95" s="20">
        <f t="shared" si="12"/>
        <v>45450</v>
      </c>
      <c r="AS95" s="74">
        <v>45457</v>
      </c>
      <c r="AT95" s="15" cm="1">
        <f t="array" aca="1" ref="AT9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95" s="20">
        <f t="shared" si="13"/>
        <v>45464</v>
      </c>
      <c r="AV95" s="74"/>
      <c r="AW95" s="15" cm="1">
        <f t="array" aca="1" ref="AW9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95" s="20">
        <f t="shared" si="14"/>
        <v>45467</v>
      </c>
      <c r="AY95" s="74"/>
      <c r="AZ95" s="15" cm="1">
        <f t="array" aca="1" ref="AZ9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95" s="80" t="s">
        <v>989</v>
      </c>
    </row>
    <row r="96" spans="2:53" hidden="1" x14ac:dyDescent="0.35">
      <c r="B96" s="14" t="s">
        <v>119</v>
      </c>
      <c r="C96" s="16" t="s">
        <v>867</v>
      </c>
      <c r="D96" s="16" t="s">
        <v>119</v>
      </c>
      <c r="E96" s="16" t="s">
        <v>990</v>
      </c>
      <c r="F96" s="16" cm="1">
        <f t="array" ref="F96">_xlfn.IFS(Tabela18[[#This Row],[STATUS]]="Finalizado",1,Tabela18[[#This Row],[STATUS]]="Cancelado",2,Tabela18[[#This Row],[STATUS]]="Em andamento",3)</f>
        <v>2</v>
      </c>
      <c r="G96" s="16" cm="1">
        <f t="array" aca="1" ref="G9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-EMAIL]]="",$AH96&gt;$AF$1),2,
AND(Tabela18[[#This Row],[STATUS]]="Em andamento",Tabela18[[#This Row],[DATA REAL -EMAIL]]="",$AH96&lt;=$AF$1),3,
AND(Tabela18[[#This Row],[STATUS]]="Em andamento",Tabela18[[#This Row],[DATA REAL -EMAIL]]&lt;&gt;""),1)</f>
        <v>1</v>
      </c>
      <c r="H96" s="16" cm="1">
        <f t="array" aca="1" ref="H9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CLIENTE]]="",$AK96&gt;$AI$1),2,
AND(Tabela18[[#This Row],[STATUS]]="Em andamento",Tabela18[[#This Row],[DATA REAL - DOC CLIENTE]]="",$AK96&lt;=$AI$1),3,
AND(Tabela18[[#This Row],[STATUS]]="Em andamento",Tabela18[[#This Row],[DATA REAL - DOC CLIENTE]]&lt;&gt;""),1)</f>
        <v>1</v>
      </c>
      <c r="I96" s="16" cm="1">
        <f t="array" aca="1" ref="I9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06]]="",$AN96&gt;$AL$1),2,
AND(Tabela18[[#This Row],[STATUS]]="Em andamento",Tabela18[[#This Row],[DATA REAL - ANEXO 06]]="",$AN96&lt;=$AL$1),3,
AND(Tabela18[[#This Row],[STATUS]]="Em andamento",Tabela18[[#This Row],[DATA REAL - ANEXO 06]]&lt;&gt;""),1)</f>
        <v>1</v>
      </c>
      <c r="J96" s="15" cm="1">
        <f t="array" aca="1" ref="J9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LEGAIS]]="",$AQ96&gt;$AO$1),2,
AND(Tabela18[[#This Row],[STATUS]]="Em andamento",Tabela18[[#This Row],[DATA REAL - SOLIC. PROG LEGAIS]]="",$AQ96&lt;=$AO$1),3,
AND(Tabela18[[#This Row],[STATUS]]="Em andamento",Tabela18[[#This Row],[DATA REAL - SOLIC. PROG LEGAIS]]&lt;&gt;""),1)</f>
        <v>1</v>
      </c>
      <c r="K96" s="15" cm="1">
        <f t="array" aca="1" ref="K9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ENVIO]]="",$AT96&gt;$AR$1),2,
AND(Tabela18[[#This Row],[STATUS]]="Em andamento",Tabela18[[#This Row],[DATA REAL - ENVIO]]="",$AT96&lt;=$AR$1),3,
AND(Tabela18[[#This Row],[STATUS]]="Em andamento",Tabela18[[#This Row],[DATA REAL - ENVIO]]&lt;&gt;""),1)</f>
        <v>0</v>
      </c>
      <c r="L96" s="15" cm="1">
        <f t="array" aca="1" ref="L9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POSTAGEM]]="",$AW96&gt;$AU$1),2,
AND(Tabela18[[#This Row],[STATUS]]="Em andamento",Tabela18[[#This Row],[DATA REAL - POSTAGEM]]="",$AW96&lt;=$AU$1),3,
AND(Tabela18[[#This Row],[STATUS]]="Em andamento",Tabela18[[#This Row],[DATA REAL - POSTAGEM]]&lt;&gt;""),1)</f>
        <v>0</v>
      </c>
      <c r="M96" s="16" cm="1">
        <f t="array" aca="1" ref="M9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APROVAÇÃO]]="",$AZ96&gt;$AX$1),2,
AND(Tabela18[[#This Row],[STATUS]]="Em andamento",Tabela18[[#This Row],[DATA REAL - APROVAÇÃO]]="",$AZ96&lt;=$AX$1),3,
AND(Tabela18[[#This Row],[STATUS]]="Em andamento",Tabela18[[#This Row],[DATA REAL - APROVAÇÃO]]&lt;&gt;""),1)</f>
        <v>0</v>
      </c>
      <c r="N96" s="21">
        <f>IF(Tabela18[[#This Row],[DATA REAL -EMAIL]]&lt;&gt;"",Tabela18[[#This Row],[DATA REAL -EMAIL]]+30,Tabela18[[#This Row],[DATA PREV - EMAIL]]+30)</f>
        <v>45457</v>
      </c>
      <c r="O9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45441</v>
      </c>
      <c r="P9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9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96" s="48">
        <f>MAX(Tabela18[[#This Row],[DATA REAL - POSTAGEM]],Tabela18[[#This Row],[DATA REAL - APROVAÇÃO]])-MIN(Tabela18[[#This Row],[DATA REAL - POSTAGEM]],Tabela18[[#This Row],[DATA REAL - APROVAÇÃO]])+1</f>
        <v>1</v>
      </c>
      <c r="S96" s="16" t="s">
        <v>122</v>
      </c>
      <c r="T96" s="16"/>
      <c r="U96" s="18" t="s">
        <v>124</v>
      </c>
      <c r="V96" s="18" t="s">
        <v>124</v>
      </c>
      <c r="W96" s="16" t="s">
        <v>97</v>
      </c>
      <c r="X96" s="16" t="s">
        <v>132</v>
      </c>
      <c r="Y96" s="16" t="s">
        <v>180</v>
      </c>
      <c r="Z96" s="15" t="s">
        <v>991</v>
      </c>
      <c r="AA96" s="15" t="str">
        <f>_xlfn.XLOOKUP(Tabela18[[#This Row],[CÓD. CT]],Controle_Projetos[COD CT],Controle_Projetos[COD PHD],"")</f>
        <v>CARD-CT09-ITAB</v>
      </c>
      <c r="AB96" s="16"/>
      <c r="AC96" s="21">
        <v>45421</v>
      </c>
      <c r="AD9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96" s="16" cm="1">
        <f t="array" aca="1" ref="AE9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96" s="21">
        <v>45427</v>
      </c>
      <c r="AG96" s="74">
        <v>45427</v>
      </c>
      <c r="AH96" s="16" cm="1">
        <f t="array" aca="1" ref="AH9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6" s="21">
        <v>45428</v>
      </c>
      <c r="AJ96" s="74">
        <v>45428</v>
      </c>
      <c r="AK96" s="16" cm="1">
        <f t="array" aca="1" ref="AK9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6" s="20">
        <f t="shared" si="10"/>
        <v>45435</v>
      </c>
      <c r="AM96" s="74">
        <v>45441</v>
      </c>
      <c r="AN96" s="15" cm="1">
        <f t="array" aca="1" ref="AN9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96" s="20">
        <f t="shared" si="11"/>
        <v>45442</v>
      </c>
      <c r="AP96" s="74">
        <v>45433</v>
      </c>
      <c r="AQ96" s="15" cm="1">
        <f t="array" aca="1" ref="AQ9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-8</v>
      </c>
      <c r="AR96" s="20">
        <f t="shared" si="12"/>
        <v>45447</v>
      </c>
      <c r="AS96" s="74"/>
      <c r="AT96" s="15" cm="1">
        <f t="array" aca="1" ref="AT9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96" s="20">
        <f t="shared" si="13"/>
        <v>45454</v>
      </c>
      <c r="AV96" s="74"/>
      <c r="AW96" s="15" cm="1">
        <f t="array" aca="1" ref="AW9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96" s="20">
        <f t="shared" si="14"/>
        <v>45455</v>
      </c>
      <c r="AY96" s="74"/>
      <c r="AZ96" s="15" cm="1">
        <f t="array" aca="1" ref="AZ9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96" s="80" t="s">
        <v>992</v>
      </c>
    </row>
    <row r="97" spans="2:53" hidden="1" x14ac:dyDescent="0.35">
      <c r="B97" s="14" t="s">
        <v>79</v>
      </c>
      <c r="C97" s="16" t="s">
        <v>136</v>
      </c>
      <c r="D97" s="16" t="s">
        <v>108</v>
      </c>
      <c r="E97" s="16" t="s">
        <v>174</v>
      </c>
      <c r="F97" s="16" cm="1">
        <f t="array" ref="F97">_xlfn.IFS(Tabela18[[#This Row],[STATUS]]="Finalizado",1,Tabela18[[#This Row],[STATUS]]="Cancelado",2,Tabela18[[#This Row],[STATUS]]="Em andamento",3)</f>
        <v>1</v>
      </c>
      <c r="G97" s="16" cm="1">
        <f t="array" aca="1" ref="G9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-EMAIL]]="",$AH97&gt;$AF$1),2,
AND(Tabela18[[#This Row],[STATUS]]="Em andamento",Tabela18[[#This Row],[DATA REAL -EMAIL]]="",$AH97&lt;=$AF$1),3,
AND(Tabela18[[#This Row],[STATUS]]="Em andamento",Tabela18[[#This Row],[DATA REAL -EMAIL]]&lt;&gt;""),1)</f>
        <v>1</v>
      </c>
      <c r="H97" s="16" cm="1">
        <f t="array" aca="1" ref="H9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CLIENTE]]="",$AK97&gt;$AI$1),2,
AND(Tabela18[[#This Row],[STATUS]]="Em andamento",Tabela18[[#This Row],[DATA REAL - DOC CLIENTE]]="",$AK97&lt;=$AI$1),3,
AND(Tabela18[[#This Row],[STATUS]]="Em andamento",Tabela18[[#This Row],[DATA REAL - DOC CLIENTE]]&lt;&gt;""),1)</f>
        <v>1</v>
      </c>
      <c r="I97" s="16" cm="1">
        <f t="array" aca="1" ref="I9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06]]="",$AN97&gt;$AL$1),2,
AND(Tabela18[[#This Row],[STATUS]]="Em andamento",Tabela18[[#This Row],[DATA REAL - ANEXO 06]]="",$AN97&lt;=$AL$1),3,
AND(Tabela18[[#This Row],[STATUS]]="Em andamento",Tabela18[[#This Row],[DATA REAL - ANEXO 06]]&lt;&gt;""),1)</f>
        <v>1</v>
      </c>
      <c r="J97" s="15" cm="1">
        <f t="array" aca="1" ref="J9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LEGAIS]]="",$AQ97&gt;$AO$1),2,
AND(Tabela18[[#This Row],[STATUS]]="Em andamento",Tabela18[[#This Row],[DATA REAL - SOLIC. PROG LEGAIS]]="",$AQ97&lt;=$AO$1),3,
AND(Tabela18[[#This Row],[STATUS]]="Em andamento",Tabela18[[#This Row],[DATA REAL - SOLIC. PROG LEGAIS]]&lt;&gt;""),1)</f>
        <v>1</v>
      </c>
      <c r="K97" s="15" cm="1">
        <f t="array" aca="1" ref="K9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ENVIO]]="",$AT97&gt;$AR$1),2,
AND(Tabela18[[#This Row],[STATUS]]="Em andamento",Tabela18[[#This Row],[DATA REAL - ENVIO]]="",$AT97&lt;=$AR$1),3,
AND(Tabela18[[#This Row],[STATUS]]="Em andamento",Tabela18[[#This Row],[DATA REAL - ENVIO]]&lt;&gt;""),1)</f>
        <v>1</v>
      </c>
      <c r="L97" s="15" cm="1">
        <f t="array" aca="1" ref="L9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POSTAGEM]]="",$AW97&gt;$AU$1),2,
AND(Tabela18[[#This Row],[STATUS]]="Em andamento",Tabela18[[#This Row],[DATA REAL - POSTAGEM]]="",$AW97&lt;=$AU$1),3,
AND(Tabela18[[#This Row],[STATUS]]="Em andamento",Tabela18[[#This Row],[DATA REAL - POSTAGEM]]&lt;&gt;""),1)</f>
        <v>1</v>
      </c>
      <c r="M97" s="16" cm="1">
        <f t="array" aca="1" ref="M9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APROVAÇÃO]]="",$AZ97&gt;$AX$1),2,
AND(Tabela18[[#This Row],[STATUS]]="Em andamento",Tabela18[[#This Row],[DATA REAL - APROVAÇÃO]]="",$AZ97&lt;=$AX$1),3,
AND(Tabela18[[#This Row],[STATUS]]="Em andamento",Tabela18[[#This Row],[DATA REAL - APROVAÇÃO]]&lt;&gt;""),1)</f>
        <v>1</v>
      </c>
      <c r="N97" s="21">
        <f>IF(Tabela18[[#This Row],[DATA REAL -EMAIL]]&lt;&gt;"",Tabela18[[#This Row],[DATA REAL -EMAIL]]+30,Tabela18[[#This Row],[DATA PREV - EMAIL]]+30)</f>
        <v>45497</v>
      </c>
      <c r="O9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45483</v>
      </c>
      <c r="P9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16</v>
      </c>
      <c r="Q9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97" s="48">
        <f>MAX(Tabela18[[#This Row],[DATA REAL - POSTAGEM]],Tabela18[[#This Row],[DATA REAL - APROVAÇÃO]])-MIN(Tabela18[[#This Row],[DATA REAL - POSTAGEM]],Tabela18[[#This Row],[DATA REAL - APROVAÇÃO]])+1</f>
        <v>1</v>
      </c>
      <c r="S97" s="16" t="s">
        <v>993</v>
      </c>
      <c r="T97" s="16"/>
      <c r="U97" s="18" t="s">
        <v>173</v>
      </c>
      <c r="V97" s="18" t="s">
        <v>152</v>
      </c>
      <c r="W97" s="16" t="s">
        <v>97</v>
      </c>
      <c r="X97" s="16" t="s">
        <v>174</v>
      </c>
      <c r="Y97" s="16" t="s">
        <v>994</v>
      </c>
      <c r="Z97" s="15" t="s">
        <v>176</v>
      </c>
      <c r="AA97" s="15" t="str">
        <f>_xlfn.XLOOKUP(Tabela18[[#This Row],[CÓD. CT]],Controle_Projetos[COD CT],Controle_Projetos[COD PHD],"")</f>
        <v>ALCO-CT02-GERE</v>
      </c>
      <c r="AB97" s="16"/>
      <c r="AC97" s="21">
        <v>45467</v>
      </c>
      <c r="AD9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97" s="16" cm="1">
        <f t="array" aca="1" ref="AE9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97" s="21">
        <v>45467</v>
      </c>
      <c r="AG97" s="74">
        <v>45467</v>
      </c>
      <c r="AH97" s="16" cm="1">
        <f t="array" aca="1" ref="AH9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7" s="21">
        <v>45467</v>
      </c>
      <c r="AJ97" s="74">
        <v>45468</v>
      </c>
      <c r="AK97" s="16" cm="1">
        <f t="array" aca="1" ref="AK9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7" s="20">
        <f t="shared" si="10"/>
        <v>45475</v>
      </c>
      <c r="AM97" s="74">
        <v>45470</v>
      </c>
      <c r="AN97" s="15" cm="1">
        <f t="array" aca="1" ref="AN9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97" s="20">
        <f t="shared" si="11"/>
        <v>45471</v>
      </c>
      <c r="AP97" s="74">
        <v>45475</v>
      </c>
      <c r="AQ97" s="15" cm="1">
        <f t="array" aca="1" ref="AQ9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97" s="20">
        <f t="shared" si="12"/>
        <v>45489</v>
      </c>
      <c r="AS97" s="74">
        <v>45481</v>
      </c>
      <c r="AT97" s="15" cm="1">
        <f t="array" aca="1" ref="AT9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97" s="20">
        <f t="shared" si="13"/>
        <v>45488</v>
      </c>
      <c r="AV97" s="74">
        <v>45483</v>
      </c>
      <c r="AW97" s="15" cm="1">
        <f t="array" aca="1" ref="AW9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v>
      </c>
      <c r="AX97" s="20">
        <f t="shared" si="14"/>
        <v>45484</v>
      </c>
      <c r="AY97" s="74">
        <v>45483</v>
      </c>
      <c r="AZ97" s="15" cm="1">
        <f t="array" aca="1" ref="AZ9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97" s="16" t="s">
        <v>995</v>
      </c>
    </row>
    <row r="98" spans="2:53" hidden="1" x14ac:dyDescent="0.35">
      <c r="B98" s="14" t="s">
        <v>79</v>
      </c>
      <c r="C98" s="16" t="s">
        <v>867</v>
      </c>
      <c r="D98" s="16" t="s">
        <v>108</v>
      </c>
      <c r="E98" s="16" t="s">
        <v>996</v>
      </c>
      <c r="F98" s="16" cm="1">
        <f t="array" ref="F98">_xlfn.IFS(Tabela18[[#This Row],[STATUS]]="Finalizado",1,Tabela18[[#This Row],[STATUS]]="Cancelado",2,Tabela18[[#This Row],[STATUS]]="Em andamento",3)</f>
        <v>1</v>
      </c>
      <c r="G98" s="16" cm="1">
        <f t="array" aca="1" ref="G9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-EMAIL]]="",$AH98&gt;$AF$1),2,
AND(Tabela18[[#This Row],[STATUS]]="Em andamento",Tabela18[[#This Row],[DATA REAL -EMAIL]]="",$AH98&lt;=$AF$1),3,
AND(Tabela18[[#This Row],[STATUS]]="Em andamento",Tabela18[[#This Row],[DATA REAL -EMAIL]]&lt;&gt;""),1)</f>
        <v>1</v>
      </c>
      <c r="H98" s="16" cm="1">
        <f t="array" aca="1" ref="H9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CLIENTE]]="",$AK98&gt;$AI$1),2,
AND(Tabela18[[#This Row],[STATUS]]="Em andamento",Tabela18[[#This Row],[DATA REAL - DOC CLIENTE]]="",$AK98&lt;=$AI$1),3,
AND(Tabela18[[#This Row],[STATUS]]="Em andamento",Tabela18[[#This Row],[DATA REAL - DOC CLIENTE]]&lt;&gt;""),1)</f>
        <v>1</v>
      </c>
      <c r="I98" s="16" cm="1">
        <f t="array" aca="1" ref="I9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06]]="",$AN98&gt;$AL$1),2,
AND(Tabela18[[#This Row],[STATUS]]="Em andamento",Tabela18[[#This Row],[DATA REAL - ANEXO 06]]="",$AN98&lt;=$AL$1),3,
AND(Tabela18[[#This Row],[STATUS]]="Em andamento",Tabela18[[#This Row],[DATA REAL - ANEXO 06]]&lt;&gt;""),1)</f>
        <v>1</v>
      </c>
      <c r="J98" s="15" cm="1">
        <f t="array" aca="1" ref="J9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LEGAIS]]="",$AQ98&gt;$AO$1),2,
AND(Tabela18[[#This Row],[STATUS]]="Em andamento",Tabela18[[#This Row],[DATA REAL - SOLIC. PROG LEGAIS]]="",$AQ98&lt;=$AO$1),3,
AND(Tabela18[[#This Row],[STATUS]]="Em andamento",Tabela18[[#This Row],[DATA REAL - SOLIC. PROG LEGAIS]]&lt;&gt;""),1)</f>
        <v>1</v>
      </c>
      <c r="K98" s="15" cm="1">
        <f t="array" aca="1" ref="K9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ENVIO]]="",$AT98&gt;$AR$1),2,
AND(Tabela18[[#This Row],[STATUS]]="Em andamento",Tabela18[[#This Row],[DATA REAL - ENVIO]]="",$AT98&lt;=$AR$1),3,
AND(Tabela18[[#This Row],[STATUS]]="Em andamento",Tabela18[[#This Row],[DATA REAL - ENVIO]]&lt;&gt;""),1)</f>
        <v>1</v>
      </c>
      <c r="L98" s="15" cm="1">
        <f t="array" aca="1" ref="L9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POSTAGEM]]="",$AW98&gt;$AU$1),2,
AND(Tabela18[[#This Row],[STATUS]]="Em andamento",Tabela18[[#This Row],[DATA REAL - POSTAGEM]]="",$AW98&lt;=$AU$1),3,
AND(Tabela18[[#This Row],[STATUS]]="Em andamento",Tabela18[[#This Row],[DATA REAL - POSTAGEM]]&lt;&gt;""),1)</f>
        <v>1</v>
      </c>
      <c r="M98" s="16" cm="1">
        <f t="array" aca="1" ref="M9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APROVAÇÃO]]="",$AZ98&gt;$AX$1),2,
AND(Tabela18[[#This Row],[STATUS]]="Em andamento",Tabela18[[#This Row],[DATA REAL - APROVAÇÃO]]="",$AZ98&lt;=$AX$1),3,
AND(Tabela18[[#This Row],[STATUS]]="Em andamento",Tabela18[[#This Row],[DATA REAL - APROVAÇÃO]]&lt;&gt;""),1)</f>
        <v>1</v>
      </c>
      <c r="N98" s="21">
        <f>IF(Tabela18[[#This Row],[DATA REAL -EMAIL]]&lt;&gt;"",Tabela18[[#This Row],[DATA REAL -EMAIL]]+30,Tabela18[[#This Row],[DATA PREV - EMAIL]]+30)</f>
        <v>45499</v>
      </c>
      <c r="O9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45488</v>
      </c>
      <c r="P9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20</v>
      </c>
      <c r="Q9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v>
      </c>
      <c r="R98" s="48">
        <f>MAX(Tabela18[[#This Row],[DATA REAL - POSTAGEM]],Tabela18[[#This Row],[DATA REAL - APROVAÇÃO]])-MIN(Tabela18[[#This Row],[DATA REAL - POSTAGEM]],Tabela18[[#This Row],[DATA REAL - APROVAÇÃO]])+1</f>
        <v>1</v>
      </c>
      <c r="S98" s="16" t="s">
        <v>158</v>
      </c>
      <c r="T98" s="16"/>
      <c r="U98" s="18" t="s">
        <v>159</v>
      </c>
      <c r="V98" s="18" t="s">
        <v>152</v>
      </c>
      <c r="W98" s="16" t="s">
        <v>97</v>
      </c>
      <c r="X98" s="16" t="s">
        <v>89</v>
      </c>
      <c r="Y98" s="16" t="s">
        <v>99</v>
      </c>
      <c r="Z98" s="15" t="s">
        <v>997</v>
      </c>
      <c r="AA98" s="15" t="str">
        <f>_xlfn.XLOOKUP(Tabela18[[#This Row],[CÓD. CT]],Controle_Projetos[COD CT],Controle_Projetos[COD PHD],"")</f>
        <v>TECN-CT02-MODE</v>
      </c>
      <c r="AB98" s="16"/>
      <c r="AC98" s="21">
        <v>45469</v>
      </c>
      <c r="AD9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45468</v>
      </c>
      <c r="AE98" s="16" cm="1">
        <f t="array" aca="1" ref="AE9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98" s="21">
        <v>45469</v>
      </c>
      <c r="AG98" s="74">
        <v>45469</v>
      </c>
      <c r="AH98" s="16" cm="1">
        <f t="array" aca="1" ref="AH9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8" s="21">
        <v>45474</v>
      </c>
      <c r="AJ98" s="74">
        <v>45474</v>
      </c>
      <c r="AK98" s="16" cm="1">
        <f t="array" aca="1" ref="AK9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8" s="20">
        <f t="shared" si="10"/>
        <v>45481</v>
      </c>
      <c r="AM98" s="74">
        <v>45476</v>
      </c>
      <c r="AN98" s="15" cm="1">
        <f t="array" aca="1" ref="AN9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98" s="20">
        <f t="shared" si="11"/>
        <v>45477</v>
      </c>
      <c r="AP98" s="74">
        <v>45475</v>
      </c>
      <c r="AQ98" s="15" cm="1">
        <f t="array" aca="1" ref="AQ9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98" s="20">
        <f t="shared" si="12"/>
        <v>45489</v>
      </c>
      <c r="AS98" s="74">
        <v>45483</v>
      </c>
      <c r="AT98" s="15" cm="1">
        <f t="array" aca="1" ref="AT9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98" s="20">
        <f t="shared" si="13"/>
        <v>45490</v>
      </c>
      <c r="AV98" s="74">
        <v>45488</v>
      </c>
      <c r="AW98" s="15" cm="1">
        <f t="array" aca="1" ref="AW9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98" s="20">
        <f t="shared" si="14"/>
        <v>45489</v>
      </c>
      <c r="AY98" s="74">
        <v>45488</v>
      </c>
      <c r="AZ98" s="15" cm="1">
        <f t="array" aca="1" ref="AZ9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98" s="16" t="s">
        <v>998</v>
      </c>
    </row>
    <row r="99" spans="2:53" hidden="1" x14ac:dyDescent="0.35">
      <c r="B99" s="14" t="s">
        <v>79</v>
      </c>
      <c r="C99" s="16" t="s">
        <v>867</v>
      </c>
      <c r="D99" s="16" t="s">
        <v>108</v>
      </c>
      <c r="E99" s="16" t="s">
        <v>98</v>
      </c>
      <c r="F99" s="16" cm="1">
        <f t="array" ref="F99">_xlfn.IFS(Tabela18[[#This Row],[STATUS]]="Finalizado",1,Tabela18[[#This Row],[STATUS]]="Cancelado",2,Tabela18[[#This Row],[STATUS]]="Em andamento",3)</f>
        <v>1</v>
      </c>
      <c r="G99" s="16" cm="1">
        <f t="array" aca="1" ref="G9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-EMAIL]]="",$AH99&gt;$AF$1),2,
AND(Tabela18[[#This Row],[STATUS]]="Em andamento",Tabela18[[#This Row],[DATA REAL -EMAIL]]="",$AH99&lt;=$AF$1),3,
AND(Tabela18[[#This Row],[STATUS]]="Em andamento",Tabela18[[#This Row],[DATA REAL -EMAIL]]&lt;&gt;""),1)</f>
        <v>1</v>
      </c>
      <c r="H99" s="16" cm="1">
        <f t="array" aca="1" ref="H9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CLIENTE]]="",$AK99&gt;$AI$1),2,
AND(Tabela18[[#This Row],[STATUS]]="Em andamento",Tabela18[[#This Row],[DATA REAL - DOC CLIENTE]]="",$AK99&lt;=$AI$1),3,
AND(Tabela18[[#This Row],[STATUS]]="Em andamento",Tabela18[[#This Row],[DATA REAL - DOC CLIENTE]]&lt;&gt;""),1)</f>
        <v>1</v>
      </c>
      <c r="I99" s="16" cm="1">
        <f t="array" aca="1" ref="I9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06]]="",$AN99&gt;$AL$1),2,
AND(Tabela18[[#This Row],[STATUS]]="Em andamento",Tabela18[[#This Row],[DATA REAL - ANEXO 06]]="",$AN99&lt;=$AL$1),3,
AND(Tabela18[[#This Row],[STATUS]]="Em andamento",Tabela18[[#This Row],[DATA REAL - ANEXO 06]]&lt;&gt;""),1)</f>
        <v>1</v>
      </c>
      <c r="J99" s="15" cm="1">
        <f t="array" aca="1" ref="J9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LEGAIS]]="",$AQ99&gt;$AO$1),2,
AND(Tabela18[[#This Row],[STATUS]]="Em andamento",Tabela18[[#This Row],[DATA REAL - SOLIC. PROG LEGAIS]]="",$AQ99&lt;=$AO$1),3,
AND(Tabela18[[#This Row],[STATUS]]="Em andamento",Tabela18[[#This Row],[DATA REAL - SOLIC. PROG LEGAIS]]&lt;&gt;""),1)</f>
        <v>1</v>
      </c>
      <c r="K99" s="15" cm="1">
        <f t="array" aca="1" ref="K9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ENVIO]]="",$AT99&gt;$AR$1),2,
AND(Tabela18[[#This Row],[STATUS]]="Em andamento",Tabela18[[#This Row],[DATA REAL - ENVIO]]="",$AT99&lt;=$AR$1),3,
AND(Tabela18[[#This Row],[STATUS]]="Em andamento",Tabela18[[#This Row],[DATA REAL - ENVIO]]&lt;&gt;""),1)</f>
        <v>1</v>
      </c>
      <c r="L99" s="15" cm="1">
        <f t="array" aca="1" ref="L9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POSTAGEM]]="",$AW99&gt;$AU$1),2,
AND(Tabela18[[#This Row],[STATUS]]="Em andamento",Tabela18[[#This Row],[DATA REAL - POSTAGEM]]="",$AW99&lt;=$AU$1),3,
AND(Tabela18[[#This Row],[STATUS]]="Em andamento",Tabela18[[#This Row],[DATA REAL - POSTAGEM]]&lt;&gt;""),1)</f>
        <v>1</v>
      </c>
      <c r="M99" s="16" cm="1">
        <f t="array" aca="1" ref="M9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APROVAÇÃO]]="",$AZ99&gt;$AX$1),2,
AND(Tabela18[[#This Row],[STATUS]]="Em andamento",Tabela18[[#This Row],[DATA REAL - APROVAÇÃO]]="",$AZ99&lt;=$AX$1),3,
AND(Tabela18[[#This Row],[STATUS]]="Em andamento",Tabela18[[#This Row],[DATA REAL - APROVAÇÃO]]&lt;&gt;""),1)</f>
        <v>1</v>
      </c>
      <c r="N99" s="21">
        <f>IF(Tabela18[[#This Row],[DATA REAL -EMAIL]]&lt;&gt;"",Tabela18[[#This Row],[DATA REAL -EMAIL]]+30,Tabela18[[#This Row],[DATA PREV - EMAIL]]+30)</f>
        <v>45508</v>
      </c>
      <c r="O9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45483</v>
      </c>
      <c r="P9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253</v>
      </c>
      <c r="Q9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248</v>
      </c>
      <c r="R99" s="48">
        <f>MAX(Tabela18[[#This Row],[DATA REAL - POSTAGEM]],Tabela18[[#This Row],[DATA REAL - APROVAÇÃO]])-MIN(Tabela18[[#This Row],[DATA REAL - POSTAGEM]],Tabela18[[#This Row],[DATA REAL - APROVAÇÃO]])+1</f>
        <v>6</v>
      </c>
      <c r="S99" s="16" t="s">
        <v>103</v>
      </c>
      <c r="T99" s="16"/>
      <c r="U99" s="18" t="s">
        <v>104</v>
      </c>
      <c r="V99" s="18" t="s">
        <v>86</v>
      </c>
      <c r="W99" s="16" t="s">
        <v>87</v>
      </c>
      <c r="X99" s="16" t="s">
        <v>918</v>
      </c>
      <c r="Y99" s="16" t="s">
        <v>185</v>
      </c>
      <c r="Z99" s="15" t="s">
        <v>186</v>
      </c>
      <c r="AA99" s="15" t="str">
        <f>_xlfn.XLOOKUP(Tabela18[[#This Row],[CÓD. CT]],Controle_Projetos[COD CT],Controle_Projetos[COD PHD],"")</f>
        <v>SALU-CT04-DISP</v>
      </c>
      <c r="AB99" s="16"/>
      <c r="AC99" s="21">
        <v>45478</v>
      </c>
      <c r="AD9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45230</v>
      </c>
      <c r="AE99" s="16" t="str" cm="1">
        <f t="array" aca="1" ref="AE9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99" s="21">
        <v>45478</v>
      </c>
      <c r="AG99" s="74">
        <v>45478</v>
      </c>
      <c r="AH99" s="16" cm="1">
        <f t="array" aca="1" ref="AH9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99" s="21">
        <v>45478</v>
      </c>
      <c r="AJ99" s="74">
        <v>45478</v>
      </c>
      <c r="AK99" s="16" cm="1">
        <f t="array" aca="1" ref="AK9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99" s="20">
        <f t="shared" si="10"/>
        <v>45485</v>
      </c>
      <c r="AM99" s="74">
        <v>45478</v>
      </c>
      <c r="AN99" s="15" cm="1">
        <f t="array" aca="1" ref="AN9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99" s="20">
        <f t="shared" si="11"/>
        <v>45481</v>
      </c>
      <c r="AP99" s="74">
        <v>45478</v>
      </c>
      <c r="AQ99" s="15" cm="1">
        <f t="array" aca="1" ref="AQ9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99" s="20">
        <f t="shared" si="12"/>
        <v>45492</v>
      </c>
      <c r="AS99" s="74">
        <v>45478</v>
      </c>
      <c r="AT99" s="15" cm="1">
        <f t="array" aca="1" ref="AT9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99" s="20">
        <f t="shared" si="13"/>
        <v>45485</v>
      </c>
      <c r="AV99" s="74">
        <v>45478</v>
      </c>
      <c r="AW99" s="15" cm="1">
        <f t="array" aca="1" ref="AW9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99" s="20">
        <f t="shared" si="14"/>
        <v>45481</v>
      </c>
      <c r="AY99" s="74">
        <v>45483</v>
      </c>
      <c r="AZ99" s="15" cm="1">
        <f t="array" aca="1" ref="AZ9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99" s="16" t="s">
        <v>999</v>
      </c>
    </row>
    <row r="100" spans="2:53" hidden="1" x14ac:dyDescent="0.35">
      <c r="B100" s="14" t="s">
        <v>79</v>
      </c>
      <c r="C100" s="16" t="s">
        <v>136</v>
      </c>
      <c r="D100" s="16" t="s">
        <v>108</v>
      </c>
      <c r="E100" s="16" t="s">
        <v>212</v>
      </c>
      <c r="F100" s="16" cm="1">
        <f t="array" ref="F100">_xlfn.IFS(Tabela18[[#This Row],[STATUS]]="Finalizado",1,Tabela18[[#This Row],[STATUS]]="Cancelado",2,Tabela18[[#This Row],[STATUS]]="Em andamento",3)</f>
        <v>1</v>
      </c>
      <c r="G100" s="16" cm="1">
        <f t="array" aca="1" ref="G10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-EMAIL]]="",$AH100&gt;$AF$1),2,
AND(Tabela18[[#This Row],[STATUS]]="Em andamento",Tabela18[[#This Row],[DATA REAL -EMAIL]]="",$AH100&lt;=$AF$1),3,
AND(Tabela18[[#This Row],[STATUS]]="Em andamento",Tabela18[[#This Row],[DATA REAL -EMAIL]]&lt;&gt;""),1)</f>
        <v>1</v>
      </c>
      <c r="H100" s="16" cm="1">
        <f t="array" aca="1" ref="H10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CLIENTE]]="",$AK100&gt;$AI$1),2,
AND(Tabela18[[#This Row],[STATUS]]="Em andamento",Tabela18[[#This Row],[DATA REAL - DOC CLIENTE]]="",$AK100&lt;=$AI$1),3,
AND(Tabela18[[#This Row],[STATUS]]="Em andamento",Tabela18[[#This Row],[DATA REAL - DOC CLIENTE]]&lt;&gt;""),1)</f>
        <v>1</v>
      </c>
      <c r="I100" s="16" cm="1">
        <f t="array" aca="1" ref="I10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06]]="",$AN100&gt;$AL$1),2,
AND(Tabela18[[#This Row],[STATUS]]="Em andamento",Tabela18[[#This Row],[DATA REAL - ANEXO 06]]="",$AN100&lt;=$AL$1),3,
AND(Tabela18[[#This Row],[STATUS]]="Em andamento",Tabela18[[#This Row],[DATA REAL - ANEXO 06]]&lt;&gt;""),1)</f>
        <v>1</v>
      </c>
      <c r="J100" s="15" cm="1">
        <f t="array" aca="1" ref="J10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LEGAIS]]="",$AQ100&gt;$AO$1),2,
AND(Tabela18[[#This Row],[STATUS]]="Em andamento",Tabela18[[#This Row],[DATA REAL - SOLIC. PROG LEGAIS]]="",$AQ100&lt;=$AO$1),3,
AND(Tabela18[[#This Row],[STATUS]]="Em andamento",Tabela18[[#This Row],[DATA REAL - SOLIC. PROG LEGAIS]]&lt;&gt;""),1)</f>
        <v>1</v>
      </c>
      <c r="K100" s="15" cm="1">
        <f t="array" aca="1" ref="K10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ENVIO]]="",$AT100&gt;$AR$1),2,
AND(Tabela18[[#This Row],[STATUS]]="Em andamento",Tabela18[[#This Row],[DATA REAL - ENVIO]]="",$AT100&lt;=$AR$1),3,
AND(Tabela18[[#This Row],[STATUS]]="Em andamento",Tabela18[[#This Row],[DATA REAL - ENVIO]]&lt;&gt;""),1)</f>
        <v>1</v>
      </c>
      <c r="L100" s="15" cm="1">
        <f t="array" aca="1" ref="L10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POSTAGEM]]="",$AW100&gt;$AU$1),2,
AND(Tabela18[[#This Row],[STATUS]]="Em andamento",Tabela18[[#This Row],[DATA REAL - POSTAGEM]]="",$AW100&lt;=$AU$1),3,
AND(Tabela18[[#This Row],[STATUS]]="Em andamento",Tabela18[[#This Row],[DATA REAL - POSTAGEM]]&lt;&gt;""),1)</f>
        <v>1</v>
      </c>
      <c r="M100" s="16" cm="1">
        <f t="array" aca="1" ref="M10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APROVAÇÃO]]="",$AZ100&gt;$AX$1),2,
AND(Tabela18[[#This Row],[STATUS]]="Em andamento",Tabela18[[#This Row],[DATA REAL - APROVAÇÃO]]="",$AZ100&lt;=$AX$1),3,
AND(Tabela18[[#This Row],[STATUS]]="Em andamento",Tabela18[[#This Row],[DATA REAL - APROVAÇÃO]]&lt;&gt;""),1)</f>
        <v>1</v>
      </c>
      <c r="N100" s="21">
        <f>IF(Tabela18[[#This Row],[DATA REAL -EMAIL]]&lt;&gt;"",Tabela18[[#This Row],[DATA REAL -EMAIL]]+30,Tabela18[[#This Row],[DATA PREV - EMAIL]]+30)</f>
        <v>45505</v>
      </c>
      <c r="O10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45497</v>
      </c>
      <c r="P10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22</v>
      </c>
      <c r="Q10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100" s="48">
        <f>MAX(Tabela18[[#This Row],[DATA REAL - POSTAGEM]],Tabela18[[#This Row],[DATA REAL - APROVAÇÃO]])-MIN(Tabela18[[#This Row],[DATA REAL - POSTAGEM]],Tabela18[[#This Row],[DATA REAL - APROVAÇÃO]])+1</f>
        <v>1</v>
      </c>
      <c r="S100" s="16" t="s">
        <v>150</v>
      </c>
      <c r="T100" s="16"/>
      <c r="U100" s="18"/>
      <c r="V100" s="18" t="s">
        <v>152</v>
      </c>
      <c r="W100" s="16" t="s">
        <v>97</v>
      </c>
      <c r="X100" s="16" t="s">
        <v>213</v>
      </c>
      <c r="Y100" s="16" t="s">
        <v>214</v>
      </c>
      <c r="Z100" s="15" t="s">
        <v>215</v>
      </c>
      <c r="AA100" s="15" t="str">
        <f>_xlfn.XLOOKUP(Tabela18[[#This Row],[CÓD. CT]],Controle_Projetos[COD CT],Controle_Projetos[COD PHD],"")</f>
        <v>NOBR-CT05-PLAN</v>
      </c>
      <c r="AB100" s="16"/>
      <c r="AC100" s="21">
        <v>45475</v>
      </c>
      <c r="AD10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45489</v>
      </c>
      <c r="AE100" s="16" cm="1">
        <f t="array" aca="1" ref="AE10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15</v>
      </c>
      <c r="AF100" s="21">
        <v>45475</v>
      </c>
      <c r="AG100" s="74">
        <v>45475</v>
      </c>
      <c r="AH100" s="16" cm="1">
        <f t="array" aca="1" ref="AH10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0" s="21">
        <v>45475</v>
      </c>
      <c r="AJ100" s="74">
        <v>45475</v>
      </c>
      <c r="AK100" s="16" cm="1">
        <f t="array" aca="1" ref="AK10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0" s="20">
        <f t="shared" ref="AL100:AL131" si="15">IF(AI100="","",IF(AJ100="",WORKDAY(AI100,AL$1,),WORKDAY(AJ100,AL$1,)))</f>
        <v>45482</v>
      </c>
      <c r="AM100" s="74">
        <v>45482</v>
      </c>
      <c r="AN100" s="15" cm="1">
        <f t="array" aca="1" ref="AN10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00" s="20">
        <f t="shared" ref="AO100:AO131" si="16">IF(AL100="","",IF(AM100="",WORKDAY(AL100,AO$1,),WORKDAY(AM100,AO$1,)))</f>
        <v>45483</v>
      </c>
      <c r="AP100" s="74">
        <v>45481</v>
      </c>
      <c r="AQ100" s="15" cm="1">
        <f t="array" aca="1" ref="AQ10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00" s="20">
        <f t="shared" ref="AR100:AR131" si="17">IF(AO100="","",IF(AP100="",WORKDAY(AO100,AR$1,),WORKDAY(AP100,AR$1,)))</f>
        <v>45495</v>
      </c>
      <c r="AS100" s="74">
        <v>45485</v>
      </c>
      <c r="AT100" s="15" cm="1">
        <f t="array" aca="1" ref="AT10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00" s="20">
        <f t="shared" ref="AU100:AU131" si="18">IF(AR100="","",IF(AS100="",WORKDAY(AR100,AU$1,),WORKDAY(AS100,AU$1,)))</f>
        <v>45492</v>
      </c>
      <c r="AV100" s="74">
        <v>45497</v>
      </c>
      <c r="AW100" s="15" cm="1">
        <f t="array" aca="1" ref="AW10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00" s="20">
        <f t="shared" ref="AX100:AX131" si="19">IF(AU100="","",IF(AV100="",WORKDAY(AU100,AX$1,),WORKDAY(AV100,AX$1,)))</f>
        <v>45498</v>
      </c>
      <c r="AY100" s="74">
        <v>45497</v>
      </c>
      <c r="AZ100" s="15" cm="1">
        <f t="array" aca="1" ref="AZ10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00" s="16" t="s">
        <v>1000</v>
      </c>
    </row>
    <row r="101" spans="2:53" hidden="1" x14ac:dyDescent="0.35">
      <c r="B101" s="14" t="s">
        <v>79</v>
      </c>
      <c r="C101" s="16" t="s">
        <v>867</v>
      </c>
      <c r="D101" s="16" t="s">
        <v>108</v>
      </c>
      <c r="E101" s="16" t="s">
        <v>286</v>
      </c>
      <c r="F101" s="16" cm="1">
        <f t="array" ref="F101">_xlfn.IFS(Tabela18[[#This Row],[STATUS]]="Finalizado",1,Tabela18[[#This Row],[STATUS]]="Cancelado",2,Tabela18[[#This Row],[STATUS]]="Em andamento",3)</f>
        <v>1</v>
      </c>
      <c r="G101" s="16" cm="1">
        <f t="array" aca="1" ref="G10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-EMAIL]]="",$AH101&gt;$AF$1),2,
AND(Tabela18[[#This Row],[STATUS]]="Em andamento",Tabela18[[#This Row],[DATA REAL -EMAIL]]="",$AH101&lt;=$AF$1),3,
AND(Tabela18[[#This Row],[STATUS]]="Em andamento",Tabela18[[#This Row],[DATA REAL -EMAIL]]&lt;&gt;""),1)</f>
        <v>1</v>
      </c>
      <c r="H101" s="16" cm="1">
        <f t="array" aca="1" ref="H10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CLIENTE]]="",$AK101&gt;$AI$1),2,
AND(Tabela18[[#This Row],[STATUS]]="Em andamento",Tabela18[[#This Row],[DATA REAL - DOC CLIENTE]]="",$AK101&lt;=$AI$1),3,
AND(Tabela18[[#This Row],[STATUS]]="Em andamento",Tabela18[[#This Row],[DATA REAL - DOC CLIENTE]]&lt;&gt;""),1)</f>
        <v>1</v>
      </c>
      <c r="I101" s="16" cm="1">
        <f t="array" aca="1" ref="I10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06]]="",$AN101&gt;$AL$1),2,
AND(Tabela18[[#This Row],[STATUS]]="Em andamento",Tabela18[[#This Row],[DATA REAL - ANEXO 06]]="",$AN101&lt;=$AL$1),3,
AND(Tabela18[[#This Row],[STATUS]]="Em andamento",Tabela18[[#This Row],[DATA REAL - ANEXO 06]]&lt;&gt;""),1)</f>
        <v>1</v>
      </c>
      <c r="J101" s="15" cm="1">
        <f t="array" aca="1" ref="J10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LEGAIS]]="",$AQ101&gt;$AO$1),2,
AND(Tabela18[[#This Row],[STATUS]]="Em andamento",Tabela18[[#This Row],[DATA REAL - SOLIC. PROG LEGAIS]]="",$AQ101&lt;=$AO$1),3,
AND(Tabela18[[#This Row],[STATUS]]="Em andamento",Tabela18[[#This Row],[DATA REAL - SOLIC. PROG LEGAIS]]&lt;&gt;""),1)</f>
        <v>1</v>
      </c>
      <c r="K101" s="15" cm="1">
        <f t="array" aca="1" ref="K10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ENVIO]]="",$AT101&gt;$AR$1),2,
AND(Tabela18[[#This Row],[STATUS]]="Em andamento",Tabela18[[#This Row],[DATA REAL - ENVIO]]="",$AT101&lt;=$AR$1),3,
AND(Tabela18[[#This Row],[STATUS]]="Em andamento",Tabela18[[#This Row],[DATA REAL - ENVIO]]&lt;&gt;""),1)</f>
        <v>1</v>
      </c>
      <c r="L101" s="15" cm="1">
        <f t="array" aca="1" ref="L10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POSTAGEM]]="",$AW101&gt;$AU$1),2,
AND(Tabela18[[#This Row],[STATUS]]="Em andamento",Tabela18[[#This Row],[DATA REAL - POSTAGEM]]="",$AW101&lt;=$AU$1),3,
AND(Tabela18[[#This Row],[STATUS]]="Em andamento",Tabela18[[#This Row],[DATA REAL - POSTAGEM]]&lt;&gt;""),1)</f>
        <v>1</v>
      </c>
      <c r="M101" s="16" cm="1">
        <f t="array" aca="1" ref="M10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APROVAÇÃO]]="",$AZ101&gt;$AX$1),2,
AND(Tabela18[[#This Row],[STATUS]]="Em andamento",Tabela18[[#This Row],[DATA REAL - APROVAÇÃO]]="",$AZ101&lt;=$AX$1),3,
AND(Tabela18[[#This Row],[STATUS]]="Em andamento",Tabela18[[#This Row],[DATA REAL - APROVAÇÃO]]&lt;&gt;""),1)</f>
        <v>1</v>
      </c>
      <c r="N101" s="21">
        <f>IF(Tabela18[[#This Row],[DATA REAL -EMAIL]]&lt;&gt;"",Tabela18[[#This Row],[DATA REAL -EMAIL]]+30,Tabela18[[#This Row],[DATA PREV - EMAIL]]+30)</f>
        <v>45505</v>
      </c>
      <c r="O10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45499</v>
      </c>
      <c r="P10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v>
      </c>
      <c r="Q10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v>
      </c>
      <c r="R101" s="48">
        <f>MAX(Tabela18[[#This Row],[DATA REAL - POSTAGEM]],Tabela18[[#This Row],[DATA REAL - APROVAÇÃO]])-MIN(Tabela18[[#This Row],[DATA REAL - POSTAGEM]],Tabela18[[#This Row],[DATA REAL - APROVAÇÃO]])+1</f>
        <v>1</v>
      </c>
      <c r="S101" s="16" t="s">
        <v>83</v>
      </c>
      <c r="T101" s="16"/>
      <c r="U101" s="18" t="s">
        <v>85</v>
      </c>
      <c r="V101" s="18" t="s">
        <v>152</v>
      </c>
      <c r="W101" s="16" t="s">
        <v>97</v>
      </c>
      <c r="X101" s="16" t="s">
        <v>89</v>
      </c>
      <c r="Y101" s="16" t="s">
        <v>287</v>
      </c>
      <c r="Z101" s="15" t="s">
        <v>288</v>
      </c>
      <c r="AA101" s="15" t="str">
        <f>_xlfn.XLOOKUP(Tabela18[[#This Row],[CÓD. CT]],Controle_Projetos[COD CT],Controle_Projetos[COD PHD],"")</f>
        <v>CGCO-CT01-PLAN</v>
      </c>
      <c r="AB101" s="16"/>
      <c r="AC101" s="21">
        <v>45475</v>
      </c>
      <c r="AD10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45474</v>
      </c>
      <c r="AE101" s="16" cm="1">
        <f t="array" aca="1" ref="AE10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01" s="21">
        <v>45475</v>
      </c>
      <c r="AG101" s="74">
        <v>45475</v>
      </c>
      <c r="AH101" s="16" cm="1">
        <f t="array" aca="1" ref="AH10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1" s="21">
        <v>45475</v>
      </c>
      <c r="AJ101" s="74">
        <v>45478</v>
      </c>
      <c r="AK101" s="16" cm="1">
        <f t="array" aca="1" ref="AK10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1" s="20">
        <f t="shared" si="15"/>
        <v>45485</v>
      </c>
      <c r="AM101" s="74">
        <v>45483</v>
      </c>
      <c r="AN101" s="15" cm="1">
        <f t="array" aca="1" ref="AN10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01" s="20">
        <f t="shared" si="16"/>
        <v>45484</v>
      </c>
      <c r="AP101" s="74">
        <v>45484</v>
      </c>
      <c r="AQ101" s="15" cm="1">
        <f t="array" aca="1" ref="AQ10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01" s="20">
        <f t="shared" si="17"/>
        <v>45498</v>
      </c>
      <c r="AS101" s="74">
        <v>45484</v>
      </c>
      <c r="AT101" s="15" cm="1">
        <f t="array" aca="1" ref="AT10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01" s="20">
        <f t="shared" si="18"/>
        <v>45491</v>
      </c>
      <c r="AV101" s="74">
        <v>45499</v>
      </c>
      <c r="AW101" s="15" cm="1">
        <f t="array" aca="1" ref="AW10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v>
      </c>
      <c r="AX101" s="20">
        <f t="shared" si="19"/>
        <v>45502</v>
      </c>
      <c r="AY101" s="74">
        <v>45499</v>
      </c>
      <c r="AZ101" s="15" cm="1">
        <f t="array" aca="1" ref="AZ10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01" s="16" t="s">
        <v>1001</v>
      </c>
    </row>
    <row r="102" spans="2:53" hidden="1" x14ac:dyDescent="0.35">
      <c r="B102" s="14" t="s">
        <v>79</v>
      </c>
      <c r="C102" s="16" t="s">
        <v>867</v>
      </c>
      <c r="D102" s="16" t="s">
        <v>108</v>
      </c>
      <c r="E102" s="16" t="s">
        <v>286</v>
      </c>
      <c r="F102" s="16" cm="1">
        <f t="array" ref="F102">_xlfn.IFS(Tabela18[[#This Row],[STATUS]]="Finalizado",1,Tabela18[[#This Row],[STATUS]]="Cancelado",2,Tabela18[[#This Row],[STATUS]]="Em andamento",3)</f>
        <v>1</v>
      </c>
      <c r="G102" s="16" cm="1">
        <f t="array" aca="1" ref="G10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-EMAIL]]="",$AH102&gt;$AF$1),2,
AND(Tabela18[[#This Row],[STATUS]]="Em andamento",Tabela18[[#This Row],[DATA REAL -EMAIL]]="",$AH102&lt;=$AF$1),3,
AND(Tabela18[[#This Row],[STATUS]]="Em andamento",Tabela18[[#This Row],[DATA REAL -EMAIL]]&lt;&gt;""),1)</f>
        <v>1</v>
      </c>
      <c r="H102" s="16" cm="1">
        <f t="array" aca="1" ref="H10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CLIENTE]]="",$AK102&gt;$AI$1),2,
AND(Tabela18[[#This Row],[STATUS]]="Em andamento",Tabela18[[#This Row],[DATA REAL - DOC CLIENTE]]="",$AK102&lt;=$AI$1),3,
AND(Tabela18[[#This Row],[STATUS]]="Em andamento",Tabela18[[#This Row],[DATA REAL - DOC CLIENTE]]&lt;&gt;""),1)</f>
        <v>1</v>
      </c>
      <c r="I102" s="16" cm="1">
        <f t="array" aca="1" ref="I10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06]]="",$AN102&gt;$AL$1),2,
AND(Tabela18[[#This Row],[STATUS]]="Em andamento",Tabela18[[#This Row],[DATA REAL - ANEXO 06]]="",$AN102&lt;=$AL$1),3,
AND(Tabela18[[#This Row],[STATUS]]="Em andamento",Tabela18[[#This Row],[DATA REAL - ANEXO 06]]&lt;&gt;""),1)</f>
        <v>1</v>
      </c>
      <c r="J102" s="15" cm="1">
        <f t="array" aca="1" ref="J10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LEGAIS]]="",$AQ102&gt;$AO$1),2,
AND(Tabela18[[#This Row],[STATUS]]="Em andamento",Tabela18[[#This Row],[DATA REAL - SOLIC. PROG LEGAIS]]="",$AQ102&lt;=$AO$1),3,
AND(Tabela18[[#This Row],[STATUS]]="Em andamento",Tabela18[[#This Row],[DATA REAL - SOLIC. PROG LEGAIS]]&lt;&gt;""),1)</f>
        <v>1</v>
      </c>
      <c r="K102" s="15" cm="1">
        <f t="array" aca="1" ref="K10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ENVIO]]="",$AT102&gt;$AR$1),2,
AND(Tabela18[[#This Row],[STATUS]]="Em andamento",Tabela18[[#This Row],[DATA REAL - ENVIO]]="",$AT102&lt;=$AR$1),3,
AND(Tabela18[[#This Row],[STATUS]]="Em andamento",Tabela18[[#This Row],[DATA REAL - ENVIO]]&lt;&gt;""),1)</f>
        <v>1</v>
      </c>
      <c r="L102" s="15" cm="1">
        <f t="array" aca="1" ref="L10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POSTAGEM]]="",$AW102&gt;$AU$1),2,
AND(Tabela18[[#This Row],[STATUS]]="Em andamento",Tabela18[[#This Row],[DATA REAL - POSTAGEM]]="",$AW102&lt;=$AU$1),3,
AND(Tabela18[[#This Row],[STATUS]]="Em andamento",Tabela18[[#This Row],[DATA REAL - POSTAGEM]]&lt;&gt;""),1)</f>
        <v>1</v>
      </c>
      <c r="M102" s="16" cm="1">
        <f t="array" aca="1" ref="M10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APROVAÇÃO]]="",$AZ102&gt;$AX$1),2,
AND(Tabela18[[#This Row],[STATUS]]="Em andamento",Tabela18[[#This Row],[DATA REAL - APROVAÇÃO]]="",$AZ102&lt;=$AX$1),3,
AND(Tabela18[[#This Row],[STATUS]]="Em andamento",Tabela18[[#This Row],[DATA REAL - APROVAÇÃO]]&lt;&gt;""),1)</f>
        <v>1</v>
      </c>
      <c r="N102" s="21">
        <f>IF(Tabela18[[#This Row],[DATA REAL -EMAIL]]&lt;&gt;"",Tabela18[[#This Row],[DATA REAL -EMAIL]]+30,Tabela18[[#This Row],[DATA PREV - EMAIL]]+30)</f>
        <v>45505</v>
      </c>
      <c r="O10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45495</v>
      </c>
      <c r="P10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v>
      </c>
      <c r="Q10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v>
      </c>
      <c r="R102" s="48">
        <f>MAX(Tabela18[[#This Row],[DATA REAL - POSTAGEM]],Tabela18[[#This Row],[DATA REAL - APROVAÇÃO]])-MIN(Tabela18[[#This Row],[DATA REAL - POSTAGEM]],Tabela18[[#This Row],[DATA REAL - APROVAÇÃO]])+1</f>
        <v>5</v>
      </c>
      <c r="S102" s="16" t="s">
        <v>83</v>
      </c>
      <c r="T102" s="16"/>
      <c r="U102" s="18" t="s">
        <v>85</v>
      </c>
      <c r="V102" s="18" t="s">
        <v>152</v>
      </c>
      <c r="W102" s="16" t="s">
        <v>87</v>
      </c>
      <c r="X102" s="16" t="s">
        <v>89</v>
      </c>
      <c r="Y102" s="16" t="s">
        <v>287</v>
      </c>
      <c r="Z102" s="15" t="s">
        <v>288</v>
      </c>
      <c r="AA102" s="15" t="str">
        <f>_xlfn.XLOOKUP(Tabela18[[#This Row],[CÓD. CT]],Controle_Projetos[COD CT],Controle_Projetos[COD PHD],"")</f>
        <v>CGCO-CT01-PLAN</v>
      </c>
      <c r="AB102" s="16"/>
      <c r="AC102" s="21">
        <v>45475</v>
      </c>
      <c r="AD10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45474</v>
      </c>
      <c r="AE102" s="16" cm="1">
        <f t="array" aca="1" ref="AE10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02" s="21">
        <v>45475</v>
      </c>
      <c r="AG102" s="74">
        <v>45475</v>
      </c>
      <c r="AH102" s="16" cm="1">
        <f t="array" aca="1" ref="AH10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2" s="21">
        <v>45475</v>
      </c>
      <c r="AJ102" s="74">
        <v>45478</v>
      </c>
      <c r="AK102" s="16" cm="1">
        <f t="array" aca="1" ref="AK10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2" s="20">
        <f t="shared" si="15"/>
        <v>45485</v>
      </c>
      <c r="AM102" s="74">
        <v>45483</v>
      </c>
      <c r="AN102" s="15" cm="1">
        <f t="array" aca="1" ref="AN10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02" s="20">
        <f t="shared" si="16"/>
        <v>45484</v>
      </c>
      <c r="AP102" s="74">
        <v>45484</v>
      </c>
      <c r="AQ102" s="15" cm="1">
        <f t="array" aca="1" ref="AQ10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02" s="20">
        <f t="shared" si="17"/>
        <v>45498</v>
      </c>
      <c r="AS102" s="74">
        <v>45484</v>
      </c>
      <c r="AT102" s="15" cm="1">
        <f t="array" aca="1" ref="AT10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02" s="20">
        <f t="shared" si="18"/>
        <v>45491</v>
      </c>
      <c r="AV102" s="74">
        <v>45491</v>
      </c>
      <c r="AW102" s="15" cm="1">
        <f t="array" aca="1" ref="AW10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02" s="20">
        <f t="shared" si="19"/>
        <v>45492</v>
      </c>
      <c r="AY102" s="74">
        <v>45495</v>
      </c>
      <c r="AZ102" s="15" cm="1">
        <f t="array" aca="1" ref="AZ10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102" s="16" t="s">
        <v>1002</v>
      </c>
    </row>
    <row r="103" spans="2:53" hidden="1" x14ac:dyDescent="0.35">
      <c r="B103" s="14" t="s">
        <v>79</v>
      </c>
      <c r="C103" s="16" t="s">
        <v>867</v>
      </c>
      <c r="D103" s="16" t="s">
        <v>108</v>
      </c>
      <c r="E103" s="16" t="s">
        <v>1003</v>
      </c>
      <c r="F103" s="16" cm="1">
        <f t="array" ref="F103">_xlfn.IFS(Tabela18[[#This Row],[STATUS]]="Finalizado",1,Tabela18[[#This Row],[STATUS]]="Cancelado",2,Tabela18[[#This Row],[STATUS]]="Em andamento",3)</f>
        <v>1</v>
      </c>
      <c r="G103" s="16" cm="1">
        <f t="array" aca="1" ref="G10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-EMAIL]]="",$AH103&gt;$AF$1),2,
AND(Tabela18[[#This Row],[STATUS]]="Em andamento",Tabela18[[#This Row],[DATA REAL -EMAIL]]="",$AH103&lt;=$AF$1),3,
AND(Tabela18[[#This Row],[STATUS]]="Em andamento",Tabela18[[#This Row],[DATA REAL -EMAIL]]&lt;&gt;""),1)</f>
        <v>1</v>
      </c>
      <c r="H103" s="16" cm="1">
        <f t="array" aca="1" ref="H10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CLIENTE]]="",$AK103&gt;$AI$1),2,
AND(Tabela18[[#This Row],[STATUS]]="Em andamento",Tabela18[[#This Row],[DATA REAL - DOC CLIENTE]]="",$AK103&lt;=$AI$1),3,
AND(Tabela18[[#This Row],[STATUS]]="Em andamento",Tabela18[[#This Row],[DATA REAL - DOC CLIENTE]]&lt;&gt;""),1)</f>
        <v>1</v>
      </c>
      <c r="I103" s="16" cm="1">
        <f t="array" aca="1" ref="I10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06]]="",$AN103&gt;$AL$1),2,
AND(Tabela18[[#This Row],[STATUS]]="Em andamento",Tabela18[[#This Row],[DATA REAL - ANEXO 06]]="",$AN103&lt;=$AL$1),3,
AND(Tabela18[[#This Row],[STATUS]]="Em andamento",Tabela18[[#This Row],[DATA REAL - ANEXO 06]]&lt;&gt;""),1)</f>
        <v>1</v>
      </c>
      <c r="J103" s="15" cm="1">
        <f t="array" aca="1" ref="J10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LEGAIS]]="",$AQ103&gt;$AO$1),2,
AND(Tabela18[[#This Row],[STATUS]]="Em andamento",Tabela18[[#This Row],[DATA REAL - SOLIC. PROG LEGAIS]]="",$AQ103&lt;=$AO$1),3,
AND(Tabela18[[#This Row],[STATUS]]="Em andamento",Tabela18[[#This Row],[DATA REAL - SOLIC. PROG LEGAIS]]&lt;&gt;""),1)</f>
        <v>1</v>
      </c>
      <c r="K103" s="15" cm="1">
        <f t="array" aca="1" ref="K10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ENVIO]]="",$AT103&gt;$AR$1),2,
AND(Tabela18[[#This Row],[STATUS]]="Em andamento",Tabela18[[#This Row],[DATA REAL - ENVIO]]="",$AT103&lt;=$AR$1),3,
AND(Tabela18[[#This Row],[STATUS]]="Em andamento",Tabela18[[#This Row],[DATA REAL - ENVIO]]&lt;&gt;""),1)</f>
        <v>1</v>
      </c>
      <c r="L103" s="15" cm="1">
        <f t="array" aca="1" ref="L10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POSTAGEM]]="",$AW103&gt;$AU$1),2,
AND(Tabela18[[#This Row],[STATUS]]="Em andamento",Tabela18[[#This Row],[DATA REAL - POSTAGEM]]="",$AW103&lt;=$AU$1),3,
AND(Tabela18[[#This Row],[STATUS]]="Em andamento",Tabela18[[#This Row],[DATA REAL - POSTAGEM]]&lt;&gt;""),1)</f>
        <v>1</v>
      </c>
      <c r="M103" s="16" cm="1">
        <f t="array" aca="1" ref="M10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APROVAÇÃO]]="",$AZ103&gt;$AX$1),2,
AND(Tabela18[[#This Row],[STATUS]]="Em andamento",Tabela18[[#This Row],[DATA REAL - APROVAÇÃO]]="",$AZ103&lt;=$AX$1),3,
AND(Tabela18[[#This Row],[STATUS]]="Em andamento",Tabela18[[#This Row],[DATA REAL - APROVAÇÃO]]&lt;&gt;""),1)</f>
        <v>1</v>
      </c>
      <c r="N103" s="21">
        <f>IF(Tabela18[[#This Row],[DATA REAL -EMAIL]]&lt;&gt;"",Tabela18[[#This Row],[DATA REAL -EMAIL]]+30,Tabela18[[#This Row],[DATA PREV - EMAIL]]+30)</f>
        <v>45477</v>
      </c>
      <c r="O10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45503</v>
      </c>
      <c r="P10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56</v>
      </c>
      <c r="Q10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41</v>
      </c>
      <c r="R103" s="48">
        <f>MAX(Tabela18[[#This Row],[DATA REAL - POSTAGEM]],Tabela18[[#This Row],[DATA REAL - APROVAÇÃO]])-MIN(Tabela18[[#This Row],[DATA REAL - POSTAGEM]],Tabela18[[#This Row],[DATA REAL - APROVAÇÃO]])+1</f>
        <v>7</v>
      </c>
      <c r="S103" s="16" t="s">
        <v>103</v>
      </c>
      <c r="T103" s="16"/>
      <c r="U103" s="18" t="s">
        <v>104</v>
      </c>
      <c r="V103" s="18" t="s">
        <v>86</v>
      </c>
      <c r="W103" s="16" t="s">
        <v>97</v>
      </c>
      <c r="X103" s="16" t="s">
        <v>89</v>
      </c>
      <c r="Y103" s="16" t="s">
        <v>383</v>
      </c>
      <c r="Z103" s="15" t="s">
        <v>1004</v>
      </c>
      <c r="AA103" s="15" t="str">
        <f>_xlfn.XLOOKUP(Tabela18[[#This Row],[CÓD. CT]],Controle_Projetos[COD CT],Controle_Projetos[COD PHD],"")</f>
        <v>SIGD-CT03-BRIT</v>
      </c>
      <c r="AB103" s="16"/>
      <c r="AC103" s="21">
        <v>45447</v>
      </c>
      <c r="AD10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45467</v>
      </c>
      <c r="AE103" s="16" cm="1">
        <f t="array" aca="1" ref="AE10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21</v>
      </c>
      <c r="AF103" s="21">
        <v>45447</v>
      </c>
      <c r="AG103" s="74">
        <v>45447</v>
      </c>
      <c r="AH103" s="16" cm="1">
        <f t="array" aca="1" ref="AH10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3" s="21">
        <v>45471</v>
      </c>
      <c r="AJ103" s="74">
        <v>45478</v>
      </c>
      <c r="AK103" s="16" cm="1">
        <f t="array" aca="1" ref="AK10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3" s="20">
        <f t="shared" si="15"/>
        <v>45485</v>
      </c>
      <c r="AM103" s="74">
        <v>45483</v>
      </c>
      <c r="AN103" s="15" cm="1">
        <f t="array" aca="1" ref="AN10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03" s="20">
        <f t="shared" si="16"/>
        <v>45484</v>
      </c>
      <c r="AP103" s="74">
        <v>45481</v>
      </c>
      <c r="AQ103" s="15" cm="1">
        <f t="array" aca="1" ref="AQ10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03" s="20">
        <f t="shared" si="17"/>
        <v>45495</v>
      </c>
      <c r="AS103" s="74">
        <v>45488</v>
      </c>
      <c r="AT103" s="15" cm="1">
        <f t="array" aca="1" ref="AT10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03" s="20">
        <f t="shared" si="18"/>
        <v>45495</v>
      </c>
      <c r="AV103" s="74">
        <v>45497</v>
      </c>
      <c r="AW103" s="15" cm="1">
        <f t="array" aca="1" ref="AW10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03" s="20">
        <f t="shared" si="19"/>
        <v>45498</v>
      </c>
      <c r="AY103" s="74">
        <v>45503</v>
      </c>
      <c r="AZ103" s="15" cm="1">
        <f t="array" aca="1" ref="AZ10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103" s="16" t="s">
        <v>1005</v>
      </c>
    </row>
    <row r="104" spans="2:53" hidden="1" x14ac:dyDescent="0.35">
      <c r="B104" s="14" t="s">
        <v>79</v>
      </c>
      <c r="C104" s="16" t="s">
        <v>867</v>
      </c>
      <c r="D104" s="16" t="s">
        <v>108</v>
      </c>
      <c r="E104" s="16" t="s">
        <v>897</v>
      </c>
      <c r="F104" s="16" cm="1">
        <f t="array" ref="F104">_xlfn.IFS(Tabela18[[#This Row],[STATUS]]="Finalizado",1,Tabela18[[#This Row],[STATUS]]="Cancelado",2,Tabela18[[#This Row],[STATUS]]="Em andamento",3)</f>
        <v>1</v>
      </c>
      <c r="G104" s="16" cm="1">
        <f t="array" aca="1" ref="G10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-EMAIL]]="",$AH104&gt;$AF$1),2,
AND(Tabela18[[#This Row],[STATUS]]="Em andamento",Tabela18[[#This Row],[DATA REAL -EMAIL]]="",$AH104&lt;=$AF$1),3,
AND(Tabela18[[#This Row],[STATUS]]="Em andamento",Tabela18[[#This Row],[DATA REAL -EMAIL]]&lt;&gt;""),1)</f>
        <v>1</v>
      </c>
      <c r="H104" s="16" cm="1">
        <f t="array" aca="1" ref="H10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CLIENTE]]="",$AK104&gt;$AI$1),2,
AND(Tabela18[[#This Row],[STATUS]]="Em andamento",Tabela18[[#This Row],[DATA REAL - DOC CLIENTE]]="",$AK104&lt;=$AI$1),3,
AND(Tabela18[[#This Row],[STATUS]]="Em andamento",Tabela18[[#This Row],[DATA REAL - DOC CLIENTE]]&lt;&gt;""),1)</f>
        <v>1</v>
      </c>
      <c r="I104" s="16" cm="1">
        <f t="array" aca="1" ref="I10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06]]="",$AN104&gt;$AL$1),2,
AND(Tabela18[[#This Row],[STATUS]]="Em andamento",Tabela18[[#This Row],[DATA REAL - ANEXO 06]]="",$AN104&lt;=$AL$1),3,
AND(Tabela18[[#This Row],[STATUS]]="Em andamento",Tabela18[[#This Row],[DATA REAL - ANEXO 06]]&lt;&gt;""),1)</f>
        <v>1</v>
      </c>
      <c r="J104" s="15" cm="1">
        <f t="array" aca="1" ref="J10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LEGAIS]]="",$AQ104&gt;$AO$1),2,
AND(Tabela18[[#This Row],[STATUS]]="Em andamento",Tabela18[[#This Row],[DATA REAL - SOLIC. PROG LEGAIS]]="",$AQ104&lt;=$AO$1),3,
AND(Tabela18[[#This Row],[STATUS]]="Em andamento",Tabela18[[#This Row],[DATA REAL - SOLIC. PROG LEGAIS]]&lt;&gt;""),1)</f>
        <v>1</v>
      </c>
      <c r="K104" s="15" cm="1">
        <f t="array" aca="1" ref="K10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ENVIO]]="",$AT104&gt;$AR$1),2,
AND(Tabela18[[#This Row],[STATUS]]="Em andamento",Tabela18[[#This Row],[DATA REAL - ENVIO]]="",$AT104&lt;=$AR$1),3,
AND(Tabela18[[#This Row],[STATUS]]="Em andamento",Tabela18[[#This Row],[DATA REAL - ENVIO]]&lt;&gt;""),1)</f>
        <v>1</v>
      </c>
      <c r="L104" s="15" cm="1">
        <f t="array" aca="1" ref="L10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POSTAGEM]]="",$AW104&gt;$AU$1),2,
AND(Tabela18[[#This Row],[STATUS]]="Em andamento",Tabela18[[#This Row],[DATA REAL - POSTAGEM]]="",$AW104&lt;=$AU$1),3,
AND(Tabela18[[#This Row],[STATUS]]="Em andamento",Tabela18[[#This Row],[DATA REAL - POSTAGEM]]&lt;&gt;""),1)</f>
        <v>1</v>
      </c>
      <c r="M104" s="16" cm="1">
        <f t="array" aca="1" ref="M10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APROVAÇÃO]]="",$AZ104&gt;$AX$1),2,
AND(Tabela18[[#This Row],[STATUS]]="Em andamento",Tabela18[[#This Row],[DATA REAL - APROVAÇÃO]]="",$AZ104&lt;=$AX$1),3,
AND(Tabela18[[#This Row],[STATUS]]="Em andamento",Tabela18[[#This Row],[DATA REAL - APROVAÇÃO]]&lt;&gt;""),1)</f>
        <v>1</v>
      </c>
      <c r="N104" s="21">
        <f>IF(Tabela18[[#This Row],[DATA REAL -EMAIL]]&lt;&gt;"",Tabela18[[#This Row],[DATA REAL -EMAIL]]+30,Tabela18[[#This Row],[DATA PREV - EMAIL]]+30)</f>
        <v>45546</v>
      </c>
      <c r="O10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45543</v>
      </c>
      <c r="P10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v>
      </c>
      <c r="Q10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104" s="48">
        <f>MAX(Tabela18[[#This Row],[DATA REAL - POSTAGEM]],Tabela18[[#This Row],[DATA REAL - APROVAÇÃO]])-MIN(Tabela18[[#This Row],[DATA REAL - POSTAGEM]],Tabela18[[#This Row],[DATA REAL - APROVAÇÃO]])+1</f>
        <v>9</v>
      </c>
      <c r="S104" s="16" t="s">
        <v>83</v>
      </c>
      <c r="T104" s="16"/>
      <c r="U104" s="18" t="s">
        <v>85</v>
      </c>
      <c r="V104" s="18" t="s">
        <v>86</v>
      </c>
      <c r="W104" s="16" t="s">
        <v>97</v>
      </c>
      <c r="X104" s="16" t="s">
        <v>89</v>
      </c>
      <c r="Y104" s="16" t="s">
        <v>105</v>
      </c>
      <c r="Z104" s="15" t="s">
        <v>965</v>
      </c>
      <c r="AA104" s="15" t="str">
        <f>_xlfn.XLOOKUP(Tabela18[[#This Row],[CÓD. CT]],Controle_Projetos[COD CT],Controle_Projetos[COD PHD],"")</f>
        <v>TERR-CT07-P145</v>
      </c>
      <c r="AB104" s="16"/>
      <c r="AC104" s="21">
        <v>45516</v>
      </c>
      <c r="AD10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45524</v>
      </c>
      <c r="AE104" s="16" cm="1">
        <f t="array" aca="1" ref="AE10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9</v>
      </c>
      <c r="AF104" s="21">
        <v>45516</v>
      </c>
      <c r="AG104" s="74">
        <v>45516</v>
      </c>
      <c r="AH104" s="16" cm="1">
        <f t="array" aca="1" ref="AH10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4" s="21">
        <v>45516</v>
      </c>
      <c r="AJ104" s="74">
        <v>45516</v>
      </c>
      <c r="AK104" s="16" cm="1">
        <f t="array" aca="1" ref="AK10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4" s="20">
        <f t="shared" si="15"/>
        <v>45523</v>
      </c>
      <c r="AM104" s="74">
        <v>45516</v>
      </c>
      <c r="AN104" s="15" cm="1">
        <f t="array" aca="1" ref="AN10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04" s="20">
        <f t="shared" si="16"/>
        <v>45517</v>
      </c>
      <c r="AP104" s="74">
        <v>45516</v>
      </c>
      <c r="AQ104" s="15" cm="1">
        <f t="array" aca="1" ref="AQ10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04" s="20">
        <f t="shared" si="17"/>
        <v>45530</v>
      </c>
      <c r="AS104" s="74">
        <v>45516</v>
      </c>
      <c r="AT104" s="15" cm="1">
        <f t="array" aca="1" ref="AT10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04" s="20">
        <f t="shared" si="18"/>
        <v>45523</v>
      </c>
      <c r="AV104" s="74">
        <v>45535</v>
      </c>
      <c r="AW104" s="15" cm="1">
        <f t="array" aca="1" ref="AW10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13</v>
      </c>
      <c r="AX104" s="20">
        <f t="shared" si="19"/>
        <v>45537</v>
      </c>
      <c r="AY104" s="74">
        <v>45543</v>
      </c>
      <c r="AZ104" s="15" cm="1">
        <f t="array" aca="1" ref="AZ10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104" s="16" t="s">
        <v>1006</v>
      </c>
    </row>
    <row r="105" spans="2:53" ht="18" hidden="1" customHeight="1" x14ac:dyDescent="0.35">
      <c r="B105" s="14" t="s">
        <v>119</v>
      </c>
      <c r="C105" s="16" t="s">
        <v>867</v>
      </c>
      <c r="D105" s="16" t="s">
        <v>119</v>
      </c>
      <c r="E105" s="16" t="s">
        <v>1007</v>
      </c>
      <c r="F105" s="16" cm="1">
        <f t="array" ref="F105">_xlfn.IFS(Tabela18[[#This Row],[STATUS]]="Finalizado",1,Tabela18[[#This Row],[STATUS]]="Cancelado",2,Tabela18[[#This Row],[STATUS]]="Em andamento",3)</f>
        <v>2</v>
      </c>
      <c r="G105" s="16" cm="1">
        <f t="array" aca="1" ref="G10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-EMAIL]]="",$AH105&gt;$AF$1),2,
AND(Tabela18[[#This Row],[STATUS]]="Em andamento",Tabela18[[#This Row],[DATA REAL -EMAIL]]="",$AH105&lt;=$AF$1),3,
AND(Tabela18[[#This Row],[STATUS]]="Em andamento",Tabela18[[#This Row],[DATA REAL -EMAIL]]&lt;&gt;""),1)</f>
        <v>1</v>
      </c>
      <c r="H105" s="16" cm="1">
        <f t="array" aca="1" ref="H10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CLIENTE]]="",$AK105&gt;$AI$1),2,
AND(Tabela18[[#This Row],[STATUS]]="Em andamento",Tabela18[[#This Row],[DATA REAL - DOC CLIENTE]]="",$AK105&lt;=$AI$1),3,
AND(Tabela18[[#This Row],[STATUS]]="Em andamento",Tabela18[[#This Row],[DATA REAL - DOC CLIENTE]]&lt;&gt;""),1)</f>
        <v>1</v>
      </c>
      <c r="I105" s="16" cm="1">
        <f t="array" aca="1" ref="I10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06]]="",$AN105&gt;$AL$1),2,
AND(Tabela18[[#This Row],[STATUS]]="Em andamento",Tabela18[[#This Row],[DATA REAL - ANEXO 06]]="",$AN105&lt;=$AL$1),3,
AND(Tabela18[[#This Row],[STATUS]]="Em andamento",Tabela18[[#This Row],[DATA REAL - ANEXO 06]]&lt;&gt;""),1)</f>
        <v>1</v>
      </c>
      <c r="J105" s="15" cm="1">
        <f t="array" aca="1" ref="J10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LEGAIS]]="",$AQ105&gt;$AO$1),2,
AND(Tabela18[[#This Row],[STATUS]]="Em andamento",Tabela18[[#This Row],[DATA REAL - SOLIC. PROG LEGAIS]]="",$AQ105&lt;=$AO$1),3,
AND(Tabela18[[#This Row],[STATUS]]="Em andamento",Tabela18[[#This Row],[DATA REAL - SOLIC. PROG LEGAIS]]&lt;&gt;""),1)</f>
        <v>1</v>
      </c>
      <c r="K105" s="15" cm="1">
        <f t="array" aca="1" ref="K10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ENVIO]]="",$AT105&gt;$AR$1),2,
AND(Tabela18[[#This Row],[STATUS]]="Em andamento",Tabela18[[#This Row],[DATA REAL - ENVIO]]="",$AT105&lt;=$AR$1),3,
AND(Tabela18[[#This Row],[STATUS]]="Em andamento",Tabela18[[#This Row],[DATA REAL - ENVIO]]&lt;&gt;""),1)</f>
        <v>1</v>
      </c>
      <c r="L105" s="15" cm="1">
        <f t="array" aca="1" ref="L10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POSTAGEM]]="",$AW105&gt;$AU$1),2,
AND(Tabela18[[#This Row],[STATUS]]="Em andamento",Tabela18[[#This Row],[DATA REAL - POSTAGEM]]="",$AW105&lt;=$AU$1),3,
AND(Tabela18[[#This Row],[STATUS]]="Em andamento",Tabela18[[#This Row],[DATA REAL - POSTAGEM]]&lt;&gt;""),1)</f>
        <v>0</v>
      </c>
      <c r="M105" s="16" cm="1">
        <f t="array" aca="1" ref="M10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APROVAÇÃO]]="",$AZ105&gt;$AX$1),2,
AND(Tabela18[[#This Row],[STATUS]]="Em andamento",Tabela18[[#This Row],[DATA REAL - APROVAÇÃO]]="",$AZ105&lt;=$AX$1),3,
AND(Tabela18[[#This Row],[STATUS]]="Em andamento",Tabela18[[#This Row],[DATA REAL - APROVAÇÃO]]&lt;&gt;""),1)</f>
        <v>0</v>
      </c>
      <c r="N105" s="21">
        <f>IF(Tabela18[[#This Row],[DATA REAL -EMAIL]]&lt;&gt;"",Tabela18[[#This Row],[DATA REAL -EMAIL]]+30,Tabela18[[#This Row],[DATA PREV - EMAIL]]+30)</f>
        <v>45536</v>
      </c>
      <c r="O10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45532</v>
      </c>
      <c r="P10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29</v>
      </c>
      <c r="Q10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29</v>
      </c>
      <c r="R105" s="48">
        <f>MAX(Tabela18[[#This Row],[DATA REAL - POSTAGEM]],Tabela18[[#This Row],[DATA REAL - APROVAÇÃO]])-MIN(Tabela18[[#This Row],[DATA REAL - POSTAGEM]],Tabela18[[#This Row],[DATA REAL - APROVAÇÃO]])+1</f>
        <v>1</v>
      </c>
      <c r="S105" s="16" t="s">
        <v>83</v>
      </c>
      <c r="T105" s="16"/>
      <c r="U105" s="18" t="s">
        <v>85</v>
      </c>
      <c r="V105" s="18" t="s">
        <v>86</v>
      </c>
      <c r="W105" s="16" t="s">
        <v>97</v>
      </c>
      <c r="X105" s="16" t="s">
        <v>89</v>
      </c>
      <c r="Y105" s="16" t="s">
        <v>1008</v>
      </c>
      <c r="Z105" s="15" t="s">
        <v>1009</v>
      </c>
      <c r="AA105" s="15" t="str">
        <f>_xlfn.XLOOKUP(Tabela18[[#This Row],[CÓD. CT]],Controle_Projetos[COD CT],Controle_Projetos[COD PHD],"")</f>
        <v>ECPE-CT01-PLAN</v>
      </c>
      <c r="AB105" s="16"/>
      <c r="AC105" s="21">
        <v>45506</v>
      </c>
      <c r="AD10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45503</v>
      </c>
      <c r="AE105" s="16" t="str" cm="1">
        <f t="array" aca="1" ref="AE10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05" s="21">
        <v>45506</v>
      </c>
      <c r="AG105" s="74">
        <v>45506</v>
      </c>
      <c r="AH105" s="16" cm="1">
        <f t="array" aca="1" ref="AH10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5" s="21">
        <v>45506</v>
      </c>
      <c r="AJ105" s="74">
        <v>45512</v>
      </c>
      <c r="AK105" s="16" cm="1">
        <f t="array" aca="1" ref="AK10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5" s="20">
        <f t="shared" si="15"/>
        <v>45519</v>
      </c>
      <c r="AM105" s="74">
        <v>45518</v>
      </c>
      <c r="AN105" s="15" cm="1">
        <f t="array" aca="1" ref="AN10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0</v>
      </c>
      <c r="AO105" s="20">
        <f t="shared" si="16"/>
        <v>45519</v>
      </c>
      <c r="AP105" s="74">
        <v>45516</v>
      </c>
      <c r="AQ105" s="15" cm="1">
        <f t="array" aca="1" ref="AQ10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05" s="20">
        <f t="shared" si="17"/>
        <v>45530</v>
      </c>
      <c r="AS105" s="74">
        <v>45532</v>
      </c>
      <c r="AT105" s="15" cm="1">
        <f t="array" aca="1" ref="AT10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05" s="20">
        <f t="shared" si="18"/>
        <v>45539</v>
      </c>
      <c r="AV105" s="74"/>
      <c r="AW105" s="15" cm="1">
        <f t="array" aca="1" ref="AW10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05" s="20">
        <f t="shared" si="19"/>
        <v>45540</v>
      </c>
      <c r="AY105" s="74"/>
      <c r="AZ105" s="15" cm="1">
        <f t="array" aca="1" ref="AZ10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05" s="81" t="s">
        <v>1010</v>
      </c>
    </row>
    <row r="106" spans="2:53" hidden="1" x14ac:dyDescent="0.35">
      <c r="B106" s="14" t="s">
        <v>79</v>
      </c>
      <c r="C106" s="16" t="s">
        <v>867</v>
      </c>
      <c r="D106" s="16" t="s">
        <v>108</v>
      </c>
      <c r="E106" s="16" t="s">
        <v>98</v>
      </c>
      <c r="F106" s="16" cm="1">
        <f t="array" ref="F106">_xlfn.IFS(Tabela18[[#This Row],[STATUS]]="Finalizado",1,Tabela18[[#This Row],[STATUS]]="Cancelado",2,Tabela18[[#This Row],[STATUS]]="Em andamento",3)</f>
        <v>1</v>
      </c>
      <c r="G106" s="16" cm="1">
        <f t="array" aca="1" ref="G10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-EMAIL]]="",$AH106&gt;$AF$1),2,
AND(Tabela18[[#This Row],[STATUS]]="Em andamento",Tabela18[[#This Row],[DATA REAL -EMAIL]]="",$AH106&lt;=$AF$1),3,
AND(Tabela18[[#This Row],[STATUS]]="Em andamento",Tabela18[[#This Row],[DATA REAL -EMAIL]]&lt;&gt;""),1)</f>
        <v>1</v>
      </c>
      <c r="H106" s="16" cm="1">
        <f t="array" aca="1" ref="H10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CLIENTE]]="",$AK106&gt;$AI$1),2,
AND(Tabela18[[#This Row],[STATUS]]="Em andamento",Tabela18[[#This Row],[DATA REAL - DOC CLIENTE]]="",$AK106&lt;=$AI$1),3,
AND(Tabela18[[#This Row],[STATUS]]="Em andamento",Tabela18[[#This Row],[DATA REAL - DOC CLIENTE]]&lt;&gt;""),1)</f>
        <v>1</v>
      </c>
      <c r="I106" s="16" cm="1">
        <f t="array" aca="1" ref="I10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06]]="",$AN106&gt;$AL$1),2,
AND(Tabela18[[#This Row],[STATUS]]="Em andamento",Tabela18[[#This Row],[DATA REAL - ANEXO 06]]="",$AN106&lt;=$AL$1),3,
AND(Tabela18[[#This Row],[STATUS]]="Em andamento",Tabela18[[#This Row],[DATA REAL - ANEXO 06]]&lt;&gt;""),1)</f>
        <v>1</v>
      </c>
      <c r="J106" s="15" cm="1">
        <f t="array" aca="1" ref="J10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LEGAIS]]="",$AQ106&gt;$AO$1),2,
AND(Tabela18[[#This Row],[STATUS]]="Em andamento",Tabela18[[#This Row],[DATA REAL - SOLIC. PROG LEGAIS]]="",$AQ106&lt;=$AO$1),3,
AND(Tabela18[[#This Row],[STATUS]]="Em andamento",Tabela18[[#This Row],[DATA REAL - SOLIC. PROG LEGAIS]]&lt;&gt;""),1)</f>
        <v>1</v>
      </c>
      <c r="K106" s="15" cm="1">
        <f t="array" aca="1" ref="K10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ENVIO]]="",$AT106&gt;$AR$1),2,
AND(Tabela18[[#This Row],[STATUS]]="Em andamento",Tabela18[[#This Row],[DATA REAL - ENVIO]]="",$AT106&lt;=$AR$1),3,
AND(Tabela18[[#This Row],[STATUS]]="Em andamento",Tabela18[[#This Row],[DATA REAL - ENVIO]]&lt;&gt;""),1)</f>
        <v>1</v>
      </c>
      <c r="L106" s="15" cm="1">
        <f t="array" aca="1" ref="L10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POSTAGEM]]="",$AW106&gt;$AU$1),2,
AND(Tabela18[[#This Row],[STATUS]]="Em andamento",Tabela18[[#This Row],[DATA REAL - POSTAGEM]]="",$AW106&lt;=$AU$1),3,
AND(Tabela18[[#This Row],[STATUS]]="Em andamento",Tabela18[[#This Row],[DATA REAL - POSTAGEM]]&lt;&gt;""),1)</f>
        <v>1</v>
      </c>
      <c r="M106" s="16" cm="1">
        <f t="array" aca="1" ref="M10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APROVAÇÃO]]="",$AZ106&gt;$AX$1),2,
AND(Tabela18[[#This Row],[STATUS]]="Em andamento",Tabela18[[#This Row],[DATA REAL - APROVAÇÃO]]="",$AZ106&lt;=$AX$1),3,
AND(Tabela18[[#This Row],[STATUS]]="Em andamento",Tabela18[[#This Row],[DATA REAL - APROVAÇÃO]]&lt;&gt;""),1)</f>
        <v>1</v>
      </c>
      <c r="N106" s="21">
        <f>IF(Tabela18[[#This Row],[DATA REAL -EMAIL]]&lt;&gt;"",Tabela18[[#This Row],[DATA REAL -EMAIL]]+30,Tabela18[[#This Row],[DATA PREV - EMAIL]]+30)</f>
        <v>45553</v>
      </c>
      <c r="O10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45533</v>
      </c>
      <c r="P10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v>
      </c>
      <c r="Q10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06" s="48">
        <f>MAX(Tabela18[[#This Row],[DATA REAL - POSTAGEM]],Tabela18[[#This Row],[DATA REAL - APROVAÇÃO]])-MIN(Tabela18[[#This Row],[DATA REAL - POSTAGEM]],Tabela18[[#This Row],[DATA REAL - APROVAÇÃO]])+1</f>
        <v>11</v>
      </c>
      <c r="S106" s="16" t="s">
        <v>707</v>
      </c>
      <c r="T106" s="16"/>
      <c r="U106" s="18" t="s">
        <v>1011</v>
      </c>
      <c r="V106" s="18" t="s">
        <v>86</v>
      </c>
      <c r="W106" s="16" t="s">
        <v>97</v>
      </c>
      <c r="X106" s="16" t="s">
        <v>132</v>
      </c>
      <c r="Y106" s="16" t="s">
        <v>180</v>
      </c>
      <c r="Z106" s="15" t="s">
        <v>895</v>
      </c>
      <c r="AA106" s="15" t="str">
        <f>_xlfn.XLOOKUP(Tabela18[[#This Row],[CÓD. CT]],Controle_Projetos[COD CT],Controle_Projetos[COD PHD],"")</f>
        <v>SALU-CT02-MMB.</v>
      </c>
      <c r="AB106" s="16">
        <v>4518159633</v>
      </c>
      <c r="AC106" s="21">
        <v>45523</v>
      </c>
      <c r="AD106"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06" s="16" cm="1">
        <f t="array" aca="1" ref="AE10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06" s="21">
        <v>45523</v>
      </c>
      <c r="AG106" s="74">
        <v>45523</v>
      </c>
      <c r="AH106" s="16" cm="1">
        <f t="array" aca="1" ref="AH10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6" s="21">
        <v>45523</v>
      </c>
      <c r="AJ106" s="74">
        <v>45523</v>
      </c>
      <c r="AK106" s="16" cm="1">
        <f t="array" aca="1" ref="AK10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6" s="20">
        <f t="shared" si="15"/>
        <v>45530</v>
      </c>
      <c r="AM106" s="74">
        <v>45523</v>
      </c>
      <c r="AN106" s="15" cm="1">
        <f t="array" aca="1" ref="AN10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06" s="20">
        <f t="shared" si="16"/>
        <v>45524</v>
      </c>
      <c r="AP106" s="74">
        <v>45523</v>
      </c>
      <c r="AQ106" s="15" cm="1">
        <f t="array" aca="1" ref="AQ10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06" s="20">
        <f t="shared" si="17"/>
        <v>45537</v>
      </c>
      <c r="AS106" s="74">
        <v>45523</v>
      </c>
      <c r="AT106" s="15" cm="1">
        <f t="array" aca="1" ref="AT10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06" s="20">
        <f t="shared" si="18"/>
        <v>45530</v>
      </c>
      <c r="AV106" s="74">
        <v>45523</v>
      </c>
      <c r="AW106" s="15" cm="1">
        <f t="array" aca="1" ref="AW10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06" s="20">
        <f t="shared" si="19"/>
        <v>45524</v>
      </c>
      <c r="AY106" s="74">
        <v>45533</v>
      </c>
      <c r="AZ106" s="15" cm="1">
        <f t="array" aca="1" ref="AZ10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10</v>
      </c>
      <c r="BA106" s="16"/>
    </row>
    <row r="107" spans="2:53" hidden="1" x14ac:dyDescent="0.35">
      <c r="B107" s="14" t="s">
        <v>79</v>
      </c>
      <c r="C107" s="16" t="s">
        <v>136</v>
      </c>
      <c r="D107" s="16" t="s">
        <v>108</v>
      </c>
      <c r="E107" s="16" t="s">
        <v>1012</v>
      </c>
      <c r="F107" s="16" cm="1">
        <f t="array" ref="F107">_xlfn.IFS(Tabela18[[#This Row],[STATUS]]="Finalizado",1,Tabela18[[#This Row],[STATUS]]="Cancelado",2,Tabela18[[#This Row],[STATUS]]="Em andamento",3)</f>
        <v>1</v>
      </c>
      <c r="G107" s="16" cm="1">
        <f t="array" aca="1" ref="G10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-EMAIL]]="",$AH107&gt;$AF$1),2,
AND(Tabela18[[#This Row],[STATUS]]="Em andamento",Tabela18[[#This Row],[DATA REAL -EMAIL]]="",$AH107&lt;=$AF$1),3,
AND(Tabela18[[#This Row],[STATUS]]="Em andamento",Tabela18[[#This Row],[DATA REAL -EMAIL]]&lt;&gt;""),1)</f>
        <v>1</v>
      </c>
      <c r="H107" s="16" cm="1">
        <f t="array" aca="1" ref="H10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CLIENTE]]="",$AK107&gt;$AI$1),2,
AND(Tabela18[[#This Row],[STATUS]]="Em andamento",Tabela18[[#This Row],[DATA REAL - DOC CLIENTE]]="",$AK107&lt;=$AI$1),3,
AND(Tabela18[[#This Row],[STATUS]]="Em andamento",Tabela18[[#This Row],[DATA REAL - DOC CLIENTE]]&lt;&gt;""),1)</f>
        <v>1</v>
      </c>
      <c r="I107" s="16" cm="1">
        <f t="array" aca="1" ref="I10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06]]="",$AN107&gt;$AL$1),2,
AND(Tabela18[[#This Row],[STATUS]]="Em andamento",Tabela18[[#This Row],[DATA REAL - ANEXO 06]]="",$AN107&lt;=$AL$1),3,
AND(Tabela18[[#This Row],[STATUS]]="Em andamento",Tabela18[[#This Row],[DATA REAL - ANEXO 06]]&lt;&gt;""),1)</f>
        <v>1</v>
      </c>
      <c r="J107" s="15" cm="1">
        <f t="array" aca="1" ref="J10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LEGAIS]]="",$AQ107&gt;$AO$1),2,
AND(Tabela18[[#This Row],[STATUS]]="Em andamento",Tabela18[[#This Row],[DATA REAL - SOLIC. PROG LEGAIS]]="",$AQ107&lt;=$AO$1),3,
AND(Tabela18[[#This Row],[STATUS]]="Em andamento",Tabela18[[#This Row],[DATA REAL - SOLIC. PROG LEGAIS]]&lt;&gt;""),1)</f>
        <v>1</v>
      </c>
      <c r="K107" s="15" cm="1">
        <f t="array" aca="1" ref="K10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ENVIO]]="",$AT107&gt;$AR$1),2,
AND(Tabela18[[#This Row],[STATUS]]="Em andamento",Tabela18[[#This Row],[DATA REAL - ENVIO]]="",$AT107&lt;=$AR$1),3,
AND(Tabela18[[#This Row],[STATUS]]="Em andamento",Tabela18[[#This Row],[DATA REAL - ENVIO]]&lt;&gt;""),1)</f>
        <v>1</v>
      </c>
      <c r="L107" s="15" cm="1">
        <f t="array" aca="1" ref="L10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POSTAGEM]]="",$AW107&gt;$AU$1),2,
AND(Tabela18[[#This Row],[STATUS]]="Em andamento",Tabela18[[#This Row],[DATA REAL - POSTAGEM]]="",$AW107&lt;=$AU$1),3,
AND(Tabela18[[#This Row],[STATUS]]="Em andamento",Tabela18[[#This Row],[DATA REAL - POSTAGEM]]&lt;&gt;""),1)</f>
        <v>1</v>
      </c>
      <c r="M107" s="16" cm="1">
        <f t="array" aca="1" ref="M10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APROVAÇÃO]]="",$AZ107&gt;$AX$1),2,
AND(Tabela18[[#This Row],[STATUS]]="Em andamento",Tabela18[[#This Row],[DATA REAL - APROVAÇÃO]]="",$AZ107&lt;=$AX$1),3,
AND(Tabela18[[#This Row],[STATUS]]="Em andamento",Tabela18[[#This Row],[DATA REAL - APROVAÇÃO]]&lt;&gt;""),1)</f>
        <v>1</v>
      </c>
      <c r="N107" s="21">
        <f>IF(Tabela18[[#This Row],[DATA REAL -EMAIL]]&lt;&gt;"",Tabela18[[#This Row],[DATA REAL -EMAIL]]+30,Tabela18[[#This Row],[DATA PREV - EMAIL]]+30)</f>
        <v>45536</v>
      </c>
      <c r="O10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45567</v>
      </c>
      <c r="P10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61</v>
      </c>
      <c r="Q10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26</v>
      </c>
      <c r="R107" s="48">
        <f>MAX(Tabela18[[#This Row],[DATA REAL - POSTAGEM]],Tabela18[[#This Row],[DATA REAL - APROVAÇÃO]])-MIN(Tabela18[[#This Row],[DATA REAL - POSTAGEM]],Tabela18[[#This Row],[DATA REAL - APROVAÇÃO]])+1</f>
        <v>2</v>
      </c>
      <c r="S107" s="16" t="s">
        <v>121</v>
      </c>
      <c r="T107" s="16"/>
      <c r="U107" s="18"/>
      <c r="V107" s="18" t="s">
        <v>124</v>
      </c>
      <c r="W107" s="16" t="s">
        <v>97</v>
      </c>
      <c r="X107" s="16" t="s">
        <v>167</v>
      </c>
      <c r="Y107" s="16" t="s">
        <v>168</v>
      </c>
      <c r="Z107" s="15" t="s">
        <v>1013</v>
      </c>
      <c r="AA107" s="15" t="str">
        <f>_xlfn.XLOOKUP(Tabela18[[#This Row],[CÓD. CT]],Controle_Projetos[COD CT],Controle_Projetos[COD PHD],"")</f>
        <v/>
      </c>
      <c r="AB107" s="16"/>
      <c r="AC107" s="21">
        <v>45506</v>
      </c>
      <c r="AD107"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07" s="16" cm="1">
        <f t="array" aca="1" ref="AE10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07" s="21">
        <v>45506</v>
      </c>
      <c r="AG107" s="74">
        <v>45506</v>
      </c>
      <c r="AH107" s="16" cm="1">
        <f t="array" aca="1" ref="AH10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7" s="21">
        <v>45511</v>
      </c>
      <c r="AJ107" s="74">
        <v>45513</v>
      </c>
      <c r="AK107" s="16" cm="1">
        <f t="array" aca="1" ref="AK10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7" s="20">
        <f t="shared" si="15"/>
        <v>45520</v>
      </c>
      <c r="AM107" s="74">
        <v>45524</v>
      </c>
      <c r="AN107" s="15" cm="1">
        <f t="array" aca="1" ref="AN10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07" s="20">
        <f t="shared" si="16"/>
        <v>45525</v>
      </c>
      <c r="AP107" s="74">
        <v>45524</v>
      </c>
      <c r="AQ107" s="15" cm="1">
        <f t="array" aca="1" ref="AQ10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07" s="20">
        <f t="shared" si="17"/>
        <v>45538</v>
      </c>
      <c r="AS107" s="74">
        <v>45532</v>
      </c>
      <c r="AT107" s="15" cm="1">
        <f t="array" aca="1" ref="AT10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07" s="20">
        <f t="shared" si="18"/>
        <v>45539</v>
      </c>
      <c r="AV107" s="74">
        <v>45566</v>
      </c>
      <c r="AW107" s="15" cm="1">
        <f t="array" aca="1" ref="AW10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28</v>
      </c>
      <c r="AX107" s="20">
        <f t="shared" si="19"/>
        <v>45567</v>
      </c>
      <c r="AY107" s="74">
        <v>45567</v>
      </c>
      <c r="AZ107" s="15" cm="1">
        <f t="array" aca="1" ref="AZ10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07" s="16" t="s">
        <v>1014</v>
      </c>
    </row>
    <row r="108" spans="2:53" hidden="1" x14ac:dyDescent="0.35">
      <c r="B108" s="14" t="s">
        <v>79</v>
      </c>
      <c r="C108" s="16" t="s">
        <v>136</v>
      </c>
      <c r="D108" s="16" t="s">
        <v>108</v>
      </c>
      <c r="E108" s="16" t="s">
        <v>153</v>
      </c>
      <c r="F108" s="16" cm="1">
        <f t="array" ref="F108">_xlfn.IFS(Tabela18[[#This Row],[STATUS]]="Finalizado",1,Tabela18[[#This Row],[STATUS]]="Cancelado",2,Tabela18[[#This Row],[STATUS]]="Em andamento",3)</f>
        <v>1</v>
      </c>
      <c r="G108" s="16" cm="1">
        <f t="array" aca="1" ref="G10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-EMAIL]]="",$AH108&gt;$AF$1),2,
AND(Tabela18[[#This Row],[STATUS]]="Em andamento",Tabela18[[#This Row],[DATA REAL -EMAIL]]="",$AH108&lt;=$AF$1),3,
AND(Tabela18[[#This Row],[STATUS]]="Em andamento",Tabela18[[#This Row],[DATA REAL -EMAIL]]&lt;&gt;""),1)</f>
        <v>1</v>
      </c>
      <c r="H108" s="16" cm="1">
        <f t="array" aca="1" ref="H10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CLIENTE]]="",$AK108&gt;$AI$1),2,
AND(Tabela18[[#This Row],[STATUS]]="Em andamento",Tabela18[[#This Row],[DATA REAL - DOC CLIENTE]]="",$AK108&lt;=$AI$1),3,
AND(Tabela18[[#This Row],[STATUS]]="Em andamento",Tabela18[[#This Row],[DATA REAL - DOC CLIENTE]]&lt;&gt;""),1)</f>
        <v>1</v>
      </c>
      <c r="I108" s="16" cm="1">
        <f t="array" aca="1" ref="I10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06]]="",$AN108&gt;$AL$1),2,
AND(Tabela18[[#This Row],[STATUS]]="Em andamento",Tabela18[[#This Row],[DATA REAL - ANEXO 06]]="",$AN108&lt;=$AL$1),3,
AND(Tabela18[[#This Row],[STATUS]]="Em andamento",Tabela18[[#This Row],[DATA REAL - ANEXO 06]]&lt;&gt;""),1)</f>
        <v>1</v>
      </c>
      <c r="J108" s="15" cm="1">
        <f t="array" aca="1" ref="J10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LEGAIS]]="",$AQ108&gt;$AO$1),2,
AND(Tabela18[[#This Row],[STATUS]]="Em andamento",Tabela18[[#This Row],[DATA REAL - SOLIC. PROG LEGAIS]]="",$AQ108&lt;=$AO$1),3,
AND(Tabela18[[#This Row],[STATUS]]="Em andamento",Tabela18[[#This Row],[DATA REAL - SOLIC. PROG LEGAIS]]&lt;&gt;""),1)</f>
        <v>1</v>
      </c>
      <c r="K108" s="15" cm="1">
        <f t="array" aca="1" ref="K10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ENVIO]]="",$AT108&gt;$AR$1),2,
AND(Tabela18[[#This Row],[STATUS]]="Em andamento",Tabela18[[#This Row],[DATA REAL - ENVIO]]="",$AT108&lt;=$AR$1),3,
AND(Tabela18[[#This Row],[STATUS]]="Em andamento",Tabela18[[#This Row],[DATA REAL - ENVIO]]&lt;&gt;""),1)</f>
        <v>1</v>
      </c>
      <c r="L108" s="15" cm="1">
        <f t="array" aca="1" ref="L10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POSTAGEM]]="",$AW108&gt;$AU$1),2,
AND(Tabela18[[#This Row],[STATUS]]="Em andamento",Tabela18[[#This Row],[DATA REAL - POSTAGEM]]="",$AW108&lt;=$AU$1),3,
AND(Tabela18[[#This Row],[STATUS]]="Em andamento",Tabela18[[#This Row],[DATA REAL - POSTAGEM]]&lt;&gt;""),1)</f>
        <v>1</v>
      </c>
      <c r="M108" s="16" cm="1">
        <f t="array" aca="1" ref="M10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APROVAÇÃO]]="",$AZ108&gt;$AX$1),2,
AND(Tabela18[[#This Row],[STATUS]]="Em andamento",Tabela18[[#This Row],[DATA REAL - APROVAÇÃO]]="",$AZ108&lt;=$AX$1),3,
AND(Tabela18[[#This Row],[STATUS]]="Em andamento",Tabela18[[#This Row],[DATA REAL - APROVAÇÃO]]&lt;&gt;""),1)</f>
        <v>1</v>
      </c>
      <c r="N108" s="21">
        <f>IF(Tabela18[[#This Row],[DATA REAL -EMAIL]]&lt;&gt;"",Tabela18[[#This Row],[DATA REAL -EMAIL]]+30,Tabela18[[#This Row],[DATA PREV - EMAIL]]+30)</f>
        <v>45555</v>
      </c>
      <c r="O10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45544</v>
      </c>
      <c r="P10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26</v>
      </c>
      <c r="Q10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v>
      </c>
      <c r="R108" s="48">
        <f>MAX(Tabela18[[#This Row],[DATA REAL - POSTAGEM]],Tabela18[[#This Row],[DATA REAL - APROVAÇÃO]])-MIN(Tabela18[[#This Row],[DATA REAL - POSTAGEM]],Tabela18[[#This Row],[DATA REAL - APROVAÇÃO]])+1</f>
        <v>4</v>
      </c>
      <c r="S108" s="16" t="s">
        <v>122</v>
      </c>
      <c r="T108" s="16"/>
      <c r="U108" s="18"/>
      <c r="V108" s="18" t="s">
        <v>124</v>
      </c>
      <c r="W108" s="16" t="s">
        <v>97</v>
      </c>
      <c r="X108" s="16" t="s">
        <v>153</v>
      </c>
      <c r="Y108" s="16" t="s">
        <v>1015</v>
      </c>
      <c r="Z108" s="15" t="s">
        <v>1016</v>
      </c>
      <c r="AA108" s="15" t="str">
        <f>_xlfn.XLOOKUP(Tabela18[[#This Row],[CÓD. CT]],Controle_Projetos[COD CT],Controle_Projetos[COD PHD],"")</f>
        <v>ADMB-CT13-GEPF</v>
      </c>
      <c r="AB108" s="16"/>
      <c r="AC108" s="21">
        <v>45525</v>
      </c>
      <c r="AD10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45518</v>
      </c>
      <c r="AE108" s="16" t="str" cm="1">
        <f t="array" aca="1" ref="AE10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08" s="21">
        <v>45525</v>
      </c>
      <c r="AG108" s="74">
        <v>45525</v>
      </c>
      <c r="AH108" s="16" cm="1">
        <f t="array" aca="1" ref="AH10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8" s="21">
        <v>45525</v>
      </c>
      <c r="AJ108" s="74">
        <v>45526</v>
      </c>
      <c r="AK108" s="16" cm="1">
        <f t="array" aca="1" ref="AK10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8" s="20">
        <f t="shared" si="15"/>
        <v>45533</v>
      </c>
      <c r="AM108" s="74">
        <v>45526</v>
      </c>
      <c r="AN108" s="15" cm="1">
        <f t="array" aca="1" ref="AN10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08" s="20">
        <f t="shared" si="16"/>
        <v>45527</v>
      </c>
      <c r="AP108" s="74">
        <v>45526</v>
      </c>
      <c r="AQ108" s="15" cm="1">
        <f t="array" aca="1" ref="AQ10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08" s="20">
        <f t="shared" si="17"/>
        <v>45540</v>
      </c>
      <c r="AS108" s="74">
        <v>45541</v>
      </c>
      <c r="AT108" s="15" cm="1">
        <f t="array" aca="1" ref="AT10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108" s="20">
        <f t="shared" si="18"/>
        <v>45548</v>
      </c>
      <c r="AV108" s="74">
        <v>45541</v>
      </c>
      <c r="AW108" s="15" cm="1">
        <f t="array" aca="1" ref="AW10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08" s="20">
        <f t="shared" si="19"/>
        <v>45544</v>
      </c>
      <c r="AY108" s="74">
        <v>45544</v>
      </c>
      <c r="AZ108" s="15" cm="1">
        <f t="array" aca="1" ref="AZ10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08" s="16" t="s">
        <v>1017</v>
      </c>
    </row>
    <row r="109" spans="2:53" hidden="1" x14ac:dyDescent="0.35">
      <c r="B109" s="14" t="s">
        <v>79</v>
      </c>
      <c r="C109" s="16" t="s">
        <v>867</v>
      </c>
      <c r="D109" s="16" t="s">
        <v>108</v>
      </c>
      <c r="E109" s="16" t="s">
        <v>990</v>
      </c>
      <c r="F109" s="16" cm="1">
        <f t="array" ref="F109">_xlfn.IFS(Tabela18[[#This Row],[STATUS]]="Finalizado",1,Tabela18[[#This Row],[STATUS]]="Cancelado",2,Tabela18[[#This Row],[STATUS]]="Em andamento",3)</f>
        <v>1</v>
      </c>
      <c r="G109" s="16" cm="1">
        <f t="array" aca="1" ref="G10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-EMAIL]]="",$AH109&gt;$AF$1),2,
AND(Tabela18[[#This Row],[STATUS]]="Em andamento",Tabela18[[#This Row],[DATA REAL -EMAIL]]="",$AH109&lt;=$AF$1),3,
AND(Tabela18[[#This Row],[STATUS]]="Em andamento",Tabela18[[#This Row],[DATA REAL -EMAIL]]&lt;&gt;""),1)</f>
        <v>1</v>
      </c>
      <c r="H109" s="16" cm="1">
        <f t="array" aca="1" ref="H10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CLIENTE]]="",$AK109&gt;$AI$1),2,
AND(Tabela18[[#This Row],[STATUS]]="Em andamento",Tabela18[[#This Row],[DATA REAL - DOC CLIENTE]]="",$AK109&lt;=$AI$1),3,
AND(Tabela18[[#This Row],[STATUS]]="Em andamento",Tabela18[[#This Row],[DATA REAL - DOC CLIENTE]]&lt;&gt;""),1)</f>
        <v>1</v>
      </c>
      <c r="I109" s="16" cm="1">
        <f t="array" aca="1" ref="I10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06]]="",$AN109&gt;$AL$1),2,
AND(Tabela18[[#This Row],[STATUS]]="Em andamento",Tabela18[[#This Row],[DATA REAL - ANEXO 06]]="",$AN109&lt;=$AL$1),3,
AND(Tabela18[[#This Row],[STATUS]]="Em andamento",Tabela18[[#This Row],[DATA REAL - ANEXO 06]]&lt;&gt;""),1)</f>
        <v>1</v>
      </c>
      <c r="J109" s="15" cm="1">
        <f t="array" aca="1" ref="J10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LEGAIS]]="",$AQ109&gt;$AO$1),2,
AND(Tabela18[[#This Row],[STATUS]]="Em andamento",Tabela18[[#This Row],[DATA REAL - SOLIC. PROG LEGAIS]]="",$AQ109&lt;=$AO$1),3,
AND(Tabela18[[#This Row],[STATUS]]="Em andamento",Tabela18[[#This Row],[DATA REAL - SOLIC. PROG LEGAIS]]&lt;&gt;""),1)</f>
        <v>1</v>
      </c>
      <c r="K109" s="15" cm="1">
        <f t="array" aca="1" ref="K10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ENVIO]]="",$AT109&gt;$AR$1),2,
AND(Tabela18[[#This Row],[STATUS]]="Em andamento",Tabela18[[#This Row],[DATA REAL - ENVIO]]="",$AT109&lt;=$AR$1),3,
AND(Tabela18[[#This Row],[STATUS]]="Em andamento",Tabela18[[#This Row],[DATA REAL - ENVIO]]&lt;&gt;""),1)</f>
        <v>1</v>
      </c>
      <c r="L109" s="15" cm="1">
        <f t="array" aca="1" ref="L10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POSTAGEM]]="",$AW109&gt;$AU$1),2,
AND(Tabela18[[#This Row],[STATUS]]="Em andamento",Tabela18[[#This Row],[DATA REAL - POSTAGEM]]="",$AW109&lt;=$AU$1),3,
AND(Tabela18[[#This Row],[STATUS]]="Em andamento",Tabela18[[#This Row],[DATA REAL - POSTAGEM]]&lt;&gt;""),1)</f>
        <v>1</v>
      </c>
      <c r="M109" s="16" cm="1">
        <f t="array" aca="1" ref="M10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APROVAÇÃO]]="",$AZ109&gt;$AX$1),2,
AND(Tabela18[[#This Row],[STATUS]]="Em andamento",Tabela18[[#This Row],[DATA REAL - APROVAÇÃO]]="",$AZ109&lt;=$AX$1),3,
AND(Tabela18[[#This Row],[STATUS]]="Em andamento",Tabela18[[#This Row],[DATA REAL - APROVAÇÃO]]&lt;&gt;""),1)</f>
        <v>1</v>
      </c>
      <c r="N109" s="21">
        <f>IF(Tabela18[[#This Row],[DATA REAL -EMAIL]]&lt;&gt;"",Tabela18[[#This Row],[DATA REAL -EMAIL]]+30,Tabela18[[#This Row],[DATA PREV - EMAIL]]+30)</f>
        <v>45564</v>
      </c>
      <c r="O10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45545</v>
      </c>
      <c r="P10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11</v>
      </c>
      <c r="Q10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109" s="48">
        <f>MAX(Tabela18[[#This Row],[DATA REAL - POSTAGEM]],Tabela18[[#This Row],[DATA REAL - APROVAÇÃO]])-MIN(Tabela18[[#This Row],[DATA REAL - POSTAGEM]],Tabela18[[#This Row],[DATA REAL - APROVAÇÃO]])+1</f>
        <v>1</v>
      </c>
      <c r="S109" s="16" t="s">
        <v>211</v>
      </c>
      <c r="T109" s="16"/>
      <c r="U109" s="18" t="s">
        <v>1018</v>
      </c>
      <c r="V109" s="18" t="s">
        <v>152</v>
      </c>
      <c r="W109" s="16" t="s">
        <v>97</v>
      </c>
      <c r="X109" s="16" t="s">
        <v>132</v>
      </c>
      <c r="Y109" s="16" t="s">
        <v>483</v>
      </c>
      <c r="Z109" s="15" t="s">
        <v>1019</v>
      </c>
      <c r="AA109" s="15" t="str">
        <f>_xlfn.XLOOKUP(Tabela18[[#This Row],[CÓD. CT]],Controle_Projetos[COD CT],Controle_Projetos[COD PHD],"")</f>
        <v>CARD-CT11-FILT</v>
      </c>
      <c r="AB109" s="16">
        <v>4519874369</v>
      </c>
      <c r="AC109" s="21">
        <v>45534</v>
      </c>
      <c r="AD10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45537</v>
      </c>
      <c r="AE109" s="16" cm="1">
        <f t="array" aca="1" ref="AE10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v>
      </c>
      <c r="AF109" s="21">
        <v>45534</v>
      </c>
      <c r="AG109" s="74">
        <v>45534</v>
      </c>
      <c r="AH109" s="16" cm="1">
        <f t="array" aca="1" ref="AH10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09" s="21">
        <v>45537</v>
      </c>
      <c r="AJ109" s="74">
        <v>45537</v>
      </c>
      <c r="AK109" s="16" cm="1">
        <f t="array" aca="1" ref="AK10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09" s="20">
        <f t="shared" si="15"/>
        <v>45544</v>
      </c>
      <c r="AM109" s="74">
        <v>45537</v>
      </c>
      <c r="AN109" s="15" cm="1">
        <f t="array" aca="1" ref="AN10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09" s="20">
        <f t="shared" si="16"/>
        <v>45538</v>
      </c>
      <c r="AP109" s="74">
        <v>45545</v>
      </c>
      <c r="AQ109" s="15" cm="1">
        <f t="array" aca="1" ref="AQ10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8</v>
      </c>
      <c r="AR109" s="20">
        <f t="shared" si="17"/>
        <v>45559</v>
      </c>
      <c r="AS109" s="74">
        <v>45545</v>
      </c>
      <c r="AT109" s="15" cm="1">
        <f t="array" aca="1" ref="AT10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09" s="20">
        <f t="shared" si="18"/>
        <v>45552</v>
      </c>
      <c r="AV109" s="74">
        <v>45545</v>
      </c>
      <c r="AW109" s="15" cm="1">
        <f t="array" aca="1" ref="AW10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09" s="20">
        <f t="shared" si="19"/>
        <v>45546</v>
      </c>
      <c r="AY109" s="74">
        <v>45545</v>
      </c>
      <c r="AZ109" s="15" cm="1">
        <f t="array" aca="1" ref="AZ10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09" s="16" t="s">
        <v>1020</v>
      </c>
    </row>
    <row r="110" spans="2:53" hidden="1" x14ac:dyDescent="0.35">
      <c r="B110" s="14" t="s">
        <v>79</v>
      </c>
      <c r="C110" s="16" t="s">
        <v>136</v>
      </c>
      <c r="D110" s="16" t="s">
        <v>81</v>
      </c>
      <c r="E110" s="16" t="s">
        <v>309</v>
      </c>
      <c r="F110" s="16" cm="1">
        <f t="array" ref="F110">_xlfn.IFS(Tabela18[[#This Row],[STATUS]]="Finalizado",1,Tabela18[[#This Row],[STATUS]]="Cancelado",2,Tabela18[[#This Row],[STATUS]]="Em andamento",3)</f>
        <v>1</v>
      </c>
      <c r="G110" s="16" cm="1">
        <f t="array" aca="1" ref="G11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-EMAIL]]="",$AH110&gt;$AF$1),2,
AND(Tabela18[[#This Row],[STATUS]]="Em andamento",Tabela18[[#This Row],[DATA REAL -EMAIL]]="",$AH110&lt;=$AF$1),3,
AND(Tabela18[[#This Row],[STATUS]]="Em andamento",Tabela18[[#This Row],[DATA REAL -EMAIL]]&lt;&gt;""),1)</f>
        <v>1</v>
      </c>
      <c r="H110" s="16" cm="1">
        <f t="array" aca="1" ref="H11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CLIENTE]]="",$AK110&gt;$AI$1),2,
AND(Tabela18[[#This Row],[STATUS]]="Em andamento",Tabela18[[#This Row],[DATA REAL - DOC CLIENTE]]="",$AK110&lt;=$AI$1),3,
AND(Tabela18[[#This Row],[STATUS]]="Em andamento",Tabela18[[#This Row],[DATA REAL - DOC CLIENTE]]&lt;&gt;""),1)</f>
        <v>1</v>
      </c>
      <c r="I110" s="16" cm="1">
        <f t="array" aca="1" ref="I11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06]]="",$AN110&gt;$AL$1),2,
AND(Tabela18[[#This Row],[STATUS]]="Em andamento",Tabela18[[#This Row],[DATA REAL - ANEXO 06]]="",$AN110&lt;=$AL$1),3,
AND(Tabela18[[#This Row],[STATUS]]="Em andamento",Tabela18[[#This Row],[DATA REAL - ANEXO 06]]&lt;&gt;""),1)</f>
        <v>1</v>
      </c>
      <c r="J110" s="15" cm="1">
        <f t="array" aca="1" ref="J11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LEGAIS]]="",$AQ110&gt;$AO$1),2,
AND(Tabela18[[#This Row],[STATUS]]="Em andamento",Tabela18[[#This Row],[DATA REAL - SOLIC. PROG LEGAIS]]="",$AQ110&lt;=$AO$1),3,
AND(Tabela18[[#This Row],[STATUS]]="Em andamento",Tabela18[[#This Row],[DATA REAL - SOLIC. PROG LEGAIS]]&lt;&gt;""),1)</f>
        <v>1</v>
      </c>
      <c r="K110" s="15" cm="1">
        <f t="array" aca="1" ref="K11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ENVIO]]="",$AT110&gt;$AR$1),2,
AND(Tabela18[[#This Row],[STATUS]]="Em andamento",Tabela18[[#This Row],[DATA REAL - ENVIO]]="",$AT110&lt;=$AR$1),3,
AND(Tabela18[[#This Row],[STATUS]]="Em andamento",Tabela18[[#This Row],[DATA REAL - ENVIO]]&lt;&gt;""),1)</f>
        <v>1</v>
      </c>
      <c r="L110" s="15" cm="1">
        <f t="array" aca="1" ref="L11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POSTAGEM]]="",$AW110&gt;$AU$1),2,
AND(Tabela18[[#This Row],[STATUS]]="Em andamento",Tabela18[[#This Row],[DATA REAL - POSTAGEM]]="",$AW110&lt;=$AU$1),3,
AND(Tabela18[[#This Row],[STATUS]]="Em andamento",Tabela18[[#This Row],[DATA REAL - POSTAGEM]]&lt;&gt;""),1)</f>
        <v>1</v>
      </c>
      <c r="M110" s="16" cm="1">
        <f t="array" aca="1" ref="M11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APROVAÇÃO]]="",$AZ110&gt;$AX$1),2,
AND(Tabela18[[#This Row],[STATUS]]="Em andamento",Tabela18[[#This Row],[DATA REAL - APROVAÇÃO]]="",$AZ110&lt;=$AX$1),3,
AND(Tabela18[[#This Row],[STATUS]]="Em andamento",Tabela18[[#This Row],[DATA REAL - APROVAÇÃO]]&lt;&gt;""),1)</f>
        <v>1</v>
      </c>
      <c r="N110" s="21">
        <f>IF(Tabela18[[#This Row],[DATA REAL -EMAIL]]&lt;&gt;"",Tabela18[[#This Row],[DATA REAL -EMAIL]]+30,Tabela18[[#This Row],[DATA PREV - EMAIL]]+30)</f>
        <v>45560</v>
      </c>
      <c r="O11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45561</v>
      </c>
      <c r="P11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31</v>
      </c>
      <c r="Q11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16</v>
      </c>
      <c r="R110" s="48">
        <f>MAX(Tabela18[[#This Row],[DATA REAL - POSTAGEM]],Tabela18[[#This Row],[DATA REAL - APROVAÇÃO]])-MIN(Tabela18[[#This Row],[DATA REAL - POSTAGEM]],Tabela18[[#This Row],[DATA REAL - APROVAÇÃO]])+1</f>
        <v>4</v>
      </c>
      <c r="S110" s="16" t="s">
        <v>122</v>
      </c>
      <c r="T110" s="16"/>
      <c r="U110" s="18"/>
      <c r="V110" s="18" t="s">
        <v>124</v>
      </c>
      <c r="W110" s="16" t="s">
        <v>97</v>
      </c>
      <c r="X110" s="16" t="s">
        <v>89</v>
      </c>
      <c r="Y110" s="16" t="s">
        <v>1021</v>
      </c>
      <c r="Z110" s="15" t="s">
        <v>1022</v>
      </c>
      <c r="AA110" s="15" t="str">
        <f>_xlfn.XLOOKUP(Tabela18[[#This Row],[CÓD. CT]],Controle_Projetos[COD CT],Controle_Projetos[COD PHD],"")</f>
        <v/>
      </c>
      <c r="AB110" s="16"/>
      <c r="AC110" s="21">
        <v>45530</v>
      </c>
      <c r="AD11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10" s="16" cm="1">
        <f t="array" aca="1" ref="AE11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10" s="21">
        <v>45530</v>
      </c>
      <c r="AG110" s="74">
        <v>45530</v>
      </c>
      <c r="AH110" s="16" cm="1">
        <f t="array" aca="1" ref="AH11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0" s="21">
        <v>45533</v>
      </c>
      <c r="AJ110" s="74">
        <v>45534</v>
      </c>
      <c r="AK110" s="16" cm="1">
        <f t="array" aca="1" ref="AK11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0" s="20">
        <f t="shared" si="15"/>
        <v>45541</v>
      </c>
      <c r="AM110" s="74">
        <v>45538</v>
      </c>
      <c r="AN110" s="15" cm="1">
        <f t="array" aca="1" ref="AN11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110" s="20">
        <f t="shared" si="16"/>
        <v>45539</v>
      </c>
      <c r="AP110" s="74">
        <v>45537</v>
      </c>
      <c r="AQ110" s="15" cm="1">
        <f t="array" aca="1" ref="AQ11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10" s="20">
        <f t="shared" si="17"/>
        <v>45551</v>
      </c>
      <c r="AS110" s="74">
        <v>45546</v>
      </c>
      <c r="AT110" s="15" cm="1">
        <f t="array" aca="1" ref="AT11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10" s="20">
        <f t="shared" si="18"/>
        <v>45553</v>
      </c>
      <c r="AV110" s="74">
        <v>45558</v>
      </c>
      <c r="AW110" s="15" cm="1">
        <f t="array" aca="1" ref="AW11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0" s="20">
        <f t="shared" si="19"/>
        <v>45559</v>
      </c>
      <c r="AY110" s="74">
        <v>45561</v>
      </c>
      <c r="AZ110" s="15" cm="1">
        <f t="array" aca="1" ref="AZ11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110" s="16" t="s">
        <v>1023</v>
      </c>
    </row>
    <row r="111" spans="2:53" hidden="1" x14ac:dyDescent="0.35">
      <c r="B111" s="14" t="s">
        <v>79</v>
      </c>
      <c r="C111" s="16" t="s">
        <v>867</v>
      </c>
      <c r="D111" s="16" t="s">
        <v>108</v>
      </c>
      <c r="E111" s="16" t="s">
        <v>1024</v>
      </c>
      <c r="F111" s="16" cm="1">
        <f t="array" ref="F111">_xlfn.IFS(Tabela18[[#This Row],[STATUS]]="Finalizado",1,Tabela18[[#This Row],[STATUS]]="Cancelado",2,Tabela18[[#This Row],[STATUS]]="Em andamento",3)</f>
        <v>1</v>
      </c>
      <c r="G111" s="16" cm="1">
        <f t="array" aca="1" ref="G11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-EMAIL]]="",$AH111&gt;$AF$1),2,
AND(Tabela18[[#This Row],[STATUS]]="Em andamento",Tabela18[[#This Row],[DATA REAL -EMAIL]]="",$AH111&lt;=$AF$1),3,
AND(Tabela18[[#This Row],[STATUS]]="Em andamento",Tabela18[[#This Row],[DATA REAL -EMAIL]]&lt;&gt;""),1)</f>
        <v>1</v>
      </c>
      <c r="H111" s="16" cm="1">
        <f t="array" aca="1" ref="H11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CLIENTE]]="",$AK111&gt;$AI$1),2,
AND(Tabela18[[#This Row],[STATUS]]="Em andamento",Tabela18[[#This Row],[DATA REAL - DOC CLIENTE]]="",$AK111&lt;=$AI$1),3,
AND(Tabela18[[#This Row],[STATUS]]="Em andamento",Tabela18[[#This Row],[DATA REAL - DOC CLIENTE]]&lt;&gt;""),1)</f>
        <v>1</v>
      </c>
      <c r="I111" s="16" cm="1">
        <f t="array" aca="1" ref="I11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06]]="",$AN111&gt;$AL$1),2,
AND(Tabela18[[#This Row],[STATUS]]="Em andamento",Tabela18[[#This Row],[DATA REAL - ANEXO 06]]="",$AN111&lt;=$AL$1),3,
AND(Tabela18[[#This Row],[STATUS]]="Em andamento",Tabela18[[#This Row],[DATA REAL - ANEXO 06]]&lt;&gt;""),1)</f>
        <v>1</v>
      </c>
      <c r="J111" s="15" cm="1">
        <f t="array" aca="1" ref="J11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LEGAIS]]="",$AQ111&gt;$AO$1),2,
AND(Tabela18[[#This Row],[STATUS]]="Em andamento",Tabela18[[#This Row],[DATA REAL - SOLIC. PROG LEGAIS]]="",$AQ111&lt;=$AO$1),3,
AND(Tabela18[[#This Row],[STATUS]]="Em andamento",Tabela18[[#This Row],[DATA REAL - SOLIC. PROG LEGAIS]]&lt;&gt;""),1)</f>
        <v>1</v>
      </c>
      <c r="K111" s="15" cm="1">
        <f t="array" aca="1" ref="K11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ENVIO]]="",$AT111&gt;$AR$1),2,
AND(Tabela18[[#This Row],[STATUS]]="Em andamento",Tabela18[[#This Row],[DATA REAL - ENVIO]]="",$AT111&lt;=$AR$1),3,
AND(Tabela18[[#This Row],[STATUS]]="Em andamento",Tabela18[[#This Row],[DATA REAL - ENVIO]]&lt;&gt;""),1)</f>
        <v>1</v>
      </c>
      <c r="L111" s="15" cm="1">
        <f t="array" aca="1" ref="L11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POSTAGEM]]="",$AW111&gt;$AU$1),2,
AND(Tabela18[[#This Row],[STATUS]]="Em andamento",Tabela18[[#This Row],[DATA REAL - POSTAGEM]]="",$AW111&lt;=$AU$1),3,
AND(Tabela18[[#This Row],[STATUS]]="Em andamento",Tabela18[[#This Row],[DATA REAL - POSTAGEM]]&lt;&gt;""),1)</f>
        <v>1</v>
      </c>
      <c r="M111" s="16" cm="1">
        <f t="array" aca="1" ref="M11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APROVAÇÃO]]="",$AZ111&gt;$AX$1),2,
AND(Tabela18[[#This Row],[STATUS]]="Em andamento",Tabela18[[#This Row],[DATA REAL - APROVAÇÃO]]="",$AZ111&lt;=$AX$1),3,
AND(Tabela18[[#This Row],[STATUS]]="Em andamento",Tabela18[[#This Row],[DATA REAL - APROVAÇÃO]]&lt;&gt;""),1)</f>
        <v>1</v>
      </c>
      <c r="N111" s="21">
        <f>IF(Tabela18[[#This Row],[DATA REAL -EMAIL]]&lt;&gt;"",Tabela18[[#This Row],[DATA REAL -EMAIL]]+30,Tabela18[[#This Row],[DATA PREV - EMAIL]]+30)</f>
        <v>45526</v>
      </c>
      <c r="O11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45541</v>
      </c>
      <c r="P11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v>
      </c>
      <c r="Q11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45</v>
      </c>
      <c r="R111" s="48">
        <f>MAX(Tabela18[[#This Row],[DATA REAL - POSTAGEM]],Tabela18[[#This Row],[DATA REAL - APROVAÇÃO]])-MIN(Tabela18[[#This Row],[DATA REAL - POSTAGEM]],Tabela18[[#This Row],[DATA REAL - APROVAÇÃO]])+1</f>
        <v>1</v>
      </c>
      <c r="S111" s="16" t="s">
        <v>83</v>
      </c>
      <c r="T111" s="16"/>
      <c r="U111" s="18" t="s">
        <v>85</v>
      </c>
      <c r="V111" s="18" t="s">
        <v>86</v>
      </c>
      <c r="W111" s="16" t="s">
        <v>97</v>
      </c>
      <c r="X111" s="16" t="s">
        <v>326</v>
      </c>
      <c r="Y111" s="16" t="s">
        <v>1025</v>
      </c>
      <c r="Z111" s="15" t="s">
        <v>1026</v>
      </c>
      <c r="AA111" s="15" t="str">
        <f>_xlfn.XLOOKUP(Tabela18[[#This Row],[CÓD. CT]],Controle_Projetos[COD CT],Controle_Projetos[COD PHD],"")</f>
        <v>BALI-CT01-PTOP</v>
      </c>
      <c r="AB111" s="16"/>
      <c r="AC111" s="21">
        <v>45496</v>
      </c>
      <c r="AD11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45525</v>
      </c>
      <c r="AE111" s="16" cm="1">
        <f t="array" aca="1" ref="AE11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30</v>
      </c>
      <c r="AF111" s="21">
        <v>45496</v>
      </c>
      <c r="AG111" s="74">
        <v>45496</v>
      </c>
      <c r="AH111" s="16" cm="1">
        <f t="array" aca="1" ref="AH11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1" s="21">
        <v>45496</v>
      </c>
      <c r="AJ111" s="74">
        <v>45496</v>
      </c>
      <c r="AK111" s="16" cm="1">
        <f t="array" aca="1" ref="AK11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1" s="20">
        <f t="shared" si="15"/>
        <v>45503</v>
      </c>
      <c r="AM111" s="74">
        <v>45541</v>
      </c>
      <c r="AN111" s="15" cm="1">
        <f t="array" aca="1" ref="AN11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39</v>
      </c>
      <c r="AO111" s="20">
        <f t="shared" si="16"/>
        <v>45544</v>
      </c>
      <c r="AP111" s="74">
        <v>45541</v>
      </c>
      <c r="AQ111" s="15" cm="1">
        <f t="array" aca="1" ref="AQ11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11" s="20">
        <f t="shared" si="17"/>
        <v>45555</v>
      </c>
      <c r="AS111" s="74">
        <v>45541</v>
      </c>
      <c r="AT111" s="15" cm="1">
        <f t="array" aca="1" ref="AT11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11" s="20">
        <f t="shared" si="18"/>
        <v>45548</v>
      </c>
      <c r="AV111" s="74">
        <v>45541</v>
      </c>
      <c r="AW111" s="15" cm="1">
        <f t="array" aca="1" ref="AW11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1" s="20">
        <f t="shared" si="19"/>
        <v>45544</v>
      </c>
      <c r="AY111" s="74">
        <v>45541</v>
      </c>
      <c r="AZ111" s="15" cm="1">
        <f t="array" aca="1" ref="AZ11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11" s="16" t="s">
        <v>1027</v>
      </c>
    </row>
    <row r="112" spans="2:53" hidden="1" x14ac:dyDescent="0.35">
      <c r="B112" s="14" t="s">
        <v>79</v>
      </c>
      <c r="C112" s="16" t="s">
        <v>867</v>
      </c>
      <c r="D112" s="16" t="s">
        <v>108</v>
      </c>
      <c r="E112" s="16" t="s">
        <v>98</v>
      </c>
      <c r="F112" s="16" cm="1">
        <f t="array" ref="F112">_xlfn.IFS(Tabela18[[#This Row],[STATUS]]="Finalizado",1,Tabela18[[#This Row],[STATUS]]="Cancelado",2,Tabela18[[#This Row],[STATUS]]="Em andamento",3)</f>
        <v>1</v>
      </c>
      <c r="G112" s="16" cm="1">
        <f t="array" aca="1" ref="G11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-EMAIL]]="",$AH112&gt;$AF$1),2,
AND(Tabela18[[#This Row],[STATUS]]="Em andamento",Tabela18[[#This Row],[DATA REAL -EMAIL]]="",$AH112&lt;=$AF$1),3,
AND(Tabela18[[#This Row],[STATUS]]="Em andamento",Tabela18[[#This Row],[DATA REAL -EMAIL]]&lt;&gt;""),1)</f>
        <v>1</v>
      </c>
      <c r="H112" s="16" cm="1">
        <f t="array" aca="1" ref="H11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CLIENTE]]="",$AK112&gt;$AI$1),2,
AND(Tabela18[[#This Row],[STATUS]]="Em andamento",Tabela18[[#This Row],[DATA REAL - DOC CLIENTE]]="",$AK112&lt;=$AI$1),3,
AND(Tabela18[[#This Row],[STATUS]]="Em andamento",Tabela18[[#This Row],[DATA REAL - DOC CLIENTE]]&lt;&gt;""),1)</f>
        <v>1</v>
      </c>
      <c r="I112" s="16" cm="1">
        <f t="array" aca="1" ref="I11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06]]="",$AN112&gt;$AL$1),2,
AND(Tabela18[[#This Row],[STATUS]]="Em andamento",Tabela18[[#This Row],[DATA REAL - ANEXO 06]]="",$AN112&lt;=$AL$1),3,
AND(Tabela18[[#This Row],[STATUS]]="Em andamento",Tabela18[[#This Row],[DATA REAL - ANEXO 06]]&lt;&gt;""),1)</f>
        <v>1</v>
      </c>
      <c r="J112" s="15" cm="1">
        <f t="array" aca="1" ref="J11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LEGAIS]]="",$AQ112&gt;$AO$1),2,
AND(Tabela18[[#This Row],[STATUS]]="Em andamento",Tabela18[[#This Row],[DATA REAL - SOLIC. PROG LEGAIS]]="",$AQ112&lt;=$AO$1),3,
AND(Tabela18[[#This Row],[STATUS]]="Em andamento",Tabela18[[#This Row],[DATA REAL - SOLIC. PROG LEGAIS]]&lt;&gt;""),1)</f>
        <v>1</v>
      </c>
      <c r="K112" s="15" cm="1">
        <f t="array" aca="1" ref="K11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ENVIO]]="",$AT112&gt;$AR$1),2,
AND(Tabela18[[#This Row],[STATUS]]="Em andamento",Tabela18[[#This Row],[DATA REAL - ENVIO]]="",$AT112&lt;=$AR$1),3,
AND(Tabela18[[#This Row],[STATUS]]="Em andamento",Tabela18[[#This Row],[DATA REAL - ENVIO]]&lt;&gt;""),1)</f>
        <v>1</v>
      </c>
      <c r="L112" s="15" cm="1">
        <f t="array" aca="1" ref="L11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POSTAGEM]]="",$AW112&gt;$AU$1),2,
AND(Tabela18[[#This Row],[STATUS]]="Em andamento",Tabela18[[#This Row],[DATA REAL - POSTAGEM]]="",$AW112&lt;=$AU$1),3,
AND(Tabela18[[#This Row],[STATUS]]="Em andamento",Tabela18[[#This Row],[DATA REAL - POSTAGEM]]&lt;&gt;""),1)</f>
        <v>1</v>
      </c>
      <c r="M112" s="16" cm="1">
        <f t="array" aca="1" ref="M11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APROVAÇÃO]]="",$AZ112&gt;$AX$1),2,
AND(Tabela18[[#This Row],[STATUS]]="Em andamento",Tabela18[[#This Row],[DATA REAL - APROVAÇÃO]]="",$AZ112&lt;=$AX$1),3,
AND(Tabela18[[#This Row],[STATUS]]="Em andamento",Tabela18[[#This Row],[DATA REAL - APROVAÇÃO]]&lt;&gt;""),1)</f>
        <v>1</v>
      </c>
      <c r="N112" s="21">
        <f>IF(Tabela18[[#This Row],[DATA REAL -EMAIL]]&lt;&gt;"",Tabela18[[#This Row],[DATA REAL -EMAIL]]+30,Tabela18[[#This Row],[DATA PREV - EMAIL]]+30)</f>
        <v>45567</v>
      </c>
      <c r="O11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45562</v>
      </c>
      <c r="P11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v>
      </c>
      <c r="Q11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v>
      </c>
      <c r="R112" s="48">
        <f>MAX(Tabela18[[#This Row],[DATA REAL - POSTAGEM]],Tabela18[[#This Row],[DATA REAL - APROVAÇÃO]])-MIN(Tabela18[[#This Row],[DATA REAL - POSTAGEM]],Tabela18[[#This Row],[DATA REAL - APROVAÇÃO]])+1</f>
        <v>3</v>
      </c>
      <c r="S112" s="16" t="s">
        <v>95</v>
      </c>
      <c r="T112" s="16"/>
      <c r="U112" s="18" t="s">
        <v>96</v>
      </c>
      <c r="V112" s="18" t="s">
        <v>86</v>
      </c>
      <c r="W112" s="16" t="s">
        <v>97</v>
      </c>
      <c r="X112" s="16" t="s">
        <v>89</v>
      </c>
      <c r="Y112" s="16" t="s">
        <v>1028</v>
      </c>
      <c r="Z112" s="15" t="s">
        <v>100</v>
      </c>
      <c r="AA112" s="15" t="str">
        <f>_xlfn.XLOOKUP(Tabela18[[#This Row],[CÓD. CT]],Controle_Projetos[COD CT],Controle_Projetos[COD PHD],"")</f>
        <v>SALU-CT08-TAMA</v>
      </c>
      <c r="AB112" s="16"/>
      <c r="AC112" s="21">
        <v>45537</v>
      </c>
      <c r="AD11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45553</v>
      </c>
      <c r="AE112" s="16" cm="1">
        <f t="array" aca="1" ref="AE11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17</v>
      </c>
      <c r="AF112" s="21">
        <v>45537</v>
      </c>
      <c r="AG112" s="74">
        <v>45537</v>
      </c>
      <c r="AH112" s="16" cm="1">
        <f t="array" aca="1" ref="AH11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2" s="21">
        <v>45538</v>
      </c>
      <c r="AJ112" s="74">
        <v>45544</v>
      </c>
      <c r="AK112" s="16" cm="1">
        <f t="array" aca="1" ref="AK11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2" s="20">
        <f t="shared" si="15"/>
        <v>45551</v>
      </c>
      <c r="AM112" s="74">
        <v>45546</v>
      </c>
      <c r="AN112" s="15" cm="1">
        <f t="array" aca="1" ref="AN11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112" s="20">
        <f t="shared" si="16"/>
        <v>45547</v>
      </c>
      <c r="AP112" s="74">
        <v>45547</v>
      </c>
      <c r="AQ112" s="15" cm="1">
        <f t="array" aca="1" ref="AQ11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12" s="20">
        <f t="shared" si="17"/>
        <v>45561</v>
      </c>
      <c r="AS112" s="74">
        <v>45560</v>
      </c>
      <c r="AT112" s="15" cm="1">
        <f t="array" aca="1" ref="AT11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112" s="20">
        <f t="shared" si="18"/>
        <v>45567</v>
      </c>
      <c r="AV112" s="74">
        <v>45560</v>
      </c>
      <c r="AW112" s="15" cm="1">
        <f t="array" aca="1" ref="AW11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2" s="20">
        <f t="shared" si="19"/>
        <v>45561</v>
      </c>
      <c r="AY112" s="74">
        <v>45562</v>
      </c>
      <c r="AZ112" s="15" cm="1">
        <f t="array" aca="1" ref="AZ11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12" s="16"/>
    </row>
    <row r="113" spans="2:53" hidden="1" x14ac:dyDescent="0.35">
      <c r="B113" s="14" t="s">
        <v>79</v>
      </c>
      <c r="C113" s="16" t="s">
        <v>867</v>
      </c>
      <c r="D113" s="16" t="s">
        <v>108</v>
      </c>
      <c r="E113" s="16" t="s">
        <v>98</v>
      </c>
      <c r="F113" s="16" cm="1">
        <f t="array" ref="F113">_xlfn.IFS(Tabela18[[#This Row],[STATUS]]="Finalizado",1,Tabela18[[#This Row],[STATUS]]="Cancelado",2,Tabela18[[#This Row],[STATUS]]="Em andamento",3)</f>
        <v>1</v>
      </c>
      <c r="G113" s="16" cm="1">
        <f t="array" aca="1" ref="G11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-EMAIL]]="",$AH113&gt;$AF$1),2,
AND(Tabela18[[#This Row],[STATUS]]="Em andamento",Tabela18[[#This Row],[DATA REAL -EMAIL]]="",$AH113&lt;=$AF$1),3,
AND(Tabela18[[#This Row],[STATUS]]="Em andamento",Tabela18[[#This Row],[DATA REAL -EMAIL]]&lt;&gt;""),1)</f>
        <v>1</v>
      </c>
      <c r="H113" s="16" cm="1">
        <f t="array" aca="1" ref="H11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CLIENTE]]="",$AK113&gt;$AI$1),2,
AND(Tabela18[[#This Row],[STATUS]]="Em andamento",Tabela18[[#This Row],[DATA REAL - DOC CLIENTE]]="",$AK113&lt;=$AI$1),3,
AND(Tabela18[[#This Row],[STATUS]]="Em andamento",Tabela18[[#This Row],[DATA REAL - DOC CLIENTE]]&lt;&gt;""),1)</f>
        <v>1</v>
      </c>
      <c r="I113" s="16" cm="1">
        <f t="array" aca="1" ref="I11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06]]="",$AN113&gt;$AL$1),2,
AND(Tabela18[[#This Row],[STATUS]]="Em andamento",Tabela18[[#This Row],[DATA REAL - ANEXO 06]]="",$AN113&lt;=$AL$1),3,
AND(Tabela18[[#This Row],[STATUS]]="Em andamento",Tabela18[[#This Row],[DATA REAL - ANEXO 06]]&lt;&gt;""),1)</f>
        <v>1</v>
      </c>
      <c r="J113" s="15" cm="1">
        <f t="array" aca="1" ref="J11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LEGAIS]]="",$AQ113&gt;$AO$1),2,
AND(Tabela18[[#This Row],[STATUS]]="Em andamento",Tabela18[[#This Row],[DATA REAL - SOLIC. PROG LEGAIS]]="",$AQ113&lt;=$AO$1),3,
AND(Tabela18[[#This Row],[STATUS]]="Em andamento",Tabela18[[#This Row],[DATA REAL - SOLIC. PROG LEGAIS]]&lt;&gt;""),1)</f>
        <v>1</v>
      </c>
      <c r="K113" s="15" cm="1">
        <f t="array" aca="1" ref="K11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ENVIO]]="",$AT113&gt;$AR$1),2,
AND(Tabela18[[#This Row],[STATUS]]="Em andamento",Tabela18[[#This Row],[DATA REAL - ENVIO]]="",$AT113&lt;=$AR$1),3,
AND(Tabela18[[#This Row],[STATUS]]="Em andamento",Tabela18[[#This Row],[DATA REAL - ENVIO]]&lt;&gt;""),1)</f>
        <v>1</v>
      </c>
      <c r="L113" s="15" cm="1">
        <f t="array" aca="1" ref="L11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POSTAGEM]]="",$AW113&gt;$AU$1),2,
AND(Tabela18[[#This Row],[STATUS]]="Em andamento",Tabela18[[#This Row],[DATA REAL - POSTAGEM]]="",$AW113&lt;=$AU$1),3,
AND(Tabela18[[#This Row],[STATUS]]="Em andamento",Tabela18[[#This Row],[DATA REAL - POSTAGEM]]&lt;&gt;""),1)</f>
        <v>1</v>
      </c>
      <c r="M113" s="16" cm="1">
        <f t="array" aca="1" ref="M11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APROVAÇÃO]]="",$AZ113&gt;$AX$1),2,
AND(Tabela18[[#This Row],[STATUS]]="Em andamento",Tabela18[[#This Row],[DATA REAL - APROVAÇÃO]]="",$AZ113&lt;=$AX$1),3,
AND(Tabela18[[#This Row],[STATUS]]="Em andamento",Tabela18[[#This Row],[DATA REAL - APROVAÇÃO]]&lt;&gt;""),1)</f>
        <v>1</v>
      </c>
      <c r="N113" s="21">
        <f>IF(Tabela18[[#This Row],[DATA REAL -EMAIL]]&lt;&gt;"",Tabela18[[#This Row],[DATA REAL -EMAIL]]+30,Tabela18[[#This Row],[DATA PREV - EMAIL]]+30)</f>
        <v>45578</v>
      </c>
      <c r="O11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45579</v>
      </c>
      <c r="P11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31</v>
      </c>
      <c r="Q11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13" s="48">
        <f>MAX(Tabela18[[#This Row],[DATA REAL - POSTAGEM]],Tabela18[[#This Row],[DATA REAL - APROVAÇÃO]])-MIN(Tabela18[[#This Row],[DATA REAL - POSTAGEM]],Tabela18[[#This Row],[DATA REAL - APROVAÇÃO]])+1</f>
        <v>32</v>
      </c>
      <c r="S113" s="16" t="s">
        <v>707</v>
      </c>
      <c r="T113" s="16"/>
      <c r="U113" s="18" t="s">
        <v>1011</v>
      </c>
      <c r="V113" s="18" t="s">
        <v>86</v>
      </c>
      <c r="W113" s="16" t="s">
        <v>87</v>
      </c>
      <c r="X113" s="16" t="s">
        <v>132</v>
      </c>
      <c r="Y113" s="16" t="s">
        <v>180</v>
      </c>
      <c r="Z113" s="15" t="s">
        <v>895</v>
      </c>
      <c r="AA113" s="15" t="str">
        <f>_xlfn.XLOOKUP(Tabela18[[#This Row],[CÓD. CT]],Controle_Projetos[COD CT],Controle_Projetos[COD PHD],"")</f>
        <v>SALU-CT02-MMB.</v>
      </c>
      <c r="AB113" s="16">
        <v>4518159633</v>
      </c>
      <c r="AC113" s="21">
        <v>45548</v>
      </c>
      <c r="AD11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13" s="16" cm="1">
        <f t="array" aca="1" ref="AE11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13" s="21">
        <v>45548</v>
      </c>
      <c r="AG113" s="74">
        <v>45548</v>
      </c>
      <c r="AH113" s="16" cm="1">
        <f t="array" aca="1" ref="AH11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3" s="21">
        <v>45548</v>
      </c>
      <c r="AJ113" s="74">
        <v>45548</v>
      </c>
      <c r="AK113" s="16" cm="1">
        <f t="array" aca="1" ref="AK11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3" s="20">
        <f t="shared" si="15"/>
        <v>45555</v>
      </c>
      <c r="AM113" s="74">
        <v>45548</v>
      </c>
      <c r="AN113" s="15" cm="1">
        <f t="array" aca="1" ref="AN11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13" s="20">
        <f t="shared" si="16"/>
        <v>45551</v>
      </c>
      <c r="AP113" s="74">
        <v>45548</v>
      </c>
      <c r="AQ113" s="15" cm="1">
        <f t="array" aca="1" ref="AQ11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13" s="20">
        <f t="shared" si="17"/>
        <v>45562</v>
      </c>
      <c r="AS113" s="74">
        <v>45548</v>
      </c>
      <c r="AT113" s="15" cm="1">
        <f t="array" aca="1" ref="AT11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13" s="20">
        <f t="shared" si="18"/>
        <v>45555</v>
      </c>
      <c r="AV113" s="74">
        <v>45548</v>
      </c>
      <c r="AW113" s="15" cm="1">
        <f t="array" aca="1" ref="AW11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3" s="20">
        <f t="shared" si="19"/>
        <v>45551</v>
      </c>
      <c r="AY113" s="74">
        <v>45579</v>
      </c>
      <c r="AZ113" s="15" cm="1">
        <f t="array" aca="1" ref="AZ11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29</v>
      </c>
      <c r="BA113" s="16"/>
    </row>
    <row r="114" spans="2:53" hidden="1" x14ac:dyDescent="0.35">
      <c r="B114" s="14" t="s">
        <v>79</v>
      </c>
      <c r="C114" s="16" t="s">
        <v>867</v>
      </c>
      <c r="D114" s="16" t="s">
        <v>108</v>
      </c>
      <c r="E114" s="16" t="s">
        <v>896</v>
      </c>
      <c r="F114" s="16" cm="1">
        <f t="array" ref="F114">_xlfn.IFS(Tabela18[[#This Row],[STATUS]]="Finalizado",1,Tabela18[[#This Row],[STATUS]]="Cancelado",2,Tabela18[[#This Row],[STATUS]]="Em andamento",3)</f>
        <v>1</v>
      </c>
      <c r="G114" s="16" cm="1">
        <f t="array" aca="1" ref="G11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-EMAIL]]="",$AH114&gt;$AF$1),2,
AND(Tabela18[[#This Row],[STATUS]]="Em andamento",Tabela18[[#This Row],[DATA REAL -EMAIL]]="",$AH114&lt;=$AF$1),3,
AND(Tabela18[[#This Row],[STATUS]]="Em andamento",Tabela18[[#This Row],[DATA REAL -EMAIL]]&lt;&gt;""),1)</f>
        <v>1</v>
      </c>
      <c r="H114" s="16" cm="1">
        <f t="array" aca="1" ref="H11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CLIENTE]]="",$AK114&gt;$AI$1),2,
AND(Tabela18[[#This Row],[STATUS]]="Em andamento",Tabela18[[#This Row],[DATA REAL - DOC CLIENTE]]="",$AK114&lt;=$AI$1),3,
AND(Tabela18[[#This Row],[STATUS]]="Em andamento",Tabela18[[#This Row],[DATA REAL - DOC CLIENTE]]&lt;&gt;""),1)</f>
        <v>1</v>
      </c>
      <c r="I114" s="16" cm="1">
        <f t="array" aca="1" ref="I11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06]]="",$AN114&gt;$AL$1),2,
AND(Tabela18[[#This Row],[STATUS]]="Em andamento",Tabela18[[#This Row],[DATA REAL - ANEXO 06]]="",$AN114&lt;=$AL$1),3,
AND(Tabela18[[#This Row],[STATUS]]="Em andamento",Tabela18[[#This Row],[DATA REAL - ANEXO 06]]&lt;&gt;""),1)</f>
        <v>1</v>
      </c>
      <c r="J114" s="15" cm="1">
        <f t="array" aca="1" ref="J11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LEGAIS]]="",$AQ114&gt;$AO$1),2,
AND(Tabela18[[#This Row],[STATUS]]="Em andamento",Tabela18[[#This Row],[DATA REAL - SOLIC. PROG LEGAIS]]="",$AQ114&lt;=$AO$1),3,
AND(Tabela18[[#This Row],[STATUS]]="Em andamento",Tabela18[[#This Row],[DATA REAL - SOLIC. PROG LEGAIS]]&lt;&gt;""),1)</f>
        <v>1</v>
      </c>
      <c r="K114" s="15" cm="1">
        <f t="array" aca="1" ref="K11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ENVIO]]="",$AT114&gt;$AR$1),2,
AND(Tabela18[[#This Row],[STATUS]]="Em andamento",Tabela18[[#This Row],[DATA REAL - ENVIO]]="",$AT114&lt;=$AR$1),3,
AND(Tabela18[[#This Row],[STATUS]]="Em andamento",Tabela18[[#This Row],[DATA REAL - ENVIO]]&lt;&gt;""),1)</f>
        <v>1</v>
      </c>
      <c r="L114" s="15" cm="1">
        <f t="array" aca="1" ref="L11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POSTAGEM]]="",$AW114&gt;$AU$1),2,
AND(Tabela18[[#This Row],[STATUS]]="Em andamento",Tabela18[[#This Row],[DATA REAL - POSTAGEM]]="",$AW114&lt;=$AU$1),3,
AND(Tabela18[[#This Row],[STATUS]]="Em andamento",Tabela18[[#This Row],[DATA REAL - POSTAGEM]]&lt;&gt;""),1)</f>
        <v>1</v>
      </c>
      <c r="M114" s="16" cm="1">
        <f t="array" aca="1" ref="M11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APROVAÇÃO]]="",$AZ114&gt;$AX$1),2,
AND(Tabela18[[#This Row],[STATUS]]="Em andamento",Tabela18[[#This Row],[DATA REAL - APROVAÇÃO]]="",$AZ114&lt;=$AX$1),3,
AND(Tabela18[[#This Row],[STATUS]]="Em andamento",Tabela18[[#This Row],[DATA REAL - APROVAÇÃO]]&lt;&gt;""),1)</f>
        <v>1</v>
      </c>
      <c r="N114" s="21">
        <f>IF(Tabela18[[#This Row],[DATA REAL -EMAIL]]&lt;&gt;"",Tabela18[[#This Row],[DATA REAL -EMAIL]]+30,Tabela18[[#This Row],[DATA PREV - EMAIL]]+30)</f>
        <v>45590</v>
      </c>
      <c r="O11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45600</v>
      </c>
      <c r="P11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40</v>
      </c>
      <c r="Q11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v>
      </c>
      <c r="R114" s="48">
        <f>MAX(Tabela18[[#This Row],[DATA REAL - POSTAGEM]],Tabela18[[#This Row],[DATA REAL - APROVAÇÃO]])-MIN(Tabela18[[#This Row],[DATA REAL - POSTAGEM]],Tabela18[[#This Row],[DATA REAL - APROVAÇÃO]])+1</f>
        <v>26</v>
      </c>
      <c r="S114" s="16" t="s">
        <v>707</v>
      </c>
      <c r="T114" s="16"/>
      <c r="U114" s="18" t="s">
        <v>1011</v>
      </c>
      <c r="V114" s="18" t="s">
        <v>86</v>
      </c>
      <c r="W114" s="16" t="s">
        <v>97</v>
      </c>
      <c r="X114" s="16" t="s">
        <v>89</v>
      </c>
      <c r="Y114" s="16" t="s">
        <v>1029</v>
      </c>
      <c r="Z114" s="15" t="s">
        <v>112</v>
      </c>
      <c r="AA114" s="15" t="str">
        <f>_xlfn.XLOOKUP(Tabela18[[#This Row],[CÓD. CT]],Controle_Projetos[COD CT],Controle_Projetos[COD PHD],"")</f>
        <v>SALU-CT09-COBR</v>
      </c>
      <c r="AB114" s="16" t="s">
        <v>1030</v>
      </c>
      <c r="AC114" s="21">
        <v>45560</v>
      </c>
      <c r="AD11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14" s="16" cm="1">
        <f t="array" aca="1" ref="AE11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14" s="21">
        <v>45560</v>
      </c>
      <c r="AG114" s="74">
        <v>45560</v>
      </c>
      <c r="AH114" s="16" cm="1">
        <f t="array" aca="1" ref="AH11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4" s="21">
        <v>45560</v>
      </c>
      <c r="AJ114" s="74">
        <v>45562</v>
      </c>
      <c r="AK114" s="16" cm="1">
        <f t="array" aca="1" ref="AK11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4" s="20">
        <f t="shared" si="15"/>
        <v>45569</v>
      </c>
      <c r="AM114" s="74">
        <v>45565</v>
      </c>
      <c r="AN114" s="15" cm="1">
        <f t="array" aca="1" ref="AN11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-3</v>
      </c>
      <c r="AO114" s="20">
        <f t="shared" si="16"/>
        <v>45566</v>
      </c>
      <c r="AP114" s="74">
        <v>45565</v>
      </c>
      <c r="AQ114" s="15" cm="1">
        <f t="array" aca="1" ref="AQ11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14" s="20">
        <f t="shared" si="17"/>
        <v>45579</v>
      </c>
      <c r="AS114" s="74">
        <v>45575</v>
      </c>
      <c r="AT114" s="15" cm="1">
        <f t="array" aca="1" ref="AT11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14" s="20">
        <f t="shared" si="18"/>
        <v>45582</v>
      </c>
      <c r="AV114" s="74">
        <v>45575</v>
      </c>
      <c r="AW114" s="15" cm="1">
        <f t="array" aca="1" ref="AW11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4" s="20">
        <f t="shared" si="19"/>
        <v>45576</v>
      </c>
      <c r="AY114" s="74">
        <v>45600</v>
      </c>
      <c r="AZ114" s="15" cm="1">
        <f t="array" aca="1" ref="AZ11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25</v>
      </c>
      <c r="BA114" s="16" t="s">
        <v>1031</v>
      </c>
    </row>
    <row r="115" spans="2:53" hidden="1" x14ac:dyDescent="0.35">
      <c r="B115" s="14" t="s">
        <v>79</v>
      </c>
      <c r="C115" s="16" t="s">
        <v>93</v>
      </c>
      <c r="D115" s="16" t="s">
        <v>108</v>
      </c>
      <c r="E115" s="16" t="s">
        <v>860</v>
      </c>
      <c r="F115" s="16" cm="1">
        <f t="array" ref="F115">_xlfn.IFS(Tabela18[[#This Row],[STATUS]]="Finalizado",1,Tabela18[[#This Row],[STATUS]]="Cancelado",2,Tabela18[[#This Row],[STATUS]]="Em andamento",3)</f>
        <v>1</v>
      </c>
      <c r="G115" s="16" cm="1">
        <f t="array" aca="1" ref="G11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-EMAIL]]="",$AH115&gt;$AF$1),2,
AND(Tabela18[[#This Row],[STATUS]]="Em andamento",Tabela18[[#This Row],[DATA REAL -EMAIL]]="",$AH115&lt;=$AF$1),3,
AND(Tabela18[[#This Row],[STATUS]]="Em andamento",Tabela18[[#This Row],[DATA REAL -EMAIL]]&lt;&gt;""),1)</f>
        <v>1</v>
      </c>
      <c r="H115" s="16" cm="1">
        <f t="array" aca="1" ref="H11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CLIENTE]]="",$AK115&gt;$AI$1),2,
AND(Tabela18[[#This Row],[STATUS]]="Em andamento",Tabela18[[#This Row],[DATA REAL - DOC CLIENTE]]="",$AK115&lt;=$AI$1),3,
AND(Tabela18[[#This Row],[STATUS]]="Em andamento",Tabela18[[#This Row],[DATA REAL - DOC CLIENTE]]&lt;&gt;""),1)</f>
        <v>1</v>
      </c>
      <c r="I115" s="16" cm="1">
        <f t="array" aca="1" ref="I11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06]]="",$AN115&gt;$AL$1),2,
AND(Tabela18[[#This Row],[STATUS]]="Em andamento",Tabela18[[#This Row],[DATA REAL - ANEXO 06]]="",$AN115&lt;=$AL$1),3,
AND(Tabela18[[#This Row],[STATUS]]="Em andamento",Tabela18[[#This Row],[DATA REAL - ANEXO 06]]&lt;&gt;""),1)</f>
        <v>1</v>
      </c>
      <c r="J115" s="15" cm="1">
        <f t="array" aca="1" ref="J11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LEGAIS]]="",$AQ115&gt;$AO$1),2,
AND(Tabela18[[#This Row],[STATUS]]="Em andamento",Tabela18[[#This Row],[DATA REAL - SOLIC. PROG LEGAIS]]="",$AQ115&lt;=$AO$1),3,
AND(Tabela18[[#This Row],[STATUS]]="Em andamento",Tabela18[[#This Row],[DATA REAL - SOLIC. PROG LEGAIS]]&lt;&gt;""),1)</f>
        <v>1</v>
      </c>
      <c r="K115" s="15" cm="1">
        <f t="array" aca="1" ref="K11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ENVIO]]="",$AT115&gt;$AR$1),2,
AND(Tabela18[[#This Row],[STATUS]]="Em andamento",Tabela18[[#This Row],[DATA REAL - ENVIO]]="",$AT115&lt;=$AR$1),3,
AND(Tabela18[[#This Row],[STATUS]]="Em andamento",Tabela18[[#This Row],[DATA REAL - ENVIO]]&lt;&gt;""),1)</f>
        <v>1</v>
      </c>
      <c r="L115" s="15" cm="1">
        <f t="array" aca="1" ref="L11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POSTAGEM]]="",$AW115&gt;$AU$1),2,
AND(Tabela18[[#This Row],[STATUS]]="Em andamento",Tabela18[[#This Row],[DATA REAL - POSTAGEM]]="",$AW115&lt;=$AU$1),3,
AND(Tabela18[[#This Row],[STATUS]]="Em andamento",Tabela18[[#This Row],[DATA REAL - POSTAGEM]]&lt;&gt;""),1)</f>
        <v>1</v>
      </c>
      <c r="M115" s="16" cm="1">
        <f t="array" aca="1" ref="M11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APROVAÇÃO]]="",$AZ115&gt;$AX$1),2,
AND(Tabela18[[#This Row],[STATUS]]="Em andamento",Tabela18[[#This Row],[DATA REAL - APROVAÇÃO]]="",$AZ115&lt;=$AX$1),3,
AND(Tabela18[[#This Row],[STATUS]]="Em andamento",Tabela18[[#This Row],[DATA REAL - APROVAÇÃO]]&lt;&gt;""),1)</f>
        <v>1</v>
      </c>
      <c r="N115" s="21">
        <f>IF(Tabela18[[#This Row],[DATA REAL -EMAIL]]&lt;&gt;"",Tabela18[[#This Row],[DATA REAL -EMAIL]]+30,Tabela18[[#This Row],[DATA PREV - EMAIL]]+30)</f>
        <v>45590</v>
      </c>
      <c r="O11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45626</v>
      </c>
      <c r="P11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74</v>
      </c>
      <c r="Q11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58</v>
      </c>
      <c r="R115" s="48">
        <f>MAX(Tabela18[[#This Row],[DATA REAL - POSTAGEM]],Tabela18[[#This Row],[DATA REAL - APROVAÇÃO]])-MIN(Tabela18[[#This Row],[DATA REAL - POSTAGEM]],Tabela18[[#This Row],[DATA REAL - APROVAÇÃO]])+1</f>
        <v>6</v>
      </c>
      <c r="S115" s="16" t="s">
        <v>83</v>
      </c>
      <c r="T115" s="16"/>
      <c r="U115" s="18" t="s">
        <v>1032</v>
      </c>
      <c r="V115" s="18" t="s">
        <v>86</v>
      </c>
      <c r="W115" s="16" t="s">
        <v>87</v>
      </c>
      <c r="X115" s="16" t="s">
        <v>89</v>
      </c>
      <c r="Y115" s="16" t="s">
        <v>1033</v>
      </c>
      <c r="Z115" s="15" t="s">
        <v>91</v>
      </c>
      <c r="AA115" s="15" t="str">
        <f>_xlfn.XLOOKUP(Tabela18[[#This Row],[CÓD. CT]],Controle_Projetos[COD CT],Controle_Projetos[COD PHD],"")</f>
        <v>IMCS-CT08-ABOB</v>
      </c>
      <c r="AB115" s="16" t="s">
        <v>1034</v>
      </c>
      <c r="AC115" s="21">
        <v>45560</v>
      </c>
      <c r="AD11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45552</v>
      </c>
      <c r="AE115" s="16" t="str" cm="1">
        <f t="array" aca="1" ref="AE11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15" s="21">
        <v>45560</v>
      </c>
      <c r="AG115" s="74">
        <v>45560</v>
      </c>
      <c r="AH115" s="16" cm="1">
        <f t="array" aca="1" ref="AH11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5" s="21">
        <v>45560</v>
      </c>
      <c r="AJ115" s="74">
        <v>45560</v>
      </c>
      <c r="AK115" s="16" cm="1">
        <f t="array" aca="1" ref="AK11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5" s="20">
        <f t="shared" si="15"/>
        <v>45567</v>
      </c>
      <c r="AM115" s="74">
        <v>45567</v>
      </c>
      <c r="AN115" s="15" cm="1">
        <f t="array" aca="1" ref="AN11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15" s="20">
        <f t="shared" si="16"/>
        <v>45568</v>
      </c>
      <c r="AP115" s="74">
        <v>45597</v>
      </c>
      <c r="AQ115" s="15" cm="1">
        <f t="array" aca="1" ref="AQ11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30</v>
      </c>
      <c r="AR115" s="20">
        <f t="shared" si="17"/>
        <v>45611</v>
      </c>
      <c r="AS115" s="74">
        <v>45610</v>
      </c>
      <c r="AT115" s="15" cm="1">
        <f t="array" aca="1" ref="AT11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115" s="20">
        <f t="shared" si="18"/>
        <v>45617</v>
      </c>
      <c r="AV115" s="74">
        <v>45621</v>
      </c>
      <c r="AW115" s="15" cm="1">
        <f t="array" aca="1" ref="AW11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115" s="20">
        <f t="shared" si="19"/>
        <v>45622</v>
      </c>
      <c r="AY115" s="74">
        <v>45626</v>
      </c>
      <c r="AZ115" s="15" cm="1">
        <f t="array" aca="1" ref="AZ11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v>
      </c>
      <c r="BA115" s="16" t="s">
        <v>1035</v>
      </c>
    </row>
    <row r="116" spans="2:53" hidden="1" x14ac:dyDescent="0.35">
      <c r="B116" s="14" t="s">
        <v>79</v>
      </c>
      <c r="C116" s="16" t="s">
        <v>93</v>
      </c>
      <c r="D116" s="16" t="s">
        <v>108</v>
      </c>
      <c r="E116" s="16" t="s">
        <v>860</v>
      </c>
      <c r="F116" s="16" cm="1">
        <f t="array" ref="F116">_xlfn.IFS(Tabela18[[#This Row],[STATUS]]="Finalizado",1,Tabela18[[#This Row],[STATUS]]="Cancelado",2,Tabela18[[#This Row],[STATUS]]="Em andamento",3)</f>
        <v>1</v>
      </c>
      <c r="G116" s="16" cm="1">
        <f t="array" aca="1" ref="G11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-EMAIL]]="",$AH116&gt;$AF$1),2,
AND(Tabela18[[#This Row],[STATUS]]="Em andamento",Tabela18[[#This Row],[DATA REAL -EMAIL]]="",$AH116&lt;=$AF$1),3,
AND(Tabela18[[#This Row],[STATUS]]="Em andamento",Tabela18[[#This Row],[DATA REAL -EMAIL]]&lt;&gt;""),1)</f>
        <v>1</v>
      </c>
      <c r="H116" s="16" cm="1">
        <f t="array" aca="1" ref="H11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CLIENTE]]="",$AK116&gt;$AI$1),2,
AND(Tabela18[[#This Row],[STATUS]]="Em andamento",Tabela18[[#This Row],[DATA REAL - DOC CLIENTE]]="",$AK116&lt;=$AI$1),3,
AND(Tabela18[[#This Row],[STATUS]]="Em andamento",Tabela18[[#This Row],[DATA REAL - DOC CLIENTE]]&lt;&gt;""),1)</f>
        <v>1</v>
      </c>
      <c r="I116" s="16" cm="1">
        <f t="array" aca="1" ref="I11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06]]="",$AN116&gt;$AL$1),2,
AND(Tabela18[[#This Row],[STATUS]]="Em andamento",Tabela18[[#This Row],[DATA REAL - ANEXO 06]]="",$AN116&lt;=$AL$1),3,
AND(Tabela18[[#This Row],[STATUS]]="Em andamento",Tabela18[[#This Row],[DATA REAL - ANEXO 06]]&lt;&gt;""),1)</f>
        <v>1</v>
      </c>
      <c r="J116" s="15" cm="1">
        <f t="array" aca="1" ref="J11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LEGAIS]]="",$AQ116&gt;$AO$1),2,
AND(Tabela18[[#This Row],[STATUS]]="Em andamento",Tabela18[[#This Row],[DATA REAL - SOLIC. PROG LEGAIS]]="",$AQ116&lt;=$AO$1),3,
AND(Tabela18[[#This Row],[STATUS]]="Em andamento",Tabela18[[#This Row],[DATA REAL - SOLIC. PROG LEGAIS]]&lt;&gt;""),1)</f>
        <v>1</v>
      </c>
      <c r="K116" s="15" cm="1">
        <f t="array" aca="1" ref="K11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ENVIO]]="",$AT116&gt;$AR$1),2,
AND(Tabela18[[#This Row],[STATUS]]="Em andamento",Tabela18[[#This Row],[DATA REAL - ENVIO]]="",$AT116&lt;=$AR$1),3,
AND(Tabela18[[#This Row],[STATUS]]="Em andamento",Tabela18[[#This Row],[DATA REAL - ENVIO]]&lt;&gt;""),1)</f>
        <v>1</v>
      </c>
      <c r="L116" s="15" cm="1">
        <f t="array" aca="1" ref="L11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POSTAGEM]]="",$AW116&gt;$AU$1),2,
AND(Tabela18[[#This Row],[STATUS]]="Em andamento",Tabela18[[#This Row],[DATA REAL - POSTAGEM]]="",$AW116&lt;=$AU$1),3,
AND(Tabela18[[#This Row],[STATUS]]="Em andamento",Tabela18[[#This Row],[DATA REAL - POSTAGEM]]&lt;&gt;""),1)</f>
        <v>1</v>
      </c>
      <c r="M116" s="16" cm="1">
        <f t="array" aca="1" ref="M11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APROVAÇÃO]]="",$AZ116&gt;$AX$1),2,
AND(Tabela18[[#This Row],[STATUS]]="Em andamento",Tabela18[[#This Row],[DATA REAL - APROVAÇÃO]]="",$AZ116&lt;=$AX$1),3,
AND(Tabela18[[#This Row],[STATUS]]="Em andamento",Tabela18[[#This Row],[DATA REAL - APROVAÇÃO]]&lt;&gt;""),1)</f>
        <v>1</v>
      </c>
      <c r="N116" s="21">
        <f>IF(Tabela18[[#This Row],[DATA REAL -EMAIL]]&lt;&gt;"",Tabela18[[#This Row],[DATA REAL -EMAIL]]+30,Tabela18[[#This Row],[DATA PREV - EMAIL]]+30)</f>
        <v>45590</v>
      </c>
      <c r="O11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45626</v>
      </c>
      <c r="P11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74</v>
      </c>
      <c r="Q11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58</v>
      </c>
      <c r="R116" s="48">
        <f>MAX(Tabela18[[#This Row],[DATA REAL - POSTAGEM]],Tabela18[[#This Row],[DATA REAL - APROVAÇÃO]])-MIN(Tabela18[[#This Row],[DATA REAL - POSTAGEM]],Tabela18[[#This Row],[DATA REAL - APROVAÇÃO]])+1</f>
        <v>6</v>
      </c>
      <c r="S116" s="16" t="s">
        <v>83</v>
      </c>
      <c r="T116" s="16"/>
      <c r="U116" s="18" t="s">
        <v>1032</v>
      </c>
      <c r="V116" s="18" t="s">
        <v>86</v>
      </c>
      <c r="W116" s="16" t="s">
        <v>97</v>
      </c>
      <c r="X116" s="16" t="s">
        <v>89</v>
      </c>
      <c r="Y116" s="16" t="s">
        <v>1033</v>
      </c>
      <c r="Z116" s="15" t="s">
        <v>91</v>
      </c>
      <c r="AA116" s="15" t="str">
        <f>_xlfn.XLOOKUP(Tabela18[[#This Row],[CÓD. CT]],Controle_Projetos[COD CT],Controle_Projetos[COD PHD],"")</f>
        <v>IMCS-CT08-ABOB</v>
      </c>
      <c r="AB116" s="16" t="s">
        <v>1034</v>
      </c>
      <c r="AC116" s="21">
        <v>45560</v>
      </c>
      <c r="AD11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45552</v>
      </c>
      <c r="AE116" s="16" t="str" cm="1">
        <f t="array" aca="1" ref="AE11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16" s="21">
        <v>45560</v>
      </c>
      <c r="AG116" s="74">
        <v>45560</v>
      </c>
      <c r="AH116" s="16" cm="1">
        <f t="array" aca="1" ref="AH11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6" s="21">
        <v>45560</v>
      </c>
      <c r="AJ116" s="74">
        <v>45560</v>
      </c>
      <c r="AK116" s="16" cm="1">
        <f t="array" aca="1" ref="AK11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6" s="20">
        <f t="shared" si="15"/>
        <v>45567</v>
      </c>
      <c r="AM116" s="74">
        <v>45567</v>
      </c>
      <c r="AN116" s="15" cm="1">
        <f t="array" aca="1" ref="AN11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16" s="20">
        <f t="shared" si="16"/>
        <v>45568</v>
      </c>
      <c r="AP116" s="74">
        <v>45597</v>
      </c>
      <c r="AQ116" s="15" cm="1">
        <f t="array" aca="1" ref="AQ11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30</v>
      </c>
      <c r="AR116" s="20">
        <f t="shared" si="17"/>
        <v>45611</v>
      </c>
      <c r="AS116" s="74">
        <v>45610</v>
      </c>
      <c r="AT116" s="15" cm="1">
        <f t="array" aca="1" ref="AT11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116" s="20">
        <f t="shared" si="18"/>
        <v>45617</v>
      </c>
      <c r="AV116" s="74">
        <v>45621</v>
      </c>
      <c r="AW116" s="15" cm="1">
        <f t="array" aca="1" ref="AW11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116" s="20">
        <f t="shared" si="19"/>
        <v>45622</v>
      </c>
      <c r="AY116" s="74">
        <v>45626</v>
      </c>
      <c r="AZ116" s="15" cm="1">
        <f t="array" aca="1" ref="AZ11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v>
      </c>
      <c r="BA116" s="16" t="s">
        <v>1035</v>
      </c>
    </row>
    <row r="117" spans="2:53" hidden="1" x14ac:dyDescent="0.35">
      <c r="B117" s="14" t="s">
        <v>79</v>
      </c>
      <c r="C117" s="16" t="s">
        <v>867</v>
      </c>
      <c r="D117" s="16" t="s">
        <v>108</v>
      </c>
      <c r="E117" s="16" t="s">
        <v>205</v>
      </c>
      <c r="F117" s="16" cm="1">
        <f t="array" ref="F117">_xlfn.IFS(Tabela18[[#This Row],[STATUS]]="Finalizado",1,Tabela18[[#This Row],[STATUS]]="Cancelado",2,Tabela18[[#This Row],[STATUS]]="Em andamento",3)</f>
        <v>1</v>
      </c>
      <c r="G117" s="16" cm="1">
        <f t="array" aca="1" ref="G11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-EMAIL]]="",$AH117&gt;$AF$1),2,
AND(Tabela18[[#This Row],[STATUS]]="Em andamento",Tabela18[[#This Row],[DATA REAL -EMAIL]]="",$AH117&lt;=$AF$1),3,
AND(Tabela18[[#This Row],[STATUS]]="Em andamento",Tabela18[[#This Row],[DATA REAL -EMAIL]]&lt;&gt;""),1)</f>
        <v>1</v>
      </c>
      <c r="H117" s="16" cm="1">
        <f t="array" aca="1" ref="H11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CLIENTE]]="",$AK117&gt;$AI$1),2,
AND(Tabela18[[#This Row],[STATUS]]="Em andamento",Tabela18[[#This Row],[DATA REAL - DOC CLIENTE]]="",$AK117&lt;=$AI$1),3,
AND(Tabela18[[#This Row],[STATUS]]="Em andamento",Tabela18[[#This Row],[DATA REAL - DOC CLIENTE]]&lt;&gt;""),1)</f>
        <v>1</v>
      </c>
      <c r="I117" s="16" cm="1">
        <f t="array" aca="1" ref="I11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06]]="",$AN117&gt;$AL$1),2,
AND(Tabela18[[#This Row],[STATUS]]="Em andamento",Tabela18[[#This Row],[DATA REAL - ANEXO 06]]="",$AN117&lt;=$AL$1),3,
AND(Tabela18[[#This Row],[STATUS]]="Em andamento",Tabela18[[#This Row],[DATA REAL - ANEXO 06]]&lt;&gt;""),1)</f>
        <v>1</v>
      </c>
      <c r="J117" s="15" cm="1">
        <f t="array" aca="1" ref="J11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LEGAIS]]="",$AQ117&gt;$AO$1),2,
AND(Tabela18[[#This Row],[STATUS]]="Em andamento",Tabela18[[#This Row],[DATA REAL - SOLIC. PROG LEGAIS]]="",$AQ117&lt;=$AO$1),3,
AND(Tabela18[[#This Row],[STATUS]]="Em andamento",Tabela18[[#This Row],[DATA REAL - SOLIC. PROG LEGAIS]]&lt;&gt;""),1)</f>
        <v>1</v>
      </c>
      <c r="K117" s="15" cm="1">
        <f t="array" aca="1" ref="K11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ENVIO]]="",$AT117&gt;$AR$1),2,
AND(Tabela18[[#This Row],[STATUS]]="Em andamento",Tabela18[[#This Row],[DATA REAL - ENVIO]]="",$AT117&lt;=$AR$1),3,
AND(Tabela18[[#This Row],[STATUS]]="Em andamento",Tabela18[[#This Row],[DATA REAL - ENVIO]]&lt;&gt;""),1)</f>
        <v>1</v>
      </c>
      <c r="L117" s="15" cm="1">
        <f t="array" aca="1" ref="L11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POSTAGEM]]="",$AW117&gt;$AU$1),2,
AND(Tabela18[[#This Row],[STATUS]]="Em andamento",Tabela18[[#This Row],[DATA REAL - POSTAGEM]]="",$AW117&lt;=$AU$1),3,
AND(Tabela18[[#This Row],[STATUS]]="Em andamento",Tabela18[[#This Row],[DATA REAL - POSTAGEM]]&lt;&gt;""),1)</f>
        <v>1</v>
      </c>
      <c r="M117" s="16" cm="1">
        <f t="array" aca="1" ref="M11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APROVAÇÃO]]="",$AZ117&gt;$AX$1),2,
AND(Tabela18[[#This Row],[STATUS]]="Em andamento",Tabela18[[#This Row],[DATA REAL - APROVAÇÃO]]="",$AZ117&lt;=$AX$1),3,
AND(Tabela18[[#This Row],[STATUS]]="Em andamento",Tabela18[[#This Row],[DATA REAL - APROVAÇÃO]]&lt;&gt;""),1)</f>
        <v>1</v>
      </c>
      <c r="N117" s="21">
        <f>IF(Tabela18[[#This Row],[DATA REAL -EMAIL]]&lt;&gt;"",Tabela18[[#This Row],[DATA REAL -EMAIL]]+30,Tabela18[[#This Row],[DATA PREV - EMAIL]]+30)</f>
        <v>45599</v>
      </c>
      <c r="O11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45587</v>
      </c>
      <c r="P11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v>
      </c>
      <c r="Q11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117" s="48">
        <f>MAX(Tabela18[[#This Row],[DATA REAL - POSTAGEM]],Tabela18[[#This Row],[DATA REAL - APROVAÇÃO]])-MIN(Tabela18[[#This Row],[DATA REAL - POSTAGEM]],Tabela18[[#This Row],[DATA REAL - APROVAÇÃO]])+1</f>
        <v>2</v>
      </c>
      <c r="S117" s="16" t="s">
        <v>158</v>
      </c>
      <c r="T117" s="16"/>
      <c r="U117" s="18" t="s">
        <v>159</v>
      </c>
      <c r="V117" s="18" t="s">
        <v>152</v>
      </c>
      <c r="W117" s="16" t="s">
        <v>97</v>
      </c>
      <c r="X117" s="16" t="s">
        <v>206</v>
      </c>
      <c r="Y117" s="16"/>
      <c r="Z117" s="15" t="s">
        <v>208</v>
      </c>
      <c r="AA117" s="15" t="str">
        <f>_xlfn.XLOOKUP(Tabela18[[#This Row],[CÓD. CT]],Controle_Projetos[COD CT],Controle_Projetos[COD PHD],"")</f>
        <v>CAPE-CT01-CROW</v>
      </c>
      <c r="AB117" s="16"/>
      <c r="AC117" s="21">
        <v>45569</v>
      </c>
      <c r="AD11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45573</v>
      </c>
      <c r="AE117" s="16" cm="1">
        <f t="array" aca="1" ref="AE11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v>
      </c>
      <c r="AF117" s="21">
        <v>45569</v>
      </c>
      <c r="AG117" s="74">
        <v>45569</v>
      </c>
      <c r="AH117" s="16" cm="1">
        <f t="array" aca="1" ref="AH11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7" s="21">
        <v>45581</v>
      </c>
      <c r="AJ117" s="74">
        <v>45581</v>
      </c>
      <c r="AK117" s="16" cm="1">
        <f t="array" aca="1" ref="AK11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7" s="20">
        <f t="shared" si="15"/>
        <v>45588</v>
      </c>
      <c r="AM117" s="74">
        <v>45581</v>
      </c>
      <c r="AN117" s="15" cm="1">
        <f t="array" aca="1" ref="AN11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17" s="20">
        <f t="shared" si="16"/>
        <v>45582</v>
      </c>
      <c r="AP117" s="74">
        <v>45581</v>
      </c>
      <c r="AQ117" s="15" cm="1">
        <f t="array" aca="1" ref="AQ11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17" s="20">
        <f t="shared" si="17"/>
        <v>45595</v>
      </c>
      <c r="AS117" s="74">
        <v>45583</v>
      </c>
      <c r="AT117" s="15" cm="1">
        <f t="array" aca="1" ref="AT11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117" s="20">
        <f t="shared" si="18"/>
        <v>45590</v>
      </c>
      <c r="AV117" s="74">
        <v>45586</v>
      </c>
      <c r="AW117" s="15" cm="1">
        <f t="array" aca="1" ref="AW11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17" s="20">
        <f t="shared" si="19"/>
        <v>45587</v>
      </c>
      <c r="AY117" s="74">
        <v>45587</v>
      </c>
      <c r="AZ117" s="15" cm="1">
        <f t="array" aca="1" ref="AZ11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17" s="16"/>
    </row>
    <row r="118" spans="2:53" hidden="1" x14ac:dyDescent="0.35">
      <c r="B118" s="14" t="s">
        <v>79</v>
      </c>
      <c r="C118" s="16" t="s">
        <v>867</v>
      </c>
      <c r="D118" s="16" t="s">
        <v>108</v>
      </c>
      <c r="E118" s="16" t="s">
        <v>205</v>
      </c>
      <c r="F118" s="16" cm="1">
        <f t="array" ref="F118">_xlfn.IFS(Tabela18[[#This Row],[STATUS]]="Finalizado",1,Tabela18[[#This Row],[STATUS]]="Cancelado",2,Tabela18[[#This Row],[STATUS]]="Em andamento",3)</f>
        <v>1</v>
      </c>
      <c r="G118" s="16" cm="1">
        <f t="array" aca="1" ref="G11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-EMAIL]]="",$AH118&gt;$AF$1),2,
AND(Tabela18[[#This Row],[STATUS]]="Em andamento",Tabela18[[#This Row],[DATA REAL -EMAIL]]="",$AH118&lt;=$AF$1),3,
AND(Tabela18[[#This Row],[STATUS]]="Em andamento",Tabela18[[#This Row],[DATA REAL -EMAIL]]&lt;&gt;""),1)</f>
        <v>1</v>
      </c>
      <c r="H118" s="16" cm="1">
        <f t="array" aca="1" ref="H11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CLIENTE]]="",$AK118&gt;$AI$1),2,
AND(Tabela18[[#This Row],[STATUS]]="Em andamento",Tabela18[[#This Row],[DATA REAL - DOC CLIENTE]]="",$AK118&lt;=$AI$1),3,
AND(Tabela18[[#This Row],[STATUS]]="Em andamento",Tabela18[[#This Row],[DATA REAL - DOC CLIENTE]]&lt;&gt;""),1)</f>
        <v>1</v>
      </c>
      <c r="I118" s="16" cm="1">
        <f t="array" aca="1" ref="I11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06]]="",$AN118&gt;$AL$1),2,
AND(Tabela18[[#This Row],[STATUS]]="Em andamento",Tabela18[[#This Row],[DATA REAL - ANEXO 06]]="",$AN118&lt;=$AL$1),3,
AND(Tabela18[[#This Row],[STATUS]]="Em andamento",Tabela18[[#This Row],[DATA REAL - ANEXO 06]]&lt;&gt;""),1)</f>
        <v>1</v>
      </c>
      <c r="J118" s="15" cm="1">
        <f t="array" aca="1" ref="J11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LEGAIS]]="",$AQ118&gt;$AO$1),2,
AND(Tabela18[[#This Row],[STATUS]]="Em andamento",Tabela18[[#This Row],[DATA REAL - SOLIC. PROG LEGAIS]]="",$AQ118&lt;=$AO$1),3,
AND(Tabela18[[#This Row],[STATUS]]="Em andamento",Tabela18[[#This Row],[DATA REAL - SOLIC. PROG LEGAIS]]&lt;&gt;""),1)</f>
        <v>1</v>
      </c>
      <c r="K118" s="15" cm="1">
        <f t="array" aca="1" ref="K11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ENVIO]]="",$AT118&gt;$AR$1),2,
AND(Tabela18[[#This Row],[STATUS]]="Em andamento",Tabela18[[#This Row],[DATA REAL - ENVIO]]="",$AT118&lt;=$AR$1),3,
AND(Tabela18[[#This Row],[STATUS]]="Em andamento",Tabela18[[#This Row],[DATA REAL - ENVIO]]&lt;&gt;""),1)</f>
        <v>1</v>
      </c>
      <c r="L118" s="15" cm="1">
        <f t="array" aca="1" ref="L11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POSTAGEM]]="",$AW118&gt;$AU$1),2,
AND(Tabela18[[#This Row],[STATUS]]="Em andamento",Tabela18[[#This Row],[DATA REAL - POSTAGEM]]="",$AW118&lt;=$AU$1),3,
AND(Tabela18[[#This Row],[STATUS]]="Em andamento",Tabela18[[#This Row],[DATA REAL - POSTAGEM]]&lt;&gt;""),1)</f>
        <v>1</v>
      </c>
      <c r="M118" s="16" cm="1">
        <f t="array" aca="1" ref="M11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APROVAÇÃO]]="",$AZ118&gt;$AX$1),2,
AND(Tabela18[[#This Row],[STATUS]]="Em andamento",Tabela18[[#This Row],[DATA REAL - APROVAÇÃO]]="",$AZ118&lt;=$AX$1),3,
AND(Tabela18[[#This Row],[STATUS]]="Em andamento",Tabela18[[#This Row],[DATA REAL - APROVAÇÃO]]&lt;&gt;""),1)</f>
        <v>1</v>
      </c>
      <c r="N118" s="21">
        <f>IF(Tabela18[[#This Row],[DATA REAL -EMAIL]]&lt;&gt;"",Tabela18[[#This Row],[DATA REAL -EMAIL]]+30,Tabela18[[#This Row],[DATA PREV - EMAIL]]+30)</f>
        <v>45599</v>
      </c>
      <c r="O11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45587</v>
      </c>
      <c r="P11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v>
      </c>
      <c r="Q11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118" s="48">
        <f>MAX(Tabela18[[#This Row],[DATA REAL - POSTAGEM]],Tabela18[[#This Row],[DATA REAL - APROVAÇÃO]])-MIN(Tabela18[[#This Row],[DATA REAL - POSTAGEM]],Tabela18[[#This Row],[DATA REAL - APROVAÇÃO]])+1</f>
        <v>2</v>
      </c>
      <c r="S118" s="16" t="s">
        <v>158</v>
      </c>
      <c r="T118" s="16"/>
      <c r="U118" s="18" t="s">
        <v>159</v>
      </c>
      <c r="V118" s="18" t="s">
        <v>152</v>
      </c>
      <c r="W118" s="16" t="s">
        <v>87</v>
      </c>
      <c r="X118" s="16" t="s">
        <v>206</v>
      </c>
      <c r="Y118" s="16"/>
      <c r="Z118" s="15" t="s">
        <v>208</v>
      </c>
      <c r="AA118" s="15" t="str">
        <f>_xlfn.XLOOKUP(Tabela18[[#This Row],[CÓD. CT]],Controle_Projetos[COD CT],Controle_Projetos[COD PHD],"")</f>
        <v>CAPE-CT01-CROW</v>
      </c>
      <c r="AB118" s="16"/>
      <c r="AC118" s="21">
        <v>45569</v>
      </c>
      <c r="AD11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45573</v>
      </c>
      <c r="AE118" s="16" cm="1">
        <f t="array" aca="1" ref="AE11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v>
      </c>
      <c r="AF118" s="21">
        <v>45569</v>
      </c>
      <c r="AG118" s="74">
        <v>45569</v>
      </c>
      <c r="AH118" s="16" cm="1">
        <f t="array" aca="1" ref="AH11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8" s="21">
        <v>45581</v>
      </c>
      <c r="AJ118" s="74">
        <v>45581</v>
      </c>
      <c r="AK118" s="16" cm="1">
        <f t="array" aca="1" ref="AK11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8" s="20">
        <f t="shared" si="15"/>
        <v>45588</v>
      </c>
      <c r="AM118" s="74">
        <v>45581</v>
      </c>
      <c r="AN118" s="15" cm="1">
        <f t="array" aca="1" ref="AN11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18" s="20">
        <f t="shared" si="16"/>
        <v>45582</v>
      </c>
      <c r="AP118" s="74">
        <v>45581</v>
      </c>
      <c r="AQ118" s="15" cm="1">
        <f t="array" aca="1" ref="AQ11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18" s="20">
        <f t="shared" si="17"/>
        <v>45595</v>
      </c>
      <c r="AS118" s="74">
        <v>45583</v>
      </c>
      <c r="AT118" s="15" cm="1">
        <f t="array" aca="1" ref="AT11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118" s="20">
        <f t="shared" si="18"/>
        <v>45590</v>
      </c>
      <c r="AV118" s="74">
        <v>45586</v>
      </c>
      <c r="AW118" s="15" cm="1">
        <f t="array" aca="1" ref="AW11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18" s="20">
        <f t="shared" si="19"/>
        <v>45587</v>
      </c>
      <c r="AY118" s="74">
        <v>45587</v>
      </c>
      <c r="AZ118" s="15" cm="1">
        <f t="array" aca="1" ref="AZ11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18" s="16"/>
    </row>
    <row r="119" spans="2:53" hidden="1" x14ac:dyDescent="0.35">
      <c r="B119" s="14" t="s">
        <v>79</v>
      </c>
      <c r="C119" s="16" t="s">
        <v>93</v>
      </c>
      <c r="D119" s="16" t="s">
        <v>108</v>
      </c>
      <c r="E119" s="16" t="s">
        <v>179</v>
      </c>
      <c r="F119" s="16" cm="1">
        <f t="array" ref="F119">_xlfn.IFS(Tabela18[[#This Row],[STATUS]]="Finalizado",1,Tabela18[[#This Row],[STATUS]]="Cancelado",2,Tabela18[[#This Row],[STATUS]]="Em andamento",3)</f>
        <v>1</v>
      </c>
      <c r="G119" s="16" cm="1">
        <f t="array" aca="1" ref="G11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-EMAIL]]="",$AH119&gt;$AF$1),2,
AND(Tabela18[[#This Row],[STATUS]]="Em andamento",Tabela18[[#This Row],[DATA REAL -EMAIL]]="",$AH119&lt;=$AF$1),3,
AND(Tabela18[[#This Row],[STATUS]]="Em andamento",Tabela18[[#This Row],[DATA REAL -EMAIL]]&lt;&gt;""),1)</f>
        <v>1</v>
      </c>
      <c r="H119" s="16" cm="1">
        <f t="array" aca="1" ref="H11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CLIENTE]]="",$AK119&gt;$AI$1),2,
AND(Tabela18[[#This Row],[STATUS]]="Em andamento",Tabela18[[#This Row],[DATA REAL - DOC CLIENTE]]="",$AK119&lt;=$AI$1),3,
AND(Tabela18[[#This Row],[STATUS]]="Em andamento",Tabela18[[#This Row],[DATA REAL - DOC CLIENTE]]&lt;&gt;""),1)</f>
        <v>1</v>
      </c>
      <c r="I119" s="16" cm="1">
        <f t="array" aca="1" ref="I11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06]]="",$AN119&gt;$AL$1),2,
AND(Tabela18[[#This Row],[STATUS]]="Em andamento",Tabela18[[#This Row],[DATA REAL - ANEXO 06]]="",$AN119&lt;=$AL$1),3,
AND(Tabela18[[#This Row],[STATUS]]="Em andamento",Tabela18[[#This Row],[DATA REAL - ANEXO 06]]&lt;&gt;""),1)</f>
        <v>1</v>
      </c>
      <c r="J119" s="15" cm="1">
        <f t="array" aca="1" ref="J11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LEGAIS]]="",$AQ119&gt;$AO$1),2,
AND(Tabela18[[#This Row],[STATUS]]="Em andamento",Tabela18[[#This Row],[DATA REAL - SOLIC. PROG LEGAIS]]="",$AQ119&lt;=$AO$1),3,
AND(Tabela18[[#This Row],[STATUS]]="Em andamento",Tabela18[[#This Row],[DATA REAL - SOLIC. PROG LEGAIS]]&lt;&gt;""),1)</f>
        <v>1</v>
      </c>
      <c r="K119" s="15" cm="1">
        <f t="array" aca="1" ref="K11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ENVIO]]="",$AT119&gt;$AR$1),2,
AND(Tabela18[[#This Row],[STATUS]]="Em andamento",Tabela18[[#This Row],[DATA REAL - ENVIO]]="",$AT119&lt;=$AR$1),3,
AND(Tabela18[[#This Row],[STATUS]]="Em andamento",Tabela18[[#This Row],[DATA REAL - ENVIO]]&lt;&gt;""),1)</f>
        <v>1</v>
      </c>
      <c r="L119" s="15" cm="1">
        <f t="array" aca="1" ref="L11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POSTAGEM]]="",$AW119&gt;$AU$1),2,
AND(Tabela18[[#This Row],[STATUS]]="Em andamento",Tabela18[[#This Row],[DATA REAL - POSTAGEM]]="",$AW119&lt;=$AU$1),3,
AND(Tabela18[[#This Row],[STATUS]]="Em andamento",Tabela18[[#This Row],[DATA REAL - POSTAGEM]]&lt;&gt;""),1)</f>
        <v>1</v>
      </c>
      <c r="M119" s="16" cm="1">
        <f t="array" aca="1" ref="M11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APROVAÇÃO]]="",$AZ119&gt;$AX$1),2,
AND(Tabela18[[#This Row],[STATUS]]="Em andamento",Tabela18[[#This Row],[DATA REAL - APROVAÇÃO]]="",$AZ119&lt;=$AX$1),3,
AND(Tabela18[[#This Row],[STATUS]]="Em andamento",Tabela18[[#This Row],[DATA REAL - APROVAÇÃO]]&lt;&gt;""),1)</f>
        <v>1</v>
      </c>
      <c r="N119" s="21">
        <f>IF(Tabela18[[#This Row],[DATA REAL -EMAIL]]&lt;&gt;"",Tabela18[[#This Row],[DATA REAL -EMAIL]]+30,Tabela18[[#This Row],[DATA PREV - EMAIL]]+30)</f>
        <v>45627</v>
      </c>
      <c r="O11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45623</v>
      </c>
      <c r="P11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26</v>
      </c>
      <c r="Q11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26</v>
      </c>
      <c r="R119" s="48">
        <f>MAX(Tabela18[[#This Row],[DATA REAL - POSTAGEM]],Tabela18[[#This Row],[DATA REAL - APROVAÇÃO]])-MIN(Tabela18[[#This Row],[DATA REAL - POSTAGEM]],Tabela18[[#This Row],[DATA REAL - APROVAÇÃO]])+1</f>
        <v>1</v>
      </c>
      <c r="S119" s="16" t="s">
        <v>122</v>
      </c>
      <c r="T119" s="16"/>
      <c r="U119" s="18" t="s">
        <v>124</v>
      </c>
      <c r="V119" s="18"/>
      <c r="W119" s="16" t="s">
        <v>97</v>
      </c>
      <c r="X119" s="16" t="s">
        <v>132</v>
      </c>
      <c r="Y119" s="16" t="s">
        <v>1036</v>
      </c>
      <c r="Z119" s="15" t="s">
        <v>181</v>
      </c>
      <c r="AA119" s="15" t="str">
        <f>_xlfn.XLOOKUP(Tabela18[[#This Row],[CÓD. CT]],Controle_Projetos[COD CT],Controle_Projetos[COD PHD],"")</f>
        <v>PARE-CT08-MINE</v>
      </c>
      <c r="AB119" s="16">
        <v>4520177035</v>
      </c>
      <c r="AC119" s="21">
        <v>45597</v>
      </c>
      <c r="AD11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45600</v>
      </c>
      <c r="AE119" s="16" cm="1">
        <f t="array" aca="1" ref="AE11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v>
      </c>
      <c r="AF119" s="21">
        <v>45597</v>
      </c>
      <c r="AG119" s="74">
        <v>45597</v>
      </c>
      <c r="AH119" s="16" cm="1">
        <f t="array" aca="1" ref="AH11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19" s="21">
        <v>45600</v>
      </c>
      <c r="AJ119" s="74">
        <v>45600</v>
      </c>
      <c r="AK119" s="16" cm="1">
        <f t="array" aca="1" ref="AK11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19" s="20">
        <f t="shared" si="15"/>
        <v>45607</v>
      </c>
      <c r="AM119" s="74">
        <v>45600</v>
      </c>
      <c r="AN119" s="15" cm="1">
        <f t="array" aca="1" ref="AN11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19" s="20">
        <f t="shared" si="16"/>
        <v>45601</v>
      </c>
      <c r="AP119" s="74">
        <v>45607</v>
      </c>
      <c r="AQ119" s="15" cm="1">
        <f t="array" aca="1" ref="AQ11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119" s="20">
        <f t="shared" si="17"/>
        <v>45621</v>
      </c>
      <c r="AS119" s="74">
        <v>45623</v>
      </c>
      <c r="AT119" s="15" cm="1">
        <f t="array" aca="1" ref="AT11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19" s="20">
        <f t="shared" si="18"/>
        <v>45630</v>
      </c>
      <c r="AV119" s="74">
        <v>45623</v>
      </c>
      <c r="AW119" s="15" cm="1">
        <f t="array" aca="1" ref="AW11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19" s="20">
        <f t="shared" si="19"/>
        <v>45624</v>
      </c>
      <c r="AY119" s="74">
        <v>45623</v>
      </c>
      <c r="AZ119" s="15" cm="1">
        <f t="array" aca="1" ref="AZ11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19" s="16" t="s">
        <v>1037</v>
      </c>
    </row>
    <row r="120" spans="2:53" hidden="1" x14ac:dyDescent="0.35">
      <c r="B120" s="14" t="s">
        <v>119</v>
      </c>
      <c r="C120" s="16" t="s">
        <v>136</v>
      </c>
      <c r="D120" s="16" t="s">
        <v>119</v>
      </c>
      <c r="E120" s="16" t="s">
        <v>125</v>
      </c>
      <c r="F120" s="16" cm="1">
        <f t="array" ref="F120">_xlfn.IFS(Tabela18[[#This Row],[STATUS]]="Finalizado",1,Tabela18[[#This Row],[STATUS]]="Cancelado",2,Tabela18[[#This Row],[STATUS]]="Em andamento",3)</f>
        <v>2</v>
      </c>
      <c r="G120" s="16" cm="1">
        <f t="array" aca="1" ref="G12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-EMAIL]]="",$AH120&gt;$AF$1),2,
AND(Tabela18[[#This Row],[STATUS]]="Em andamento",Tabela18[[#This Row],[DATA REAL -EMAIL]]="",$AH120&lt;=$AF$1),3,
AND(Tabela18[[#This Row],[STATUS]]="Em andamento",Tabela18[[#This Row],[DATA REAL -EMAIL]]&lt;&gt;""),1)</f>
        <v>1</v>
      </c>
      <c r="H120" s="16" cm="1">
        <f t="array" aca="1" ref="H12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CLIENTE]]="",$AK120&gt;$AI$1),2,
AND(Tabela18[[#This Row],[STATUS]]="Em andamento",Tabela18[[#This Row],[DATA REAL - DOC CLIENTE]]="",$AK120&lt;=$AI$1),3,
AND(Tabela18[[#This Row],[STATUS]]="Em andamento",Tabela18[[#This Row],[DATA REAL - DOC CLIENTE]]&lt;&gt;""),1)</f>
        <v>1</v>
      </c>
      <c r="I120" s="16" cm="1">
        <f t="array" aca="1" ref="I12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06]]="",$AN120&gt;$AL$1),2,
AND(Tabela18[[#This Row],[STATUS]]="Em andamento",Tabela18[[#This Row],[DATA REAL - ANEXO 06]]="",$AN120&lt;=$AL$1),3,
AND(Tabela18[[#This Row],[STATUS]]="Em andamento",Tabela18[[#This Row],[DATA REAL - ANEXO 06]]&lt;&gt;""),1)</f>
        <v>1</v>
      </c>
      <c r="J120" s="15" cm="1">
        <f t="array" aca="1" ref="J12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LEGAIS]]="",$AQ120&gt;$AO$1),2,
AND(Tabela18[[#This Row],[STATUS]]="Em andamento",Tabela18[[#This Row],[DATA REAL - SOLIC. PROG LEGAIS]]="",$AQ120&lt;=$AO$1),3,
AND(Tabela18[[#This Row],[STATUS]]="Em andamento",Tabela18[[#This Row],[DATA REAL - SOLIC. PROG LEGAIS]]&lt;&gt;""),1)</f>
        <v>1</v>
      </c>
      <c r="K120" s="15" cm="1">
        <f t="array" aca="1" ref="K12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ENVIO]]="",$AT120&gt;$AR$1),2,
AND(Tabela18[[#This Row],[STATUS]]="Em andamento",Tabela18[[#This Row],[DATA REAL - ENVIO]]="",$AT120&lt;=$AR$1),3,
AND(Tabela18[[#This Row],[STATUS]]="Em andamento",Tabela18[[#This Row],[DATA REAL - ENVIO]]&lt;&gt;""),1)</f>
        <v>1</v>
      </c>
      <c r="L120" s="15" cm="1">
        <f t="array" aca="1" ref="L12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POSTAGEM]]="",$AW120&gt;$AU$1),2,
AND(Tabela18[[#This Row],[STATUS]]="Em andamento",Tabela18[[#This Row],[DATA REAL - POSTAGEM]]="",$AW120&lt;=$AU$1),3,
AND(Tabela18[[#This Row],[STATUS]]="Em andamento",Tabela18[[#This Row],[DATA REAL - POSTAGEM]]&lt;&gt;""),1)</f>
        <v>1</v>
      </c>
      <c r="M120" s="16" cm="1">
        <f t="array" aca="1" ref="M12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APROVAÇÃO]]="",$AZ120&gt;$AX$1),2,
AND(Tabela18[[#This Row],[STATUS]]="Em andamento",Tabela18[[#This Row],[DATA REAL - APROVAÇÃO]]="",$AZ120&lt;=$AX$1),3,
AND(Tabela18[[#This Row],[STATUS]]="Em andamento",Tabela18[[#This Row],[DATA REAL - APROVAÇÃO]]&lt;&gt;""),1)</f>
        <v>1</v>
      </c>
      <c r="N120" s="21">
        <f>IF(Tabela18[[#This Row],[DATA REAL -EMAIL]]&lt;&gt;"",Tabela18[[#This Row],[DATA REAL -EMAIL]]+30,Tabela18[[#This Row],[DATA PREV - EMAIL]]+30)</f>
        <v>45626</v>
      </c>
      <c r="O12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45667</v>
      </c>
      <c r="P12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71</v>
      </c>
      <c r="Q12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25</v>
      </c>
      <c r="R120" s="48">
        <f>MAX(Tabela18[[#This Row],[DATA REAL - POSTAGEM]],Tabela18[[#This Row],[DATA REAL - APROVAÇÃO]])-MIN(Tabela18[[#This Row],[DATA REAL - POSTAGEM]],Tabela18[[#This Row],[DATA REAL - APROVAÇÃO]])+1</f>
        <v>1</v>
      </c>
      <c r="S120" s="16"/>
      <c r="T120" s="16"/>
      <c r="U120" s="18"/>
      <c r="V120" s="18" t="s">
        <v>152</v>
      </c>
      <c r="W120" s="16" t="s">
        <v>97</v>
      </c>
      <c r="X120" s="16" t="s">
        <v>1038</v>
      </c>
      <c r="Y120" s="16" t="s">
        <v>214</v>
      </c>
      <c r="Z120" s="15" t="s">
        <v>1039</v>
      </c>
      <c r="AA120" s="15" t="str">
        <f>_xlfn.XLOOKUP(Tabela18[[#This Row],[CÓD. CT]],Controle_Projetos[COD CT],Controle_Projetos[COD PHD],"")</f>
        <v/>
      </c>
      <c r="AB120" s="16" t="s">
        <v>1040</v>
      </c>
      <c r="AC120" s="21">
        <v>45596</v>
      </c>
      <c r="AD120"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20" s="16" cm="1">
        <f t="array" aca="1" ref="AE12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20" s="21">
        <v>45596</v>
      </c>
      <c r="AG120" s="74">
        <v>45596</v>
      </c>
      <c r="AH120" s="16" cm="1">
        <f t="array" aca="1" ref="AH12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0" s="21">
        <v>45597</v>
      </c>
      <c r="AJ120" s="74">
        <v>45607</v>
      </c>
      <c r="AK120" s="16" cm="1">
        <f t="array" aca="1" ref="AK12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0" s="20">
        <f t="shared" si="15"/>
        <v>45614</v>
      </c>
      <c r="AM120" s="74">
        <v>45609</v>
      </c>
      <c r="AN120" s="15" cm="1">
        <f t="array" aca="1" ref="AN12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120" s="20">
        <f t="shared" si="16"/>
        <v>45610</v>
      </c>
      <c r="AP120" s="74">
        <v>45609</v>
      </c>
      <c r="AQ120" s="15" cm="1">
        <f t="array" aca="1" ref="AQ12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20" s="20">
        <f t="shared" si="17"/>
        <v>45623</v>
      </c>
      <c r="AS120" s="74">
        <v>45621</v>
      </c>
      <c r="AT120" s="15" cm="1">
        <f t="array" aca="1" ref="AT12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0" s="20">
        <f t="shared" si="18"/>
        <v>45628</v>
      </c>
      <c r="AV120" s="74">
        <v>45667</v>
      </c>
      <c r="AW120" s="15" cm="1">
        <f t="array" aca="1" ref="AW12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40</v>
      </c>
      <c r="AX120" s="20">
        <f t="shared" si="19"/>
        <v>45670</v>
      </c>
      <c r="AY120" s="74">
        <v>45667</v>
      </c>
      <c r="AZ120" s="15" cm="1">
        <f t="array" aca="1" ref="AZ12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20" s="16" t="s">
        <v>1041</v>
      </c>
    </row>
    <row r="121" spans="2:53" hidden="1" x14ac:dyDescent="0.35">
      <c r="B121" s="14" t="s">
        <v>119</v>
      </c>
      <c r="C121" s="16" t="s">
        <v>867</v>
      </c>
      <c r="D121" s="16" t="s">
        <v>119</v>
      </c>
      <c r="E121" s="16" t="s">
        <v>1042</v>
      </c>
      <c r="F121" s="16" cm="1">
        <f t="array" ref="F121">_xlfn.IFS(Tabela18[[#This Row],[STATUS]]="Finalizado",1,Tabela18[[#This Row],[STATUS]]="Cancelado",2,Tabela18[[#This Row],[STATUS]]="Em andamento",3)</f>
        <v>2</v>
      </c>
      <c r="G121" s="16" cm="1">
        <f t="array" aca="1" ref="G12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-EMAIL]]="",$AH121&gt;$AF$1),2,
AND(Tabela18[[#This Row],[STATUS]]="Em andamento",Tabela18[[#This Row],[DATA REAL -EMAIL]]="",$AH121&lt;=$AF$1),3,
AND(Tabela18[[#This Row],[STATUS]]="Em andamento",Tabela18[[#This Row],[DATA REAL -EMAIL]]&lt;&gt;""),1)</f>
        <v>0</v>
      </c>
      <c r="H121" s="16" cm="1">
        <f t="array" aca="1" ref="H12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CLIENTE]]="",$AK121&gt;$AI$1),2,
AND(Tabela18[[#This Row],[STATUS]]="Em andamento",Tabela18[[#This Row],[DATA REAL - DOC CLIENTE]]="",$AK121&lt;=$AI$1),3,
AND(Tabela18[[#This Row],[STATUS]]="Em andamento",Tabela18[[#This Row],[DATA REAL - DOC CLIENTE]]&lt;&gt;""),1)</f>
        <v>0</v>
      </c>
      <c r="I121" s="16" cm="1">
        <f t="array" aca="1" ref="I12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06]]="",$AN121&gt;$AL$1),2,
AND(Tabela18[[#This Row],[STATUS]]="Em andamento",Tabela18[[#This Row],[DATA REAL - ANEXO 06]]="",$AN121&lt;=$AL$1),3,
AND(Tabela18[[#This Row],[STATUS]]="Em andamento",Tabela18[[#This Row],[DATA REAL - ANEXO 06]]&lt;&gt;""),1)</f>
        <v>0</v>
      </c>
      <c r="J121" s="15" cm="1">
        <f t="array" aca="1" ref="J12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LEGAIS]]="",$AQ121&gt;$AO$1),2,
AND(Tabela18[[#This Row],[STATUS]]="Em andamento",Tabela18[[#This Row],[DATA REAL - SOLIC. PROG LEGAIS]]="",$AQ121&lt;=$AO$1),3,
AND(Tabela18[[#This Row],[STATUS]]="Em andamento",Tabela18[[#This Row],[DATA REAL - SOLIC. PROG LEGAIS]]&lt;&gt;""),1)</f>
        <v>0</v>
      </c>
      <c r="K121" s="15" cm="1">
        <f t="array" aca="1" ref="K12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ENVIO]]="",$AT121&gt;$AR$1),2,
AND(Tabela18[[#This Row],[STATUS]]="Em andamento",Tabela18[[#This Row],[DATA REAL - ENVIO]]="",$AT121&lt;=$AR$1),3,
AND(Tabela18[[#This Row],[STATUS]]="Em andamento",Tabela18[[#This Row],[DATA REAL - ENVIO]]&lt;&gt;""),1)</f>
        <v>0</v>
      </c>
      <c r="L121" s="15" cm="1">
        <f t="array" aca="1" ref="L12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POSTAGEM]]="",$AW121&gt;$AU$1),2,
AND(Tabela18[[#This Row],[STATUS]]="Em andamento",Tabela18[[#This Row],[DATA REAL - POSTAGEM]]="",$AW121&lt;=$AU$1),3,
AND(Tabela18[[#This Row],[STATUS]]="Em andamento",Tabela18[[#This Row],[DATA REAL - POSTAGEM]]&lt;&gt;""),1)</f>
        <v>0</v>
      </c>
      <c r="M121" s="16" cm="1">
        <f t="array" aca="1" ref="M12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APROVAÇÃO]]="",$AZ121&gt;$AX$1),2,
AND(Tabela18[[#This Row],[STATUS]]="Em andamento",Tabela18[[#This Row],[DATA REAL - APROVAÇÃO]]="",$AZ121&lt;=$AX$1),3,
AND(Tabela18[[#This Row],[STATUS]]="Em andamento",Tabela18[[#This Row],[DATA REAL - APROVAÇÃO]]&lt;&gt;""),1)</f>
        <v>0</v>
      </c>
      <c r="N121" s="21">
        <f>IF(Tabela18[[#This Row],[DATA REAL -EMAIL]]&lt;&gt;"",Tabela18[[#This Row],[DATA REAL -EMAIL]]+30,Tabela18[[#This Row],[DATA PREV - EMAIL]]+30)</f>
        <v>30</v>
      </c>
      <c r="O12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P12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Q12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21" s="48">
        <f>MAX(Tabela18[[#This Row],[DATA REAL - POSTAGEM]],Tabela18[[#This Row],[DATA REAL - APROVAÇÃO]])-MIN(Tabela18[[#This Row],[DATA REAL - POSTAGEM]],Tabela18[[#This Row],[DATA REAL - APROVAÇÃO]])+1</f>
        <v>1</v>
      </c>
      <c r="S121" s="16"/>
      <c r="T121" s="16"/>
      <c r="U121" s="18"/>
      <c r="V121" s="18"/>
      <c r="W121" s="16" t="s">
        <v>87</v>
      </c>
      <c r="X121" s="16" t="s">
        <v>89</v>
      </c>
      <c r="Y121" s="16" t="s">
        <v>99</v>
      </c>
      <c r="Z121" s="15" t="s">
        <v>249</v>
      </c>
      <c r="AA121" s="15" t="str">
        <f>_xlfn.XLOOKUP(Tabela18[[#This Row],[CÓD. CT]],Controle_Projetos[COD CT],Controle_Projetos[COD PHD],"")</f>
        <v/>
      </c>
      <c r="AB121" s="16"/>
      <c r="AC121" s="21"/>
      <c r="AD121"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21" s="16" t="str" cm="1">
        <f t="array" aca="1" ref="AE12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1" s="21"/>
      <c r="AG121" s="74"/>
      <c r="AH121" s="16" t="str" cm="1">
        <f t="array" aca="1" ref="AH12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121" s="21">
        <v>45189</v>
      </c>
      <c r="AJ121" s="74"/>
      <c r="AK121" s="16" t="str" cm="1">
        <f t="array" aca="1" ref="AK12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121" s="20">
        <f t="shared" si="15"/>
        <v>45196</v>
      </c>
      <c r="AM121" s="74"/>
      <c r="AN121" s="15" cm="1">
        <f t="array" aca="1" ref="AN12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21" s="20">
        <f t="shared" si="16"/>
        <v>45197</v>
      </c>
      <c r="AP121" s="74"/>
      <c r="AQ121" s="15" cm="1">
        <f t="array" aca="1" ref="AQ12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21" s="20">
        <f t="shared" si="17"/>
        <v>45211</v>
      </c>
      <c r="AS121" s="74"/>
      <c r="AT121" s="15" cm="1">
        <f t="array" aca="1" ref="AT12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1" s="20">
        <f t="shared" si="18"/>
        <v>45218</v>
      </c>
      <c r="AV121" s="74"/>
      <c r="AW121" s="15" cm="1">
        <f t="array" aca="1" ref="AW12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21" s="20">
        <f t="shared" si="19"/>
        <v>45219</v>
      </c>
      <c r="AY121" s="74"/>
      <c r="AZ121" s="15" cm="1">
        <f t="array" aca="1" ref="AZ12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21" s="80"/>
    </row>
    <row r="122" spans="2:53" hidden="1" x14ac:dyDescent="0.35">
      <c r="B122" s="14" t="s">
        <v>119</v>
      </c>
      <c r="C122" s="16" t="s">
        <v>867</v>
      </c>
      <c r="D122" s="16" t="s">
        <v>119</v>
      </c>
      <c r="E122" s="16" t="s">
        <v>1042</v>
      </c>
      <c r="F122" s="16" cm="1">
        <f t="array" ref="F122">_xlfn.IFS(Tabela18[[#This Row],[STATUS]]="Finalizado",1,Tabela18[[#This Row],[STATUS]]="Cancelado",2,Tabela18[[#This Row],[STATUS]]="Em andamento",3)</f>
        <v>2</v>
      </c>
      <c r="G122" s="16" cm="1">
        <f t="array" aca="1" ref="G12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-EMAIL]]="",$AH122&gt;$AF$1),2,
AND(Tabela18[[#This Row],[STATUS]]="Em andamento",Tabela18[[#This Row],[DATA REAL -EMAIL]]="",$AH122&lt;=$AF$1),3,
AND(Tabela18[[#This Row],[STATUS]]="Em andamento",Tabela18[[#This Row],[DATA REAL -EMAIL]]&lt;&gt;""),1)</f>
        <v>0</v>
      </c>
      <c r="H122" s="16" cm="1">
        <f t="array" aca="1" ref="H12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CLIENTE]]="",$AK122&gt;$AI$1),2,
AND(Tabela18[[#This Row],[STATUS]]="Em andamento",Tabela18[[#This Row],[DATA REAL - DOC CLIENTE]]="",$AK122&lt;=$AI$1),3,
AND(Tabela18[[#This Row],[STATUS]]="Em andamento",Tabela18[[#This Row],[DATA REAL - DOC CLIENTE]]&lt;&gt;""),1)</f>
        <v>0</v>
      </c>
      <c r="I122" s="16" cm="1">
        <f t="array" aca="1" ref="I12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06]]="",$AN122&gt;$AL$1),2,
AND(Tabela18[[#This Row],[STATUS]]="Em andamento",Tabela18[[#This Row],[DATA REAL - ANEXO 06]]="",$AN122&lt;=$AL$1),3,
AND(Tabela18[[#This Row],[STATUS]]="Em andamento",Tabela18[[#This Row],[DATA REAL - ANEXO 06]]&lt;&gt;""),1)</f>
        <v>0</v>
      </c>
      <c r="J122" s="15" cm="1">
        <f t="array" aca="1" ref="J12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LEGAIS]]="",$AQ122&gt;$AO$1),2,
AND(Tabela18[[#This Row],[STATUS]]="Em andamento",Tabela18[[#This Row],[DATA REAL - SOLIC. PROG LEGAIS]]="",$AQ122&lt;=$AO$1),3,
AND(Tabela18[[#This Row],[STATUS]]="Em andamento",Tabela18[[#This Row],[DATA REAL - SOLIC. PROG LEGAIS]]&lt;&gt;""),1)</f>
        <v>0</v>
      </c>
      <c r="K122" s="15" cm="1">
        <f t="array" aca="1" ref="K12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ENVIO]]="",$AT122&gt;$AR$1),2,
AND(Tabela18[[#This Row],[STATUS]]="Em andamento",Tabela18[[#This Row],[DATA REAL - ENVIO]]="",$AT122&lt;=$AR$1),3,
AND(Tabela18[[#This Row],[STATUS]]="Em andamento",Tabela18[[#This Row],[DATA REAL - ENVIO]]&lt;&gt;""),1)</f>
        <v>0</v>
      </c>
      <c r="L122" s="15" cm="1">
        <f t="array" aca="1" ref="L12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POSTAGEM]]="",$AW122&gt;$AU$1),2,
AND(Tabela18[[#This Row],[STATUS]]="Em andamento",Tabela18[[#This Row],[DATA REAL - POSTAGEM]]="",$AW122&lt;=$AU$1),3,
AND(Tabela18[[#This Row],[STATUS]]="Em andamento",Tabela18[[#This Row],[DATA REAL - POSTAGEM]]&lt;&gt;""),1)</f>
        <v>0</v>
      </c>
      <c r="M122" s="16" cm="1">
        <f t="array" aca="1" ref="M12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APROVAÇÃO]]="",$AZ122&gt;$AX$1),2,
AND(Tabela18[[#This Row],[STATUS]]="Em andamento",Tabela18[[#This Row],[DATA REAL - APROVAÇÃO]]="",$AZ122&lt;=$AX$1),3,
AND(Tabela18[[#This Row],[STATUS]]="Em andamento",Tabela18[[#This Row],[DATA REAL - APROVAÇÃO]]&lt;&gt;""),1)</f>
        <v>0</v>
      </c>
      <c r="N122" s="21">
        <f>IF(Tabela18[[#This Row],[DATA REAL -EMAIL]]&lt;&gt;"",Tabela18[[#This Row],[DATA REAL -EMAIL]]+30,Tabela18[[#This Row],[DATA PREV - EMAIL]]+30)</f>
        <v>30</v>
      </c>
      <c r="O12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P12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Q12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22" s="48">
        <f>MAX(Tabela18[[#This Row],[DATA REAL - POSTAGEM]],Tabela18[[#This Row],[DATA REAL - APROVAÇÃO]])-MIN(Tabela18[[#This Row],[DATA REAL - POSTAGEM]],Tabela18[[#This Row],[DATA REAL - APROVAÇÃO]])+1</f>
        <v>1</v>
      </c>
      <c r="S122" s="16"/>
      <c r="T122" s="16"/>
      <c r="U122" s="18"/>
      <c r="V122" s="18"/>
      <c r="W122" s="16" t="s">
        <v>87</v>
      </c>
      <c r="X122" s="16" t="s">
        <v>89</v>
      </c>
      <c r="Y122" s="16" t="s">
        <v>99</v>
      </c>
      <c r="Z122" s="15" t="s">
        <v>249</v>
      </c>
      <c r="AA122" s="15" t="str">
        <f>_xlfn.XLOOKUP(Tabela18[[#This Row],[CÓD. CT]],Controle_Projetos[COD CT],Controle_Projetos[COD PHD],"")</f>
        <v/>
      </c>
      <c r="AB122" s="16"/>
      <c r="AC122" s="21"/>
      <c r="AD122"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22" s="16" t="str" cm="1">
        <f t="array" aca="1" ref="AE12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2" s="21"/>
      <c r="AG122" s="74"/>
      <c r="AH122" s="16" t="str" cm="1">
        <f t="array" aca="1" ref="AH12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122" s="21">
        <v>45189</v>
      </c>
      <c r="AJ122" s="74"/>
      <c r="AK122" s="16" t="str" cm="1">
        <f t="array" aca="1" ref="AK12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122" s="20">
        <f t="shared" si="15"/>
        <v>45196</v>
      </c>
      <c r="AM122" s="74"/>
      <c r="AN122" s="15" cm="1">
        <f t="array" aca="1" ref="AN12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22" s="20">
        <f t="shared" si="16"/>
        <v>45197</v>
      </c>
      <c r="AP122" s="74"/>
      <c r="AQ122" s="15" cm="1">
        <f t="array" aca="1" ref="AQ12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22" s="20">
        <f t="shared" si="17"/>
        <v>45211</v>
      </c>
      <c r="AS122" s="74"/>
      <c r="AT122" s="15" cm="1">
        <f t="array" aca="1" ref="AT12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2" s="20">
        <f t="shared" si="18"/>
        <v>45218</v>
      </c>
      <c r="AV122" s="74"/>
      <c r="AW122" s="15" cm="1">
        <f t="array" aca="1" ref="AW12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22" s="20">
        <f t="shared" si="19"/>
        <v>45219</v>
      </c>
      <c r="AY122" s="74"/>
      <c r="AZ122" s="15" cm="1">
        <f t="array" aca="1" ref="AZ12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22" s="80"/>
    </row>
    <row r="123" spans="2:53" hidden="1" x14ac:dyDescent="0.35">
      <c r="B123" s="14" t="s">
        <v>79</v>
      </c>
      <c r="C123" s="16"/>
      <c r="D123" s="16" t="s">
        <v>108</v>
      </c>
      <c r="E123" s="16" t="s">
        <v>1043</v>
      </c>
      <c r="F123" s="16" cm="1">
        <f t="array" ref="F123">_xlfn.IFS(Tabela18[[#This Row],[STATUS]]="Finalizado",1,Tabela18[[#This Row],[STATUS]]="Cancelado",2,Tabela18[[#This Row],[STATUS]]="Em andamento",3)</f>
        <v>1</v>
      </c>
      <c r="G123" s="16" cm="1">
        <f t="array" aca="1" ref="G12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-EMAIL]]="",$AH123&gt;$AF$1),2,
AND(Tabela18[[#This Row],[STATUS]]="Em andamento",Tabela18[[#This Row],[DATA REAL -EMAIL]]="",$AH123&lt;=$AF$1),3,
AND(Tabela18[[#This Row],[STATUS]]="Em andamento",Tabela18[[#This Row],[DATA REAL -EMAIL]]&lt;&gt;""),1)</f>
        <v>0</v>
      </c>
      <c r="H123" s="16" cm="1">
        <f t="array" aca="1" ref="H12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CLIENTE]]="",$AK123&gt;$AI$1),2,
AND(Tabela18[[#This Row],[STATUS]]="Em andamento",Tabela18[[#This Row],[DATA REAL - DOC CLIENTE]]="",$AK123&lt;=$AI$1),3,
AND(Tabela18[[#This Row],[STATUS]]="Em andamento",Tabela18[[#This Row],[DATA REAL - DOC CLIENTE]]&lt;&gt;""),1)</f>
        <v>1</v>
      </c>
      <c r="I123" s="16" cm="1">
        <f t="array" aca="1" ref="I12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06]]="",$AN123&gt;$AL$1),2,
AND(Tabela18[[#This Row],[STATUS]]="Em andamento",Tabela18[[#This Row],[DATA REAL - ANEXO 06]]="",$AN123&lt;=$AL$1),3,
AND(Tabela18[[#This Row],[STATUS]]="Em andamento",Tabela18[[#This Row],[DATA REAL - ANEXO 06]]&lt;&gt;""),1)</f>
        <v>0</v>
      </c>
      <c r="J123" s="15" cm="1">
        <f t="array" aca="1" ref="J12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LEGAIS]]="",$AQ123&gt;$AO$1),2,
AND(Tabela18[[#This Row],[STATUS]]="Em andamento",Tabela18[[#This Row],[DATA REAL - SOLIC. PROG LEGAIS]]="",$AQ123&lt;=$AO$1),3,
AND(Tabela18[[#This Row],[STATUS]]="Em andamento",Tabela18[[#This Row],[DATA REAL - SOLIC. PROG LEGAIS]]&lt;&gt;""),1)</f>
        <v>1</v>
      </c>
      <c r="K123" s="15" cm="1">
        <f t="array" aca="1" ref="K12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ENVIO]]="",$AT123&gt;$AR$1),2,
AND(Tabela18[[#This Row],[STATUS]]="Em andamento",Tabela18[[#This Row],[DATA REAL - ENVIO]]="",$AT123&lt;=$AR$1),3,
AND(Tabela18[[#This Row],[STATUS]]="Em andamento",Tabela18[[#This Row],[DATA REAL - ENVIO]]&lt;&gt;""),1)</f>
        <v>1</v>
      </c>
      <c r="L123" s="15" cm="1">
        <f t="array" aca="1" ref="L12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POSTAGEM]]="",$AW123&gt;$AU$1),2,
AND(Tabela18[[#This Row],[STATUS]]="Em andamento",Tabela18[[#This Row],[DATA REAL - POSTAGEM]]="",$AW123&lt;=$AU$1),3,
AND(Tabela18[[#This Row],[STATUS]]="Em andamento",Tabela18[[#This Row],[DATA REAL - POSTAGEM]]&lt;&gt;""),1)</f>
        <v>1</v>
      </c>
      <c r="M123" s="16" cm="1">
        <f t="array" aca="1" ref="M12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APROVAÇÃO]]="",$AZ123&gt;$AX$1),2,
AND(Tabela18[[#This Row],[STATUS]]="Em andamento",Tabela18[[#This Row],[DATA REAL - APROVAÇÃO]]="",$AZ123&lt;=$AX$1),3,
AND(Tabela18[[#This Row],[STATUS]]="Em andamento",Tabela18[[#This Row],[DATA REAL - APROVAÇÃO]]&lt;&gt;""),1)</f>
        <v>1</v>
      </c>
      <c r="N123" s="21">
        <f>IF(Tabela18[[#This Row],[DATA REAL -EMAIL]]&lt;&gt;"",Tabela18[[#This Row],[DATA REAL -EMAIL]]+30,Tabela18[[#This Row],[DATA PREV - EMAIL]]+30)</f>
        <v>30</v>
      </c>
      <c r="O12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45896</v>
      </c>
      <c r="P12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1057</v>
      </c>
      <c r="Q12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1057</v>
      </c>
      <c r="R123" s="48">
        <f>MAX(Tabela18[[#This Row],[DATA REAL - POSTAGEM]],Tabela18[[#This Row],[DATA REAL - APROVAÇÃO]])-MIN(Tabela18[[#This Row],[DATA REAL - POSTAGEM]],Tabela18[[#This Row],[DATA REAL - APROVAÇÃO]])+1</f>
        <v>15</v>
      </c>
      <c r="S123" s="16"/>
      <c r="T123" s="16"/>
      <c r="U123" s="18"/>
      <c r="V123" s="18"/>
      <c r="W123" s="16" t="s">
        <v>87</v>
      </c>
      <c r="X123" s="16" t="s">
        <v>89</v>
      </c>
      <c r="Y123" s="16"/>
      <c r="Z123" s="15" t="s">
        <v>249</v>
      </c>
      <c r="AA123" s="15" t="str">
        <f>_xlfn.XLOOKUP(Tabela18[[#This Row],[CÓD. CT]],Controle_Projetos[COD CT],Controle_Projetos[COD PHD],"")</f>
        <v/>
      </c>
      <c r="AB123" s="16"/>
      <c r="AC123" s="21"/>
      <c r="AD123"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23" s="16" t="str" cm="1">
        <f t="array" aca="1" ref="AE12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3" s="21"/>
      <c r="AG123" s="74"/>
      <c r="AH123" s="16" t="str" cm="1">
        <f t="array" aca="1" ref="AH12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123" s="21">
        <f>Tabela18[[#This Row],[DATA PREV - EMAIL]]+$AI$1</f>
        <v>1</v>
      </c>
      <c r="AJ123" s="74">
        <v>45896</v>
      </c>
      <c r="AK123" s="16" t="str" cm="1">
        <f t="array" aca="1" ref="AK12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123" s="20">
        <f t="shared" si="15"/>
        <v>45903</v>
      </c>
      <c r="AM123" s="74"/>
      <c r="AN123" s="15" cm="1">
        <f t="array" aca="1" ref="AN12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23" s="20">
        <f t="shared" si="16"/>
        <v>45904</v>
      </c>
      <c r="AP123" s="74">
        <v>44839</v>
      </c>
      <c r="AQ123" s="15" cm="1">
        <f t="array" aca="1" ref="AQ12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-1064</v>
      </c>
      <c r="AR123" s="20">
        <f t="shared" si="17"/>
        <v>44853</v>
      </c>
      <c r="AS123" s="74">
        <v>44839</v>
      </c>
      <c r="AT123" s="15" cm="1">
        <f t="array" aca="1" ref="AT12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23" s="20">
        <f t="shared" si="18"/>
        <v>44846</v>
      </c>
      <c r="AV123" s="74">
        <v>44839</v>
      </c>
      <c r="AW123" s="15" cm="1">
        <f t="array" aca="1" ref="AW12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23" s="20">
        <f t="shared" si="19"/>
        <v>44840</v>
      </c>
      <c r="AY123" s="74">
        <v>44853</v>
      </c>
      <c r="AZ123" s="15" cm="1">
        <f t="array" aca="1" ref="AZ12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123" s="16" t="s">
        <v>1044</v>
      </c>
    </row>
    <row r="124" spans="2:53" hidden="1" x14ac:dyDescent="0.35">
      <c r="B124" s="14" t="s">
        <v>119</v>
      </c>
      <c r="C124" s="16" t="s">
        <v>136</v>
      </c>
      <c r="D124" s="16" t="s">
        <v>119</v>
      </c>
      <c r="E124" s="16" t="s">
        <v>212</v>
      </c>
      <c r="F124" s="16" cm="1">
        <f t="array" ref="F124">_xlfn.IFS(Tabela18[[#This Row],[STATUS]]="Finalizado",1,Tabela18[[#This Row],[STATUS]]="Cancelado",2,Tabela18[[#This Row],[STATUS]]="Em andamento",3)</f>
        <v>2</v>
      </c>
      <c r="G124" s="16" cm="1">
        <f t="array" aca="1" ref="G12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-EMAIL]]="",$AH124&gt;$AF$1),2,
AND(Tabela18[[#This Row],[STATUS]]="Em andamento",Tabela18[[#This Row],[DATA REAL -EMAIL]]="",$AH124&lt;=$AF$1),3,
AND(Tabela18[[#This Row],[STATUS]]="Em andamento",Tabela18[[#This Row],[DATA REAL -EMAIL]]&lt;&gt;""),1)</f>
        <v>1</v>
      </c>
      <c r="H124" s="16" cm="1">
        <f t="array" aca="1" ref="H12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CLIENTE]]="",$AK124&gt;$AI$1),2,
AND(Tabela18[[#This Row],[STATUS]]="Em andamento",Tabela18[[#This Row],[DATA REAL - DOC CLIENTE]]="",$AK124&lt;=$AI$1),3,
AND(Tabela18[[#This Row],[STATUS]]="Em andamento",Tabela18[[#This Row],[DATA REAL - DOC CLIENTE]]&lt;&gt;""),1)</f>
        <v>1</v>
      </c>
      <c r="I124" s="16" cm="1">
        <f t="array" aca="1" ref="I12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06]]="",$AN124&gt;$AL$1),2,
AND(Tabela18[[#This Row],[STATUS]]="Em andamento",Tabela18[[#This Row],[DATA REAL - ANEXO 06]]="",$AN124&lt;=$AL$1),3,
AND(Tabela18[[#This Row],[STATUS]]="Em andamento",Tabela18[[#This Row],[DATA REAL - ANEXO 06]]&lt;&gt;""),1)</f>
        <v>1</v>
      </c>
      <c r="J124" s="15" cm="1">
        <f t="array" aca="1" ref="J12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LEGAIS]]="",$AQ124&gt;$AO$1),2,
AND(Tabela18[[#This Row],[STATUS]]="Em andamento",Tabela18[[#This Row],[DATA REAL - SOLIC. PROG LEGAIS]]="",$AQ124&lt;=$AO$1),3,
AND(Tabela18[[#This Row],[STATUS]]="Em andamento",Tabela18[[#This Row],[DATA REAL - SOLIC. PROG LEGAIS]]&lt;&gt;""),1)</f>
        <v>1</v>
      </c>
      <c r="K124" s="15" cm="1">
        <f t="array" aca="1" ref="K12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ENVIO]]="",$AT124&gt;$AR$1),2,
AND(Tabela18[[#This Row],[STATUS]]="Em andamento",Tabela18[[#This Row],[DATA REAL - ENVIO]]="",$AT124&lt;=$AR$1),3,
AND(Tabela18[[#This Row],[STATUS]]="Em andamento",Tabela18[[#This Row],[DATA REAL - ENVIO]]&lt;&gt;""),1)</f>
        <v>0</v>
      </c>
      <c r="L124" s="15" cm="1">
        <f t="array" aca="1" ref="L12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POSTAGEM]]="",$AW124&gt;$AU$1),2,
AND(Tabela18[[#This Row],[STATUS]]="Em andamento",Tabela18[[#This Row],[DATA REAL - POSTAGEM]]="",$AW124&lt;=$AU$1),3,
AND(Tabela18[[#This Row],[STATUS]]="Em andamento",Tabela18[[#This Row],[DATA REAL - POSTAGEM]]&lt;&gt;""),1)</f>
        <v>0</v>
      </c>
      <c r="M124" s="16" cm="1">
        <f t="array" aca="1" ref="M12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APROVAÇÃO]]="",$AZ124&gt;$AX$1),2,
AND(Tabela18[[#This Row],[STATUS]]="Em andamento",Tabela18[[#This Row],[DATA REAL - APROVAÇÃO]]="",$AZ124&lt;=$AX$1),3,
AND(Tabela18[[#This Row],[STATUS]]="Em andamento",Tabela18[[#This Row],[DATA REAL - APROVAÇÃO]]&lt;&gt;""),1)</f>
        <v>1</v>
      </c>
      <c r="N124" s="21">
        <f>IF(Tabela18[[#This Row],[DATA REAL -EMAIL]]&lt;&gt;"",Tabela18[[#This Row],[DATA REAL -EMAIL]]+30,Tabela18[[#This Row],[DATA PREV - EMAIL]]+30)</f>
        <v>45639</v>
      </c>
      <c r="O12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45896</v>
      </c>
      <c r="P12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360</v>
      </c>
      <c r="Q12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360</v>
      </c>
      <c r="R124" s="48">
        <f>MAX(Tabela18[[#This Row],[DATA REAL - POSTAGEM]],Tabela18[[#This Row],[DATA REAL - APROVAÇÃO]])-MIN(Tabela18[[#This Row],[DATA REAL - POSTAGEM]],Tabela18[[#This Row],[DATA REAL - APROVAÇÃO]])+1</f>
        <v>1</v>
      </c>
      <c r="S124" s="16" t="s">
        <v>150</v>
      </c>
      <c r="T124" s="16"/>
      <c r="U124" s="18"/>
      <c r="V124" s="18" t="s">
        <v>152</v>
      </c>
      <c r="W124" s="16" t="s">
        <v>87</v>
      </c>
      <c r="X124" s="16" t="s">
        <v>213</v>
      </c>
      <c r="Y124" s="16" t="s">
        <v>214</v>
      </c>
      <c r="Z124" s="15" t="s">
        <v>215</v>
      </c>
      <c r="AA124" s="15" t="str">
        <f>_xlfn.XLOOKUP(Tabela18[[#This Row],[CÓD. CT]],Controle_Projetos[COD CT],Controle_Projetos[COD PHD],"")</f>
        <v>NOBR-CT05-PLAN</v>
      </c>
      <c r="AB124" s="16"/>
      <c r="AC124" s="21">
        <v>45609</v>
      </c>
      <c r="AD12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45536</v>
      </c>
      <c r="AE124" s="16" t="str" cm="1">
        <f t="array" aca="1" ref="AE12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4" s="21">
        <v>45609</v>
      </c>
      <c r="AG124" s="74">
        <v>45609</v>
      </c>
      <c r="AH124" s="16" cm="1">
        <f t="array" aca="1" ref="AH12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4" s="21">
        <f>Tabela18[[#This Row],[DATA PREV - EMAIL]]+$AI$1</f>
        <v>45610</v>
      </c>
      <c r="AJ124" s="74">
        <v>45896</v>
      </c>
      <c r="AK124" s="16" cm="1">
        <f t="array" aca="1" ref="AK12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4" s="20">
        <f t="shared" si="15"/>
        <v>45903</v>
      </c>
      <c r="AM124" s="74">
        <v>45610</v>
      </c>
      <c r="AN124" s="15" cm="1">
        <f t="array" aca="1" ref="AN12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-292</v>
      </c>
      <c r="AO124" s="20">
        <f t="shared" si="16"/>
        <v>45611</v>
      </c>
      <c r="AP124" s="74">
        <v>45610</v>
      </c>
      <c r="AQ124" s="15" cm="1">
        <f t="array" aca="1" ref="AQ12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24" s="20">
        <f t="shared" si="17"/>
        <v>45624</v>
      </c>
      <c r="AS124" s="74"/>
      <c r="AT124" s="15" cm="1">
        <f t="array" aca="1" ref="AT12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4" s="20">
        <f t="shared" si="18"/>
        <v>45631</v>
      </c>
      <c r="AV124" s="74"/>
      <c r="AW124" s="15" cm="1">
        <f t="array" aca="1" ref="AW12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24" s="20">
        <f t="shared" si="19"/>
        <v>45632</v>
      </c>
      <c r="AY124" s="74">
        <v>45625</v>
      </c>
      <c r="AZ124" s="15" cm="1">
        <f t="array" aca="1" ref="AZ12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124" s="16" t="s">
        <v>1045</v>
      </c>
    </row>
    <row r="125" spans="2:53" hidden="1" x14ac:dyDescent="0.35">
      <c r="B125" s="14" t="s">
        <v>79</v>
      </c>
      <c r="C125" s="16" t="s">
        <v>93</v>
      </c>
      <c r="D125" s="16" t="s">
        <v>108</v>
      </c>
      <c r="E125" s="16" t="s">
        <v>115</v>
      </c>
      <c r="F125" s="16" cm="1">
        <f t="array" ref="F125">_xlfn.IFS(Tabela18[[#This Row],[STATUS]]="Finalizado",1,Tabela18[[#This Row],[STATUS]]="Cancelado",2,Tabela18[[#This Row],[STATUS]]="Em andamento",3)</f>
        <v>1</v>
      </c>
      <c r="G125" s="16" cm="1">
        <f t="array" aca="1" ref="G12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-EMAIL]]="",$AH125&gt;$AF$1),2,
AND(Tabela18[[#This Row],[STATUS]]="Em andamento",Tabela18[[#This Row],[DATA REAL -EMAIL]]="",$AH125&lt;=$AF$1),3,
AND(Tabela18[[#This Row],[STATUS]]="Em andamento",Tabela18[[#This Row],[DATA REAL -EMAIL]]&lt;&gt;""),1)</f>
        <v>1</v>
      </c>
      <c r="H125" s="16" cm="1">
        <f t="array" aca="1" ref="H12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CLIENTE]]="",$AK125&gt;$AI$1),2,
AND(Tabela18[[#This Row],[STATUS]]="Em andamento",Tabela18[[#This Row],[DATA REAL - DOC CLIENTE]]="",$AK125&lt;=$AI$1),3,
AND(Tabela18[[#This Row],[STATUS]]="Em andamento",Tabela18[[#This Row],[DATA REAL - DOC CLIENTE]]&lt;&gt;""),1)</f>
        <v>1</v>
      </c>
      <c r="I125" s="16" cm="1">
        <f t="array" aca="1" ref="I12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06]]="",$AN125&gt;$AL$1),2,
AND(Tabela18[[#This Row],[STATUS]]="Em andamento",Tabela18[[#This Row],[DATA REAL - ANEXO 06]]="",$AN125&lt;=$AL$1),3,
AND(Tabela18[[#This Row],[STATUS]]="Em andamento",Tabela18[[#This Row],[DATA REAL - ANEXO 06]]&lt;&gt;""),1)</f>
        <v>1</v>
      </c>
      <c r="J125" s="15" cm="1">
        <f t="array" aca="1" ref="J12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LEGAIS]]="",$AQ125&gt;$AO$1),2,
AND(Tabela18[[#This Row],[STATUS]]="Em andamento",Tabela18[[#This Row],[DATA REAL - SOLIC. PROG LEGAIS]]="",$AQ125&lt;=$AO$1),3,
AND(Tabela18[[#This Row],[STATUS]]="Em andamento",Tabela18[[#This Row],[DATA REAL - SOLIC. PROG LEGAIS]]&lt;&gt;""),1)</f>
        <v>1</v>
      </c>
      <c r="K125" s="15" cm="1">
        <f t="array" aca="1" ref="K12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ENVIO]]="",$AT125&gt;$AR$1),2,
AND(Tabela18[[#This Row],[STATUS]]="Em andamento",Tabela18[[#This Row],[DATA REAL - ENVIO]]="",$AT125&lt;=$AR$1),3,
AND(Tabela18[[#This Row],[STATUS]]="Em andamento",Tabela18[[#This Row],[DATA REAL - ENVIO]]&lt;&gt;""),1)</f>
        <v>1</v>
      </c>
      <c r="L125" s="15" cm="1">
        <f t="array" aca="1" ref="L12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POSTAGEM]]="",$AW125&gt;$AU$1),2,
AND(Tabela18[[#This Row],[STATUS]]="Em andamento",Tabela18[[#This Row],[DATA REAL - POSTAGEM]]="",$AW125&lt;=$AU$1),3,
AND(Tabela18[[#This Row],[STATUS]]="Em andamento",Tabela18[[#This Row],[DATA REAL - POSTAGEM]]&lt;&gt;""),1)</f>
        <v>1</v>
      </c>
      <c r="M125" s="16" cm="1">
        <f t="array" aca="1" ref="M12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APROVAÇÃO]]="",$AZ125&gt;$AX$1),2,
AND(Tabela18[[#This Row],[STATUS]]="Em andamento",Tabela18[[#This Row],[DATA REAL - APROVAÇÃO]]="",$AZ125&lt;=$AX$1),3,
AND(Tabela18[[#This Row],[STATUS]]="Em andamento",Tabela18[[#This Row],[DATA REAL - APROVAÇÃO]]&lt;&gt;""),1)</f>
        <v>1</v>
      </c>
      <c r="N125" s="21">
        <f>IF(Tabela18[[#This Row],[DATA REAL -EMAIL]]&lt;&gt;"",Tabela18[[#This Row],[DATA REAL -EMAIL]]+30,Tabela18[[#This Row],[DATA PREV - EMAIL]]+30)</f>
        <v>45648</v>
      </c>
      <c r="O12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45896</v>
      </c>
      <c r="P12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278</v>
      </c>
      <c r="Q12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278</v>
      </c>
      <c r="R125" s="48">
        <f>MAX(Tabela18[[#This Row],[DATA REAL - POSTAGEM]],Tabela18[[#This Row],[DATA REAL - APROVAÇÃO]])-MIN(Tabela18[[#This Row],[DATA REAL - POSTAGEM]],Tabela18[[#This Row],[DATA REAL - APROVAÇÃO]])+1</f>
        <v>24</v>
      </c>
      <c r="S125" s="16" t="s">
        <v>83</v>
      </c>
      <c r="T125" s="16"/>
      <c r="U125" s="18" t="s">
        <v>1032</v>
      </c>
      <c r="V125" s="18" t="s">
        <v>86</v>
      </c>
      <c r="W125" s="16" t="s">
        <v>97</v>
      </c>
      <c r="X125" s="16" t="s">
        <v>89</v>
      </c>
      <c r="Y125" s="16" t="s">
        <v>1046</v>
      </c>
      <c r="Z125" s="15" t="s">
        <v>117</v>
      </c>
      <c r="AA125" s="15" t="str">
        <f>_xlfn.XLOOKUP(Tabela18[[#This Row],[CÓD. CT]],Controle_Projetos[COD CT],Controle_Projetos[COD PHD],"")</f>
        <v>GCES-CT01-PLAN</v>
      </c>
      <c r="AB125" s="16" t="s">
        <v>1047</v>
      </c>
      <c r="AC125" s="21">
        <v>45618</v>
      </c>
      <c r="AD12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45635</v>
      </c>
      <c r="AE125" s="16" cm="1">
        <f t="array" aca="1" ref="AE12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18</v>
      </c>
      <c r="AF125" s="21">
        <v>45618</v>
      </c>
      <c r="AG125" s="74">
        <v>45618</v>
      </c>
      <c r="AH125" s="16" cm="1">
        <f t="array" aca="1" ref="AH12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5" s="21">
        <f>Tabela18[[#This Row],[DATA PREV - EMAIL]]+$AI$1</f>
        <v>45619</v>
      </c>
      <c r="AJ125" s="74">
        <v>45896</v>
      </c>
      <c r="AK125" s="16" cm="1">
        <f t="array" aca="1" ref="AK12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5" s="20">
        <f t="shared" si="15"/>
        <v>45903</v>
      </c>
      <c r="AM125" s="74">
        <v>45622</v>
      </c>
      <c r="AN125" s="15" cm="1">
        <f t="array" aca="1" ref="AN12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-280</v>
      </c>
      <c r="AO125" s="20">
        <f t="shared" si="16"/>
        <v>45623</v>
      </c>
      <c r="AP125" s="74">
        <v>45622</v>
      </c>
      <c r="AQ125" s="15" cm="1">
        <f t="array" aca="1" ref="AQ12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25" s="20">
        <f t="shared" si="17"/>
        <v>45636</v>
      </c>
      <c r="AS125" s="74">
        <v>45649</v>
      </c>
      <c r="AT125" s="15" cm="1">
        <f t="array" aca="1" ref="AT12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14</v>
      </c>
      <c r="AU125" s="20">
        <f t="shared" si="18"/>
        <v>45656</v>
      </c>
      <c r="AV125" s="74">
        <v>45636</v>
      </c>
      <c r="AW125" s="15" cm="1">
        <f t="array" aca="1" ref="AW12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-19</v>
      </c>
      <c r="AX125" s="20">
        <f t="shared" si="19"/>
        <v>45637</v>
      </c>
      <c r="AY125" s="74">
        <v>45659</v>
      </c>
      <c r="AZ125" s="15" cm="1">
        <f t="array" aca="1" ref="AZ12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23</v>
      </c>
      <c r="BA125" s="16" t="s">
        <v>1048</v>
      </c>
    </row>
    <row r="126" spans="2:53" hidden="1" x14ac:dyDescent="0.35">
      <c r="B126" s="14" t="s">
        <v>79</v>
      </c>
      <c r="C126" s="16" t="s">
        <v>93</v>
      </c>
      <c r="D126" s="16" t="s">
        <v>108</v>
      </c>
      <c r="E126" s="16" t="s">
        <v>1049</v>
      </c>
      <c r="F126" s="16" cm="1">
        <f t="array" ref="F126">_xlfn.IFS(Tabela18[[#This Row],[STATUS]]="Finalizado",1,Tabela18[[#This Row],[STATUS]]="Cancelado",2,Tabela18[[#This Row],[STATUS]]="Em andamento",3)</f>
        <v>1</v>
      </c>
      <c r="G126" s="16" cm="1">
        <f t="array" aca="1" ref="G12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-EMAIL]]="",$AH126&gt;$AF$1),2,
AND(Tabela18[[#This Row],[STATUS]]="Em andamento",Tabela18[[#This Row],[DATA REAL -EMAIL]]="",$AH126&lt;=$AF$1),3,
AND(Tabela18[[#This Row],[STATUS]]="Em andamento",Tabela18[[#This Row],[DATA REAL -EMAIL]]&lt;&gt;""),1)</f>
        <v>1</v>
      </c>
      <c r="H126" s="16" cm="1">
        <f t="array" aca="1" ref="H12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CLIENTE]]="",$AK126&gt;$AI$1),2,
AND(Tabela18[[#This Row],[STATUS]]="Em andamento",Tabela18[[#This Row],[DATA REAL - DOC CLIENTE]]="",$AK126&lt;=$AI$1),3,
AND(Tabela18[[#This Row],[STATUS]]="Em andamento",Tabela18[[#This Row],[DATA REAL - DOC CLIENTE]]&lt;&gt;""),1)</f>
        <v>1</v>
      </c>
      <c r="I126" s="16" cm="1">
        <f t="array" aca="1" ref="I12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06]]="",$AN126&gt;$AL$1),2,
AND(Tabela18[[#This Row],[STATUS]]="Em andamento",Tabela18[[#This Row],[DATA REAL - ANEXO 06]]="",$AN126&lt;=$AL$1),3,
AND(Tabela18[[#This Row],[STATUS]]="Em andamento",Tabela18[[#This Row],[DATA REAL - ANEXO 06]]&lt;&gt;""),1)</f>
        <v>1</v>
      </c>
      <c r="J126" s="15" cm="1">
        <f t="array" aca="1" ref="J12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LEGAIS]]="",$AQ126&gt;$AO$1),2,
AND(Tabela18[[#This Row],[STATUS]]="Em andamento",Tabela18[[#This Row],[DATA REAL - SOLIC. PROG LEGAIS]]="",$AQ126&lt;=$AO$1),3,
AND(Tabela18[[#This Row],[STATUS]]="Em andamento",Tabela18[[#This Row],[DATA REAL - SOLIC. PROG LEGAIS]]&lt;&gt;""),1)</f>
        <v>1</v>
      </c>
      <c r="K126" s="15" cm="1">
        <f t="array" aca="1" ref="K12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ENVIO]]="",$AT126&gt;$AR$1),2,
AND(Tabela18[[#This Row],[STATUS]]="Em andamento",Tabela18[[#This Row],[DATA REAL - ENVIO]]="",$AT126&lt;=$AR$1),3,
AND(Tabela18[[#This Row],[STATUS]]="Em andamento",Tabela18[[#This Row],[DATA REAL - ENVIO]]&lt;&gt;""),1)</f>
        <v>1</v>
      </c>
      <c r="L126" s="15" cm="1">
        <f t="array" aca="1" ref="L12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POSTAGEM]]="",$AW126&gt;$AU$1),2,
AND(Tabela18[[#This Row],[STATUS]]="Em andamento",Tabela18[[#This Row],[DATA REAL - POSTAGEM]]="",$AW126&lt;=$AU$1),3,
AND(Tabela18[[#This Row],[STATUS]]="Em andamento",Tabela18[[#This Row],[DATA REAL - POSTAGEM]]&lt;&gt;""),1)</f>
        <v>1</v>
      </c>
      <c r="M126" s="16" cm="1">
        <f t="array" aca="1" ref="M12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APROVAÇÃO]]="",$AZ126&gt;$AX$1),2,
AND(Tabela18[[#This Row],[STATUS]]="Em andamento",Tabela18[[#This Row],[DATA REAL - APROVAÇÃO]]="",$AZ126&lt;=$AX$1),3,
AND(Tabela18[[#This Row],[STATUS]]="Em andamento",Tabela18[[#This Row],[DATA REAL - APROVAÇÃO]]&lt;&gt;""),1)</f>
        <v>1</v>
      </c>
      <c r="N126" s="21">
        <f>IF(Tabela18[[#This Row],[DATA REAL -EMAIL]]&lt;&gt;"",Tabela18[[#This Row],[DATA REAL -EMAIL]]+30,Tabela18[[#This Row],[DATA PREV - EMAIL]]+30)</f>
        <v>45655</v>
      </c>
      <c r="O12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45896</v>
      </c>
      <c r="P12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272</v>
      </c>
      <c r="Q12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272</v>
      </c>
      <c r="R126" s="48">
        <f>MAX(Tabela18[[#This Row],[DATA REAL - POSTAGEM]],Tabela18[[#This Row],[DATA REAL - APROVAÇÃO]])-MIN(Tabela18[[#This Row],[DATA REAL - POSTAGEM]],Tabela18[[#This Row],[DATA REAL - APROVAÇÃO]])+1</f>
        <v>3</v>
      </c>
      <c r="S126" s="16" t="s">
        <v>978</v>
      </c>
      <c r="T126" s="16"/>
      <c r="U126" s="18" t="s">
        <v>979</v>
      </c>
      <c r="V126" s="18" t="s">
        <v>979</v>
      </c>
      <c r="W126" s="16" t="s">
        <v>97</v>
      </c>
      <c r="X126" s="16" t="s">
        <v>132</v>
      </c>
      <c r="Y126" s="16" t="s">
        <v>1050</v>
      </c>
      <c r="Z126" s="15" t="s">
        <v>1051</v>
      </c>
      <c r="AA126" s="15" t="str">
        <f>_xlfn.XLOOKUP(Tabela18[[#This Row],[CÓD. CT]],Controle_Projetos[COD CT],Controle_Projetos[COD PHD],"")</f>
        <v>GERD-CT09-PIND</v>
      </c>
      <c r="AB126" s="16">
        <v>4521051448</v>
      </c>
      <c r="AC126" s="21">
        <v>45625</v>
      </c>
      <c r="AD12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45624</v>
      </c>
      <c r="AE126" s="16" cm="1">
        <f t="array" aca="1" ref="AE12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26" s="21">
        <v>45625</v>
      </c>
      <c r="AG126" s="74">
        <v>45625</v>
      </c>
      <c r="AH126" s="16" cm="1">
        <f t="array" aca="1" ref="AH12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6" s="21">
        <f>Tabela18[[#This Row],[DATA PREV - EMAIL]]+$AI$1</f>
        <v>45626</v>
      </c>
      <c r="AJ126" s="74">
        <v>45896</v>
      </c>
      <c r="AK126" s="16" cm="1">
        <f t="array" aca="1" ref="AK12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6" s="20">
        <f t="shared" si="15"/>
        <v>45903</v>
      </c>
      <c r="AM126" s="74">
        <v>45628</v>
      </c>
      <c r="AN126" s="15" cm="1">
        <f t="array" aca="1" ref="AN12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-274</v>
      </c>
      <c r="AO126" s="20">
        <f t="shared" si="16"/>
        <v>45629</v>
      </c>
      <c r="AP126" s="74">
        <v>45629</v>
      </c>
      <c r="AQ126" s="15" cm="1">
        <f t="array" aca="1" ref="AQ12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26" s="20">
        <f t="shared" si="17"/>
        <v>45643</v>
      </c>
      <c r="AS126" s="74">
        <v>45638</v>
      </c>
      <c r="AT126" s="15" cm="1">
        <f t="array" aca="1" ref="AT12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26" s="20">
        <f t="shared" si="18"/>
        <v>45645</v>
      </c>
      <c r="AV126" s="74">
        <v>45638</v>
      </c>
      <c r="AW126" s="15" cm="1">
        <f t="array" aca="1" ref="AW12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26" s="20">
        <f t="shared" si="19"/>
        <v>45639</v>
      </c>
      <c r="AY126" s="74">
        <v>45640</v>
      </c>
      <c r="AZ126" s="15" cm="1">
        <f t="array" aca="1" ref="AZ12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26" s="16" t="s">
        <v>1052</v>
      </c>
    </row>
    <row r="127" spans="2:53" hidden="1" x14ac:dyDescent="0.35">
      <c r="B127" s="14" t="s">
        <v>79</v>
      </c>
      <c r="C127" s="16" t="s">
        <v>136</v>
      </c>
      <c r="D127" s="16" t="s">
        <v>108</v>
      </c>
      <c r="E127" s="16" t="s">
        <v>970</v>
      </c>
      <c r="F127" s="16" cm="1">
        <f t="array" ref="F127">_xlfn.IFS(Tabela18[[#This Row],[STATUS]]="Finalizado",1,Tabela18[[#This Row],[STATUS]]="Cancelado",2,Tabela18[[#This Row],[STATUS]]="Em andamento",3)</f>
        <v>1</v>
      </c>
      <c r="G127" s="16" cm="1">
        <f t="array" aca="1" ref="G12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-EMAIL]]="",$AH127&gt;$AF$1),2,
AND(Tabela18[[#This Row],[STATUS]]="Em andamento",Tabela18[[#This Row],[DATA REAL -EMAIL]]="",$AH127&lt;=$AF$1),3,
AND(Tabela18[[#This Row],[STATUS]]="Em andamento",Tabela18[[#This Row],[DATA REAL -EMAIL]]&lt;&gt;""),1)</f>
        <v>1</v>
      </c>
      <c r="H127" s="16" cm="1">
        <f t="array" aca="1" ref="H12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CLIENTE]]="",$AK127&gt;$AI$1),2,
AND(Tabela18[[#This Row],[STATUS]]="Em andamento",Tabela18[[#This Row],[DATA REAL - DOC CLIENTE]]="",$AK127&lt;=$AI$1),3,
AND(Tabela18[[#This Row],[STATUS]]="Em andamento",Tabela18[[#This Row],[DATA REAL - DOC CLIENTE]]&lt;&gt;""),1)</f>
        <v>1</v>
      </c>
      <c r="I127" s="16" cm="1">
        <f t="array" aca="1" ref="I12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06]]="",$AN127&gt;$AL$1),2,
AND(Tabela18[[#This Row],[STATUS]]="Em andamento",Tabela18[[#This Row],[DATA REAL - ANEXO 06]]="",$AN127&lt;=$AL$1),3,
AND(Tabela18[[#This Row],[STATUS]]="Em andamento",Tabela18[[#This Row],[DATA REAL - ANEXO 06]]&lt;&gt;""),1)</f>
        <v>1</v>
      </c>
      <c r="J127" s="15" cm="1">
        <f t="array" aca="1" ref="J12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LEGAIS]]="",$AQ127&gt;$AO$1),2,
AND(Tabela18[[#This Row],[STATUS]]="Em andamento",Tabela18[[#This Row],[DATA REAL - SOLIC. PROG LEGAIS]]="",$AQ127&lt;=$AO$1),3,
AND(Tabela18[[#This Row],[STATUS]]="Em andamento",Tabela18[[#This Row],[DATA REAL - SOLIC. PROG LEGAIS]]&lt;&gt;""),1)</f>
        <v>1</v>
      </c>
      <c r="K127" s="15" cm="1">
        <f t="array" aca="1" ref="K12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ENVIO]]="",$AT127&gt;$AR$1),2,
AND(Tabela18[[#This Row],[STATUS]]="Em andamento",Tabela18[[#This Row],[DATA REAL - ENVIO]]="",$AT127&lt;=$AR$1),3,
AND(Tabela18[[#This Row],[STATUS]]="Em andamento",Tabela18[[#This Row],[DATA REAL - ENVIO]]&lt;&gt;""),1)</f>
        <v>1</v>
      </c>
      <c r="L127" s="15" cm="1">
        <f t="array" aca="1" ref="L12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POSTAGEM]]="",$AW127&gt;$AU$1),2,
AND(Tabela18[[#This Row],[STATUS]]="Em andamento",Tabela18[[#This Row],[DATA REAL - POSTAGEM]]="",$AW127&lt;=$AU$1),3,
AND(Tabela18[[#This Row],[STATUS]]="Em andamento",Tabela18[[#This Row],[DATA REAL - POSTAGEM]]&lt;&gt;""),1)</f>
        <v>1</v>
      </c>
      <c r="M127" s="16" cm="1">
        <f t="array" aca="1" ref="M12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APROVAÇÃO]]="",$AZ127&gt;$AX$1),2,
AND(Tabela18[[#This Row],[STATUS]]="Em andamento",Tabela18[[#This Row],[DATA REAL - APROVAÇÃO]]="",$AZ127&lt;=$AX$1),3,
AND(Tabela18[[#This Row],[STATUS]]="Em andamento",Tabela18[[#This Row],[DATA REAL - APROVAÇÃO]]&lt;&gt;""),1)</f>
        <v>1</v>
      </c>
      <c r="N127" s="21">
        <f>IF(Tabela18[[#This Row],[DATA REAL -EMAIL]]&lt;&gt;"",Tabela18[[#This Row],[DATA REAL -EMAIL]]+30,Tabela18[[#This Row],[DATA PREV - EMAIL]]+30)</f>
        <v>45666</v>
      </c>
      <c r="O12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45896</v>
      </c>
      <c r="P12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270</v>
      </c>
      <c r="Q12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270</v>
      </c>
      <c r="R127" s="48">
        <f>MAX(Tabela18[[#This Row],[DATA REAL - POSTAGEM]],Tabela18[[#This Row],[DATA REAL - APROVAÇÃO]])-MIN(Tabela18[[#This Row],[DATA REAL - POSTAGEM]],Tabela18[[#This Row],[DATA REAL - APROVAÇÃO]])+1</f>
        <v>1</v>
      </c>
      <c r="S127" s="16"/>
      <c r="T127" s="16"/>
      <c r="U127" s="18"/>
      <c r="V127" s="18" t="s">
        <v>86</v>
      </c>
      <c r="W127" s="16" t="s">
        <v>97</v>
      </c>
      <c r="X127" s="16" t="s">
        <v>1053</v>
      </c>
      <c r="Y127" s="16" t="s">
        <v>140</v>
      </c>
      <c r="Z127" s="15" t="s">
        <v>141</v>
      </c>
      <c r="AA127" s="15" t="str">
        <f>_xlfn.XLOOKUP(Tabela18[[#This Row],[CÓD. CT]],Controle_Projetos[COD CT],Controle_Projetos[COD PHD],"")</f>
        <v>ATRI-CT02-PLAN</v>
      </c>
      <c r="AB127" s="16"/>
      <c r="AC127" s="21">
        <v>45636</v>
      </c>
      <c r="AD12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45626</v>
      </c>
      <c r="AE127" s="16" t="str" cm="1">
        <f t="array" aca="1" ref="AE12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7" s="21">
        <v>45636</v>
      </c>
      <c r="AG127" s="74">
        <v>45636</v>
      </c>
      <c r="AH127" s="16" cm="1">
        <f t="array" aca="1" ref="AH12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7" s="21">
        <f>Tabela18[[#This Row],[DATA PREV - EMAIL]]+$AI$1</f>
        <v>45637</v>
      </c>
      <c r="AJ127" s="74">
        <v>45896</v>
      </c>
      <c r="AK127" s="16" cm="1">
        <f t="array" aca="1" ref="AK12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7" s="20">
        <f t="shared" si="15"/>
        <v>45903</v>
      </c>
      <c r="AM127" s="74">
        <v>45643</v>
      </c>
      <c r="AN127" s="15" cm="1">
        <f t="array" aca="1" ref="AN12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-259</v>
      </c>
      <c r="AO127" s="20">
        <f t="shared" si="16"/>
        <v>45644</v>
      </c>
      <c r="AP127" s="74">
        <v>45659</v>
      </c>
      <c r="AQ127" s="15" cm="1">
        <f t="array" aca="1" ref="AQ12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16</v>
      </c>
      <c r="AR127" s="20">
        <f t="shared" si="17"/>
        <v>45673</v>
      </c>
      <c r="AS127" s="74">
        <v>45671</v>
      </c>
      <c r="AT127" s="15" cm="1">
        <f t="array" aca="1" ref="AT12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7" s="20">
        <f t="shared" si="18"/>
        <v>45678</v>
      </c>
      <c r="AV127" s="74">
        <v>45671</v>
      </c>
      <c r="AW127" s="15" cm="1">
        <f t="array" aca="1" ref="AW12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27" s="20">
        <f t="shared" si="19"/>
        <v>45672</v>
      </c>
      <c r="AY127" s="74">
        <v>45671</v>
      </c>
      <c r="AZ127" s="15" cm="1">
        <f t="array" aca="1" ref="AZ12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27" s="16" t="s">
        <v>1054</v>
      </c>
    </row>
    <row r="128" spans="2:53" hidden="1" x14ac:dyDescent="0.35">
      <c r="B128" s="14" t="s">
        <v>79</v>
      </c>
      <c r="C128" s="16" t="s">
        <v>147</v>
      </c>
      <c r="D128" s="16" t="s">
        <v>108</v>
      </c>
      <c r="E128" s="16" t="s">
        <v>1049</v>
      </c>
      <c r="F128" s="16" cm="1">
        <f t="array" ref="F128">_xlfn.IFS(Tabela18[[#This Row],[STATUS]]="Finalizado",1,Tabela18[[#This Row],[STATUS]]="Cancelado",2,Tabela18[[#This Row],[STATUS]]="Em andamento",3)</f>
        <v>1</v>
      </c>
      <c r="G128" s="16" cm="1">
        <f t="array" aca="1" ref="G12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-EMAIL]]="",$AH128&gt;$AF$1),2,
AND(Tabela18[[#This Row],[STATUS]]="Em andamento",Tabela18[[#This Row],[DATA REAL -EMAIL]]="",$AH128&lt;=$AF$1),3,
AND(Tabela18[[#This Row],[STATUS]]="Em andamento",Tabela18[[#This Row],[DATA REAL -EMAIL]]&lt;&gt;""),1)</f>
        <v>1</v>
      </c>
      <c r="H128" s="16" cm="1">
        <f t="array" aca="1" ref="H12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CLIENTE]]="",$AK128&gt;$AI$1),2,
AND(Tabela18[[#This Row],[STATUS]]="Em andamento",Tabela18[[#This Row],[DATA REAL - DOC CLIENTE]]="",$AK128&lt;=$AI$1),3,
AND(Tabela18[[#This Row],[STATUS]]="Em andamento",Tabela18[[#This Row],[DATA REAL - DOC CLIENTE]]&lt;&gt;""),1)</f>
        <v>1</v>
      </c>
      <c r="I128" s="16" cm="1">
        <f t="array" aca="1" ref="I12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06]]="",$AN128&gt;$AL$1),2,
AND(Tabela18[[#This Row],[STATUS]]="Em andamento",Tabela18[[#This Row],[DATA REAL - ANEXO 06]]="",$AN128&lt;=$AL$1),3,
AND(Tabela18[[#This Row],[STATUS]]="Em andamento",Tabela18[[#This Row],[DATA REAL - ANEXO 06]]&lt;&gt;""),1)</f>
        <v>1</v>
      </c>
      <c r="J128" s="15" cm="1">
        <f t="array" aca="1" ref="J12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LEGAIS]]="",$AQ128&gt;$AO$1),2,
AND(Tabela18[[#This Row],[STATUS]]="Em andamento",Tabela18[[#This Row],[DATA REAL - SOLIC. PROG LEGAIS]]="",$AQ128&lt;=$AO$1),3,
AND(Tabela18[[#This Row],[STATUS]]="Em andamento",Tabela18[[#This Row],[DATA REAL - SOLIC. PROG LEGAIS]]&lt;&gt;""),1)</f>
        <v>1</v>
      </c>
      <c r="K128" s="15" cm="1">
        <f t="array" aca="1" ref="K12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ENVIO]]="",$AT128&gt;$AR$1),2,
AND(Tabela18[[#This Row],[STATUS]]="Em andamento",Tabela18[[#This Row],[DATA REAL - ENVIO]]="",$AT128&lt;=$AR$1),3,
AND(Tabela18[[#This Row],[STATUS]]="Em andamento",Tabela18[[#This Row],[DATA REAL - ENVIO]]&lt;&gt;""),1)</f>
        <v>1</v>
      </c>
      <c r="L128" s="15" cm="1">
        <f t="array" aca="1" ref="L12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POSTAGEM]]="",$AW128&gt;$AU$1),2,
AND(Tabela18[[#This Row],[STATUS]]="Em andamento",Tabela18[[#This Row],[DATA REAL - POSTAGEM]]="",$AW128&lt;=$AU$1),3,
AND(Tabela18[[#This Row],[STATUS]]="Em andamento",Tabela18[[#This Row],[DATA REAL - POSTAGEM]]&lt;&gt;""),1)</f>
        <v>1</v>
      </c>
      <c r="M128" s="16" cm="1">
        <f t="array" aca="1" ref="M12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APROVAÇÃO]]="",$AZ128&gt;$AX$1),2,
AND(Tabela18[[#This Row],[STATUS]]="Em andamento",Tabela18[[#This Row],[DATA REAL - APROVAÇÃO]]="",$AZ128&lt;=$AX$1),3,
AND(Tabela18[[#This Row],[STATUS]]="Em andamento",Tabela18[[#This Row],[DATA REAL - APROVAÇÃO]]&lt;&gt;""),1)</f>
        <v>1</v>
      </c>
      <c r="N128" s="21">
        <f>IF(Tabela18[[#This Row],[DATA REAL -EMAIL]]&lt;&gt;"",Tabela18[[#This Row],[DATA REAL -EMAIL]]+30,Tabela18[[#This Row],[DATA PREV - EMAIL]]+30)</f>
        <v>45675</v>
      </c>
      <c r="O12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45903</v>
      </c>
      <c r="P12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261</v>
      </c>
      <c r="Q12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261</v>
      </c>
      <c r="R128" s="48">
        <f>MAX(Tabela18[[#This Row],[DATA REAL - POSTAGEM]],Tabela18[[#This Row],[DATA REAL - APROVAÇÃO]])-MIN(Tabela18[[#This Row],[DATA REAL - POSTAGEM]],Tabela18[[#This Row],[DATA REAL - APROVAÇÃO]])+1</f>
        <v>4</v>
      </c>
      <c r="S128" s="16" t="s">
        <v>130</v>
      </c>
      <c r="T128" s="16"/>
      <c r="U128" s="18" t="s">
        <v>131</v>
      </c>
      <c r="V128" s="18" t="s">
        <v>131</v>
      </c>
      <c r="W128" s="16" t="s">
        <v>97</v>
      </c>
      <c r="X128" s="16" t="s">
        <v>132</v>
      </c>
      <c r="Y128" s="16" t="s">
        <v>1055</v>
      </c>
      <c r="Z128" s="15" t="s">
        <v>134</v>
      </c>
      <c r="AA128" s="15" t="str">
        <f>_xlfn.XLOOKUP(Tabela18[[#This Row],[CÓD. CT]],Controle_Projetos[COD CT],Controle_Projetos[COD PHD],"")</f>
        <v>GERD-CT05-TARU</v>
      </c>
      <c r="AB128" s="16">
        <v>4520244454</v>
      </c>
      <c r="AC128" s="21">
        <v>45644</v>
      </c>
      <c r="AD12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45642</v>
      </c>
      <c r="AE128" s="16" t="str" cm="1">
        <f t="array" aca="1" ref="AE12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8" s="21">
        <v>45645</v>
      </c>
      <c r="AG128" s="74">
        <v>45645</v>
      </c>
      <c r="AH128" s="16" cm="1">
        <f t="array" aca="1" ref="AH12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8" s="21">
        <f>Tabela18[[#This Row],[DATA PREV - EMAIL]]+$AI$1</f>
        <v>45646</v>
      </c>
      <c r="AJ128" s="74">
        <v>45903</v>
      </c>
      <c r="AK128" s="16" cm="1">
        <f t="array" aca="1" ref="AK12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8" s="20">
        <f t="shared" si="15"/>
        <v>45910</v>
      </c>
      <c r="AM128" s="74">
        <v>45645</v>
      </c>
      <c r="AN128" s="15" cm="1">
        <f t="array" aca="1" ref="AN12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-264</v>
      </c>
      <c r="AO128" s="20">
        <f t="shared" si="16"/>
        <v>45646</v>
      </c>
      <c r="AP128" s="74">
        <v>45645</v>
      </c>
      <c r="AQ128" s="15" cm="1">
        <f t="array" aca="1" ref="AQ12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28" s="20">
        <f t="shared" si="17"/>
        <v>45659</v>
      </c>
      <c r="AS128" s="74">
        <v>45653</v>
      </c>
      <c r="AT128" s="15" cm="1">
        <f t="array" aca="1" ref="AT12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28" s="20">
        <f t="shared" si="18"/>
        <v>45660</v>
      </c>
      <c r="AV128" s="74">
        <v>45653</v>
      </c>
      <c r="AW128" s="15" cm="1">
        <f t="array" aca="1" ref="AW12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28" s="20">
        <f t="shared" si="19"/>
        <v>45656</v>
      </c>
      <c r="AY128" s="74">
        <v>45656</v>
      </c>
      <c r="AZ128" s="15" cm="1">
        <f t="array" aca="1" ref="AZ12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28" s="16" t="s">
        <v>1056</v>
      </c>
    </row>
    <row r="129" spans="2:53" hidden="1" x14ac:dyDescent="0.35">
      <c r="B129" s="14" t="s">
        <v>119</v>
      </c>
      <c r="C129" s="16" t="s">
        <v>136</v>
      </c>
      <c r="D129" s="16" t="s">
        <v>119</v>
      </c>
      <c r="E129" s="16" t="s">
        <v>1057</v>
      </c>
      <c r="F129" s="16" cm="1">
        <f t="array" ref="F129">_xlfn.IFS(Tabela18[[#This Row],[STATUS]]="Finalizado",1,Tabela18[[#This Row],[STATUS]]="Cancelado",2,Tabela18[[#This Row],[STATUS]]="Em andamento",3)</f>
        <v>2</v>
      </c>
      <c r="G129" s="16" cm="1">
        <f t="array" aca="1" ref="G12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-EMAIL]]="",$AH129&gt;$AF$1),2,
AND(Tabela18[[#This Row],[STATUS]]="Em andamento",Tabela18[[#This Row],[DATA REAL -EMAIL]]="",$AH129&lt;=$AF$1),3,
AND(Tabela18[[#This Row],[STATUS]]="Em andamento",Tabela18[[#This Row],[DATA REAL -EMAIL]]&lt;&gt;""),1)</f>
        <v>1</v>
      </c>
      <c r="H129" s="16" cm="1">
        <f t="array" aca="1" ref="H12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CLIENTE]]="",$AK129&gt;$AI$1),2,
AND(Tabela18[[#This Row],[STATUS]]="Em andamento",Tabela18[[#This Row],[DATA REAL - DOC CLIENTE]]="",$AK129&lt;=$AI$1),3,
AND(Tabela18[[#This Row],[STATUS]]="Em andamento",Tabela18[[#This Row],[DATA REAL - DOC CLIENTE]]&lt;&gt;""),1)</f>
        <v>1</v>
      </c>
      <c r="I129" s="16" cm="1">
        <f t="array" aca="1" ref="I12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06]]="",$AN129&gt;$AL$1),2,
AND(Tabela18[[#This Row],[STATUS]]="Em andamento",Tabela18[[#This Row],[DATA REAL - ANEXO 06]]="",$AN129&lt;=$AL$1),3,
AND(Tabela18[[#This Row],[STATUS]]="Em andamento",Tabela18[[#This Row],[DATA REAL - ANEXO 06]]&lt;&gt;""),1)</f>
        <v>0</v>
      </c>
      <c r="J129" s="15" cm="1">
        <f t="array" aca="1" ref="J12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LEGAIS]]="",$AQ129&gt;$AO$1),2,
AND(Tabela18[[#This Row],[STATUS]]="Em andamento",Tabela18[[#This Row],[DATA REAL - SOLIC. PROG LEGAIS]]="",$AQ129&lt;=$AO$1),3,
AND(Tabela18[[#This Row],[STATUS]]="Em andamento",Tabela18[[#This Row],[DATA REAL - SOLIC. PROG LEGAIS]]&lt;&gt;""),1)</f>
        <v>0</v>
      </c>
      <c r="K129" s="15" cm="1">
        <f t="array" aca="1" ref="K12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ENVIO]]="",$AT129&gt;$AR$1),2,
AND(Tabela18[[#This Row],[STATUS]]="Em andamento",Tabela18[[#This Row],[DATA REAL - ENVIO]]="",$AT129&lt;=$AR$1),3,
AND(Tabela18[[#This Row],[STATUS]]="Em andamento",Tabela18[[#This Row],[DATA REAL - ENVIO]]&lt;&gt;""),1)</f>
        <v>0</v>
      </c>
      <c r="L129" s="15" cm="1">
        <f t="array" aca="1" ref="L12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POSTAGEM]]="",$AW129&gt;$AU$1),2,
AND(Tabela18[[#This Row],[STATUS]]="Em andamento",Tabela18[[#This Row],[DATA REAL - POSTAGEM]]="",$AW129&lt;=$AU$1),3,
AND(Tabela18[[#This Row],[STATUS]]="Em andamento",Tabela18[[#This Row],[DATA REAL - POSTAGEM]]&lt;&gt;""),1)</f>
        <v>0</v>
      </c>
      <c r="M129" s="16" cm="1">
        <f t="array" aca="1" ref="M12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APROVAÇÃO]]="",$AZ129&gt;$AX$1),2,
AND(Tabela18[[#This Row],[STATUS]]="Em andamento",Tabela18[[#This Row],[DATA REAL - APROVAÇÃO]]="",$AZ129&lt;=$AX$1),3,
AND(Tabela18[[#This Row],[STATUS]]="Em andamento",Tabela18[[#This Row],[DATA REAL - APROVAÇÃO]]&lt;&gt;""),1)</f>
        <v>1</v>
      </c>
      <c r="N129" s="21">
        <f>IF(Tabela18[[#This Row],[DATA REAL -EMAIL]]&lt;&gt;"",Tabela18[[#This Row],[DATA REAL -EMAIL]]+30,Tabela18[[#This Row],[DATA PREV - EMAIL]]+30)</f>
        <v>45676</v>
      </c>
      <c r="O12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45904</v>
      </c>
      <c r="P12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258</v>
      </c>
      <c r="Q12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258</v>
      </c>
      <c r="R129" s="48">
        <f>MAX(Tabela18[[#This Row],[DATA REAL - POSTAGEM]],Tabela18[[#This Row],[DATA REAL - APROVAÇÃO]])-MIN(Tabela18[[#This Row],[DATA REAL - POSTAGEM]],Tabela18[[#This Row],[DATA REAL - APROVAÇÃO]])+1</f>
        <v>1</v>
      </c>
      <c r="S129" s="16" t="s">
        <v>122</v>
      </c>
      <c r="T129" s="16"/>
      <c r="U129" s="18" t="s">
        <v>124</v>
      </c>
      <c r="V129" s="18" t="s">
        <v>124</v>
      </c>
      <c r="W129" s="16" t="s">
        <v>97</v>
      </c>
      <c r="X129" s="16" t="s">
        <v>1058</v>
      </c>
      <c r="Y129" s="16" t="s">
        <v>228</v>
      </c>
      <c r="Z129" s="15" t="s">
        <v>229</v>
      </c>
      <c r="AA129" s="15" t="str">
        <f>_xlfn.XLOOKUP(Tabela18[[#This Row],[CÓD. CT]],Controle_Projetos[COD CT],Controle_Projetos[COD PHD],"")</f>
        <v>ARCL-CT02-LPSA</v>
      </c>
      <c r="AB129" s="16"/>
      <c r="AC129" s="21"/>
      <c r="AD12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45687</v>
      </c>
      <c r="AE129" s="16" t="str" cm="1">
        <f t="array" aca="1" ref="AE12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29" s="21">
        <v>45646</v>
      </c>
      <c r="AG129" s="74">
        <v>45646</v>
      </c>
      <c r="AH129" s="16" cm="1">
        <f t="array" aca="1" ref="AH12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29" s="21">
        <f>Tabela18[[#This Row],[DATA PREV - EMAIL]]+$AI$1</f>
        <v>45647</v>
      </c>
      <c r="AJ129" s="74">
        <v>45904</v>
      </c>
      <c r="AK129" s="16" cm="1">
        <f t="array" aca="1" ref="AK12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29" s="20">
        <f t="shared" si="15"/>
        <v>45911</v>
      </c>
      <c r="AM129" s="74"/>
      <c r="AN129" s="15" cm="1">
        <f t="array" aca="1" ref="AN12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29" s="20">
        <f t="shared" si="16"/>
        <v>45912</v>
      </c>
      <c r="AP129" s="74"/>
      <c r="AQ129" s="15" cm="1">
        <f t="array" aca="1" ref="AQ12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29" s="20">
        <f t="shared" si="17"/>
        <v>45926</v>
      </c>
      <c r="AS129" s="74"/>
      <c r="AT129" s="15" cm="1">
        <f t="array" aca="1" ref="AT12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29" s="20">
        <f t="shared" si="18"/>
        <v>45933</v>
      </c>
      <c r="AV129" s="74"/>
      <c r="AW129" s="15" cm="1">
        <f t="array" aca="1" ref="AW12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29" s="20">
        <f t="shared" si="19"/>
        <v>45936</v>
      </c>
      <c r="AY129" s="74">
        <v>45667</v>
      </c>
      <c r="AZ129" s="15" cm="1">
        <f t="array" aca="1" ref="AZ12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-268</v>
      </c>
      <c r="BA129" s="16" t="s">
        <v>1059</v>
      </c>
    </row>
    <row r="130" spans="2:53" hidden="1" x14ac:dyDescent="0.35">
      <c r="B130" s="14" t="s">
        <v>79</v>
      </c>
      <c r="C130" s="16" t="s">
        <v>136</v>
      </c>
      <c r="D130" s="16" t="s">
        <v>108</v>
      </c>
      <c r="E130" s="16" t="s">
        <v>199</v>
      </c>
      <c r="F130" s="16" cm="1">
        <f t="array" ref="F130">_xlfn.IFS(Tabela18[[#This Row],[STATUS]]="Finalizado",1,Tabela18[[#This Row],[STATUS]]="Cancelado",2,Tabela18[[#This Row],[STATUS]]="Em andamento",3)</f>
        <v>1</v>
      </c>
      <c r="G130" s="16" cm="1">
        <f t="array" aca="1" ref="G13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-EMAIL]]="",$AH130&gt;$AF$1),2,
AND(Tabela18[[#This Row],[STATUS]]="Em andamento",Tabela18[[#This Row],[DATA REAL -EMAIL]]="",$AH130&lt;=$AF$1),3,
AND(Tabela18[[#This Row],[STATUS]]="Em andamento",Tabela18[[#This Row],[DATA REAL -EMAIL]]&lt;&gt;""),1)</f>
        <v>1</v>
      </c>
      <c r="H130" s="16" cm="1">
        <f t="array" aca="1" ref="H13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CLIENTE]]="",$AK130&gt;$AI$1),2,
AND(Tabela18[[#This Row],[STATUS]]="Em andamento",Tabela18[[#This Row],[DATA REAL - DOC CLIENTE]]="",$AK130&lt;=$AI$1),3,
AND(Tabela18[[#This Row],[STATUS]]="Em andamento",Tabela18[[#This Row],[DATA REAL - DOC CLIENTE]]&lt;&gt;""),1)</f>
        <v>1</v>
      </c>
      <c r="I130" s="16" cm="1">
        <f t="array" aca="1" ref="I13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06]]="",$AN130&gt;$AL$1),2,
AND(Tabela18[[#This Row],[STATUS]]="Em andamento",Tabela18[[#This Row],[DATA REAL - ANEXO 06]]="",$AN130&lt;=$AL$1),3,
AND(Tabela18[[#This Row],[STATUS]]="Em andamento",Tabela18[[#This Row],[DATA REAL - ANEXO 06]]&lt;&gt;""),1)</f>
        <v>1</v>
      </c>
      <c r="J130" s="15" cm="1">
        <f t="array" aca="1" ref="J13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LEGAIS]]="",$AQ130&gt;$AO$1),2,
AND(Tabela18[[#This Row],[STATUS]]="Em andamento",Tabela18[[#This Row],[DATA REAL - SOLIC. PROG LEGAIS]]="",$AQ130&lt;=$AO$1),3,
AND(Tabela18[[#This Row],[STATUS]]="Em andamento",Tabela18[[#This Row],[DATA REAL - SOLIC. PROG LEGAIS]]&lt;&gt;""),1)</f>
        <v>1</v>
      </c>
      <c r="K130" s="15" cm="1">
        <f t="array" aca="1" ref="K13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ENVIO]]="",$AT130&gt;$AR$1),2,
AND(Tabela18[[#This Row],[STATUS]]="Em andamento",Tabela18[[#This Row],[DATA REAL - ENVIO]]="",$AT130&lt;=$AR$1),3,
AND(Tabela18[[#This Row],[STATUS]]="Em andamento",Tabela18[[#This Row],[DATA REAL - ENVIO]]&lt;&gt;""),1)</f>
        <v>1</v>
      </c>
      <c r="L130" s="15" cm="1">
        <f t="array" aca="1" ref="L13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POSTAGEM]]="",$AW130&gt;$AU$1),2,
AND(Tabela18[[#This Row],[STATUS]]="Em andamento",Tabela18[[#This Row],[DATA REAL - POSTAGEM]]="",$AW130&lt;=$AU$1),3,
AND(Tabela18[[#This Row],[STATUS]]="Em andamento",Tabela18[[#This Row],[DATA REAL - POSTAGEM]]&lt;&gt;""),1)</f>
        <v>1</v>
      </c>
      <c r="M130" s="16" cm="1">
        <f t="array" aca="1" ref="M13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APROVAÇÃO]]="",$AZ130&gt;$AX$1),2,
AND(Tabela18[[#This Row],[STATUS]]="Em andamento",Tabela18[[#This Row],[DATA REAL - APROVAÇÃO]]="",$AZ130&lt;=$AX$1),3,
AND(Tabela18[[#This Row],[STATUS]]="Em andamento",Tabela18[[#This Row],[DATA REAL - APROVAÇÃO]]&lt;&gt;""),1)</f>
        <v>1</v>
      </c>
      <c r="N130" s="21">
        <f>IF(Tabela18[[#This Row],[DATA REAL -EMAIL]]&lt;&gt;"",Tabela18[[#This Row],[DATA REAL -EMAIL]]+30,Tabela18[[#This Row],[DATA PREV - EMAIL]]+30)</f>
        <v>45701</v>
      </c>
      <c r="O13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45904</v>
      </c>
      <c r="P13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233</v>
      </c>
      <c r="Q13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233</v>
      </c>
      <c r="R130" s="48">
        <f>MAX(Tabela18[[#This Row],[DATA REAL - POSTAGEM]],Tabela18[[#This Row],[DATA REAL - APROVAÇÃO]])-MIN(Tabela18[[#This Row],[DATA REAL - POSTAGEM]],Tabela18[[#This Row],[DATA REAL - APROVAÇÃO]])+1</f>
        <v>2</v>
      </c>
      <c r="S130" s="16" t="s">
        <v>122</v>
      </c>
      <c r="T130" s="16"/>
      <c r="U130" s="18" t="s">
        <v>124</v>
      </c>
      <c r="V130" s="18" t="s">
        <v>124</v>
      </c>
      <c r="W130" s="16" t="s">
        <v>97</v>
      </c>
      <c r="X130" s="16" t="s">
        <v>89</v>
      </c>
      <c r="Y130" s="16" t="s">
        <v>200</v>
      </c>
      <c r="Z130" s="15" t="s">
        <v>201</v>
      </c>
      <c r="AA130" s="15" t="str">
        <f>_xlfn.XLOOKUP(Tabela18[[#This Row],[CÓD. CT]],Controle_Projetos[COD CT],Controle_Projetos[COD PHD],"")</f>
        <v>ENES-CT02-EXCE</v>
      </c>
      <c r="AB130" s="16"/>
      <c r="AC130" s="21">
        <v>45671</v>
      </c>
      <c r="AD13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45714</v>
      </c>
      <c r="AE130" s="16" cm="1">
        <f t="array" aca="1" ref="AE13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44</v>
      </c>
      <c r="AF130" s="21">
        <v>45671</v>
      </c>
      <c r="AG130" s="74">
        <v>45671</v>
      </c>
      <c r="AH130" s="16" cm="1">
        <f t="array" aca="1" ref="AH13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0" s="21">
        <f>Tabela18[[#This Row],[DATA PREV - EMAIL]]+$AI$1</f>
        <v>45672</v>
      </c>
      <c r="AJ130" s="74">
        <v>45904</v>
      </c>
      <c r="AK130" s="16" cm="1">
        <f t="array" aca="1" ref="AK13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0" s="20">
        <f t="shared" si="15"/>
        <v>45911</v>
      </c>
      <c r="AM130" s="74">
        <v>45673</v>
      </c>
      <c r="AN130" s="15" cm="1">
        <f t="array" aca="1" ref="AN13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-237</v>
      </c>
      <c r="AO130" s="20">
        <f t="shared" si="16"/>
        <v>45674</v>
      </c>
      <c r="AP130" s="74">
        <v>45674</v>
      </c>
      <c r="AQ130" s="15" cm="1">
        <f t="array" aca="1" ref="AQ13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30" s="20">
        <f t="shared" si="17"/>
        <v>45688</v>
      </c>
      <c r="AS130" s="74">
        <v>45680</v>
      </c>
      <c r="AT130" s="15" cm="1">
        <f t="array" aca="1" ref="AT13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130" s="20">
        <f t="shared" si="18"/>
        <v>45687</v>
      </c>
      <c r="AV130" s="74">
        <v>45730</v>
      </c>
      <c r="AW130" s="15" cm="1">
        <f t="array" aca="1" ref="AW13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44</v>
      </c>
      <c r="AX130" s="20">
        <f t="shared" si="19"/>
        <v>45733</v>
      </c>
      <c r="AY130" s="74">
        <v>45731</v>
      </c>
      <c r="AZ130" s="15" cm="1">
        <f t="array" aca="1" ref="AZ13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0" s="16" t="s">
        <v>1060</v>
      </c>
    </row>
    <row r="131" spans="2:53" hidden="1" x14ac:dyDescent="0.35">
      <c r="B131" s="14" t="s">
        <v>79</v>
      </c>
      <c r="C131" s="16" t="s">
        <v>136</v>
      </c>
      <c r="D131" s="16" t="s">
        <v>81</v>
      </c>
      <c r="E131" s="16" t="s">
        <v>235</v>
      </c>
      <c r="F131" s="16" cm="1">
        <f t="array" ref="F131">_xlfn.IFS(Tabela18[[#This Row],[STATUS]]="Finalizado",1,Tabela18[[#This Row],[STATUS]]="Cancelado",2,Tabela18[[#This Row],[STATUS]]="Em andamento",3)</f>
        <v>1</v>
      </c>
      <c r="G131" s="16" cm="1">
        <f t="array" aca="1" ref="G13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-EMAIL]]="",$AH131&gt;$AF$1),2,
AND(Tabela18[[#This Row],[STATUS]]="Em andamento",Tabela18[[#This Row],[DATA REAL -EMAIL]]="",$AH131&lt;=$AF$1),3,
AND(Tabela18[[#This Row],[STATUS]]="Em andamento",Tabela18[[#This Row],[DATA REAL -EMAIL]]&lt;&gt;""),1)</f>
        <v>1</v>
      </c>
      <c r="H131" s="16" cm="1">
        <f t="array" aca="1" ref="H13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CLIENTE]]="",$AK131&gt;$AI$1),2,
AND(Tabela18[[#This Row],[STATUS]]="Em andamento",Tabela18[[#This Row],[DATA REAL - DOC CLIENTE]]="",$AK131&lt;=$AI$1),3,
AND(Tabela18[[#This Row],[STATUS]]="Em andamento",Tabela18[[#This Row],[DATA REAL - DOC CLIENTE]]&lt;&gt;""),1)</f>
        <v>1</v>
      </c>
      <c r="I131" s="16" cm="1">
        <f t="array" aca="1" ref="I13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06]]="",$AN131&gt;$AL$1),2,
AND(Tabela18[[#This Row],[STATUS]]="Em andamento",Tabela18[[#This Row],[DATA REAL - ANEXO 06]]="",$AN131&lt;=$AL$1),3,
AND(Tabela18[[#This Row],[STATUS]]="Em andamento",Tabela18[[#This Row],[DATA REAL - ANEXO 06]]&lt;&gt;""),1)</f>
        <v>1</v>
      </c>
      <c r="J131" s="15" cm="1">
        <f t="array" aca="1" ref="J13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LEGAIS]]="",$AQ131&gt;$AO$1),2,
AND(Tabela18[[#This Row],[STATUS]]="Em andamento",Tabela18[[#This Row],[DATA REAL - SOLIC. PROG LEGAIS]]="",$AQ131&lt;=$AO$1),3,
AND(Tabela18[[#This Row],[STATUS]]="Em andamento",Tabela18[[#This Row],[DATA REAL - SOLIC. PROG LEGAIS]]&lt;&gt;""),1)</f>
        <v>1</v>
      </c>
      <c r="K131" s="15" cm="1">
        <f t="array" aca="1" ref="K13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ENVIO]]="",$AT131&gt;$AR$1),2,
AND(Tabela18[[#This Row],[STATUS]]="Em andamento",Tabela18[[#This Row],[DATA REAL - ENVIO]]="",$AT131&lt;=$AR$1),3,
AND(Tabela18[[#This Row],[STATUS]]="Em andamento",Tabela18[[#This Row],[DATA REAL - ENVIO]]&lt;&gt;""),1)</f>
        <v>1</v>
      </c>
      <c r="L131" s="15" cm="1">
        <f t="array" aca="1" ref="L13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POSTAGEM]]="",$AW131&gt;$AU$1),2,
AND(Tabela18[[#This Row],[STATUS]]="Em andamento",Tabela18[[#This Row],[DATA REAL - POSTAGEM]]="",$AW131&lt;=$AU$1),3,
AND(Tabela18[[#This Row],[STATUS]]="Em andamento",Tabela18[[#This Row],[DATA REAL - POSTAGEM]]&lt;&gt;""),1)</f>
        <v>1</v>
      </c>
      <c r="M131" s="16" cm="1">
        <f t="array" aca="1" ref="M13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APROVAÇÃO]]="",$AZ131&gt;$AX$1),2,
AND(Tabela18[[#This Row],[STATUS]]="Em andamento",Tabela18[[#This Row],[DATA REAL - APROVAÇÃO]]="",$AZ131&lt;=$AX$1),3,
AND(Tabela18[[#This Row],[STATUS]]="Em andamento",Tabela18[[#This Row],[DATA REAL - APROVAÇÃO]]&lt;&gt;""),1)</f>
        <v>1</v>
      </c>
      <c r="N131" s="21">
        <f>IF(Tabela18[[#This Row],[DATA REAL -EMAIL]]&lt;&gt;"",Tabela18[[#This Row],[DATA REAL -EMAIL]]+30,Tabela18[[#This Row],[DATA PREV - EMAIL]]+30)</f>
        <v>45703</v>
      </c>
      <c r="O13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45910</v>
      </c>
      <c r="P13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237</v>
      </c>
      <c r="Q13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237</v>
      </c>
      <c r="R131" s="48">
        <f>MAX(Tabela18[[#This Row],[DATA REAL - POSTAGEM]],Tabela18[[#This Row],[DATA REAL - APROVAÇÃO]])-MIN(Tabela18[[#This Row],[DATA REAL - POSTAGEM]],Tabela18[[#This Row],[DATA REAL - APROVAÇÃO]])+1</f>
        <v>4</v>
      </c>
      <c r="S131" s="16" t="s">
        <v>84</v>
      </c>
      <c r="T131" s="16"/>
      <c r="U131" s="18" t="s">
        <v>86</v>
      </c>
      <c r="V131" s="18" t="s">
        <v>86</v>
      </c>
      <c r="W131" s="16" t="s">
        <v>97</v>
      </c>
      <c r="X131" s="16" t="s">
        <v>1061</v>
      </c>
      <c r="Y131" s="16" t="s">
        <v>241</v>
      </c>
      <c r="Z131" s="15" t="s">
        <v>242</v>
      </c>
      <c r="AA131" s="15" t="str">
        <f>_xlfn.XLOOKUP(Tabela18[[#This Row],[CÓD. CT]],Controle_Projetos[COD CT],Controle_Projetos[COD PHD],"")</f>
        <v>CCAP-CT13-JERI</v>
      </c>
      <c r="AB131" s="16"/>
      <c r="AC131" s="21">
        <v>45673</v>
      </c>
      <c r="AD13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45677</v>
      </c>
      <c r="AE131" s="16" cm="1">
        <f t="array" aca="1" ref="AE13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v>
      </c>
      <c r="AF131" s="21">
        <v>45673</v>
      </c>
      <c r="AG131" s="74">
        <v>45673</v>
      </c>
      <c r="AH131" s="16" cm="1">
        <f t="array" aca="1" ref="AH13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1" s="21">
        <f>Tabela18[[#This Row],[DATA PREV - EMAIL]]+$AI$1</f>
        <v>45674</v>
      </c>
      <c r="AJ131" s="74">
        <v>45910</v>
      </c>
      <c r="AK131" s="16" cm="1">
        <f t="array" aca="1" ref="AK13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1" s="20">
        <f t="shared" si="15"/>
        <v>45917</v>
      </c>
      <c r="AM131" s="74">
        <v>45674</v>
      </c>
      <c r="AN131" s="15" cm="1">
        <f t="array" aca="1" ref="AN13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-242</v>
      </c>
      <c r="AO131" s="20">
        <f t="shared" si="16"/>
        <v>45677</v>
      </c>
      <c r="AP131" s="74">
        <v>45674</v>
      </c>
      <c r="AQ131" s="15" cm="1">
        <f t="array" aca="1" ref="AQ13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31" s="20">
        <f t="shared" si="17"/>
        <v>45688</v>
      </c>
      <c r="AS131" s="74">
        <v>45685</v>
      </c>
      <c r="AT131" s="15" cm="1">
        <f t="array" aca="1" ref="AT13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131" s="20">
        <f t="shared" si="18"/>
        <v>45692</v>
      </c>
      <c r="AV131" s="74">
        <v>45716</v>
      </c>
      <c r="AW131" s="15" cm="1">
        <f t="array" aca="1" ref="AW13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25</v>
      </c>
      <c r="AX131" s="20">
        <f t="shared" si="19"/>
        <v>45719</v>
      </c>
      <c r="AY131" s="74">
        <v>45713</v>
      </c>
      <c r="AZ131" s="15" cm="1">
        <f t="array" aca="1" ref="AZ13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-5</v>
      </c>
      <c r="BA131" s="16" t="s">
        <v>1062</v>
      </c>
    </row>
    <row r="132" spans="2:53" hidden="1" x14ac:dyDescent="0.35">
      <c r="B132" s="14" t="s">
        <v>119</v>
      </c>
      <c r="C132" s="16" t="s">
        <v>147</v>
      </c>
      <c r="D132" s="16" t="s">
        <v>119</v>
      </c>
      <c r="E132" s="16" t="s">
        <v>1063</v>
      </c>
      <c r="F132" s="16" cm="1">
        <f t="array" ref="F132">_xlfn.IFS(Tabela18[[#This Row],[STATUS]]="Finalizado",1,Tabela18[[#This Row],[STATUS]]="Cancelado",2,Tabela18[[#This Row],[STATUS]]="Em andamento",3)</f>
        <v>2</v>
      </c>
      <c r="G132" s="16" cm="1">
        <f t="array" aca="1" ref="G13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-EMAIL]]="",$AH132&gt;$AF$1),2,
AND(Tabela18[[#This Row],[STATUS]]="Em andamento",Tabela18[[#This Row],[DATA REAL -EMAIL]]="",$AH132&lt;=$AF$1),3,
AND(Tabela18[[#This Row],[STATUS]]="Em andamento",Tabela18[[#This Row],[DATA REAL -EMAIL]]&lt;&gt;""),1)</f>
        <v>1</v>
      </c>
      <c r="H132" s="16" cm="1">
        <f t="array" aca="1" ref="H13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CLIENTE]]="",$AK132&gt;$AI$1),2,
AND(Tabela18[[#This Row],[STATUS]]="Em andamento",Tabela18[[#This Row],[DATA REAL - DOC CLIENTE]]="",$AK132&lt;=$AI$1),3,
AND(Tabela18[[#This Row],[STATUS]]="Em andamento",Tabela18[[#This Row],[DATA REAL - DOC CLIENTE]]&lt;&gt;""),1)</f>
        <v>1</v>
      </c>
      <c r="I132" s="16" cm="1">
        <f t="array" aca="1" ref="I13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06]]="",$AN132&gt;$AL$1),2,
AND(Tabela18[[#This Row],[STATUS]]="Em andamento",Tabela18[[#This Row],[DATA REAL - ANEXO 06]]="",$AN132&lt;=$AL$1),3,
AND(Tabela18[[#This Row],[STATUS]]="Em andamento",Tabela18[[#This Row],[DATA REAL - ANEXO 06]]&lt;&gt;""),1)</f>
        <v>1</v>
      </c>
      <c r="J132" s="15" cm="1">
        <f t="array" aca="1" ref="J13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LEGAIS]]="",$AQ132&gt;$AO$1),2,
AND(Tabela18[[#This Row],[STATUS]]="Em andamento",Tabela18[[#This Row],[DATA REAL - SOLIC. PROG LEGAIS]]="",$AQ132&lt;=$AO$1),3,
AND(Tabela18[[#This Row],[STATUS]]="Em andamento",Tabela18[[#This Row],[DATA REAL - SOLIC. PROG LEGAIS]]&lt;&gt;""),1)</f>
        <v>1</v>
      </c>
      <c r="K132" s="15" cm="1">
        <f t="array" aca="1" ref="K13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ENVIO]]="",$AT132&gt;$AR$1),2,
AND(Tabela18[[#This Row],[STATUS]]="Em andamento",Tabela18[[#This Row],[DATA REAL - ENVIO]]="",$AT132&lt;=$AR$1),3,
AND(Tabela18[[#This Row],[STATUS]]="Em andamento",Tabela18[[#This Row],[DATA REAL - ENVIO]]&lt;&gt;""),1)</f>
        <v>0</v>
      </c>
      <c r="L132" s="15" cm="1">
        <f t="array" aca="1" ref="L13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POSTAGEM]]="",$AW132&gt;$AU$1),2,
AND(Tabela18[[#This Row],[STATUS]]="Em andamento",Tabela18[[#This Row],[DATA REAL - POSTAGEM]]="",$AW132&lt;=$AU$1),3,
AND(Tabela18[[#This Row],[STATUS]]="Em andamento",Tabela18[[#This Row],[DATA REAL - POSTAGEM]]&lt;&gt;""),1)</f>
        <v>0</v>
      </c>
      <c r="M132" s="16" cm="1">
        <f t="array" aca="1" ref="M13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APROVAÇÃO]]="",$AZ132&gt;$AX$1),2,
AND(Tabela18[[#This Row],[STATUS]]="Em andamento",Tabela18[[#This Row],[DATA REAL - APROVAÇÃO]]="",$AZ132&lt;=$AX$1),3,
AND(Tabela18[[#This Row],[STATUS]]="Em andamento",Tabela18[[#This Row],[DATA REAL - APROVAÇÃO]]&lt;&gt;""),1)</f>
        <v>0</v>
      </c>
      <c r="N132" s="21">
        <f>IF(Tabela18[[#This Row],[DATA REAL -EMAIL]]&lt;&gt;"",Tabela18[[#This Row],[DATA REAL -EMAIL]]+30,Tabela18[[#This Row],[DATA PREV - EMAIL]]+30)</f>
        <v>45700</v>
      </c>
      <c r="O13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45911</v>
      </c>
      <c r="P13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241</v>
      </c>
      <c r="Q13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241</v>
      </c>
      <c r="R132" s="48">
        <f>MAX(Tabela18[[#This Row],[DATA REAL - POSTAGEM]],Tabela18[[#This Row],[DATA REAL - APROVAÇÃO]])-MIN(Tabela18[[#This Row],[DATA REAL - POSTAGEM]],Tabela18[[#This Row],[DATA REAL - APROVAÇÃO]])+1</f>
        <v>1</v>
      </c>
      <c r="S132" s="16" t="s">
        <v>84</v>
      </c>
      <c r="T132" s="16"/>
      <c r="U132" s="18" t="s">
        <v>86</v>
      </c>
      <c r="V132" s="18" t="s">
        <v>86</v>
      </c>
      <c r="W132" s="16" t="s">
        <v>97</v>
      </c>
      <c r="X132" s="16" t="s">
        <v>89</v>
      </c>
      <c r="Y132" s="16" t="s">
        <v>1064</v>
      </c>
      <c r="Z132" s="15" t="s">
        <v>1065</v>
      </c>
      <c r="AA132" s="15" t="str">
        <f>_xlfn.XLOOKUP(Tabela18[[#This Row],[CÓD. CT]],Controle_Projetos[COD CT],Controle_Projetos[COD PHD],"")</f>
        <v>CKTR-CT01-PLAN</v>
      </c>
      <c r="AB132" s="16"/>
      <c r="AC132" s="21">
        <v>45673</v>
      </c>
      <c r="AD13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45689</v>
      </c>
      <c r="AE132" s="16" cm="1">
        <f t="array" aca="1" ref="AE13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17</v>
      </c>
      <c r="AF132" s="21">
        <v>45670</v>
      </c>
      <c r="AG132" s="74">
        <v>45670</v>
      </c>
      <c r="AH132" s="16" cm="1">
        <f t="array" aca="1" ref="AH13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2" s="21">
        <f>Tabela18[[#This Row],[DATA PREV - EMAIL]]+$AI$1</f>
        <v>45671</v>
      </c>
      <c r="AJ132" s="74">
        <v>45911</v>
      </c>
      <c r="AK132" s="16" cm="1">
        <f t="array" aca="1" ref="AK13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2" s="20">
        <f t="shared" ref="AL132:AL163" si="20">IF(AI132="","",IF(AJ132="",WORKDAY(AI132,AL$1,),WORKDAY(AJ132,AL$1,)))</f>
        <v>45918</v>
      </c>
      <c r="AM132" s="74">
        <v>45672</v>
      </c>
      <c r="AN132" s="15" cm="1">
        <f t="array" aca="1" ref="AN13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-245</v>
      </c>
      <c r="AO132" s="20">
        <f t="shared" ref="AO132:AO163" si="21">IF(AL132="","",IF(AM132="",WORKDAY(AL132,AO$1,),WORKDAY(AM132,AO$1,)))</f>
        <v>45673</v>
      </c>
      <c r="AP132" s="74">
        <v>45672</v>
      </c>
      <c r="AQ132" s="15" cm="1">
        <f t="array" aca="1" ref="AQ13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32" s="20">
        <f t="shared" ref="AR132:AR163" si="22">IF(AO132="","",IF(AP132="",WORKDAY(AO132,AR$1,),WORKDAY(AP132,AR$1,)))</f>
        <v>45686</v>
      </c>
      <c r="AS132" s="74"/>
      <c r="AT132" s="15" cm="1">
        <f t="array" aca="1" ref="AT13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32" s="20">
        <f t="shared" ref="AU132:AU163" si="23">IF(AR132="","",IF(AS132="",WORKDAY(AR132,AU$1,),WORKDAY(AS132,AU$1,)))</f>
        <v>45693</v>
      </c>
      <c r="AV132" s="74"/>
      <c r="AW132" s="15" cm="1">
        <f t="array" aca="1" ref="AW13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32" s="20">
        <f t="shared" ref="AX132:AX163" si="24">IF(AU132="","",IF(AV132="",WORKDAY(AU132,AX$1,),WORKDAY(AV132,AX$1,)))</f>
        <v>45694</v>
      </c>
      <c r="AY132" s="74"/>
      <c r="AZ132" s="15" cm="1">
        <f t="array" aca="1" ref="AZ13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2" s="80" t="s">
        <v>1066</v>
      </c>
    </row>
    <row r="133" spans="2:53" hidden="1" x14ac:dyDescent="0.35">
      <c r="B133" s="14" t="s">
        <v>119</v>
      </c>
      <c r="C133" s="16" t="s">
        <v>147</v>
      </c>
      <c r="D133" s="16" t="s">
        <v>119</v>
      </c>
      <c r="E133" s="16" t="s">
        <v>1063</v>
      </c>
      <c r="F133" s="16" cm="1">
        <f t="array" ref="F133">_xlfn.IFS(Tabela18[[#This Row],[STATUS]]="Finalizado",1,Tabela18[[#This Row],[STATUS]]="Cancelado",2,Tabela18[[#This Row],[STATUS]]="Em andamento",3)</f>
        <v>2</v>
      </c>
      <c r="G133" s="16" cm="1">
        <f t="array" aca="1" ref="G13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-EMAIL]]="",$AH133&gt;$AF$1),2,
AND(Tabela18[[#This Row],[STATUS]]="Em andamento",Tabela18[[#This Row],[DATA REAL -EMAIL]]="",$AH133&lt;=$AF$1),3,
AND(Tabela18[[#This Row],[STATUS]]="Em andamento",Tabela18[[#This Row],[DATA REAL -EMAIL]]&lt;&gt;""),1)</f>
        <v>1</v>
      </c>
      <c r="H133" s="16" cm="1">
        <f t="array" aca="1" ref="H13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CLIENTE]]="",$AK133&gt;$AI$1),2,
AND(Tabela18[[#This Row],[STATUS]]="Em andamento",Tabela18[[#This Row],[DATA REAL - DOC CLIENTE]]="",$AK133&lt;=$AI$1),3,
AND(Tabela18[[#This Row],[STATUS]]="Em andamento",Tabela18[[#This Row],[DATA REAL - DOC CLIENTE]]&lt;&gt;""),1)</f>
        <v>1</v>
      </c>
      <c r="I133" s="16" cm="1">
        <f t="array" aca="1" ref="I13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06]]="",$AN133&gt;$AL$1),2,
AND(Tabela18[[#This Row],[STATUS]]="Em andamento",Tabela18[[#This Row],[DATA REAL - ANEXO 06]]="",$AN133&lt;=$AL$1),3,
AND(Tabela18[[#This Row],[STATUS]]="Em andamento",Tabela18[[#This Row],[DATA REAL - ANEXO 06]]&lt;&gt;""),1)</f>
        <v>0</v>
      </c>
      <c r="J133" s="15" cm="1">
        <f t="array" aca="1" ref="J13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LEGAIS]]="",$AQ133&gt;$AO$1),2,
AND(Tabela18[[#This Row],[STATUS]]="Em andamento",Tabela18[[#This Row],[DATA REAL - SOLIC. PROG LEGAIS]]="",$AQ133&lt;=$AO$1),3,
AND(Tabela18[[#This Row],[STATUS]]="Em andamento",Tabela18[[#This Row],[DATA REAL - SOLIC. PROG LEGAIS]]&lt;&gt;""),1)</f>
        <v>1</v>
      </c>
      <c r="K133" s="15" cm="1">
        <f t="array" aca="1" ref="K13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ENVIO]]="",$AT133&gt;$AR$1),2,
AND(Tabela18[[#This Row],[STATUS]]="Em andamento",Tabela18[[#This Row],[DATA REAL - ENVIO]]="",$AT133&lt;=$AR$1),3,
AND(Tabela18[[#This Row],[STATUS]]="Em andamento",Tabela18[[#This Row],[DATA REAL - ENVIO]]&lt;&gt;""),1)</f>
        <v>0</v>
      </c>
      <c r="L133" s="15" cm="1">
        <f t="array" aca="1" ref="L13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POSTAGEM]]="",$AW133&gt;$AU$1),2,
AND(Tabela18[[#This Row],[STATUS]]="Em andamento",Tabela18[[#This Row],[DATA REAL - POSTAGEM]]="",$AW133&lt;=$AU$1),3,
AND(Tabela18[[#This Row],[STATUS]]="Em andamento",Tabela18[[#This Row],[DATA REAL - POSTAGEM]]&lt;&gt;""),1)</f>
        <v>0</v>
      </c>
      <c r="M133" s="16" cm="1">
        <f t="array" aca="1" ref="M13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APROVAÇÃO]]="",$AZ133&gt;$AX$1),2,
AND(Tabela18[[#This Row],[STATUS]]="Em andamento",Tabela18[[#This Row],[DATA REAL - APROVAÇÃO]]="",$AZ133&lt;=$AX$1),3,
AND(Tabela18[[#This Row],[STATUS]]="Em andamento",Tabela18[[#This Row],[DATA REAL - APROVAÇÃO]]&lt;&gt;""),1)</f>
        <v>0</v>
      </c>
      <c r="N133" s="21">
        <f>IF(Tabela18[[#This Row],[DATA REAL -EMAIL]]&lt;&gt;"",Tabela18[[#This Row],[DATA REAL -EMAIL]]+30,Tabela18[[#This Row],[DATA PREV - EMAIL]]+30)</f>
        <v>45700</v>
      </c>
      <c r="O13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45911</v>
      </c>
      <c r="P13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241</v>
      </c>
      <c r="Q13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241</v>
      </c>
      <c r="R133" s="48">
        <f>MAX(Tabela18[[#This Row],[DATA REAL - POSTAGEM]],Tabela18[[#This Row],[DATA REAL - APROVAÇÃO]])-MIN(Tabela18[[#This Row],[DATA REAL - POSTAGEM]],Tabela18[[#This Row],[DATA REAL - APROVAÇÃO]])+1</f>
        <v>1</v>
      </c>
      <c r="S133" s="16" t="s">
        <v>84</v>
      </c>
      <c r="T133" s="16"/>
      <c r="U133" s="18" t="s">
        <v>86</v>
      </c>
      <c r="V133" s="18" t="s">
        <v>86</v>
      </c>
      <c r="W133" s="16" t="s">
        <v>97</v>
      </c>
      <c r="X133" s="16" t="s">
        <v>89</v>
      </c>
      <c r="Y133" s="16" t="s">
        <v>1064</v>
      </c>
      <c r="Z133" s="15" t="s">
        <v>1065</v>
      </c>
      <c r="AA133" s="15" t="str">
        <f>_xlfn.XLOOKUP(Tabela18[[#This Row],[CÓD. CT]],Controle_Projetos[COD CT],Controle_Projetos[COD PHD],"")</f>
        <v>CKTR-CT01-PLAN</v>
      </c>
      <c r="AB133" s="16"/>
      <c r="AC133" s="21">
        <v>45673</v>
      </c>
      <c r="AD13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45689</v>
      </c>
      <c r="AE133" s="16" cm="1">
        <f t="array" aca="1" ref="AE13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17</v>
      </c>
      <c r="AF133" s="21">
        <v>45670</v>
      </c>
      <c r="AG133" s="74">
        <v>45670</v>
      </c>
      <c r="AH133" s="16" cm="1">
        <f t="array" aca="1" ref="AH13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3" s="21">
        <f>Tabela18[[#This Row],[DATA PREV - EMAIL]]+$AI$1</f>
        <v>45671</v>
      </c>
      <c r="AJ133" s="74">
        <v>45911</v>
      </c>
      <c r="AK133" s="16" cm="1">
        <f t="array" aca="1" ref="AK13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3" s="20">
        <f t="shared" si="20"/>
        <v>45918</v>
      </c>
      <c r="AM133" s="74"/>
      <c r="AN133" s="15" cm="1">
        <f t="array" aca="1" ref="AN13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33" s="20">
        <f t="shared" si="21"/>
        <v>45919</v>
      </c>
      <c r="AP133" s="74">
        <v>45672</v>
      </c>
      <c r="AQ133" s="15" cm="1">
        <f t="array" aca="1" ref="AQ13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-246</v>
      </c>
      <c r="AR133" s="20">
        <f t="shared" si="22"/>
        <v>45686</v>
      </c>
      <c r="AS133" s="74"/>
      <c r="AT133" s="15" cm="1">
        <f t="array" aca="1" ref="AT13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33" s="20">
        <f t="shared" si="23"/>
        <v>45693</v>
      </c>
      <c r="AV133" s="74"/>
      <c r="AW133" s="15" cm="1">
        <f t="array" aca="1" ref="AW13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33" s="20">
        <f t="shared" si="24"/>
        <v>45694</v>
      </c>
      <c r="AY133" s="74"/>
      <c r="AZ133" s="15" cm="1">
        <f t="array" aca="1" ref="AZ13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3" s="80" t="s">
        <v>1067</v>
      </c>
    </row>
    <row r="134" spans="2:53" hidden="1" x14ac:dyDescent="0.35">
      <c r="B134" s="14" t="s">
        <v>119</v>
      </c>
      <c r="C134" s="16" t="s">
        <v>147</v>
      </c>
      <c r="D134" s="16" t="s">
        <v>119</v>
      </c>
      <c r="E134" s="16" t="s">
        <v>245</v>
      </c>
      <c r="F134" s="16" cm="1">
        <f t="array" ref="F134">_xlfn.IFS(Tabela18[[#This Row],[STATUS]]="Finalizado",1,Tabela18[[#This Row],[STATUS]]="Cancelado",2,Tabela18[[#This Row],[STATUS]]="Em andamento",3)</f>
        <v>2</v>
      </c>
      <c r="G134" s="16" cm="1">
        <f t="array" aca="1" ref="G13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-EMAIL]]="",$AH134&gt;$AF$1),2,
AND(Tabela18[[#This Row],[STATUS]]="Em andamento",Tabela18[[#This Row],[DATA REAL -EMAIL]]="",$AH134&lt;=$AF$1),3,
AND(Tabela18[[#This Row],[STATUS]]="Em andamento",Tabela18[[#This Row],[DATA REAL -EMAIL]]&lt;&gt;""),1)</f>
        <v>1</v>
      </c>
      <c r="H134" s="16" cm="1">
        <f t="array" aca="1" ref="H13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CLIENTE]]="",$AK134&gt;$AI$1),2,
AND(Tabela18[[#This Row],[STATUS]]="Em andamento",Tabela18[[#This Row],[DATA REAL - DOC CLIENTE]]="",$AK134&lt;=$AI$1),3,
AND(Tabela18[[#This Row],[STATUS]]="Em andamento",Tabela18[[#This Row],[DATA REAL - DOC CLIENTE]]&lt;&gt;""),1)</f>
        <v>1</v>
      </c>
      <c r="I134" s="16" cm="1">
        <f t="array" aca="1" ref="I13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06]]="",$AN134&gt;$AL$1),2,
AND(Tabela18[[#This Row],[STATUS]]="Em andamento",Tabela18[[#This Row],[DATA REAL - ANEXO 06]]="",$AN134&lt;=$AL$1),3,
AND(Tabela18[[#This Row],[STATUS]]="Em andamento",Tabela18[[#This Row],[DATA REAL - ANEXO 06]]&lt;&gt;""),1)</f>
        <v>1</v>
      </c>
      <c r="J134" s="15" cm="1">
        <f t="array" aca="1" ref="J13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LEGAIS]]="",$AQ134&gt;$AO$1),2,
AND(Tabela18[[#This Row],[STATUS]]="Em andamento",Tabela18[[#This Row],[DATA REAL - SOLIC. PROG LEGAIS]]="",$AQ134&lt;=$AO$1),3,
AND(Tabela18[[#This Row],[STATUS]]="Em andamento",Tabela18[[#This Row],[DATA REAL - SOLIC. PROG LEGAIS]]&lt;&gt;""),1)</f>
        <v>1</v>
      </c>
      <c r="K134" s="15" cm="1">
        <f t="array" aca="1" ref="K13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ENVIO]]="",$AT134&gt;$AR$1),2,
AND(Tabela18[[#This Row],[STATUS]]="Em andamento",Tabela18[[#This Row],[DATA REAL - ENVIO]]="",$AT134&lt;=$AR$1),3,
AND(Tabela18[[#This Row],[STATUS]]="Em andamento",Tabela18[[#This Row],[DATA REAL - ENVIO]]&lt;&gt;""),1)</f>
        <v>0</v>
      </c>
      <c r="L134" s="15" cm="1">
        <f t="array" aca="1" ref="L13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POSTAGEM]]="",$AW134&gt;$AU$1),2,
AND(Tabela18[[#This Row],[STATUS]]="Em andamento",Tabela18[[#This Row],[DATA REAL - POSTAGEM]]="",$AW134&lt;=$AU$1),3,
AND(Tabela18[[#This Row],[STATUS]]="Em andamento",Tabela18[[#This Row],[DATA REAL - POSTAGEM]]&lt;&gt;""),1)</f>
        <v>0</v>
      </c>
      <c r="M134" s="16" cm="1">
        <f t="array" aca="1" ref="M13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APROVAÇÃO]]="",$AZ134&gt;$AX$1),2,
AND(Tabela18[[#This Row],[STATUS]]="Em andamento",Tabela18[[#This Row],[DATA REAL - APROVAÇÃO]]="",$AZ134&lt;=$AX$1),3,
AND(Tabela18[[#This Row],[STATUS]]="Em andamento",Tabela18[[#This Row],[DATA REAL - APROVAÇÃO]]&lt;&gt;""),1)</f>
        <v>0</v>
      </c>
      <c r="N134" s="21">
        <f>IF(Tabela18[[#This Row],[DATA REAL -EMAIL]]&lt;&gt;"",Tabela18[[#This Row],[DATA REAL -EMAIL]]+30,Tabela18[[#This Row],[DATA PREV - EMAIL]]+30)</f>
        <v>45707</v>
      </c>
      <c r="O13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45915</v>
      </c>
      <c r="P13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238</v>
      </c>
      <c r="Q13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238</v>
      </c>
      <c r="R134" s="48">
        <f>MAX(Tabela18[[#This Row],[DATA REAL - POSTAGEM]],Tabela18[[#This Row],[DATA REAL - APROVAÇÃO]])-MIN(Tabela18[[#This Row],[DATA REAL - POSTAGEM]],Tabela18[[#This Row],[DATA REAL - APROVAÇÃO]])+1</f>
        <v>1</v>
      </c>
      <c r="S134" s="16" t="s">
        <v>84</v>
      </c>
      <c r="T134" s="16"/>
      <c r="U134" s="18"/>
      <c r="V134" s="18"/>
      <c r="W134" s="16" t="s">
        <v>97</v>
      </c>
      <c r="X134" s="16" t="s">
        <v>246</v>
      </c>
      <c r="Y134" s="16" t="s">
        <v>1068</v>
      </c>
      <c r="Z134" s="15" t="s">
        <v>248</v>
      </c>
      <c r="AA134" s="15" t="str">
        <f>_xlfn.XLOOKUP(Tabela18[[#This Row],[CÓD. CT]],Controle_Projetos[COD CT],Controle_Projetos[COD PHD],"")</f>
        <v>PAIN-CT01-PLAN</v>
      </c>
      <c r="AB134" s="16"/>
      <c r="AC134" s="21">
        <v>45678</v>
      </c>
      <c r="AD134"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34" s="16" cm="1">
        <f t="array" aca="1" ref="AE13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34" s="21">
        <v>45677</v>
      </c>
      <c r="AG134" s="74">
        <v>45677</v>
      </c>
      <c r="AH134" s="16" cm="1">
        <f t="array" aca="1" ref="AH13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4" s="21">
        <f>Tabela18[[#This Row],[DATA PREV - EMAIL]]+$AI$1</f>
        <v>45678</v>
      </c>
      <c r="AJ134" s="74">
        <v>45915</v>
      </c>
      <c r="AK134" s="16" cm="1">
        <f t="array" aca="1" ref="AK13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4" s="20">
        <f t="shared" si="20"/>
        <v>45922</v>
      </c>
      <c r="AM134" s="74">
        <v>45699</v>
      </c>
      <c r="AN134" s="15" cm="1">
        <f t="array" aca="1" ref="AN13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-222</v>
      </c>
      <c r="AO134" s="20">
        <f t="shared" si="21"/>
        <v>45700</v>
      </c>
      <c r="AP134" s="74">
        <v>45693</v>
      </c>
      <c r="AQ134" s="15" cm="1">
        <f t="array" aca="1" ref="AQ13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134" s="20">
        <f t="shared" si="22"/>
        <v>45707</v>
      </c>
      <c r="AS134" s="74"/>
      <c r="AT134" s="15" cm="1">
        <f t="array" aca="1" ref="AT13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34" s="20">
        <f t="shared" si="23"/>
        <v>45714</v>
      </c>
      <c r="AV134" s="74"/>
      <c r="AW134" s="15" cm="1">
        <f t="array" aca="1" ref="AW13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34" s="20">
        <f t="shared" si="24"/>
        <v>45715</v>
      </c>
      <c r="AY134" s="74"/>
      <c r="AZ134" s="15" cm="1">
        <f t="array" aca="1" ref="AZ13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4" s="16" t="s">
        <v>1069</v>
      </c>
    </row>
    <row r="135" spans="2:53" hidden="1" x14ac:dyDescent="0.35">
      <c r="B135" s="14" t="s">
        <v>119</v>
      </c>
      <c r="C135" s="16" t="s">
        <v>147</v>
      </c>
      <c r="D135" s="16" t="s">
        <v>119</v>
      </c>
      <c r="E135" s="16" t="s">
        <v>245</v>
      </c>
      <c r="F135" s="16" cm="1">
        <f t="array" ref="F135">_xlfn.IFS(Tabela18[[#This Row],[STATUS]]="Finalizado",1,Tabela18[[#This Row],[STATUS]]="Cancelado",2,Tabela18[[#This Row],[STATUS]]="Em andamento",3)</f>
        <v>2</v>
      </c>
      <c r="G135" s="16" cm="1">
        <f t="array" aca="1" ref="G13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-EMAIL]]="",$AH135&gt;$AF$1),2,
AND(Tabela18[[#This Row],[STATUS]]="Em andamento",Tabela18[[#This Row],[DATA REAL -EMAIL]]="",$AH135&lt;=$AF$1),3,
AND(Tabela18[[#This Row],[STATUS]]="Em andamento",Tabela18[[#This Row],[DATA REAL -EMAIL]]&lt;&gt;""),1)</f>
        <v>1</v>
      </c>
      <c r="H135" s="16" cm="1">
        <f t="array" aca="1" ref="H13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CLIENTE]]="",$AK135&gt;$AI$1),2,
AND(Tabela18[[#This Row],[STATUS]]="Em andamento",Tabela18[[#This Row],[DATA REAL - DOC CLIENTE]]="",$AK135&lt;=$AI$1),3,
AND(Tabela18[[#This Row],[STATUS]]="Em andamento",Tabela18[[#This Row],[DATA REAL - DOC CLIENTE]]&lt;&gt;""),1)</f>
        <v>1</v>
      </c>
      <c r="I135" s="16" cm="1">
        <f t="array" aca="1" ref="I13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06]]="",$AN135&gt;$AL$1),2,
AND(Tabela18[[#This Row],[STATUS]]="Em andamento",Tabela18[[#This Row],[DATA REAL - ANEXO 06]]="",$AN135&lt;=$AL$1),3,
AND(Tabela18[[#This Row],[STATUS]]="Em andamento",Tabela18[[#This Row],[DATA REAL - ANEXO 06]]&lt;&gt;""),1)</f>
        <v>1</v>
      </c>
      <c r="J135" s="15" cm="1">
        <f t="array" aca="1" ref="J13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LEGAIS]]="",$AQ135&gt;$AO$1),2,
AND(Tabela18[[#This Row],[STATUS]]="Em andamento",Tabela18[[#This Row],[DATA REAL - SOLIC. PROG LEGAIS]]="",$AQ135&lt;=$AO$1),3,
AND(Tabela18[[#This Row],[STATUS]]="Em andamento",Tabela18[[#This Row],[DATA REAL - SOLIC. PROG LEGAIS]]&lt;&gt;""),1)</f>
        <v>1</v>
      </c>
      <c r="K135" s="15" cm="1">
        <f t="array" aca="1" ref="K13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ENVIO]]="",$AT135&gt;$AR$1),2,
AND(Tabela18[[#This Row],[STATUS]]="Em andamento",Tabela18[[#This Row],[DATA REAL - ENVIO]]="",$AT135&lt;=$AR$1),3,
AND(Tabela18[[#This Row],[STATUS]]="Em andamento",Tabela18[[#This Row],[DATA REAL - ENVIO]]&lt;&gt;""),1)</f>
        <v>0</v>
      </c>
      <c r="L135" s="15" cm="1">
        <f t="array" aca="1" ref="L13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POSTAGEM]]="",$AW135&gt;$AU$1),2,
AND(Tabela18[[#This Row],[STATUS]]="Em andamento",Tabela18[[#This Row],[DATA REAL - POSTAGEM]]="",$AW135&lt;=$AU$1),3,
AND(Tabela18[[#This Row],[STATUS]]="Em andamento",Tabela18[[#This Row],[DATA REAL - POSTAGEM]]&lt;&gt;""),1)</f>
        <v>0</v>
      </c>
      <c r="M135" s="16" cm="1">
        <f t="array" aca="1" ref="M13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APROVAÇÃO]]="",$AZ135&gt;$AX$1),2,
AND(Tabela18[[#This Row],[STATUS]]="Em andamento",Tabela18[[#This Row],[DATA REAL - APROVAÇÃO]]="",$AZ135&lt;=$AX$1),3,
AND(Tabela18[[#This Row],[STATUS]]="Em andamento",Tabela18[[#This Row],[DATA REAL - APROVAÇÃO]]&lt;&gt;""),1)</f>
        <v>0</v>
      </c>
      <c r="N135" s="21">
        <f>IF(Tabela18[[#This Row],[DATA REAL -EMAIL]]&lt;&gt;"",Tabela18[[#This Row],[DATA REAL -EMAIL]]+30,Tabela18[[#This Row],[DATA PREV - EMAIL]]+30)</f>
        <v>45707</v>
      </c>
      <c r="O13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45915</v>
      </c>
      <c r="P13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238</v>
      </c>
      <c r="Q13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238</v>
      </c>
      <c r="R135" s="48">
        <f>MAX(Tabela18[[#This Row],[DATA REAL - POSTAGEM]],Tabela18[[#This Row],[DATA REAL - APROVAÇÃO]])-MIN(Tabela18[[#This Row],[DATA REAL - POSTAGEM]],Tabela18[[#This Row],[DATA REAL - APROVAÇÃO]])+1</f>
        <v>1</v>
      </c>
      <c r="S135" s="16" t="s">
        <v>84</v>
      </c>
      <c r="T135" s="16"/>
      <c r="U135" s="18"/>
      <c r="V135" s="18"/>
      <c r="W135" s="16" t="s">
        <v>87</v>
      </c>
      <c r="X135" s="16" t="s">
        <v>246</v>
      </c>
      <c r="Y135" s="16" t="s">
        <v>1068</v>
      </c>
      <c r="Z135" s="15" t="s">
        <v>248</v>
      </c>
      <c r="AA135" s="15" t="str">
        <f>_xlfn.XLOOKUP(Tabela18[[#This Row],[CÓD. CT]],Controle_Projetos[COD CT],Controle_Projetos[COD PHD],"")</f>
        <v>PAIN-CT01-PLAN</v>
      </c>
      <c r="AB135" s="16"/>
      <c r="AC135" s="21">
        <v>45678</v>
      </c>
      <c r="AD135" s="73"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35" s="16" cm="1">
        <f t="array" aca="1" ref="AE13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35" s="21">
        <v>45677</v>
      </c>
      <c r="AG135" s="74">
        <v>45677</v>
      </c>
      <c r="AH135" s="16" cm="1">
        <f t="array" aca="1" ref="AH13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5" s="21">
        <f>Tabela18[[#This Row],[DATA PREV - EMAIL]]+$AI$1</f>
        <v>45678</v>
      </c>
      <c r="AJ135" s="74">
        <v>45915</v>
      </c>
      <c r="AK135" s="16" cm="1">
        <f t="array" aca="1" ref="AK13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5" s="20">
        <f t="shared" si="20"/>
        <v>45922</v>
      </c>
      <c r="AM135" s="74">
        <v>45699</v>
      </c>
      <c r="AN135" s="15" cm="1">
        <f t="array" aca="1" ref="AN13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-222</v>
      </c>
      <c r="AO135" s="20">
        <f t="shared" si="21"/>
        <v>45700</v>
      </c>
      <c r="AP135" s="74">
        <v>45699</v>
      </c>
      <c r="AQ135" s="15" cm="1">
        <f t="array" aca="1" ref="AQ13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35" s="20">
        <f t="shared" si="22"/>
        <v>45713</v>
      </c>
      <c r="AS135" s="74"/>
      <c r="AT135" s="15" cm="1">
        <f t="array" aca="1" ref="AT13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35" s="20">
        <f t="shared" si="23"/>
        <v>45720</v>
      </c>
      <c r="AV135" s="74"/>
      <c r="AW135" s="15" cm="1">
        <f t="array" aca="1" ref="AW13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35" s="20">
        <f t="shared" si="24"/>
        <v>45721</v>
      </c>
      <c r="AY135" s="74"/>
      <c r="AZ135" s="15" cm="1">
        <f t="array" aca="1" ref="AZ13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5" s="16" t="s">
        <v>1070</v>
      </c>
    </row>
    <row r="136" spans="2:53" hidden="1" x14ac:dyDescent="0.35">
      <c r="B136" s="14" t="s">
        <v>79</v>
      </c>
      <c r="C136" s="16" t="s">
        <v>136</v>
      </c>
      <c r="D136" s="16" t="s">
        <v>108</v>
      </c>
      <c r="E136" s="16" t="s">
        <v>235</v>
      </c>
      <c r="F136" s="16" cm="1">
        <f t="array" ref="F136">_xlfn.IFS(Tabela18[[#This Row],[STATUS]]="Finalizado",1,Tabela18[[#This Row],[STATUS]]="Cancelado",2,Tabela18[[#This Row],[STATUS]]="Em andamento",3)</f>
        <v>1</v>
      </c>
      <c r="G136" s="16" cm="1">
        <f t="array" aca="1" ref="G13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-EMAIL]]="",$AH136&gt;$AF$1),2,
AND(Tabela18[[#This Row],[STATUS]]="Em andamento",Tabela18[[#This Row],[DATA REAL -EMAIL]]="",$AH136&lt;=$AF$1),3,
AND(Tabela18[[#This Row],[STATUS]]="Em andamento",Tabela18[[#This Row],[DATA REAL -EMAIL]]&lt;&gt;""),1)</f>
        <v>1</v>
      </c>
      <c r="H136" s="16" cm="1">
        <f t="array" aca="1" ref="H13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CLIENTE]]="",$AK136&gt;$AI$1),2,
AND(Tabela18[[#This Row],[STATUS]]="Em andamento",Tabela18[[#This Row],[DATA REAL - DOC CLIENTE]]="",$AK136&lt;=$AI$1),3,
AND(Tabela18[[#This Row],[STATUS]]="Em andamento",Tabela18[[#This Row],[DATA REAL - DOC CLIENTE]]&lt;&gt;""),1)</f>
        <v>1</v>
      </c>
      <c r="I136" s="16" cm="1">
        <f t="array" aca="1" ref="I13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06]]="",$AN136&gt;$AL$1),2,
AND(Tabela18[[#This Row],[STATUS]]="Em andamento",Tabela18[[#This Row],[DATA REAL - ANEXO 06]]="",$AN136&lt;=$AL$1),3,
AND(Tabela18[[#This Row],[STATUS]]="Em andamento",Tabela18[[#This Row],[DATA REAL - ANEXO 06]]&lt;&gt;""),1)</f>
        <v>1</v>
      </c>
      <c r="J136" s="15" cm="1">
        <f t="array" aca="1" ref="J13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LEGAIS]]="",$AQ136&gt;$AO$1),2,
AND(Tabela18[[#This Row],[STATUS]]="Em andamento",Tabela18[[#This Row],[DATA REAL - SOLIC. PROG LEGAIS]]="",$AQ136&lt;=$AO$1),3,
AND(Tabela18[[#This Row],[STATUS]]="Em andamento",Tabela18[[#This Row],[DATA REAL - SOLIC. PROG LEGAIS]]&lt;&gt;""),1)</f>
        <v>1</v>
      </c>
      <c r="K136" s="15" cm="1">
        <f t="array" aca="1" ref="K13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ENVIO]]="",$AT136&gt;$AR$1),2,
AND(Tabela18[[#This Row],[STATUS]]="Em andamento",Tabela18[[#This Row],[DATA REAL - ENVIO]]="",$AT136&lt;=$AR$1),3,
AND(Tabela18[[#This Row],[STATUS]]="Em andamento",Tabela18[[#This Row],[DATA REAL - ENVIO]]&lt;&gt;""),1)</f>
        <v>1</v>
      </c>
      <c r="L136" s="15" cm="1">
        <f t="array" aca="1" ref="L13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POSTAGEM]]="",$AW136&gt;$AU$1),2,
AND(Tabela18[[#This Row],[STATUS]]="Em andamento",Tabela18[[#This Row],[DATA REAL - POSTAGEM]]="",$AW136&lt;=$AU$1),3,
AND(Tabela18[[#This Row],[STATUS]]="Em andamento",Tabela18[[#This Row],[DATA REAL - POSTAGEM]]&lt;&gt;""),1)</f>
        <v>1</v>
      </c>
      <c r="M136" s="16" cm="1">
        <f t="array" aca="1" ref="M13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APROVAÇÃO]]="",$AZ136&gt;$AX$1),2,
AND(Tabela18[[#This Row],[STATUS]]="Em andamento",Tabela18[[#This Row],[DATA REAL - APROVAÇÃO]]="",$AZ136&lt;=$AX$1),3,
AND(Tabela18[[#This Row],[STATUS]]="Em andamento",Tabela18[[#This Row],[DATA REAL - APROVAÇÃO]]&lt;&gt;""),1)</f>
        <v>1</v>
      </c>
      <c r="N136" s="21">
        <f>IF(Tabela18[[#This Row],[DATA REAL -EMAIL]]&lt;&gt;"",Tabela18[[#This Row],[DATA REAL -EMAIL]]+30,Tabela18[[#This Row],[DATA PREV - EMAIL]]+30)</f>
        <v>45709</v>
      </c>
      <c r="O13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45917</v>
      </c>
      <c r="P13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238</v>
      </c>
      <c r="Q13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238</v>
      </c>
      <c r="R136" s="48">
        <f>MAX(Tabela18[[#This Row],[DATA REAL - POSTAGEM]],Tabela18[[#This Row],[DATA REAL - APROVAÇÃO]])-MIN(Tabela18[[#This Row],[DATA REAL - POSTAGEM]],Tabela18[[#This Row],[DATA REAL - APROVAÇÃO]])+1</f>
        <v>24</v>
      </c>
      <c r="S136" s="16" t="s">
        <v>121</v>
      </c>
      <c r="T136" s="16"/>
      <c r="U136" s="18" t="s">
        <v>124</v>
      </c>
      <c r="V136" s="18" t="s">
        <v>124</v>
      </c>
      <c r="W136" s="16" t="s">
        <v>97</v>
      </c>
      <c r="X136" s="16" t="s">
        <v>227</v>
      </c>
      <c r="Y136" s="16" t="s">
        <v>1071</v>
      </c>
      <c r="Z136" s="15" t="s">
        <v>236</v>
      </c>
      <c r="AA136" s="15" t="str">
        <f>_xlfn.XLOOKUP(Tabela18[[#This Row],[CÓD. CT]],Controle_Projetos[COD CT],Controle_Projetos[COD PHD],"")</f>
        <v>CCAP-CT14-LPSA</v>
      </c>
      <c r="AB136" s="16"/>
      <c r="AC136" s="21">
        <v>45679</v>
      </c>
      <c r="AD13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45700</v>
      </c>
      <c r="AE136" s="16" cm="1">
        <f t="array" aca="1" ref="AE13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22</v>
      </c>
      <c r="AF136" s="21">
        <v>45679</v>
      </c>
      <c r="AG136" s="74">
        <v>45679</v>
      </c>
      <c r="AH136" s="16" cm="1">
        <f t="array" aca="1" ref="AH13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6" s="21">
        <f>Tabela18[[#This Row],[DATA PREV - EMAIL]]+$AI$1</f>
        <v>45680</v>
      </c>
      <c r="AJ136" s="74">
        <v>45917</v>
      </c>
      <c r="AK136" s="16" cm="1">
        <f t="array" aca="1" ref="AK13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6" s="20">
        <f t="shared" si="20"/>
        <v>45924</v>
      </c>
      <c r="AM136" s="74">
        <v>45706</v>
      </c>
      <c r="AN136" s="15" cm="1">
        <f t="array" aca="1" ref="AN13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-217</v>
      </c>
      <c r="AO136" s="20">
        <f t="shared" si="21"/>
        <v>45707</v>
      </c>
      <c r="AP136" s="74">
        <v>45706</v>
      </c>
      <c r="AQ136" s="15" cm="1">
        <f t="array" aca="1" ref="AQ13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36" s="20">
        <f t="shared" si="22"/>
        <v>45720</v>
      </c>
      <c r="AS136" s="74">
        <v>45713</v>
      </c>
      <c r="AT136" s="15" cm="1">
        <f t="array" aca="1" ref="AT13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36" s="20">
        <f t="shared" si="23"/>
        <v>45720</v>
      </c>
      <c r="AV136" s="74">
        <v>45713</v>
      </c>
      <c r="AW136" s="15" cm="1">
        <f t="array" aca="1" ref="AW13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36" s="20">
        <f t="shared" si="24"/>
        <v>45714</v>
      </c>
      <c r="AY136" s="74">
        <v>45736</v>
      </c>
      <c r="AZ136" s="15" cm="1">
        <f t="array" aca="1" ref="AZ13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23</v>
      </c>
      <c r="BA136" s="16" t="s">
        <v>1072</v>
      </c>
    </row>
    <row r="137" spans="2:53" hidden="1" x14ac:dyDescent="0.35">
      <c r="B137" s="14" t="s">
        <v>79</v>
      </c>
      <c r="C137" s="16" t="s">
        <v>136</v>
      </c>
      <c r="D137" s="16" t="s">
        <v>108</v>
      </c>
      <c r="E137" s="16" t="s">
        <v>1057</v>
      </c>
      <c r="F137" s="16" cm="1">
        <f t="array" ref="F137">_xlfn.IFS(Tabela18[[#This Row],[STATUS]]="Finalizado",1,Tabela18[[#This Row],[STATUS]]="Cancelado",2,Tabela18[[#This Row],[STATUS]]="Em andamento",3)</f>
        <v>1</v>
      </c>
      <c r="G137" s="16" cm="1">
        <f t="array" aca="1" ref="G13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-EMAIL]]="",$AH137&gt;$AF$1),2,
AND(Tabela18[[#This Row],[STATUS]]="Em andamento",Tabela18[[#This Row],[DATA REAL -EMAIL]]="",$AH137&lt;=$AF$1),3,
AND(Tabela18[[#This Row],[STATUS]]="Em andamento",Tabela18[[#This Row],[DATA REAL -EMAIL]]&lt;&gt;""),1)</f>
        <v>1</v>
      </c>
      <c r="H137" s="16" cm="1">
        <f t="array" aca="1" ref="H13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CLIENTE]]="",$AK137&gt;$AI$1),2,
AND(Tabela18[[#This Row],[STATUS]]="Em andamento",Tabela18[[#This Row],[DATA REAL - DOC CLIENTE]]="",$AK137&lt;=$AI$1),3,
AND(Tabela18[[#This Row],[STATUS]]="Em andamento",Tabela18[[#This Row],[DATA REAL - DOC CLIENTE]]&lt;&gt;""),1)</f>
        <v>1</v>
      </c>
      <c r="I137" s="16" cm="1">
        <f t="array" aca="1" ref="I13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06]]="",$AN137&gt;$AL$1),2,
AND(Tabela18[[#This Row],[STATUS]]="Em andamento",Tabela18[[#This Row],[DATA REAL - ANEXO 06]]="",$AN137&lt;=$AL$1),3,
AND(Tabela18[[#This Row],[STATUS]]="Em andamento",Tabela18[[#This Row],[DATA REAL - ANEXO 06]]&lt;&gt;""),1)</f>
        <v>1</v>
      </c>
      <c r="J137" s="15" cm="1">
        <f t="array" aca="1" ref="J13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LEGAIS]]="",$AQ137&gt;$AO$1),2,
AND(Tabela18[[#This Row],[STATUS]]="Em andamento",Tabela18[[#This Row],[DATA REAL - SOLIC. PROG LEGAIS]]="",$AQ137&lt;=$AO$1),3,
AND(Tabela18[[#This Row],[STATUS]]="Em andamento",Tabela18[[#This Row],[DATA REAL - SOLIC. PROG LEGAIS]]&lt;&gt;""),1)</f>
        <v>1</v>
      </c>
      <c r="K137" s="15" cm="1">
        <f t="array" aca="1" ref="K13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ENVIO]]="",$AT137&gt;$AR$1),2,
AND(Tabela18[[#This Row],[STATUS]]="Em andamento",Tabela18[[#This Row],[DATA REAL - ENVIO]]="",$AT137&lt;=$AR$1),3,
AND(Tabela18[[#This Row],[STATUS]]="Em andamento",Tabela18[[#This Row],[DATA REAL - ENVIO]]&lt;&gt;""),1)</f>
        <v>1</v>
      </c>
      <c r="L137" s="15" cm="1">
        <f t="array" aca="1" ref="L13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POSTAGEM]]="",$AW137&gt;$AU$1),2,
AND(Tabela18[[#This Row],[STATUS]]="Em andamento",Tabela18[[#This Row],[DATA REAL - POSTAGEM]]="",$AW137&lt;=$AU$1),3,
AND(Tabela18[[#This Row],[STATUS]]="Em andamento",Tabela18[[#This Row],[DATA REAL - POSTAGEM]]&lt;&gt;""),1)</f>
        <v>1</v>
      </c>
      <c r="M137" s="16" cm="1">
        <f t="array" aca="1" ref="M13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APROVAÇÃO]]="",$AZ137&gt;$AX$1),2,
AND(Tabela18[[#This Row],[STATUS]]="Em andamento",Tabela18[[#This Row],[DATA REAL - APROVAÇÃO]]="",$AZ137&lt;=$AX$1),3,
AND(Tabela18[[#This Row],[STATUS]]="Em andamento",Tabela18[[#This Row],[DATA REAL - APROVAÇÃO]]&lt;&gt;""),1)</f>
        <v>1</v>
      </c>
      <c r="N137" s="21">
        <f>IF(Tabela18[[#This Row],[DATA REAL -EMAIL]]&lt;&gt;"",Tabela18[[#This Row],[DATA REAL -EMAIL]]+30,Tabela18[[#This Row],[DATA PREV - EMAIL]]+30)</f>
        <v>45710</v>
      </c>
      <c r="O13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45919</v>
      </c>
      <c r="P13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239</v>
      </c>
      <c r="Q13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239</v>
      </c>
      <c r="R137" s="48">
        <f>MAX(Tabela18[[#This Row],[DATA REAL - POSTAGEM]],Tabela18[[#This Row],[DATA REAL - APROVAÇÃO]])-MIN(Tabela18[[#This Row],[DATA REAL - POSTAGEM]],Tabela18[[#This Row],[DATA REAL - APROVAÇÃO]])+1</f>
        <v>15</v>
      </c>
      <c r="S137" s="16" t="s">
        <v>121</v>
      </c>
      <c r="T137" s="16"/>
      <c r="U137" s="18" t="s">
        <v>124</v>
      </c>
      <c r="V137" s="18" t="s">
        <v>124</v>
      </c>
      <c r="W137" s="16" t="s">
        <v>97</v>
      </c>
      <c r="X137" s="16" t="s">
        <v>1058</v>
      </c>
      <c r="Y137" s="16" t="s">
        <v>228</v>
      </c>
      <c r="Z137" s="15" t="s">
        <v>229</v>
      </c>
      <c r="AA137" s="15" t="str">
        <f>_xlfn.XLOOKUP(Tabela18[[#This Row],[CÓD. CT]],Controle_Projetos[COD CT],Controle_Projetos[COD PHD],"")</f>
        <v>ARCL-CT02-LPSA</v>
      </c>
      <c r="AB137" s="16"/>
      <c r="AC137" s="21">
        <v>45680</v>
      </c>
      <c r="AD13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45687</v>
      </c>
      <c r="AE137" s="16" cm="1">
        <f t="array" aca="1" ref="AE13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137" s="21">
        <v>45680</v>
      </c>
      <c r="AG137" s="74">
        <v>45680</v>
      </c>
      <c r="AH137" s="16" cm="1">
        <f t="array" aca="1" ref="AH13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7" s="21">
        <f>Tabela18[[#This Row],[DATA PREV - EMAIL]]+$AI$1</f>
        <v>45681</v>
      </c>
      <c r="AJ137" s="74">
        <v>45919</v>
      </c>
      <c r="AK137" s="16" cm="1">
        <f t="array" aca="1" ref="AK13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7" s="20">
        <f t="shared" si="20"/>
        <v>45926</v>
      </c>
      <c r="AM137" s="74">
        <v>45680</v>
      </c>
      <c r="AN137" s="15" cm="1">
        <f t="array" aca="1" ref="AN13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-245</v>
      </c>
      <c r="AO137" s="20">
        <f t="shared" si="21"/>
        <v>45681</v>
      </c>
      <c r="AP137" s="74">
        <v>45685</v>
      </c>
      <c r="AQ137" s="15" cm="1">
        <f t="array" aca="1" ref="AQ13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137" s="20">
        <f t="shared" si="22"/>
        <v>45699</v>
      </c>
      <c r="AS137" s="74">
        <v>45695</v>
      </c>
      <c r="AT137" s="15" cm="1">
        <f t="array" aca="1" ref="AT13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37" s="20">
        <f t="shared" si="23"/>
        <v>45702</v>
      </c>
      <c r="AV137" s="74">
        <v>45698</v>
      </c>
      <c r="AW137" s="15" cm="1">
        <f t="array" aca="1" ref="AW13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37" s="20">
        <f t="shared" si="24"/>
        <v>45699</v>
      </c>
      <c r="AY137" s="74">
        <v>45712</v>
      </c>
      <c r="AZ137" s="15" cm="1">
        <f t="array" aca="1" ref="AZ13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137" s="16" t="s">
        <v>1073</v>
      </c>
    </row>
    <row r="138" spans="2:53" hidden="1" x14ac:dyDescent="0.35">
      <c r="B138" s="14" t="s">
        <v>79</v>
      </c>
      <c r="C138" s="16" t="s">
        <v>136</v>
      </c>
      <c r="D138" s="16" t="s">
        <v>108</v>
      </c>
      <c r="E138" s="16" t="s">
        <v>1074</v>
      </c>
      <c r="F138" s="16" cm="1">
        <f t="array" ref="F138">_xlfn.IFS(Tabela18[[#This Row],[STATUS]]="Finalizado",1,Tabela18[[#This Row],[STATUS]]="Cancelado",2,Tabela18[[#This Row],[STATUS]]="Em andamento",3)</f>
        <v>1</v>
      </c>
      <c r="G138" s="16" cm="1">
        <f t="array" aca="1" ref="G13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-EMAIL]]="",$AH138&gt;$AF$1),2,
AND(Tabela18[[#This Row],[STATUS]]="Em andamento",Tabela18[[#This Row],[DATA REAL -EMAIL]]="",$AH138&lt;=$AF$1),3,
AND(Tabela18[[#This Row],[STATUS]]="Em andamento",Tabela18[[#This Row],[DATA REAL -EMAIL]]&lt;&gt;""),1)</f>
        <v>1</v>
      </c>
      <c r="H138" s="16" cm="1">
        <f t="array" aca="1" ref="H13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CLIENTE]]="",$AK138&gt;$AI$1),2,
AND(Tabela18[[#This Row],[STATUS]]="Em andamento",Tabela18[[#This Row],[DATA REAL - DOC CLIENTE]]="",$AK138&lt;=$AI$1),3,
AND(Tabela18[[#This Row],[STATUS]]="Em andamento",Tabela18[[#This Row],[DATA REAL - DOC CLIENTE]]&lt;&gt;""),1)</f>
        <v>1</v>
      </c>
      <c r="I138" s="16" cm="1">
        <f t="array" aca="1" ref="I13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06]]="",$AN138&gt;$AL$1),2,
AND(Tabela18[[#This Row],[STATUS]]="Em andamento",Tabela18[[#This Row],[DATA REAL - ANEXO 06]]="",$AN138&lt;=$AL$1),3,
AND(Tabela18[[#This Row],[STATUS]]="Em andamento",Tabela18[[#This Row],[DATA REAL - ANEXO 06]]&lt;&gt;""),1)</f>
        <v>1</v>
      </c>
      <c r="J138" s="15" cm="1">
        <f t="array" aca="1" ref="J13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LEGAIS]]="",$AQ138&gt;$AO$1),2,
AND(Tabela18[[#This Row],[STATUS]]="Em andamento",Tabela18[[#This Row],[DATA REAL - SOLIC. PROG LEGAIS]]="",$AQ138&lt;=$AO$1),3,
AND(Tabela18[[#This Row],[STATUS]]="Em andamento",Tabela18[[#This Row],[DATA REAL - SOLIC. PROG LEGAIS]]&lt;&gt;""),1)</f>
        <v>1</v>
      </c>
      <c r="K138" s="15" cm="1">
        <f t="array" aca="1" ref="K13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ENVIO]]="",$AT138&gt;$AR$1),2,
AND(Tabela18[[#This Row],[STATUS]]="Em andamento",Tabela18[[#This Row],[DATA REAL - ENVIO]]="",$AT138&lt;=$AR$1),3,
AND(Tabela18[[#This Row],[STATUS]]="Em andamento",Tabela18[[#This Row],[DATA REAL - ENVIO]]&lt;&gt;""),1)</f>
        <v>1</v>
      </c>
      <c r="L138" s="15" cm="1">
        <f t="array" aca="1" ref="L13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POSTAGEM]]="",$AW138&gt;$AU$1),2,
AND(Tabela18[[#This Row],[STATUS]]="Em andamento",Tabela18[[#This Row],[DATA REAL - POSTAGEM]]="",$AW138&lt;=$AU$1),3,
AND(Tabela18[[#This Row],[STATUS]]="Em andamento",Tabela18[[#This Row],[DATA REAL - POSTAGEM]]&lt;&gt;""),1)</f>
        <v>1</v>
      </c>
      <c r="M138" s="16" cm="1">
        <f t="array" aca="1" ref="M13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APROVAÇÃO]]="",$AZ138&gt;$AX$1),2,
AND(Tabela18[[#This Row],[STATUS]]="Em andamento",Tabela18[[#This Row],[DATA REAL - APROVAÇÃO]]="",$AZ138&lt;=$AX$1),3,
AND(Tabela18[[#This Row],[STATUS]]="Em andamento",Tabela18[[#This Row],[DATA REAL - APROVAÇÃO]]&lt;&gt;""),1)</f>
        <v>1</v>
      </c>
      <c r="N138" s="21">
        <f>IF(Tabela18[[#This Row],[DATA REAL -EMAIL]]&lt;&gt;"",Tabela18[[#This Row],[DATA REAL -EMAIL]]+30,Tabela18[[#This Row],[DATA PREV - EMAIL]]+30)</f>
        <v>45731</v>
      </c>
      <c r="O13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45919</v>
      </c>
      <c r="P13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218</v>
      </c>
      <c r="Q13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218</v>
      </c>
      <c r="R138" s="48">
        <f>MAX(Tabela18[[#This Row],[DATA REAL - POSTAGEM]],Tabela18[[#This Row],[DATA REAL - APROVAÇÃO]])-MIN(Tabela18[[#This Row],[DATA REAL - POSTAGEM]],Tabela18[[#This Row],[DATA REAL - APROVAÇÃO]])+1</f>
        <v>1</v>
      </c>
      <c r="S138" s="16" t="s">
        <v>150</v>
      </c>
      <c r="T138" s="16"/>
      <c r="U138" s="18" t="s">
        <v>152</v>
      </c>
      <c r="V138" s="18" t="s">
        <v>152</v>
      </c>
      <c r="W138" s="16" t="s">
        <v>97</v>
      </c>
      <c r="X138" s="16" t="s">
        <v>1074</v>
      </c>
      <c r="Y138" s="16" t="s">
        <v>267</v>
      </c>
      <c r="Z138" s="15" t="s">
        <v>268</v>
      </c>
      <c r="AA138" s="15" t="str">
        <f>_xlfn.XLOOKUP(Tabela18[[#This Row],[CÓD. CT]],Controle_Projetos[COD CT],Controle_Projetos[COD PHD],"")</f>
        <v>GOIA-CT01-GERE</v>
      </c>
      <c r="AB138" s="16"/>
      <c r="AC138" s="21">
        <v>45701</v>
      </c>
      <c r="AD13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45748</v>
      </c>
      <c r="AE138" s="16" cm="1">
        <f t="array" aca="1" ref="AE13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48</v>
      </c>
      <c r="AF138" s="21">
        <v>45701</v>
      </c>
      <c r="AG138" s="74">
        <v>45701</v>
      </c>
      <c r="AH138" s="16" cm="1">
        <f t="array" aca="1" ref="AH13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8" s="21">
        <f>Tabela18[[#This Row],[DATA PREV - EMAIL]]+$AI$1</f>
        <v>45702</v>
      </c>
      <c r="AJ138" s="74">
        <v>45919</v>
      </c>
      <c r="AK138" s="16" cm="1">
        <f t="array" aca="1" ref="AK13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8" s="20">
        <f t="shared" si="20"/>
        <v>45926</v>
      </c>
      <c r="AM138" s="74">
        <v>45715</v>
      </c>
      <c r="AN138" s="15" cm="1">
        <f t="array" aca="1" ref="AN13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-210</v>
      </c>
      <c r="AO138" s="20">
        <f t="shared" si="21"/>
        <v>45716</v>
      </c>
      <c r="AP138" s="74">
        <v>45714</v>
      </c>
      <c r="AQ138" s="15" cm="1">
        <f t="array" aca="1" ref="AQ13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38" s="20">
        <f t="shared" si="22"/>
        <v>45728</v>
      </c>
      <c r="AS138" s="74">
        <v>45737</v>
      </c>
      <c r="AT138" s="15" cm="1">
        <f t="array" aca="1" ref="AT13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10</v>
      </c>
      <c r="AU138" s="20">
        <f t="shared" si="23"/>
        <v>45744</v>
      </c>
      <c r="AV138" s="74">
        <v>45737</v>
      </c>
      <c r="AW138" s="15" cm="1">
        <f t="array" aca="1" ref="AW13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38" s="20">
        <f t="shared" si="24"/>
        <v>45740</v>
      </c>
      <c r="AY138" s="74">
        <v>45737</v>
      </c>
      <c r="AZ138" s="15" cm="1">
        <f t="array" aca="1" ref="AZ13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38" s="16" t="s">
        <v>1075</v>
      </c>
    </row>
    <row r="139" spans="2:53" hidden="1" x14ac:dyDescent="0.35">
      <c r="B139" s="14" t="s">
        <v>79</v>
      </c>
      <c r="C139" s="16" t="s">
        <v>147</v>
      </c>
      <c r="D139" s="16" t="s">
        <v>108</v>
      </c>
      <c r="E139" s="16" t="s">
        <v>1049</v>
      </c>
      <c r="F139" s="16" cm="1">
        <f t="array" ref="F139">_xlfn.IFS(Tabela18[[#This Row],[STATUS]]="Finalizado",1,Tabela18[[#This Row],[STATUS]]="Cancelado",2,Tabela18[[#This Row],[STATUS]]="Em andamento",3)</f>
        <v>1</v>
      </c>
      <c r="G139" s="16" cm="1">
        <f t="array" aca="1" ref="G13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-EMAIL]]="",$AH139&gt;$AF$1),2,
AND(Tabela18[[#This Row],[STATUS]]="Em andamento",Tabela18[[#This Row],[DATA REAL -EMAIL]]="",$AH139&lt;=$AF$1),3,
AND(Tabela18[[#This Row],[STATUS]]="Em andamento",Tabela18[[#This Row],[DATA REAL -EMAIL]]&lt;&gt;""),1)</f>
        <v>1</v>
      </c>
      <c r="H139" s="16" cm="1">
        <f t="array" aca="1" ref="H13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CLIENTE]]="",$AK139&gt;$AI$1),2,
AND(Tabela18[[#This Row],[STATUS]]="Em andamento",Tabela18[[#This Row],[DATA REAL - DOC CLIENTE]]="",$AK139&lt;=$AI$1),3,
AND(Tabela18[[#This Row],[STATUS]]="Em andamento",Tabela18[[#This Row],[DATA REAL - DOC CLIENTE]]&lt;&gt;""),1)</f>
        <v>1</v>
      </c>
      <c r="I139" s="16" cm="1">
        <f t="array" aca="1" ref="I13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06]]="",$AN139&gt;$AL$1),2,
AND(Tabela18[[#This Row],[STATUS]]="Em andamento",Tabela18[[#This Row],[DATA REAL - ANEXO 06]]="",$AN139&lt;=$AL$1),3,
AND(Tabela18[[#This Row],[STATUS]]="Em andamento",Tabela18[[#This Row],[DATA REAL - ANEXO 06]]&lt;&gt;""),1)</f>
        <v>1</v>
      </c>
      <c r="J139" s="15" cm="1">
        <f t="array" aca="1" ref="J13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LEGAIS]]="",$AQ139&gt;$AO$1),2,
AND(Tabela18[[#This Row],[STATUS]]="Em andamento",Tabela18[[#This Row],[DATA REAL - SOLIC. PROG LEGAIS]]="",$AQ139&lt;=$AO$1),3,
AND(Tabela18[[#This Row],[STATUS]]="Em andamento",Tabela18[[#This Row],[DATA REAL - SOLIC. PROG LEGAIS]]&lt;&gt;""),1)</f>
        <v>1</v>
      </c>
      <c r="K139" s="15" cm="1">
        <f t="array" aca="1" ref="K13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ENVIO]]="",$AT139&gt;$AR$1),2,
AND(Tabela18[[#This Row],[STATUS]]="Em andamento",Tabela18[[#This Row],[DATA REAL - ENVIO]]="",$AT139&lt;=$AR$1),3,
AND(Tabela18[[#This Row],[STATUS]]="Em andamento",Tabela18[[#This Row],[DATA REAL - ENVIO]]&lt;&gt;""),1)</f>
        <v>1</v>
      </c>
      <c r="L139" s="15" cm="1">
        <f t="array" aca="1" ref="L13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POSTAGEM]]="",$AW139&gt;$AU$1),2,
AND(Tabela18[[#This Row],[STATUS]]="Em andamento",Tabela18[[#This Row],[DATA REAL - POSTAGEM]]="",$AW139&lt;=$AU$1),3,
AND(Tabela18[[#This Row],[STATUS]]="Em andamento",Tabela18[[#This Row],[DATA REAL - POSTAGEM]]&lt;&gt;""),1)</f>
        <v>1</v>
      </c>
      <c r="M139" s="16" cm="1">
        <f t="array" aca="1" ref="M13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APROVAÇÃO]]="",$AZ139&gt;$AX$1),2,
AND(Tabela18[[#This Row],[STATUS]]="Em andamento",Tabela18[[#This Row],[DATA REAL - APROVAÇÃO]]="",$AZ139&lt;=$AX$1),3,
AND(Tabela18[[#This Row],[STATUS]]="Em andamento",Tabela18[[#This Row],[DATA REAL - APROVAÇÃO]]&lt;&gt;""),1)</f>
        <v>1</v>
      </c>
      <c r="N139" s="21">
        <f>IF(Tabela18[[#This Row],[DATA REAL -EMAIL]]&lt;&gt;"",Tabela18[[#This Row],[DATA REAL -EMAIL]]+30,Tabela18[[#This Row],[DATA PREV - EMAIL]]+30)</f>
        <v>45735</v>
      </c>
      <c r="O13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45919</v>
      </c>
      <c r="P13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214</v>
      </c>
      <c r="Q13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214</v>
      </c>
      <c r="R139" s="48">
        <f>MAX(Tabela18[[#This Row],[DATA REAL - POSTAGEM]],Tabela18[[#This Row],[DATA REAL - APROVAÇÃO]])-MIN(Tabela18[[#This Row],[DATA REAL - POSTAGEM]],Tabela18[[#This Row],[DATA REAL - APROVAÇÃO]])+1</f>
        <v>2</v>
      </c>
      <c r="S139" s="16" t="s">
        <v>130</v>
      </c>
      <c r="T139" s="16"/>
      <c r="U139" s="18" t="s">
        <v>131</v>
      </c>
      <c r="V139" s="18" t="s">
        <v>131</v>
      </c>
      <c r="W139" s="16" t="s">
        <v>87</v>
      </c>
      <c r="X139" s="16" t="s">
        <v>132</v>
      </c>
      <c r="Y139" s="16" t="s">
        <v>567</v>
      </c>
      <c r="Z139" s="15" t="s">
        <v>274</v>
      </c>
      <c r="AA139" s="15" t="str">
        <f>_xlfn.XLOOKUP(Tabela18[[#This Row],[CÓD. CT]],Controle_Projetos[COD CT],Controle_Projetos[COD PHD],"")</f>
        <v>GERD-CT11-DIVI</v>
      </c>
      <c r="AB139" s="16"/>
      <c r="AC139" s="21">
        <v>45706</v>
      </c>
      <c r="AD13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45705</v>
      </c>
      <c r="AE139" s="16" cm="1">
        <f t="array" aca="1" ref="AE13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39" s="21">
        <v>45705</v>
      </c>
      <c r="AG139" s="74">
        <v>45705</v>
      </c>
      <c r="AH139" s="16" cm="1">
        <f t="array" aca="1" ref="AH13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39" s="21">
        <f>Tabela18[[#This Row],[DATA PREV - EMAIL]]+$AI$1</f>
        <v>45706</v>
      </c>
      <c r="AJ139" s="74">
        <v>45919</v>
      </c>
      <c r="AK139" s="16" cm="1">
        <f t="array" aca="1" ref="AK13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39" s="20">
        <f t="shared" si="20"/>
        <v>45926</v>
      </c>
      <c r="AM139" s="74">
        <v>45707</v>
      </c>
      <c r="AN139" s="15" cm="1">
        <f t="array" aca="1" ref="AN13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-218</v>
      </c>
      <c r="AO139" s="20">
        <f t="shared" si="21"/>
        <v>45708</v>
      </c>
      <c r="AP139" s="74">
        <v>45708</v>
      </c>
      <c r="AQ139" s="15" cm="1">
        <f t="array" aca="1" ref="AQ13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39" s="20">
        <f t="shared" si="22"/>
        <v>45722</v>
      </c>
      <c r="AS139" s="74">
        <v>45715</v>
      </c>
      <c r="AT139" s="15" cm="1">
        <f t="array" aca="1" ref="AT13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39" s="20">
        <f t="shared" si="23"/>
        <v>45722</v>
      </c>
      <c r="AV139" s="74">
        <v>45715</v>
      </c>
      <c r="AW139" s="15" cm="1">
        <f t="array" aca="1" ref="AW13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39" s="20">
        <f t="shared" si="24"/>
        <v>45716</v>
      </c>
      <c r="AY139" s="74">
        <v>45716</v>
      </c>
      <c r="AZ139" s="15" cm="1">
        <f t="array" aca="1" ref="AZ13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39" s="16" t="s">
        <v>1076</v>
      </c>
    </row>
    <row r="140" spans="2:53" hidden="1" x14ac:dyDescent="0.35">
      <c r="B140" s="14" t="s">
        <v>119</v>
      </c>
      <c r="C140" s="16" t="s">
        <v>147</v>
      </c>
      <c r="D140" s="16" t="s">
        <v>119</v>
      </c>
      <c r="E140" s="16" t="s">
        <v>975</v>
      </c>
      <c r="F140" s="16" cm="1">
        <f t="array" ref="F140">_xlfn.IFS(Tabela18[[#This Row],[STATUS]]="Finalizado",1,Tabela18[[#This Row],[STATUS]]="Cancelado",2,Tabela18[[#This Row],[STATUS]]="Em andamento",3)</f>
        <v>2</v>
      </c>
      <c r="G140" s="16" cm="1">
        <f t="array" aca="1" ref="G14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-EMAIL]]="",$AH140&gt;$AF$1),2,
AND(Tabela18[[#This Row],[STATUS]]="Em andamento",Tabela18[[#This Row],[DATA REAL -EMAIL]]="",$AH140&lt;=$AF$1),3,
AND(Tabela18[[#This Row],[STATUS]]="Em andamento",Tabela18[[#This Row],[DATA REAL -EMAIL]]&lt;&gt;""),1)</f>
        <v>1</v>
      </c>
      <c r="H140" s="16" cm="1">
        <f t="array" aca="1" ref="H14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CLIENTE]]="",$AK140&gt;$AI$1),2,
AND(Tabela18[[#This Row],[STATUS]]="Em andamento",Tabela18[[#This Row],[DATA REAL - DOC CLIENTE]]="",$AK140&lt;=$AI$1),3,
AND(Tabela18[[#This Row],[STATUS]]="Em andamento",Tabela18[[#This Row],[DATA REAL - DOC CLIENTE]]&lt;&gt;""),1)</f>
        <v>1</v>
      </c>
      <c r="I140" s="16" cm="1">
        <f t="array" aca="1" ref="I14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06]]="",$AN140&gt;$AL$1),2,
AND(Tabela18[[#This Row],[STATUS]]="Em andamento",Tabela18[[#This Row],[DATA REAL - ANEXO 06]]="",$AN140&lt;=$AL$1),3,
AND(Tabela18[[#This Row],[STATUS]]="Em andamento",Tabela18[[#This Row],[DATA REAL - ANEXO 06]]&lt;&gt;""),1)</f>
        <v>1</v>
      </c>
      <c r="J140" s="15" cm="1">
        <f t="array" aca="1" ref="J14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LEGAIS]]="",$AQ140&gt;$AO$1),2,
AND(Tabela18[[#This Row],[STATUS]]="Em andamento",Tabela18[[#This Row],[DATA REAL - SOLIC. PROG LEGAIS]]="",$AQ140&lt;=$AO$1),3,
AND(Tabela18[[#This Row],[STATUS]]="Em andamento",Tabela18[[#This Row],[DATA REAL - SOLIC. PROG LEGAIS]]&lt;&gt;""),1)</f>
        <v>1</v>
      </c>
      <c r="K140" s="15" cm="1">
        <f t="array" aca="1" ref="K14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ENVIO]]="",$AT140&gt;$AR$1),2,
AND(Tabela18[[#This Row],[STATUS]]="Em andamento",Tabela18[[#This Row],[DATA REAL - ENVIO]]="",$AT140&lt;=$AR$1),3,
AND(Tabela18[[#This Row],[STATUS]]="Em andamento",Tabela18[[#This Row],[DATA REAL - ENVIO]]&lt;&gt;""),1)</f>
        <v>1</v>
      </c>
      <c r="L140" s="15" cm="1">
        <f t="array" aca="1" ref="L14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POSTAGEM]]="",$AW140&gt;$AU$1),2,
AND(Tabela18[[#This Row],[STATUS]]="Em andamento",Tabela18[[#This Row],[DATA REAL - POSTAGEM]]="",$AW140&lt;=$AU$1),3,
AND(Tabela18[[#This Row],[STATUS]]="Em andamento",Tabela18[[#This Row],[DATA REAL - POSTAGEM]]&lt;&gt;""),1)</f>
        <v>1</v>
      </c>
      <c r="M140" s="16" cm="1">
        <f t="array" aca="1" ref="M14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APROVAÇÃO]]="",$AZ140&gt;$AX$1),2,
AND(Tabela18[[#This Row],[STATUS]]="Em andamento",Tabela18[[#This Row],[DATA REAL - APROVAÇÃO]]="",$AZ140&lt;=$AX$1),3,
AND(Tabela18[[#This Row],[STATUS]]="Em andamento",Tabela18[[#This Row],[DATA REAL - APROVAÇÃO]]&lt;&gt;""),1)</f>
        <v>0</v>
      </c>
      <c r="N140" s="21">
        <f>IF(Tabela18[[#This Row],[DATA REAL -EMAIL]]&lt;&gt;"",Tabela18[[#This Row],[DATA REAL -EMAIL]]+30,Tabela18[[#This Row],[DATA PREV - EMAIL]]+30)</f>
        <v>45739</v>
      </c>
      <c r="O14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45922</v>
      </c>
      <c r="P14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213</v>
      </c>
      <c r="Q14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213</v>
      </c>
      <c r="R140" s="48">
        <f>MAX(Tabela18[[#This Row],[DATA REAL - POSTAGEM]],Tabela18[[#This Row],[DATA REAL - APROVAÇÃO]])-MIN(Tabela18[[#This Row],[DATA REAL - POSTAGEM]],Tabela18[[#This Row],[DATA REAL - APROVAÇÃO]])+1</f>
        <v>1</v>
      </c>
      <c r="S140" s="16" t="s">
        <v>1077</v>
      </c>
      <c r="T140" s="16"/>
      <c r="U140" s="18" t="s">
        <v>979</v>
      </c>
      <c r="V140" s="18" t="s">
        <v>1078</v>
      </c>
      <c r="W140" s="16" t="s">
        <v>97</v>
      </c>
      <c r="X140" s="16" t="s">
        <v>89</v>
      </c>
      <c r="Y140" s="16" t="s">
        <v>1079</v>
      </c>
      <c r="Z140" s="15" t="s">
        <v>1080</v>
      </c>
      <c r="AA140" s="15" t="str">
        <f>_xlfn.XLOOKUP(Tabela18[[#This Row],[CÓD. CT]],Controle_Projetos[COD CT],Controle_Projetos[COD PHD],"")</f>
        <v>ATER-CT02-IBIM</v>
      </c>
      <c r="AB140" s="16"/>
      <c r="AC140" s="21">
        <v>45709</v>
      </c>
      <c r="AD14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45742</v>
      </c>
      <c r="AE140" s="16" cm="1">
        <f t="array" aca="1" ref="AE14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34</v>
      </c>
      <c r="AF140" s="21">
        <v>45709</v>
      </c>
      <c r="AG140" s="74">
        <v>45709</v>
      </c>
      <c r="AH140" s="16" cm="1">
        <f t="array" aca="1" ref="AH14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0" s="21">
        <f>Tabela18[[#This Row],[DATA PREV - EMAIL]]+$AI$1</f>
        <v>45710</v>
      </c>
      <c r="AJ140" s="74">
        <v>45922</v>
      </c>
      <c r="AK140" s="16" cm="1">
        <f t="array" aca="1" ref="AK14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0" s="20">
        <f t="shared" si="20"/>
        <v>45929</v>
      </c>
      <c r="AM140" s="74">
        <v>45713</v>
      </c>
      <c r="AN140" s="15" cm="1">
        <f t="array" aca="1" ref="AN14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-215</v>
      </c>
      <c r="AO140" s="20">
        <f t="shared" si="21"/>
        <v>45714</v>
      </c>
      <c r="AP140" s="74">
        <v>45714</v>
      </c>
      <c r="AQ140" s="15" cm="1">
        <f t="array" aca="1" ref="AQ14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40" s="20">
        <f t="shared" si="22"/>
        <v>45728</v>
      </c>
      <c r="AS140" s="74">
        <v>45726</v>
      </c>
      <c r="AT140" s="15" cm="1">
        <f t="array" aca="1" ref="AT14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40" s="20">
        <f t="shared" si="23"/>
        <v>45733</v>
      </c>
      <c r="AV140" s="74">
        <v>45743</v>
      </c>
      <c r="AW140" s="15" cm="1">
        <f t="array" aca="1" ref="AW14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11</v>
      </c>
      <c r="AX140" s="20">
        <f t="shared" si="24"/>
        <v>45744</v>
      </c>
      <c r="AY140" s="74"/>
      <c r="AZ140" s="15" cm="1">
        <f t="array" aca="1" ref="AZ14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40" s="16" t="s">
        <v>1081</v>
      </c>
    </row>
    <row r="141" spans="2:53" hidden="1" x14ac:dyDescent="0.35">
      <c r="B141" s="14" t="s">
        <v>119</v>
      </c>
      <c r="C141" s="16" t="s">
        <v>147</v>
      </c>
      <c r="D141" s="16" t="s">
        <v>119</v>
      </c>
      <c r="E141" s="16" t="s">
        <v>345</v>
      </c>
      <c r="F141" s="16" cm="1">
        <f t="array" ref="F141">_xlfn.IFS(Tabela18[[#This Row],[STATUS]]="Finalizado",1,Tabela18[[#This Row],[STATUS]]="Cancelado",2,Tabela18[[#This Row],[STATUS]]="Em andamento",3)</f>
        <v>2</v>
      </c>
      <c r="G141" s="16" cm="1">
        <f t="array" aca="1" ref="G14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-EMAIL]]="",$AH141&gt;$AF$1),2,
AND(Tabela18[[#This Row],[STATUS]]="Em andamento",Tabela18[[#This Row],[DATA REAL -EMAIL]]="",$AH141&lt;=$AF$1),3,
AND(Tabela18[[#This Row],[STATUS]]="Em andamento",Tabela18[[#This Row],[DATA REAL -EMAIL]]&lt;&gt;""),1)</f>
        <v>1</v>
      </c>
      <c r="H141" s="16" cm="1">
        <f t="array" aca="1" ref="H14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CLIENTE]]="",$AK141&gt;$AI$1),2,
AND(Tabela18[[#This Row],[STATUS]]="Em andamento",Tabela18[[#This Row],[DATA REAL - DOC CLIENTE]]="",$AK141&lt;=$AI$1),3,
AND(Tabela18[[#This Row],[STATUS]]="Em andamento",Tabela18[[#This Row],[DATA REAL - DOC CLIENTE]]&lt;&gt;""),1)</f>
        <v>1</v>
      </c>
      <c r="I141" s="16" cm="1">
        <f t="array" aca="1" ref="I14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06]]="",$AN141&gt;$AL$1),2,
AND(Tabela18[[#This Row],[STATUS]]="Em andamento",Tabela18[[#This Row],[DATA REAL - ANEXO 06]]="",$AN141&lt;=$AL$1),3,
AND(Tabela18[[#This Row],[STATUS]]="Em andamento",Tabela18[[#This Row],[DATA REAL - ANEXO 06]]&lt;&gt;""),1)</f>
        <v>1</v>
      </c>
      <c r="J141" s="15" cm="1">
        <f t="array" aca="1" ref="J14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LEGAIS]]="",$AQ141&gt;$AO$1),2,
AND(Tabela18[[#This Row],[STATUS]]="Em andamento",Tabela18[[#This Row],[DATA REAL - SOLIC. PROG LEGAIS]]="",$AQ141&lt;=$AO$1),3,
AND(Tabela18[[#This Row],[STATUS]]="Em andamento",Tabela18[[#This Row],[DATA REAL - SOLIC. PROG LEGAIS]]&lt;&gt;""),1)</f>
        <v>1</v>
      </c>
      <c r="K141" s="15" cm="1">
        <f t="array" aca="1" ref="K14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ENVIO]]="",$AT141&gt;$AR$1),2,
AND(Tabela18[[#This Row],[STATUS]]="Em andamento",Tabela18[[#This Row],[DATA REAL - ENVIO]]="",$AT141&lt;=$AR$1),3,
AND(Tabela18[[#This Row],[STATUS]]="Em andamento",Tabela18[[#This Row],[DATA REAL - ENVIO]]&lt;&gt;""),1)</f>
        <v>1</v>
      </c>
      <c r="L141" s="15" cm="1">
        <f t="array" aca="1" ref="L14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POSTAGEM]]="",$AW141&gt;$AU$1),2,
AND(Tabela18[[#This Row],[STATUS]]="Em andamento",Tabela18[[#This Row],[DATA REAL - POSTAGEM]]="",$AW141&lt;=$AU$1),3,
AND(Tabela18[[#This Row],[STATUS]]="Em andamento",Tabela18[[#This Row],[DATA REAL - POSTAGEM]]&lt;&gt;""),1)</f>
        <v>1</v>
      </c>
      <c r="M141" s="16" cm="1">
        <f t="array" aca="1" ref="M14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APROVAÇÃO]]="",$AZ141&gt;$AX$1),2,
AND(Tabela18[[#This Row],[STATUS]]="Em andamento",Tabela18[[#This Row],[DATA REAL - APROVAÇÃO]]="",$AZ141&lt;=$AX$1),3,
AND(Tabela18[[#This Row],[STATUS]]="Em andamento",Tabela18[[#This Row],[DATA REAL - APROVAÇÃO]]&lt;&gt;""),1)</f>
        <v>1</v>
      </c>
      <c r="N141" s="21">
        <f>IF(Tabela18[[#This Row],[DATA REAL -EMAIL]]&lt;&gt;"",Tabela18[[#This Row],[DATA REAL -EMAIL]]+30,Tabela18[[#This Row],[DATA PREV - EMAIL]]+30)</f>
        <v>45766</v>
      </c>
      <c r="O14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45922</v>
      </c>
      <c r="P14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195</v>
      </c>
      <c r="Q14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195</v>
      </c>
      <c r="R141" s="48">
        <f>MAX(Tabela18[[#This Row],[DATA REAL - POSTAGEM]],Tabela18[[#This Row],[DATA REAL - APROVAÇÃO]])-MIN(Tabela18[[#This Row],[DATA REAL - POSTAGEM]],Tabela18[[#This Row],[DATA REAL - APROVAÇÃO]])+1</f>
        <v>1</v>
      </c>
      <c r="S141" s="16" t="s">
        <v>84</v>
      </c>
      <c r="T141" s="16"/>
      <c r="U141" s="18"/>
      <c r="V141" s="18" t="s">
        <v>86</v>
      </c>
      <c r="W141" s="16" t="s">
        <v>97</v>
      </c>
      <c r="X141" s="16" t="s">
        <v>1082</v>
      </c>
      <c r="Y141" s="16" t="s">
        <v>303</v>
      </c>
      <c r="Z141" s="15" t="s">
        <v>304</v>
      </c>
      <c r="AA141" s="15" t="str">
        <f>_xlfn.XLOOKUP(Tabela18[[#This Row],[CÓD. CT]],Controle_Projetos[COD CT],Controle_Projetos[COD PHD],"")</f>
        <v>NEWG-CT01-PLAN</v>
      </c>
      <c r="AB141" s="16"/>
      <c r="AC141" s="21">
        <v>45736</v>
      </c>
      <c r="AD14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45727</v>
      </c>
      <c r="AE141" s="16" t="str" cm="1">
        <f t="array" aca="1" ref="AE14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41" s="21">
        <v>45736</v>
      </c>
      <c r="AG141" s="74">
        <v>45736</v>
      </c>
      <c r="AH141" s="16" cm="1">
        <f t="array" aca="1" ref="AH14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1" s="21">
        <f>Tabela18[[#This Row],[DATA PREV - EMAIL]]+$AI$1</f>
        <v>45737</v>
      </c>
      <c r="AJ141" s="74">
        <v>45922</v>
      </c>
      <c r="AK141" s="16" cm="1">
        <f t="array" aca="1" ref="AK14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1" s="20">
        <f t="shared" si="20"/>
        <v>45929</v>
      </c>
      <c r="AM141" s="74">
        <v>45770</v>
      </c>
      <c r="AN141" s="15" cm="1">
        <f t="array" aca="1" ref="AN14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-158</v>
      </c>
      <c r="AO141" s="20">
        <f t="shared" si="21"/>
        <v>45771</v>
      </c>
      <c r="AP141" s="74">
        <v>45763</v>
      </c>
      <c r="AQ141" s="15" cm="1">
        <f t="array" aca="1" ref="AQ14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141" s="20">
        <f t="shared" si="22"/>
        <v>45777</v>
      </c>
      <c r="AS141" s="74">
        <v>45770</v>
      </c>
      <c r="AT141" s="15" cm="1">
        <f t="array" aca="1" ref="AT14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41" s="20">
        <f t="shared" si="23"/>
        <v>45777</v>
      </c>
      <c r="AV141" s="74">
        <v>45783</v>
      </c>
      <c r="AW141" s="15" cm="1">
        <f t="array" aca="1" ref="AW14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141" s="20">
        <f t="shared" si="24"/>
        <v>45784</v>
      </c>
      <c r="AY141" s="74">
        <v>45783</v>
      </c>
      <c r="AZ141" s="15" cm="1">
        <f t="array" aca="1" ref="AZ14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41" s="16" t="s">
        <v>1083</v>
      </c>
    </row>
    <row r="142" spans="2:53" hidden="1" x14ac:dyDescent="0.35">
      <c r="B142" s="14" t="s">
        <v>79</v>
      </c>
      <c r="C142" s="16" t="s">
        <v>136</v>
      </c>
      <c r="D142" s="16" t="s">
        <v>108</v>
      </c>
      <c r="E142" s="16" t="s">
        <v>309</v>
      </c>
      <c r="F142" s="16" cm="1">
        <f t="array" ref="F142">_xlfn.IFS(Tabela18[[#This Row],[STATUS]]="Finalizado",1,Tabela18[[#This Row],[STATUS]]="Cancelado",2,Tabela18[[#This Row],[STATUS]]="Em andamento",3)</f>
        <v>1</v>
      </c>
      <c r="G142" s="16" cm="1">
        <f t="array" aca="1" ref="G14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-EMAIL]]="",$AH142&gt;$AF$1),2,
AND(Tabela18[[#This Row],[STATUS]]="Em andamento",Tabela18[[#This Row],[DATA REAL -EMAIL]]="",$AH142&lt;=$AF$1),3,
AND(Tabela18[[#This Row],[STATUS]]="Em andamento",Tabela18[[#This Row],[DATA REAL -EMAIL]]&lt;&gt;""),1)</f>
        <v>1</v>
      </c>
      <c r="H142" s="16" cm="1">
        <f t="array" aca="1" ref="H14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CLIENTE]]="",$AK142&gt;$AI$1),2,
AND(Tabela18[[#This Row],[STATUS]]="Em andamento",Tabela18[[#This Row],[DATA REAL - DOC CLIENTE]]="",$AK142&lt;=$AI$1),3,
AND(Tabela18[[#This Row],[STATUS]]="Em andamento",Tabela18[[#This Row],[DATA REAL - DOC CLIENTE]]&lt;&gt;""),1)</f>
        <v>1</v>
      </c>
      <c r="I142" s="16" cm="1">
        <f t="array" aca="1" ref="I14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06]]="",$AN142&gt;$AL$1),2,
AND(Tabela18[[#This Row],[STATUS]]="Em andamento",Tabela18[[#This Row],[DATA REAL - ANEXO 06]]="",$AN142&lt;=$AL$1),3,
AND(Tabela18[[#This Row],[STATUS]]="Em andamento",Tabela18[[#This Row],[DATA REAL - ANEXO 06]]&lt;&gt;""),1)</f>
        <v>1</v>
      </c>
      <c r="J142" s="15" cm="1">
        <f t="array" aca="1" ref="J14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LEGAIS]]="",$AQ142&gt;$AO$1),2,
AND(Tabela18[[#This Row],[STATUS]]="Em andamento",Tabela18[[#This Row],[DATA REAL - SOLIC. PROG LEGAIS]]="",$AQ142&lt;=$AO$1),3,
AND(Tabela18[[#This Row],[STATUS]]="Em andamento",Tabela18[[#This Row],[DATA REAL - SOLIC. PROG LEGAIS]]&lt;&gt;""),1)</f>
        <v>1</v>
      </c>
      <c r="K142" s="15" cm="1">
        <f t="array" aca="1" ref="K14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ENVIO]]="",$AT142&gt;$AR$1),2,
AND(Tabela18[[#This Row],[STATUS]]="Em andamento",Tabela18[[#This Row],[DATA REAL - ENVIO]]="",$AT142&lt;=$AR$1),3,
AND(Tabela18[[#This Row],[STATUS]]="Em andamento",Tabela18[[#This Row],[DATA REAL - ENVIO]]&lt;&gt;""),1)</f>
        <v>1</v>
      </c>
      <c r="L142" s="15" cm="1">
        <f t="array" aca="1" ref="L14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POSTAGEM]]="",$AW142&gt;$AU$1),2,
AND(Tabela18[[#This Row],[STATUS]]="Em andamento",Tabela18[[#This Row],[DATA REAL - POSTAGEM]]="",$AW142&lt;=$AU$1),3,
AND(Tabela18[[#This Row],[STATUS]]="Em andamento",Tabela18[[#This Row],[DATA REAL - POSTAGEM]]&lt;&gt;""),1)</f>
        <v>1</v>
      </c>
      <c r="M142" s="16" cm="1">
        <f t="array" aca="1" ref="M14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APROVAÇÃO]]="",$AZ142&gt;$AX$1),2,
AND(Tabela18[[#This Row],[STATUS]]="Em andamento",Tabela18[[#This Row],[DATA REAL - APROVAÇÃO]]="",$AZ142&lt;=$AX$1),3,
AND(Tabela18[[#This Row],[STATUS]]="Em andamento",Tabela18[[#This Row],[DATA REAL - APROVAÇÃO]]&lt;&gt;""),1)</f>
        <v>1</v>
      </c>
      <c r="N142" s="21">
        <f>IF(Tabela18[[#This Row],[DATA REAL -EMAIL]]&lt;&gt;"",Tabela18[[#This Row],[DATA REAL -EMAIL]]+30,Tabela18[[#This Row],[DATA PREV - EMAIL]]+30)</f>
        <v>45766</v>
      </c>
      <c r="O14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45925</v>
      </c>
      <c r="P14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189</v>
      </c>
      <c r="Q14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189</v>
      </c>
      <c r="R142" s="48">
        <f>MAX(Tabela18[[#This Row],[DATA REAL - POSTAGEM]],Tabela18[[#This Row],[DATA REAL - APROVAÇÃO]])-MIN(Tabela18[[#This Row],[DATA REAL - POSTAGEM]],Tabela18[[#This Row],[DATA REAL - APROVAÇÃO]])+1</f>
        <v>11</v>
      </c>
      <c r="S142" s="16" t="s">
        <v>122</v>
      </c>
      <c r="T142" s="16"/>
      <c r="U142" s="18"/>
      <c r="V142" s="18" t="s">
        <v>124</v>
      </c>
      <c r="W142" s="16" t="s">
        <v>97</v>
      </c>
      <c r="X142" s="16" t="s">
        <v>310</v>
      </c>
      <c r="Y142" s="16" t="s">
        <v>311</v>
      </c>
      <c r="Z142" s="15" t="s">
        <v>312</v>
      </c>
      <c r="AA142" s="15" t="str">
        <f>_xlfn.XLOOKUP(Tabela18[[#This Row],[CÓD. CT]],Controle_Projetos[COD CT],Controle_Projetos[COD PHD],"")</f>
        <v>PIAT-CT02-LPSA</v>
      </c>
      <c r="AB142" s="16"/>
      <c r="AC142" s="21">
        <v>45736</v>
      </c>
      <c r="AD14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45750</v>
      </c>
      <c r="AE142" s="16" cm="1">
        <f t="array" aca="1" ref="AE14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15</v>
      </c>
      <c r="AF142" s="21">
        <v>45736</v>
      </c>
      <c r="AG142" s="74">
        <v>45736</v>
      </c>
      <c r="AH142" s="16" cm="1">
        <f t="array" aca="1" ref="AH14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2" s="21">
        <f>Tabela18[[#This Row],[DATA PREV - EMAIL]]+$AI$1</f>
        <v>45737</v>
      </c>
      <c r="AJ142" s="74">
        <v>45925</v>
      </c>
      <c r="AK142" s="16" cm="1">
        <f t="array" aca="1" ref="AK14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2" s="20">
        <f t="shared" si="20"/>
        <v>45932</v>
      </c>
      <c r="AM142" s="74">
        <v>45744</v>
      </c>
      <c r="AN142" s="15" cm="1">
        <f t="array" aca="1" ref="AN14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-187</v>
      </c>
      <c r="AO142" s="20">
        <f t="shared" si="21"/>
        <v>45747</v>
      </c>
      <c r="AP142" s="74">
        <v>45744</v>
      </c>
      <c r="AQ142" s="15" cm="1">
        <f t="array" aca="1" ref="AQ14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42" s="20">
        <f t="shared" si="22"/>
        <v>45758</v>
      </c>
      <c r="AS142" s="74">
        <v>45744</v>
      </c>
      <c r="AT142" s="15" cm="1">
        <f t="array" aca="1" ref="AT14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42" s="20">
        <f t="shared" si="23"/>
        <v>45751</v>
      </c>
      <c r="AV142" s="74">
        <v>45747</v>
      </c>
      <c r="AW142" s="15" cm="1">
        <f t="array" aca="1" ref="AW14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42" s="20">
        <f t="shared" si="24"/>
        <v>45748</v>
      </c>
      <c r="AY142" s="74">
        <v>45757</v>
      </c>
      <c r="AZ142" s="15" cm="1">
        <f t="array" aca="1" ref="AZ14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10</v>
      </c>
      <c r="BA142" s="16" t="s">
        <v>1084</v>
      </c>
    </row>
    <row r="143" spans="2:53" hidden="1" x14ac:dyDescent="0.35">
      <c r="B143" s="14" t="s">
        <v>79</v>
      </c>
      <c r="C143" s="16" t="s">
        <v>147</v>
      </c>
      <c r="D143" s="16" t="s">
        <v>108</v>
      </c>
      <c r="E143" s="16" t="s">
        <v>1085</v>
      </c>
      <c r="F143" s="16" cm="1">
        <f t="array" ref="F143">_xlfn.IFS(Tabela18[[#This Row],[STATUS]]="Finalizado",1,Tabela18[[#This Row],[STATUS]]="Cancelado",2,Tabela18[[#This Row],[STATUS]]="Em andamento",3)</f>
        <v>1</v>
      </c>
      <c r="G143" s="16" cm="1">
        <f t="array" aca="1" ref="G14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-EMAIL]]="",$AH143&gt;$AF$1),2,
AND(Tabela18[[#This Row],[STATUS]]="Em andamento",Tabela18[[#This Row],[DATA REAL -EMAIL]]="",$AH143&lt;=$AF$1),3,
AND(Tabela18[[#This Row],[STATUS]]="Em andamento",Tabela18[[#This Row],[DATA REAL -EMAIL]]&lt;&gt;""),1)</f>
        <v>0</v>
      </c>
      <c r="H143" s="16" cm="1">
        <f t="array" aca="1" ref="H14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CLIENTE]]="",$AK143&gt;$AI$1),2,
AND(Tabela18[[#This Row],[STATUS]]="Em andamento",Tabela18[[#This Row],[DATA REAL - DOC CLIENTE]]="",$AK143&lt;=$AI$1),3,
AND(Tabela18[[#This Row],[STATUS]]="Em andamento",Tabela18[[#This Row],[DATA REAL - DOC CLIENTE]]&lt;&gt;""),1)</f>
        <v>1</v>
      </c>
      <c r="I143" s="16" cm="1">
        <f t="array" aca="1" ref="I14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06]]="",$AN143&gt;$AL$1),2,
AND(Tabela18[[#This Row],[STATUS]]="Em andamento",Tabela18[[#This Row],[DATA REAL - ANEXO 06]]="",$AN143&lt;=$AL$1),3,
AND(Tabela18[[#This Row],[STATUS]]="Em andamento",Tabela18[[#This Row],[DATA REAL - ANEXO 06]]&lt;&gt;""),1)</f>
        <v>1</v>
      </c>
      <c r="J143" s="15" cm="1">
        <f t="array" aca="1" ref="J14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LEGAIS]]="",$AQ143&gt;$AO$1),2,
AND(Tabela18[[#This Row],[STATUS]]="Em andamento",Tabela18[[#This Row],[DATA REAL - SOLIC. PROG LEGAIS]]="",$AQ143&lt;=$AO$1),3,
AND(Tabela18[[#This Row],[STATUS]]="Em andamento",Tabela18[[#This Row],[DATA REAL - SOLIC. PROG LEGAIS]]&lt;&gt;""),1)</f>
        <v>1</v>
      </c>
      <c r="K143" s="15" cm="1">
        <f t="array" aca="1" ref="K14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ENVIO]]="",$AT143&gt;$AR$1),2,
AND(Tabela18[[#This Row],[STATUS]]="Em andamento",Tabela18[[#This Row],[DATA REAL - ENVIO]]="",$AT143&lt;=$AR$1),3,
AND(Tabela18[[#This Row],[STATUS]]="Em andamento",Tabela18[[#This Row],[DATA REAL - ENVIO]]&lt;&gt;""),1)</f>
        <v>1</v>
      </c>
      <c r="L143" s="15" cm="1">
        <f t="array" aca="1" ref="L14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POSTAGEM]]="",$AW143&gt;$AU$1),2,
AND(Tabela18[[#This Row],[STATUS]]="Em andamento",Tabela18[[#This Row],[DATA REAL - POSTAGEM]]="",$AW143&lt;=$AU$1),3,
AND(Tabela18[[#This Row],[STATUS]]="Em andamento",Tabela18[[#This Row],[DATA REAL - POSTAGEM]]&lt;&gt;""),1)</f>
        <v>1</v>
      </c>
      <c r="M143" s="16" cm="1">
        <f t="array" aca="1" ref="M14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APROVAÇÃO]]="",$AZ143&gt;$AX$1),2,
AND(Tabela18[[#This Row],[STATUS]]="Em andamento",Tabela18[[#This Row],[DATA REAL - APROVAÇÃO]]="",$AZ143&lt;=$AX$1),3,
AND(Tabela18[[#This Row],[STATUS]]="Em andamento",Tabela18[[#This Row],[DATA REAL - APROVAÇÃO]]&lt;&gt;""),1)</f>
        <v>1</v>
      </c>
      <c r="N143" s="21">
        <f>IF(Tabela18[[#This Row],[DATA REAL -EMAIL]]&lt;&gt;"",Tabela18[[#This Row],[DATA REAL -EMAIL]]+30,Tabela18[[#This Row],[DATA PREV - EMAIL]]+30)</f>
        <v>45771</v>
      </c>
      <c r="O14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45929</v>
      </c>
      <c r="P14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186</v>
      </c>
      <c r="Q14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186</v>
      </c>
      <c r="R143" s="48">
        <f>MAX(Tabela18[[#This Row],[DATA REAL - POSTAGEM]],Tabela18[[#This Row],[DATA REAL - APROVAÇÃO]])-MIN(Tabela18[[#This Row],[DATA REAL - POSTAGEM]],Tabela18[[#This Row],[DATA REAL - APROVAÇÃO]])+1</f>
        <v>9</v>
      </c>
      <c r="S143" s="16" t="s">
        <v>158</v>
      </c>
      <c r="T143" s="16"/>
      <c r="U143" s="18" t="s">
        <v>159</v>
      </c>
      <c r="V143" s="18" t="s">
        <v>152</v>
      </c>
      <c r="W143" s="16" t="s">
        <v>97</v>
      </c>
      <c r="X143" s="16" t="s">
        <v>1086</v>
      </c>
      <c r="Y143" s="16" t="s">
        <v>160</v>
      </c>
      <c r="Z143" s="15" t="s">
        <v>317</v>
      </c>
      <c r="AA143" s="15" t="str">
        <f>_xlfn.XLOOKUP(Tabela18[[#This Row],[CÓD. CT]],Controle_Projetos[COD CT],Controle_Projetos[COD PHD],"")</f>
        <v>ELEV-CT02-PLAN</v>
      </c>
      <c r="AB143" s="16"/>
      <c r="AC143" s="21">
        <v>45741</v>
      </c>
      <c r="AD14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45762</v>
      </c>
      <c r="AE143" s="16" cm="1">
        <f t="array" aca="1" ref="AE14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22</v>
      </c>
      <c r="AF143" s="21">
        <v>45741</v>
      </c>
      <c r="AG143" s="74"/>
      <c r="AH143" s="16" cm="1">
        <f t="array" aca="1" ref="AH14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3" s="21">
        <f>Tabela18[[#This Row],[DATA PREV - EMAIL]]+$AI$1</f>
        <v>45742</v>
      </c>
      <c r="AJ143" s="74">
        <v>45929</v>
      </c>
      <c r="AK143" s="16" cm="1">
        <f t="array" aca="1" ref="AK14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3" s="20">
        <f t="shared" si="20"/>
        <v>45936</v>
      </c>
      <c r="AM143" s="74">
        <v>45743</v>
      </c>
      <c r="AN143" s="15" cm="1">
        <f t="array" aca="1" ref="AN14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-192</v>
      </c>
      <c r="AO143" s="20">
        <f t="shared" si="21"/>
        <v>45744</v>
      </c>
      <c r="AP143" s="74">
        <v>45743</v>
      </c>
      <c r="AQ143" s="15" cm="1">
        <f t="array" aca="1" ref="AQ14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43" s="20">
        <f t="shared" si="22"/>
        <v>45757</v>
      </c>
      <c r="AS143" s="74">
        <v>45756</v>
      </c>
      <c r="AT143" s="15" cm="1">
        <f t="array" aca="1" ref="AT14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0</v>
      </c>
      <c r="AU143" s="20">
        <f t="shared" si="23"/>
        <v>45763</v>
      </c>
      <c r="AV143" s="74">
        <v>45769</v>
      </c>
      <c r="AW143" s="15" cm="1">
        <f t="array" aca="1" ref="AW14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143" s="20">
        <f t="shared" si="24"/>
        <v>45770</v>
      </c>
      <c r="AY143" s="74">
        <v>45777</v>
      </c>
      <c r="AZ143" s="15" cm="1">
        <f t="array" aca="1" ref="AZ14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43" s="16" t="s">
        <v>1087</v>
      </c>
    </row>
    <row r="144" spans="2:53" hidden="1" x14ac:dyDescent="0.35">
      <c r="B144" s="14" t="s">
        <v>79</v>
      </c>
      <c r="C144" s="16" t="s">
        <v>136</v>
      </c>
      <c r="D144" s="16" t="s">
        <v>108</v>
      </c>
      <c r="E144" s="16" t="s">
        <v>1088</v>
      </c>
      <c r="F144" s="16" cm="1">
        <f t="array" ref="F144">_xlfn.IFS(Tabela18[[#This Row],[STATUS]]="Finalizado",1,Tabela18[[#This Row],[STATUS]]="Cancelado",2,Tabela18[[#This Row],[STATUS]]="Em andamento",3)</f>
        <v>1</v>
      </c>
      <c r="G144" s="16" cm="1">
        <f t="array" aca="1" ref="G14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-EMAIL]]="",$AH144&gt;$AF$1),2,
AND(Tabela18[[#This Row],[STATUS]]="Em andamento",Tabela18[[#This Row],[DATA REAL -EMAIL]]="",$AH144&lt;=$AF$1),3,
AND(Tabela18[[#This Row],[STATUS]]="Em andamento",Tabela18[[#This Row],[DATA REAL -EMAIL]]&lt;&gt;""),1)</f>
        <v>1</v>
      </c>
      <c r="H144" s="16" cm="1">
        <f t="array" aca="1" ref="H14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CLIENTE]]="",$AK144&gt;$AI$1),2,
AND(Tabela18[[#This Row],[STATUS]]="Em andamento",Tabela18[[#This Row],[DATA REAL - DOC CLIENTE]]="",$AK144&lt;=$AI$1),3,
AND(Tabela18[[#This Row],[STATUS]]="Em andamento",Tabela18[[#This Row],[DATA REAL - DOC CLIENTE]]&lt;&gt;""),1)</f>
        <v>1</v>
      </c>
      <c r="I144" s="16" cm="1">
        <f t="array" aca="1" ref="I14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06]]="",$AN144&gt;$AL$1),2,
AND(Tabela18[[#This Row],[STATUS]]="Em andamento",Tabela18[[#This Row],[DATA REAL - ANEXO 06]]="",$AN144&lt;=$AL$1),3,
AND(Tabela18[[#This Row],[STATUS]]="Em andamento",Tabela18[[#This Row],[DATA REAL - ANEXO 06]]&lt;&gt;""),1)</f>
        <v>1</v>
      </c>
      <c r="J144" s="15" cm="1">
        <f t="array" aca="1" ref="J14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LEGAIS]]="",$AQ144&gt;$AO$1),2,
AND(Tabela18[[#This Row],[STATUS]]="Em andamento",Tabela18[[#This Row],[DATA REAL - SOLIC. PROG LEGAIS]]="",$AQ144&lt;=$AO$1),3,
AND(Tabela18[[#This Row],[STATUS]]="Em andamento",Tabela18[[#This Row],[DATA REAL - SOLIC. PROG LEGAIS]]&lt;&gt;""),1)</f>
        <v>1</v>
      </c>
      <c r="K144" s="15" cm="1">
        <f t="array" aca="1" ref="K14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ENVIO]]="",$AT144&gt;$AR$1),2,
AND(Tabela18[[#This Row],[STATUS]]="Em andamento",Tabela18[[#This Row],[DATA REAL - ENVIO]]="",$AT144&lt;=$AR$1),3,
AND(Tabela18[[#This Row],[STATUS]]="Em andamento",Tabela18[[#This Row],[DATA REAL - ENVIO]]&lt;&gt;""),1)</f>
        <v>1</v>
      </c>
      <c r="L144" s="15" cm="1">
        <f t="array" aca="1" ref="L14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POSTAGEM]]="",$AW144&gt;$AU$1),2,
AND(Tabela18[[#This Row],[STATUS]]="Em andamento",Tabela18[[#This Row],[DATA REAL - POSTAGEM]]="",$AW144&lt;=$AU$1),3,
AND(Tabela18[[#This Row],[STATUS]]="Em andamento",Tabela18[[#This Row],[DATA REAL - POSTAGEM]]&lt;&gt;""),1)</f>
        <v>1</v>
      </c>
      <c r="M144" s="16" cm="1">
        <f t="array" aca="1" ref="M14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APROVAÇÃO]]="",$AZ144&gt;$AX$1),2,
AND(Tabela18[[#This Row],[STATUS]]="Em andamento",Tabela18[[#This Row],[DATA REAL - APROVAÇÃO]]="",$AZ144&lt;=$AX$1),3,
AND(Tabela18[[#This Row],[STATUS]]="Em andamento",Tabela18[[#This Row],[DATA REAL - APROVAÇÃO]]&lt;&gt;""),1)</f>
        <v>1</v>
      </c>
      <c r="N144" s="21">
        <f>IF(Tabela18[[#This Row],[DATA REAL -EMAIL]]&lt;&gt;"",Tabela18[[#This Row],[DATA REAL -EMAIL]]+30,Tabela18[[#This Row],[DATA PREV - EMAIL]]+30)</f>
        <v>45772</v>
      </c>
      <c r="O14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45932</v>
      </c>
      <c r="P14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190</v>
      </c>
      <c r="Q14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190</v>
      </c>
      <c r="R144" s="48">
        <f>MAX(Tabela18[[#This Row],[DATA REAL - POSTAGEM]],Tabela18[[#This Row],[DATA REAL - APROVAÇÃO]])-MIN(Tabela18[[#This Row],[DATA REAL - POSTAGEM]],Tabela18[[#This Row],[DATA REAL - APROVAÇÃO]])+1</f>
        <v>1</v>
      </c>
      <c r="S144" s="16"/>
      <c r="T144" s="16"/>
      <c r="U144" s="18"/>
      <c r="V144" s="18" t="s">
        <v>86</v>
      </c>
      <c r="W144" s="16" t="s">
        <v>97</v>
      </c>
      <c r="X144" s="16" t="s">
        <v>1089</v>
      </c>
      <c r="Y144" s="16" t="s">
        <v>1090</v>
      </c>
      <c r="Z144" s="15" t="s">
        <v>1091</v>
      </c>
      <c r="AA144" s="15" t="str">
        <f>_xlfn.XLOOKUP(Tabela18[[#This Row],[CÓD. CT]],Controle_Projetos[COD CT],Controle_Projetos[COD PHD],"")</f>
        <v>PCOR-CT01-PLAN</v>
      </c>
      <c r="AB144" s="16"/>
      <c r="AC144" s="21">
        <v>45742</v>
      </c>
      <c r="AD14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45742</v>
      </c>
      <c r="AE144" s="16" cm="1">
        <f t="array" aca="1" ref="AE14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44" s="21">
        <v>45742</v>
      </c>
      <c r="AG144" s="74">
        <v>45742</v>
      </c>
      <c r="AH144" s="16" cm="1">
        <f t="array" aca="1" ref="AH14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4" s="21">
        <f>Tabela18[[#This Row],[DATA PREV - EMAIL]]+$AI$1</f>
        <v>45743</v>
      </c>
      <c r="AJ144" s="74">
        <v>45932</v>
      </c>
      <c r="AK144" s="16" cm="1">
        <f t="array" aca="1" ref="AK14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4" s="20">
        <f t="shared" si="20"/>
        <v>45939</v>
      </c>
      <c r="AM144" s="74">
        <v>45784</v>
      </c>
      <c r="AN144" s="15" cm="1">
        <f t="array" aca="1" ref="AN14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-154</v>
      </c>
      <c r="AO144" s="20">
        <f t="shared" si="21"/>
        <v>45785</v>
      </c>
      <c r="AP144" s="74">
        <v>45784</v>
      </c>
      <c r="AQ144" s="15" cm="1">
        <f t="array" aca="1" ref="AQ14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44" s="20">
        <f t="shared" si="22"/>
        <v>45798</v>
      </c>
      <c r="AS144" s="74">
        <v>45784</v>
      </c>
      <c r="AT144" s="15" cm="1">
        <f t="array" aca="1" ref="AT14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44" s="20">
        <f t="shared" si="23"/>
        <v>45791</v>
      </c>
      <c r="AV144" s="74">
        <v>45784</v>
      </c>
      <c r="AW144" s="15" cm="1">
        <f t="array" aca="1" ref="AW14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44" s="20">
        <f t="shared" si="24"/>
        <v>45785</v>
      </c>
      <c r="AY144" s="74">
        <v>45784</v>
      </c>
      <c r="AZ144" s="15" cm="1">
        <f t="array" aca="1" ref="AZ14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44" s="16" t="s">
        <v>1092</v>
      </c>
    </row>
    <row r="145" spans="2:53" hidden="1" x14ac:dyDescent="0.35">
      <c r="B145" s="14" t="s">
        <v>79</v>
      </c>
      <c r="C145" s="16" t="s">
        <v>147</v>
      </c>
      <c r="D145" s="16" t="s">
        <v>108</v>
      </c>
      <c r="E145" s="16" t="s">
        <v>245</v>
      </c>
      <c r="F145" s="16" cm="1">
        <f t="array" ref="F145">_xlfn.IFS(Tabela18[[#This Row],[STATUS]]="Finalizado",1,Tabela18[[#This Row],[STATUS]]="Cancelado",2,Tabela18[[#This Row],[STATUS]]="Em andamento",3)</f>
        <v>1</v>
      </c>
      <c r="G145" s="16" cm="1">
        <f t="array" aca="1" ref="G14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-EMAIL]]="",$AH145&gt;$AF$1),2,
AND(Tabela18[[#This Row],[STATUS]]="Em andamento",Tabela18[[#This Row],[DATA REAL -EMAIL]]="",$AH145&lt;=$AF$1),3,
AND(Tabela18[[#This Row],[STATUS]]="Em andamento",Tabela18[[#This Row],[DATA REAL -EMAIL]]&lt;&gt;""),1)</f>
        <v>1</v>
      </c>
      <c r="H145" s="16" cm="1">
        <f t="array" aca="1" ref="H14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CLIENTE]]="",$AK145&gt;$AI$1),2,
AND(Tabela18[[#This Row],[STATUS]]="Em andamento",Tabela18[[#This Row],[DATA REAL - DOC CLIENTE]]="",$AK145&lt;=$AI$1),3,
AND(Tabela18[[#This Row],[STATUS]]="Em andamento",Tabela18[[#This Row],[DATA REAL - DOC CLIENTE]]&lt;&gt;""),1)</f>
        <v>1</v>
      </c>
      <c r="I145" s="16" cm="1">
        <f t="array" aca="1" ref="I14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06]]="",$AN145&gt;$AL$1),2,
AND(Tabela18[[#This Row],[STATUS]]="Em andamento",Tabela18[[#This Row],[DATA REAL - ANEXO 06]]="",$AN145&lt;=$AL$1),3,
AND(Tabela18[[#This Row],[STATUS]]="Em andamento",Tabela18[[#This Row],[DATA REAL - ANEXO 06]]&lt;&gt;""),1)</f>
        <v>1</v>
      </c>
      <c r="J145" s="15" cm="1">
        <f t="array" aca="1" ref="J14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LEGAIS]]="",$AQ145&gt;$AO$1),2,
AND(Tabela18[[#This Row],[STATUS]]="Em andamento",Tabela18[[#This Row],[DATA REAL - SOLIC. PROG LEGAIS]]="",$AQ145&lt;=$AO$1),3,
AND(Tabela18[[#This Row],[STATUS]]="Em andamento",Tabela18[[#This Row],[DATA REAL - SOLIC. PROG LEGAIS]]&lt;&gt;""),1)</f>
        <v>1</v>
      </c>
      <c r="K145" s="15" cm="1">
        <f t="array" aca="1" ref="K14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ENVIO]]="",$AT145&gt;$AR$1),2,
AND(Tabela18[[#This Row],[STATUS]]="Em andamento",Tabela18[[#This Row],[DATA REAL - ENVIO]]="",$AT145&lt;=$AR$1),3,
AND(Tabela18[[#This Row],[STATUS]]="Em andamento",Tabela18[[#This Row],[DATA REAL - ENVIO]]&lt;&gt;""),1)</f>
        <v>1</v>
      </c>
      <c r="L145" s="15" cm="1">
        <f t="array" aca="1" ref="L14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POSTAGEM]]="",$AW145&gt;$AU$1),2,
AND(Tabela18[[#This Row],[STATUS]]="Em andamento",Tabela18[[#This Row],[DATA REAL - POSTAGEM]]="",$AW145&lt;=$AU$1),3,
AND(Tabela18[[#This Row],[STATUS]]="Em andamento",Tabela18[[#This Row],[DATA REAL - POSTAGEM]]&lt;&gt;""),1)</f>
        <v>1</v>
      </c>
      <c r="M145" s="16" cm="1">
        <f t="array" aca="1" ref="M14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APROVAÇÃO]]="",$AZ145&gt;$AX$1),2,
AND(Tabela18[[#This Row],[STATUS]]="Em andamento",Tabela18[[#This Row],[DATA REAL - APROVAÇÃO]]="",$AZ145&lt;=$AX$1),3,
AND(Tabela18[[#This Row],[STATUS]]="Em andamento",Tabela18[[#This Row],[DATA REAL - APROVAÇÃO]]&lt;&gt;""),1)</f>
        <v>1</v>
      </c>
      <c r="N145" s="21">
        <f>IF(Tabela18[[#This Row],[DATA REAL -EMAIL]]&lt;&gt;"",Tabela18[[#This Row],[DATA REAL -EMAIL]]+30,Tabela18[[#This Row],[DATA PREV - EMAIL]]+30)</f>
        <v>45772</v>
      </c>
      <c r="O14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45932</v>
      </c>
      <c r="P14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190</v>
      </c>
      <c r="Q14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190</v>
      </c>
      <c r="R145" s="48">
        <f>MAX(Tabela18[[#This Row],[DATA REAL - POSTAGEM]],Tabela18[[#This Row],[DATA REAL - APROVAÇÃO]])-MIN(Tabela18[[#This Row],[DATA REAL - POSTAGEM]],Tabela18[[#This Row],[DATA REAL - APROVAÇÃO]])+1</f>
        <v>1</v>
      </c>
      <c r="S145" s="16"/>
      <c r="T145" s="16"/>
      <c r="U145" s="18"/>
      <c r="V145" s="18"/>
      <c r="W145" s="16" t="s">
        <v>97</v>
      </c>
      <c r="X145" s="16" t="s">
        <v>326</v>
      </c>
      <c r="Y145" s="16" t="s">
        <v>1093</v>
      </c>
      <c r="Z145" s="15" t="s">
        <v>328</v>
      </c>
      <c r="AA145" s="15" t="str">
        <f>_xlfn.XLOOKUP(Tabela18[[#This Row],[CÓD. CT]],Controle_Projetos[COD CT],Controle_Projetos[COD PHD],"")</f>
        <v>PAIN-CT02-PLAN</v>
      </c>
      <c r="AB145" s="16"/>
      <c r="AC145" s="21">
        <v>45742</v>
      </c>
      <c r="AD14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45749</v>
      </c>
      <c r="AE145" s="16" cm="1">
        <f t="array" aca="1" ref="AE14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8</v>
      </c>
      <c r="AF145" s="21">
        <v>45742</v>
      </c>
      <c r="AG145" s="74">
        <v>45742</v>
      </c>
      <c r="AH145" s="16" cm="1">
        <f t="array" aca="1" ref="AH14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5" s="21">
        <f>Tabela18[[#This Row],[DATA PREV - EMAIL]]+$AI$1</f>
        <v>45743</v>
      </c>
      <c r="AJ145" s="74">
        <v>45932</v>
      </c>
      <c r="AK145" s="16" cm="1">
        <f t="array" aca="1" ref="AK14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5" s="20">
        <f t="shared" si="20"/>
        <v>45939</v>
      </c>
      <c r="AM145" s="74">
        <v>45750</v>
      </c>
      <c r="AN145" s="15" cm="1">
        <f t="array" aca="1" ref="AN14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-188</v>
      </c>
      <c r="AO145" s="20">
        <f t="shared" si="21"/>
        <v>45751</v>
      </c>
      <c r="AP145" s="74">
        <v>45764</v>
      </c>
      <c r="AQ145" s="15" cm="1">
        <f t="array" aca="1" ref="AQ14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14</v>
      </c>
      <c r="AR145" s="20">
        <f t="shared" si="22"/>
        <v>45778</v>
      </c>
      <c r="AS145" s="74">
        <v>45757</v>
      </c>
      <c r="AT145" s="15" cm="1">
        <f t="array" aca="1" ref="AT14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-20</v>
      </c>
      <c r="AU145" s="20">
        <f t="shared" si="23"/>
        <v>45764</v>
      </c>
      <c r="AV145" s="74">
        <v>45757</v>
      </c>
      <c r="AW145" s="15" cm="1">
        <f t="array" aca="1" ref="AW14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45" s="20">
        <f t="shared" si="24"/>
        <v>45758</v>
      </c>
      <c r="AY145" s="74">
        <v>45757</v>
      </c>
      <c r="AZ145" s="15" cm="1">
        <f t="array" aca="1" ref="AZ14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45" s="16" t="s">
        <v>1094</v>
      </c>
    </row>
    <row r="146" spans="2:53" hidden="1" x14ac:dyDescent="0.35">
      <c r="B146" s="14" t="s">
        <v>119</v>
      </c>
      <c r="C146" s="16" t="s">
        <v>136</v>
      </c>
      <c r="D146" s="16" t="s">
        <v>119</v>
      </c>
      <c r="E146" s="16" t="s">
        <v>345</v>
      </c>
      <c r="F146" s="16" cm="1">
        <f t="array" ref="F146">_xlfn.IFS(Tabela18[[#This Row],[STATUS]]="Finalizado",1,Tabela18[[#This Row],[STATUS]]="Cancelado",2,Tabela18[[#This Row],[STATUS]]="Em andamento",3)</f>
        <v>2</v>
      </c>
      <c r="G146" s="16" cm="1">
        <f t="array" aca="1" ref="G14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-EMAIL]]="",$AH146&gt;$AF$1),2,
AND(Tabela18[[#This Row],[STATUS]]="Em andamento",Tabela18[[#This Row],[DATA REAL -EMAIL]]="",$AH146&lt;=$AF$1),3,
AND(Tabela18[[#This Row],[STATUS]]="Em andamento",Tabela18[[#This Row],[DATA REAL -EMAIL]]&lt;&gt;""),1)</f>
        <v>1</v>
      </c>
      <c r="H146" s="16" cm="1">
        <f t="array" aca="1" ref="H14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CLIENTE]]="",$AK146&gt;$AI$1),2,
AND(Tabela18[[#This Row],[STATUS]]="Em andamento",Tabela18[[#This Row],[DATA REAL - DOC CLIENTE]]="",$AK146&lt;=$AI$1),3,
AND(Tabela18[[#This Row],[STATUS]]="Em andamento",Tabela18[[#This Row],[DATA REAL - DOC CLIENTE]]&lt;&gt;""),1)</f>
        <v>1</v>
      </c>
      <c r="I146" s="16" cm="1">
        <f t="array" aca="1" ref="I14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06]]="",$AN146&gt;$AL$1),2,
AND(Tabela18[[#This Row],[STATUS]]="Em andamento",Tabela18[[#This Row],[DATA REAL - ANEXO 06]]="",$AN146&lt;=$AL$1),3,
AND(Tabela18[[#This Row],[STATUS]]="Em andamento",Tabela18[[#This Row],[DATA REAL - ANEXO 06]]&lt;&gt;""),1)</f>
        <v>1</v>
      </c>
      <c r="J146" s="15" cm="1">
        <f t="array" aca="1" ref="J14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LEGAIS]]="",$AQ146&gt;$AO$1),2,
AND(Tabela18[[#This Row],[STATUS]]="Em andamento",Tabela18[[#This Row],[DATA REAL - SOLIC. PROG LEGAIS]]="",$AQ146&lt;=$AO$1),3,
AND(Tabela18[[#This Row],[STATUS]]="Em andamento",Tabela18[[#This Row],[DATA REAL - SOLIC. PROG LEGAIS]]&lt;&gt;""),1)</f>
        <v>1</v>
      </c>
      <c r="K146" s="15" cm="1">
        <f t="array" aca="1" ref="K14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ENVIO]]="",$AT146&gt;$AR$1),2,
AND(Tabela18[[#This Row],[STATUS]]="Em andamento",Tabela18[[#This Row],[DATA REAL - ENVIO]]="",$AT146&lt;=$AR$1),3,
AND(Tabela18[[#This Row],[STATUS]]="Em andamento",Tabela18[[#This Row],[DATA REAL - ENVIO]]&lt;&gt;""),1)</f>
        <v>0</v>
      </c>
      <c r="L146" s="15" cm="1">
        <f t="array" aca="1" ref="L14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POSTAGEM]]="",$AW146&gt;$AU$1),2,
AND(Tabela18[[#This Row],[STATUS]]="Em andamento",Tabela18[[#This Row],[DATA REAL - POSTAGEM]]="",$AW146&lt;=$AU$1),3,
AND(Tabela18[[#This Row],[STATUS]]="Em andamento",Tabela18[[#This Row],[DATA REAL - POSTAGEM]]&lt;&gt;""),1)</f>
        <v>0</v>
      </c>
      <c r="M146" s="16" cm="1">
        <f t="array" aca="1" ref="M14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APROVAÇÃO]]="",$AZ146&gt;$AX$1),2,
AND(Tabela18[[#This Row],[STATUS]]="Em andamento",Tabela18[[#This Row],[DATA REAL - APROVAÇÃO]]="",$AZ146&lt;=$AX$1),3,
AND(Tabela18[[#This Row],[STATUS]]="Em andamento",Tabela18[[#This Row],[DATA REAL - APROVAÇÃO]]&lt;&gt;""),1)</f>
        <v>0</v>
      </c>
      <c r="N146" s="21">
        <f>IF(Tabela18[[#This Row],[DATA REAL -EMAIL]]&lt;&gt;"",Tabela18[[#This Row],[DATA REAL -EMAIL]]+30,Tabela18[[#This Row],[DATA PREV - EMAIL]]+30)</f>
        <v>45784</v>
      </c>
      <c r="O14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45936</v>
      </c>
      <c r="P14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182</v>
      </c>
      <c r="Q14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182</v>
      </c>
      <c r="R146" s="48">
        <f>MAX(Tabela18[[#This Row],[DATA REAL - POSTAGEM]],Tabela18[[#This Row],[DATA REAL - APROVAÇÃO]])-MIN(Tabela18[[#This Row],[DATA REAL - POSTAGEM]],Tabela18[[#This Row],[DATA REAL - APROVAÇÃO]])+1</f>
        <v>1</v>
      </c>
      <c r="S146" s="16" t="s">
        <v>84</v>
      </c>
      <c r="T146" s="16"/>
      <c r="U146" s="18"/>
      <c r="V146" s="18" t="s">
        <v>86</v>
      </c>
      <c r="W146" s="16" t="s">
        <v>97</v>
      </c>
      <c r="X146" s="16" t="s">
        <v>346</v>
      </c>
      <c r="Y146" s="16" t="s">
        <v>347</v>
      </c>
      <c r="Z146" s="15" t="s">
        <v>348</v>
      </c>
      <c r="AA146" s="15" t="str">
        <f>_xlfn.XLOOKUP(Tabela18[[#This Row],[CÓD. CT]],Controle_Projetos[COD CT],Controle_Projetos[COD PHD],"")</f>
        <v>NEWG-CT02-JURO</v>
      </c>
      <c r="AB146" s="16"/>
      <c r="AC146" s="21">
        <v>45754</v>
      </c>
      <c r="AD14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45890</v>
      </c>
      <c r="AE146" s="16" cm="1">
        <f t="array" aca="1" ref="AE14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137</v>
      </c>
      <c r="AF146" s="21">
        <v>45754</v>
      </c>
      <c r="AG146" s="74">
        <v>45754</v>
      </c>
      <c r="AH146" s="16" cm="1">
        <f t="array" aca="1" ref="AH14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6" s="21">
        <f>Tabela18[[#This Row],[DATA PREV - EMAIL]]+$AI$1</f>
        <v>45755</v>
      </c>
      <c r="AJ146" s="74">
        <v>45936</v>
      </c>
      <c r="AK146" s="16" cm="1">
        <f t="array" aca="1" ref="AK14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6" s="20">
        <f t="shared" si="20"/>
        <v>45943</v>
      </c>
      <c r="AM146" s="74">
        <v>45761</v>
      </c>
      <c r="AN146" s="15" cm="1">
        <f t="array" aca="1" ref="AN14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-181</v>
      </c>
      <c r="AO146" s="20">
        <f t="shared" si="21"/>
        <v>45762</v>
      </c>
      <c r="AP146" s="74">
        <v>45758</v>
      </c>
      <c r="AQ146" s="15" cm="1">
        <f t="array" aca="1" ref="AQ14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46" s="20">
        <f t="shared" si="22"/>
        <v>45772</v>
      </c>
      <c r="AS146" s="74"/>
      <c r="AT146" s="15" cm="1">
        <f t="array" aca="1" ref="AT14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46" s="20">
        <f t="shared" si="23"/>
        <v>45779</v>
      </c>
      <c r="AV146" s="74"/>
      <c r="AW146" s="15" cm="1">
        <f t="array" aca="1" ref="AW14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46" s="20">
        <f t="shared" si="24"/>
        <v>45782</v>
      </c>
      <c r="AY146" s="74"/>
      <c r="AZ146" s="15" cm="1">
        <f t="array" aca="1" ref="AZ14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46" s="16" t="s">
        <v>1095</v>
      </c>
    </row>
    <row r="147" spans="2:53" hidden="1" x14ac:dyDescent="0.35">
      <c r="B147" s="14" t="s">
        <v>79</v>
      </c>
      <c r="C147" s="16" t="s">
        <v>147</v>
      </c>
      <c r="D147" s="16" t="s">
        <v>108</v>
      </c>
      <c r="E147" s="16" t="s">
        <v>1096</v>
      </c>
      <c r="F147" s="16" cm="1">
        <f t="array" ref="F147">_xlfn.IFS(Tabela18[[#This Row],[STATUS]]="Finalizado",1,Tabela18[[#This Row],[STATUS]]="Cancelado",2,Tabela18[[#This Row],[STATUS]]="Em andamento",3)</f>
        <v>1</v>
      </c>
      <c r="G147" s="16" cm="1">
        <f t="array" aca="1" ref="G14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-EMAIL]]="",$AH147&gt;$AF$1),2,
AND(Tabela18[[#This Row],[STATUS]]="Em andamento",Tabela18[[#This Row],[DATA REAL -EMAIL]]="",$AH147&lt;=$AF$1),3,
AND(Tabela18[[#This Row],[STATUS]]="Em andamento",Tabela18[[#This Row],[DATA REAL -EMAIL]]&lt;&gt;""),1)</f>
        <v>1</v>
      </c>
      <c r="H147" s="16" cm="1">
        <f t="array" aca="1" ref="H14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CLIENTE]]="",$AK147&gt;$AI$1),2,
AND(Tabela18[[#This Row],[STATUS]]="Em andamento",Tabela18[[#This Row],[DATA REAL - DOC CLIENTE]]="",$AK147&lt;=$AI$1),3,
AND(Tabela18[[#This Row],[STATUS]]="Em andamento",Tabela18[[#This Row],[DATA REAL - DOC CLIENTE]]&lt;&gt;""),1)</f>
        <v>1</v>
      </c>
      <c r="I147" s="16" cm="1">
        <f t="array" aca="1" ref="I14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06]]="",$AN147&gt;$AL$1),2,
AND(Tabela18[[#This Row],[STATUS]]="Em andamento",Tabela18[[#This Row],[DATA REAL - ANEXO 06]]="",$AN147&lt;=$AL$1),3,
AND(Tabela18[[#This Row],[STATUS]]="Em andamento",Tabela18[[#This Row],[DATA REAL - ANEXO 06]]&lt;&gt;""),1)</f>
        <v>1</v>
      </c>
      <c r="J147" s="15" cm="1">
        <f t="array" aca="1" ref="J14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LEGAIS]]="",$AQ147&gt;$AO$1),2,
AND(Tabela18[[#This Row],[STATUS]]="Em andamento",Tabela18[[#This Row],[DATA REAL - SOLIC. PROG LEGAIS]]="",$AQ147&lt;=$AO$1),3,
AND(Tabela18[[#This Row],[STATUS]]="Em andamento",Tabela18[[#This Row],[DATA REAL - SOLIC. PROG LEGAIS]]&lt;&gt;""),1)</f>
        <v>1</v>
      </c>
      <c r="K147" s="15" cm="1">
        <f t="array" aca="1" ref="K14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ENVIO]]="",$AT147&gt;$AR$1),2,
AND(Tabela18[[#This Row],[STATUS]]="Em andamento",Tabela18[[#This Row],[DATA REAL - ENVIO]]="",$AT147&lt;=$AR$1),3,
AND(Tabela18[[#This Row],[STATUS]]="Em andamento",Tabela18[[#This Row],[DATA REAL - ENVIO]]&lt;&gt;""),1)</f>
        <v>1</v>
      </c>
      <c r="L147" s="15" cm="1">
        <f t="array" aca="1" ref="L14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POSTAGEM]]="",$AW147&gt;$AU$1),2,
AND(Tabela18[[#This Row],[STATUS]]="Em andamento",Tabela18[[#This Row],[DATA REAL - POSTAGEM]]="",$AW147&lt;=$AU$1),3,
AND(Tabela18[[#This Row],[STATUS]]="Em andamento",Tabela18[[#This Row],[DATA REAL - POSTAGEM]]&lt;&gt;""),1)</f>
        <v>1</v>
      </c>
      <c r="M147" s="16" cm="1">
        <f t="array" aca="1" ref="M14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APROVAÇÃO]]="",$AZ147&gt;$AX$1),2,
AND(Tabela18[[#This Row],[STATUS]]="Em andamento",Tabela18[[#This Row],[DATA REAL - APROVAÇÃO]]="",$AZ147&lt;=$AX$1),3,
AND(Tabela18[[#This Row],[STATUS]]="Em andamento",Tabela18[[#This Row],[DATA REAL - APROVAÇÃO]]&lt;&gt;""),1)</f>
        <v>1</v>
      </c>
      <c r="N147" s="21">
        <f>IF(Tabela18[[#This Row],[DATA REAL -EMAIL]]&lt;&gt;"",Tabela18[[#This Row],[DATA REAL -EMAIL]]+30,Tabela18[[#This Row],[DATA PREV - EMAIL]]+30)</f>
        <v>45784</v>
      </c>
      <c r="O14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45938</v>
      </c>
      <c r="P14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184</v>
      </c>
      <c r="Q14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184</v>
      </c>
      <c r="R147" s="48">
        <f>MAX(Tabela18[[#This Row],[DATA REAL - POSTAGEM]],Tabela18[[#This Row],[DATA REAL - APROVAÇÃO]])-MIN(Tabela18[[#This Row],[DATA REAL - POSTAGEM]],Tabela18[[#This Row],[DATA REAL - APROVAÇÃO]])+1</f>
        <v>1</v>
      </c>
      <c r="S147" s="16" t="s">
        <v>150</v>
      </c>
      <c r="T147" s="16"/>
      <c r="U147" s="18"/>
      <c r="V147" s="18" t="s">
        <v>152</v>
      </c>
      <c r="W147" s="16" t="s">
        <v>97</v>
      </c>
      <c r="X147" s="16" t="s">
        <v>357</v>
      </c>
      <c r="Y147" s="16" t="s">
        <v>1097</v>
      </c>
      <c r="Z147" s="15" t="s">
        <v>359</v>
      </c>
      <c r="AA147" s="15" t="str">
        <f>_xlfn.XLOOKUP(Tabela18[[#This Row],[CÓD. CT]],Controle_Projetos[COD CT],Controle_Projetos[COD PHD],"")</f>
        <v>BEMI-CT02-GERE</v>
      </c>
      <c r="AB147" s="16"/>
      <c r="AC147" s="21">
        <v>45754</v>
      </c>
      <c r="AD14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45757</v>
      </c>
      <c r="AE147" s="16" cm="1">
        <f t="array" aca="1" ref="AE14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v>
      </c>
      <c r="AF147" s="21">
        <v>45754</v>
      </c>
      <c r="AG147" s="74">
        <v>45754</v>
      </c>
      <c r="AH147" s="16" cm="1">
        <f t="array" aca="1" ref="AH14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7" s="21">
        <f>Tabela18[[#This Row],[DATA PREV - EMAIL]]+$AI$1</f>
        <v>45755</v>
      </c>
      <c r="AJ147" s="74">
        <v>45938</v>
      </c>
      <c r="AK147" s="16" cm="1">
        <f t="array" aca="1" ref="AK14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7" s="20">
        <f t="shared" si="20"/>
        <v>45945</v>
      </c>
      <c r="AM147" s="74">
        <v>45770</v>
      </c>
      <c r="AN147" s="15" cm="1">
        <f t="array" aca="1" ref="AN14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-174</v>
      </c>
      <c r="AO147" s="20">
        <f t="shared" si="21"/>
        <v>45771</v>
      </c>
      <c r="AP147" s="74">
        <v>45761</v>
      </c>
      <c r="AQ147" s="15" cm="1">
        <f t="array" aca="1" ref="AQ14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-9</v>
      </c>
      <c r="AR147" s="20">
        <f t="shared" si="22"/>
        <v>45775</v>
      </c>
      <c r="AS147" s="74">
        <v>45770</v>
      </c>
      <c r="AT147" s="15" cm="1">
        <f t="array" aca="1" ref="AT14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47" s="20">
        <f t="shared" si="23"/>
        <v>45777</v>
      </c>
      <c r="AV147" s="74">
        <v>45772</v>
      </c>
      <c r="AW147" s="15" cm="1">
        <f t="array" aca="1" ref="AW14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v>
      </c>
      <c r="AX147" s="20">
        <f t="shared" si="24"/>
        <v>45775</v>
      </c>
      <c r="AY147" s="74">
        <v>45772</v>
      </c>
      <c r="AZ147" s="15" cm="1">
        <f t="array" aca="1" ref="AZ14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47" s="16" t="s">
        <v>1098</v>
      </c>
    </row>
    <row r="148" spans="2:53" hidden="1" x14ac:dyDescent="0.35">
      <c r="B148" s="14" t="s">
        <v>79</v>
      </c>
      <c r="C148" s="16" t="s">
        <v>147</v>
      </c>
      <c r="D148" s="16" t="s">
        <v>108</v>
      </c>
      <c r="E148" s="16" t="s">
        <v>1096</v>
      </c>
      <c r="F148" s="16" cm="1">
        <f t="array" ref="F148">_xlfn.IFS(Tabela18[[#This Row],[STATUS]]="Finalizado",1,Tabela18[[#This Row],[STATUS]]="Cancelado",2,Tabela18[[#This Row],[STATUS]]="Em andamento",3)</f>
        <v>1</v>
      </c>
      <c r="G148" s="16" cm="1">
        <f t="array" aca="1" ref="G14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-EMAIL]]="",$AH148&gt;$AF$1),2,
AND(Tabela18[[#This Row],[STATUS]]="Em andamento",Tabela18[[#This Row],[DATA REAL -EMAIL]]="",$AH148&lt;=$AF$1),3,
AND(Tabela18[[#This Row],[STATUS]]="Em andamento",Tabela18[[#This Row],[DATA REAL -EMAIL]]&lt;&gt;""),1)</f>
        <v>1</v>
      </c>
      <c r="H148" s="16" cm="1">
        <f t="array" aca="1" ref="H14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CLIENTE]]="",$AK148&gt;$AI$1),2,
AND(Tabela18[[#This Row],[STATUS]]="Em andamento",Tabela18[[#This Row],[DATA REAL - DOC CLIENTE]]="",$AK148&lt;=$AI$1),3,
AND(Tabela18[[#This Row],[STATUS]]="Em andamento",Tabela18[[#This Row],[DATA REAL - DOC CLIENTE]]&lt;&gt;""),1)</f>
        <v>1</v>
      </c>
      <c r="I148" s="16" cm="1">
        <f t="array" aca="1" ref="I14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06]]="",$AN148&gt;$AL$1),2,
AND(Tabela18[[#This Row],[STATUS]]="Em andamento",Tabela18[[#This Row],[DATA REAL - ANEXO 06]]="",$AN148&lt;=$AL$1),3,
AND(Tabela18[[#This Row],[STATUS]]="Em andamento",Tabela18[[#This Row],[DATA REAL - ANEXO 06]]&lt;&gt;""),1)</f>
        <v>1</v>
      </c>
      <c r="J148" s="15" cm="1">
        <f t="array" aca="1" ref="J14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LEGAIS]]="",$AQ148&gt;$AO$1),2,
AND(Tabela18[[#This Row],[STATUS]]="Em andamento",Tabela18[[#This Row],[DATA REAL - SOLIC. PROG LEGAIS]]="",$AQ148&lt;=$AO$1),3,
AND(Tabela18[[#This Row],[STATUS]]="Em andamento",Tabela18[[#This Row],[DATA REAL - SOLIC. PROG LEGAIS]]&lt;&gt;""),1)</f>
        <v>1</v>
      </c>
      <c r="K148" s="15" cm="1">
        <f t="array" aca="1" ref="K14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ENVIO]]="",$AT148&gt;$AR$1),2,
AND(Tabela18[[#This Row],[STATUS]]="Em andamento",Tabela18[[#This Row],[DATA REAL - ENVIO]]="",$AT148&lt;=$AR$1),3,
AND(Tabela18[[#This Row],[STATUS]]="Em andamento",Tabela18[[#This Row],[DATA REAL - ENVIO]]&lt;&gt;""),1)</f>
        <v>1</v>
      </c>
      <c r="L148" s="15" cm="1">
        <f t="array" aca="1" ref="L14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POSTAGEM]]="",$AW148&gt;$AU$1),2,
AND(Tabela18[[#This Row],[STATUS]]="Em andamento",Tabela18[[#This Row],[DATA REAL - POSTAGEM]]="",$AW148&lt;=$AU$1),3,
AND(Tabela18[[#This Row],[STATUS]]="Em andamento",Tabela18[[#This Row],[DATA REAL - POSTAGEM]]&lt;&gt;""),1)</f>
        <v>1</v>
      </c>
      <c r="M148" s="16" cm="1">
        <f t="array" aca="1" ref="M14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APROVAÇÃO]]="",$AZ148&gt;$AX$1),2,
AND(Tabela18[[#This Row],[STATUS]]="Em andamento",Tabela18[[#This Row],[DATA REAL - APROVAÇÃO]]="",$AZ148&lt;=$AX$1),3,
AND(Tabela18[[#This Row],[STATUS]]="Em andamento",Tabela18[[#This Row],[DATA REAL - APROVAÇÃO]]&lt;&gt;""),1)</f>
        <v>1</v>
      </c>
      <c r="N148" s="21">
        <f>IF(Tabela18[[#This Row],[DATA REAL -EMAIL]]&lt;&gt;"",Tabela18[[#This Row],[DATA REAL -EMAIL]]+30,Tabela18[[#This Row],[DATA PREV - EMAIL]]+30)</f>
        <v>45784</v>
      </c>
      <c r="O14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45938</v>
      </c>
      <c r="P14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184</v>
      </c>
      <c r="Q14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184</v>
      </c>
      <c r="R148" s="48">
        <f>MAX(Tabela18[[#This Row],[DATA REAL - POSTAGEM]],Tabela18[[#This Row],[DATA REAL - APROVAÇÃO]])-MIN(Tabela18[[#This Row],[DATA REAL - POSTAGEM]],Tabela18[[#This Row],[DATA REAL - APROVAÇÃO]])+1</f>
        <v>1</v>
      </c>
      <c r="S148" s="16" t="s">
        <v>150</v>
      </c>
      <c r="T148" s="16"/>
      <c r="U148" s="18"/>
      <c r="V148" s="18" t="s">
        <v>152</v>
      </c>
      <c r="W148" s="16" t="s">
        <v>87</v>
      </c>
      <c r="X148" s="16" t="s">
        <v>357</v>
      </c>
      <c r="Y148" s="16" t="s">
        <v>1097</v>
      </c>
      <c r="Z148" s="15" t="s">
        <v>359</v>
      </c>
      <c r="AA148" s="15" t="str">
        <f>_xlfn.XLOOKUP(Tabela18[[#This Row],[CÓD. CT]],Controle_Projetos[COD CT],Controle_Projetos[COD PHD],"")</f>
        <v>BEMI-CT02-GERE</v>
      </c>
      <c r="AB148" s="16"/>
      <c r="AC148" s="21">
        <v>45754</v>
      </c>
      <c r="AD14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45757</v>
      </c>
      <c r="AE148" s="16" cm="1">
        <f t="array" aca="1" ref="AE14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v>
      </c>
      <c r="AF148" s="21">
        <v>45754</v>
      </c>
      <c r="AG148" s="74">
        <v>45754</v>
      </c>
      <c r="AH148" s="16" cm="1">
        <f t="array" aca="1" ref="AH14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8" s="21">
        <f>Tabela18[[#This Row],[DATA PREV - EMAIL]]+$AI$1</f>
        <v>45755</v>
      </c>
      <c r="AJ148" s="74">
        <v>45938</v>
      </c>
      <c r="AK148" s="16" cm="1">
        <f t="array" aca="1" ref="AK14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8" s="20">
        <f t="shared" si="20"/>
        <v>45945</v>
      </c>
      <c r="AM148" s="74">
        <v>45771</v>
      </c>
      <c r="AN148" s="15" cm="1">
        <f t="array" aca="1" ref="AN14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-173</v>
      </c>
      <c r="AO148" s="20">
        <f t="shared" si="21"/>
        <v>45772</v>
      </c>
      <c r="AP148" s="74">
        <v>45761</v>
      </c>
      <c r="AQ148" s="15" cm="1">
        <f t="array" aca="1" ref="AQ14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-10</v>
      </c>
      <c r="AR148" s="20">
        <f t="shared" si="22"/>
        <v>45775</v>
      </c>
      <c r="AS148" s="74">
        <v>45771</v>
      </c>
      <c r="AT148" s="15" cm="1">
        <f t="array" aca="1" ref="AT14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48" s="20">
        <f t="shared" si="23"/>
        <v>45778</v>
      </c>
      <c r="AV148" s="74">
        <v>45772</v>
      </c>
      <c r="AW148" s="15" cm="1">
        <f t="array" aca="1" ref="AW14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148" s="20">
        <f t="shared" si="24"/>
        <v>45775</v>
      </c>
      <c r="AY148" s="74">
        <v>45772</v>
      </c>
      <c r="AZ148" s="15" cm="1">
        <f t="array" aca="1" ref="AZ14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48" s="16" t="s">
        <v>1099</v>
      </c>
    </row>
    <row r="149" spans="2:53" hidden="1" x14ac:dyDescent="0.35">
      <c r="B149" s="14" t="s">
        <v>79</v>
      </c>
      <c r="C149" s="16" t="s">
        <v>136</v>
      </c>
      <c r="D149" s="16" t="s">
        <v>108</v>
      </c>
      <c r="E149" s="16" t="s">
        <v>917</v>
      </c>
      <c r="F149" s="16" cm="1">
        <f t="array" ref="F149">_xlfn.IFS(Tabela18[[#This Row],[STATUS]]="Finalizado",1,Tabela18[[#This Row],[STATUS]]="Cancelado",2,Tabela18[[#This Row],[STATUS]]="Em andamento",3)</f>
        <v>1</v>
      </c>
      <c r="G149" s="16" cm="1">
        <f t="array" aca="1" ref="G14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-EMAIL]]="",$AH149&gt;$AF$1),2,
AND(Tabela18[[#This Row],[STATUS]]="Em andamento",Tabela18[[#This Row],[DATA REAL -EMAIL]]="",$AH149&lt;=$AF$1),3,
AND(Tabela18[[#This Row],[STATUS]]="Em andamento",Tabela18[[#This Row],[DATA REAL -EMAIL]]&lt;&gt;""),1)</f>
        <v>1</v>
      </c>
      <c r="H149" s="16" cm="1">
        <f t="array" aca="1" ref="H14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CLIENTE]]="",$AK149&gt;$AI$1),2,
AND(Tabela18[[#This Row],[STATUS]]="Em andamento",Tabela18[[#This Row],[DATA REAL - DOC CLIENTE]]="",$AK149&lt;=$AI$1),3,
AND(Tabela18[[#This Row],[STATUS]]="Em andamento",Tabela18[[#This Row],[DATA REAL - DOC CLIENTE]]&lt;&gt;""),1)</f>
        <v>1</v>
      </c>
      <c r="I149" s="16" cm="1">
        <f t="array" aca="1" ref="I14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06]]="",$AN149&gt;$AL$1),2,
AND(Tabela18[[#This Row],[STATUS]]="Em andamento",Tabela18[[#This Row],[DATA REAL - ANEXO 06]]="",$AN149&lt;=$AL$1),3,
AND(Tabela18[[#This Row],[STATUS]]="Em andamento",Tabela18[[#This Row],[DATA REAL - ANEXO 06]]&lt;&gt;""),1)</f>
        <v>1</v>
      </c>
      <c r="J149" s="15" cm="1">
        <f t="array" aca="1" ref="J14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LEGAIS]]="",$AQ149&gt;$AO$1),2,
AND(Tabela18[[#This Row],[STATUS]]="Em andamento",Tabela18[[#This Row],[DATA REAL - SOLIC. PROG LEGAIS]]="",$AQ149&lt;=$AO$1),3,
AND(Tabela18[[#This Row],[STATUS]]="Em andamento",Tabela18[[#This Row],[DATA REAL - SOLIC. PROG LEGAIS]]&lt;&gt;""),1)</f>
        <v>1</v>
      </c>
      <c r="K149" s="15" cm="1">
        <f t="array" aca="1" ref="K14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ENVIO]]="",$AT149&gt;$AR$1),2,
AND(Tabela18[[#This Row],[STATUS]]="Em andamento",Tabela18[[#This Row],[DATA REAL - ENVIO]]="",$AT149&lt;=$AR$1),3,
AND(Tabela18[[#This Row],[STATUS]]="Em andamento",Tabela18[[#This Row],[DATA REAL - ENVIO]]&lt;&gt;""),1)</f>
        <v>1</v>
      </c>
      <c r="L149" s="15" cm="1">
        <f t="array" aca="1" ref="L14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POSTAGEM]]="",$AW149&gt;$AU$1),2,
AND(Tabela18[[#This Row],[STATUS]]="Em andamento",Tabela18[[#This Row],[DATA REAL - POSTAGEM]]="",$AW149&lt;=$AU$1),3,
AND(Tabela18[[#This Row],[STATUS]]="Em andamento",Tabela18[[#This Row],[DATA REAL - POSTAGEM]]&lt;&gt;""),1)</f>
        <v>1</v>
      </c>
      <c r="M149" s="16" cm="1">
        <f t="array" aca="1" ref="M14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APROVAÇÃO]]="",$AZ149&gt;$AX$1),2,
AND(Tabela18[[#This Row],[STATUS]]="Em andamento",Tabela18[[#This Row],[DATA REAL - APROVAÇÃO]]="",$AZ149&lt;=$AX$1),3,
AND(Tabela18[[#This Row],[STATUS]]="Em andamento",Tabela18[[#This Row],[DATA REAL - APROVAÇÃO]]&lt;&gt;""),1)</f>
        <v>1</v>
      </c>
      <c r="N149" s="21">
        <f>IF(Tabela18[[#This Row],[DATA REAL -EMAIL]]&lt;&gt;"",Tabela18[[#This Row],[DATA REAL -EMAIL]]+30,Tabela18[[#This Row],[DATA PREV - EMAIL]]+30)</f>
        <v>45799</v>
      </c>
      <c r="O14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45944</v>
      </c>
      <c r="P14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175</v>
      </c>
      <c r="Q14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175</v>
      </c>
      <c r="R149" s="48">
        <f>MAX(Tabela18[[#This Row],[DATA REAL - POSTAGEM]],Tabela18[[#This Row],[DATA REAL - APROVAÇÃO]])-MIN(Tabela18[[#This Row],[DATA REAL - POSTAGEM]],Tabela18[[#This Row],[DATA REAL - APROVAÇÃO]])+1</f>
        <v>42</v>
      </c>
      <c r="S149" s="16"/>
      <c r="T149" s="16"/>
      <c r="U149" s="18"/>
      <c r="V149" s="18"/>
      <c r="W149" s="16" t="s">
        <v>97</v>
      </c>
      <c r="X149" s="16" t="s">
        <v>918</v>
      </c>
      <c r="Y149" s="16" t="s">
        <v>220</v>
      </c>
      <c r="Z149" s="15" t="s">
        <v>411</v>
      </c>
      <c r="AA149" s="15" t="str">
        <f>_xlfn.XLOOKUP(Tabela18[[#This Row],[CÓD. CT]],Controle_Projetos[COD CT],Controle_Projetos[COD PHD],"")</f>
        <v>CRET-CT03-PLAN</v>
      </c>
      <c r="AB149" s="16"/>
      <c r="AC149" s="21">
        <v>45769</v>
      </c>
      <c r="AD149"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45789</v>
      </c>
      <c r="AE149" s="16" cm="1">
        <f t="array" aca="1" ref="AE14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21</v>
      </c>
      <c r="AF149" s="21">
        <v>45769</v>
      </c>
      <c r="AG149" s="74">
        <v>45769</v>
      </c>
      <c r="AH149" s="16" cm="1">
        <f t="array" aca="1" ref="AH14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49" s="21">
        <f>Tabela18[[#This Row],[DATA PREV - EMAIL]]+$AI$1</f>
        <v>45770</v>
      </c>
      <c r="AJ149" s="74">
        <v>45944</v>
      </c>
      <c r="AK149" s="16" cm="1">
        <f t="array" aca="1" ref="AK14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49" s="20">
        <f t="shared" si="20"/>
        <v>45951</v>
      </c>
      <c r="AM149" s="74">
        <v>45775</v>
      </c>
      <c r="AN149" s="15" cm="1">
        <f t="array" aca="1" ref="AN14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-175</v>
      </c>
      <c r="AO149" s="20">
        <f t="shared" si="21"/>
        <v>45776</v>
      </c>
      <c r="AP149" s="74">
        <v>45775</v>
      </c>
      <c r="AQ149" s="15" cm="1">
        <f t="array" aca="1" ref="AQ14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49" s="20">
        <f t="shared" si="22"/>
        <v>45789</v>
      </c>
      <c r="AS149" s="74">
        <v>45812</v>
      </c>
      <c r="AT149" s="15" cm="1">
        <f t="array" aca="1" ref="AT14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24</v>
      </c>
      <c r="AU149" s="20">
        <f t="shared" si="23"/>
        <v>45819</v>
      </c>
      <c r="AV149" s="74">
        <v>45813</v>
      </c>
      <c r="AW149" s="15" cm="1">
        <f t="array" aca="1" ref="AW14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149" s="20">
        <f t="shared" si="24"/>
        <v>45814</v>
      </c>
      <c r="AY149" s="74">
        <v>45854</v>
      </c>
      <c r="AZ149" s="15" cm="1">
        <f t="array" aca="1" ref="AZ14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41</v>
      </c>
      <c r="BA149" s="16" t="s">
        <v>1100</v>
      </c>
    </row>
    <row r="150" spans="2:53" hidden="1" x14ac:dyDescent="0.35">
      <c r="B150" s="14" t="s">
        <v>79</v>
      </c>
      <c r="C150" s="16" t="s">
        <v>136</v>
      </c>
      <c r="D150" s="16" t="s">
        <v>108</v>
      </c>
      <c r="E150" s="16" t="s">
        <v>395</v>
      </c>
      <c r="F150" s="16" cm="1">
        <f t="array" ref="F150">_xlfn.IFS(Tabela18[[#This Row],[STATUS]]="Finalizado",1,Tabela18[[#This Row],[STATUS]]="Cancelado",2,Tabela18[[#This Row],[STATUS]]="Em andamento",3)</f>
        <v>1</v>
      </c>
      <c r="G150" s="16" cm="1">
        <f t="array" aca="1" ref="G15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-EMAIL]]="",$AH150&gt;$AF$1),2,
AND(Tabela18[[#This Row],[STATUS]]="Em andamento",Tabela18[[#This Row],[DATA REAL -EMAIL]]="",$AH150&lt;=$AF$1),3,
AND(Tabela18[[#This Row],[STATUS]]="Em andamento",Tabela18[[#This Row],[DATA REAL -EMAIL]]&lt;&gt;""),1)</f>
        <v>1</v>
      </c>
      <c r="H150" s="16" cm="1">
        <f t="array" aca="1" ref="H15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CLIENTE]]="",$AK150&gt;$AI$1),2,
AND(Tabela18[[#This Row],[STATUS]]="Em andamento",Tabela18[[#This Row],[DATA REAL - DOC CLIENTE]]="",$AK150&lt;=$AI$1),3,
AND(Tabela18[[#This Row],[STATUS]]="Em andamento",Tabela18[[#This Row],[DATA REAL - DOC CLIENTE]]&lt;&gt;""),1)</f>
        <v>1</v>
      </c>
      <c r="I150" s="16" cm="1">
        <f t="array" aca="1" ref="I15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06]]="",$AN150&gt;$AL$1),2,
AND(Tabela18[[#This Row],[STATUS]]="Em andamento",Tabela18[[#This Row],[DATA REAL - ANEXO 06]]="",$AN150&lt;=$AL$1),3,
AND(Tabela18[[#This Row],[STATUS]]="Em andamento",Tabela18[[#This Row],[DATA REAL - ANEXO 06]]&lt;&gt;""),1)</f>
        <v>1</v>
      </c>
      <c r="J150" s="15" cm="1">
        <f t="array" aca="1" ref="J15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LEGAIS]]="",$AQ150&gt;$AO$1),2,
AND(Tabela18[[#This Row],[STATUS]]="Em andamento",Tabela18[[#This Row],[DATA REAL - SOLIC. PROG LEGAIS]]="",$AQ150&lt;=$AO$1),3,
AND(Tabela18[[#This Row],[STATUS]]="Em andamento",Tabela18[[#This Row],[DATA REAL - SOLIC. PROG LEGAIS]]&lt;&gt;""),1)</f>
        <v>1</v>
      </c>
      <c r="K150" s="15" cm="1">
        <f t="array" aca="1" ref="K15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ENVIO]]="",$AT150&gt;$AR$1),2,
AND(Tabela18[[#This Row],[STATUS]]="Em andamento",Tabela18[[#This Row],[DATA REAL - ENVIO]]="",$AT150&lt;=$AR$1),3,
AND(Tabela18[[#This Row],[STATUS]]="Em andamento",Tabela18[[#This Row],[DATA REAL - ENVIO]]&lt;&gt;""),1)</f>
        <v>1</v>
      </c>
      <c r="L150" s="15" cm="1">
        <f t="array" aca="1" ref="L15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POSTAGEM]]="",$AW150&gt;$AU$1),2,
AND(Tabela18[[#This Row],[STATUS]]="Em andamento",Tabela18[[#This Row],[DATA REAL - POSTAGEM]]="",$AW150&lt;=$AU$1),3,
AND(Tabela18[[#This Row],[STATUS]]="Em andamento",Tabela18[[#This Row],[DATA REAL - POSTAGEM]]&lt;&gt;""),1)</f>
        <v>1</v>
      </c>
      <c r="M150" s="16" cm="1">
        <f t="array" aca="1" ref="M15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APROVAÇÃO]]="",$AZ150&gt;$AX$1),2,
AND(Tabela18[[#This Row],[STATUS]]="Em andamento",Tabela18[[#This Row],[DATA REAL - APROVAÇÃO]]="",$AZ150&lt;=$AX$1),3,
AND(Tabela18[[#This Row],[STATUS]]="Em andamento",Tabela18[[#This Row],[DATA REAL - APROVAÇÃO]]&lt;&gt;""),1)</f>
        <v>1</v>
      </c>
      <c r="N150" s="21">
        <f>IF(Tabela18[[#This Row],[DATA REAL -EMAIL]]&lt;&gt;"",Tabela18[[#This Row],[DATA REAL -EMAIL]]+30,Tabela18[[#This Row],[DATA PREV - EMAIL]]+30)</f>
        <v>45820</v>
      </c>
      <c r="O15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45945</v>
      </c>
      <c r="P15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155</v>
      </c>
      <c r="Q15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155</v>
      </c>
      <c r="R150" s="48">
        <f>MAX(Tabela18[[#This Row],[DATA REAL - POSTAGEM]],Tabela18[[#This Row],[DATA REAL - APROVAÇÃO]])-MIN(Tabela18[[#This Row],[DATA REAL - POSTAGEM]],Tabela18[[#This Row],[DATA REAL - APROVAÇÃO]])+1</f>
        <v>2</v>
      </c>
      <c r="S150" s="16"/>
      <c r="T150" s="16"/>
      <c r="U150" s="18"/>
      <c r="V150" s="18" t="s">
        <v>86</v>
      </c>
      <c r="W150" s="16" t="s">
        <v>97</v>
      </c>
      <c r="X150" s="16" t="s">
        <v>395</v>
      </c>
      <c r="Y150" s="16" t="s">
        <v>1101</v>
      </c>
      <c r="Z150" s="15" t="s">
        <v>397</v>
      </c>
      <c r="AA150" s="15" t="str">
        <f>_xlfn.XLOOKUP(Tabela18[[#This Row],[CÓD. CT]],Controle_Projetos[COD CT],Controle_Projetos[COD PHD],"")</f>
        <v>EMPA-CT03-PLAN</v>
      </c>
      <c r="AB150" s="16"/>
      <c r="AC150" s="21">
        <v>45786</v>
      </c>
      <c r="AD150"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45811</v>
      </c>
      <c r="AE150" s="16" cm="1">
        <f t="array" aca="1" ref="AE15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26</v>
      </c>
      <c r="AF150" s="21">
        <v>45790</v>
      </c>
      <c r="AG150" s="74">
        <v>45790</v>
      </c>
      <c r="AH150" s="16" cm="1">
        <f t="array" aca="1" ref="AH15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0" s="21">
        <f>Tabela18[[#This Row],[DATA PREV - EMAIL]]+$AI$1</f>
        <v>45791</v>
      </c>
      <c r="AJ150" s="74">
        <v>45945</v>
      </c>
      <c r="AK150" s="16" cm="1">
        <f t="array" aca="1" ref="AK15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0" s="20">
        <f t="shared" si="20"/>
        <v>45952</v>
      </c>
      <c r="AM150" s="74">
        <v>45791</v>
      </c>
      <c r="AN150" s="15" cm="1">
        <f t="array" aca="1" ref="AN15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-160</v>
      </c>
      <c r="AO150" s="20">
        <f t="shared" si="21"/>
        <v>45792</v>
      </c>
      <c r="AP150" s="74">
        <v>45791</v>
      </c>
      <c r="AQ150" s="15" cm="1">
        <f t="array" aca="1" ref="AQ15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50" s="20">
        <f t="shared" si="22"/>
        <v>45805</v>
      </c>
      <c r="AS150" s="74">
        <v>45799</v>
      </c>
      <c r="AT150" s="15" cm="1">
        <f t="array" aca="1" ref="AT15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50" s="20">
        <f t="shared" si="23"/>
        <v>45806</v>
      </c>
      <c r="AV150" s="74">
        <v>45827</v>
      </c>
      <c r="AW150" s="15" cm="1">
        <f t="array" aca="1" ref="AW15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22</v>
      </c>
      <c r="AX150" s="20">
        <f t="shared" si="24"/>
        <v>45828</v>
      </c>
      <c r="AY150" s="74">
        <v>45828</v>
      </c>
      <c r="AZ150" s="15" cm="1">
        <f t="array" aca="1" ref="AZ15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50" s="16" t="s">
        <v>1102</v>
      </c>
    </row>
    <row r="151" spans="2:53" hidden="1" x14ac:dyDescent="0.35">
      <c r="B151" s="14" t="s">
        <v>79</v>
      </c>
      <c r="C151" s="16" t="s">
        <v>136</v>
      </c>
      <c r="D151" s="16" t="s">
        <v>108</v>
      </c>
      <c r="E151" s="16" t="s">
        <v>400</v>
      </c>
      <c r="F151" s="16" cm="1">
        <f t="array" ref="F151">_xlfn.IFS(Tabela18[[#This Row],[STATUS]]="Finalizado",1,Tabela18[[#This Row],[STATUS]]="Cancelado",2,Tabela18[[#This Row],[STATUS]]="Em andamento",3)</f>
        <v>1</v>
      </c>
      <c r="G151" s="16" cm="1">
        <f t="array" aca="1" ref="G15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-EMAIL]]="",$AH151&gt;$AF$1),2,
AND(Tabela18[[#This Row],[STATUS]]="Em andamento",Tabela18[[#This Row],[DATA REAL -EMAIL]]="",$AH151&lt;=$AF$1),3,
AND(Tabela18[[#This Row],[STATUS]]="Em andamento",Tabela18[[#This Row],[DATA REAL -EMAIL]]&lt;&gt;""),1)</f>
        <v>1</v>
      </c>
      <c r="H151" s="16" cm="1">
        <f t="array" aca="1" ref="H15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CLIENTE]]="",$AK151&gt;$AI$1),2,
AND(Tabela18[[#This Row],[STATUS]]="Em andamento",Tabela18[[#This Row],[DATA REAL - DOC CLIENTE]]="",$AK151&lt;=$AI$1),3,
AND(Tabela18[[#This Row],[STATUS]]="Em andamento",Tabela18[[#This Row],[DATA REAL - DOC CLIENTE]]&lt;&gt;""),1)</f>
        <v>0</v>
      </c>
      <c r="I151" s="16" cm="1">
        <f t="array" aca="1" ref="I15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06]]="",$AN151&gt;$AL$1),2,
AND(Tabela18[[#This Row],[STATUS]]="Em andamento",Tabela18[[#This Row],[DATA REAL - ANEXO 06]]="",$AN151&lt;=$AL$1),3,
AND(Tabela18[[#This Row],[STATUS]]="Em andamento",Tabela18[[#This Row],[DATA REAL - ANEXO 06]]&lt;&gt;""),1)</f>
        <v>1</v>
      </c>
      <c r="J151" s="15" cm="1">
        <f t="array" aca="1" ref="J15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LEGAIS]]="",$AQ151&gt;$AO$1),2,
AND(Tabela18[[#This Row],[STATUS]]="Em andamento",Tabela18[[#This Row],[DATA REAL - SOLIC. PROG LEGAIS]]="",$AQ151&lt;=$AO$1),3,
AND(Tabela18[[#This Row],[STATUS]]="Em andamento",Tabela18[[#This Row],[DATA REAL - SOLIC. PROG LEGAIS]]&lt;&gt;""),1)</f>
        <v>1</v>
      </c>
      <c r="K151" s="15" cm="1">
        <f t="array" aca="1" ref="K15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ENVIO]]="",$AT151&gt;$AR$1),2,
AND(Tabela18[[#This Row],[STATUS]]="Em andamento",Tabela18[[#This Row],[DATA REAL - ENVIO]]="",$AT151&lt;=$AR$1),3,
AND(Tabela18[[#This Row],[STATUS]]="Em andamento",Tabela18[[#This Row],[DATA REAL - ENVIO]]&lt;&gt;""),1)</f>
        <v>1</v>
      </c>
      <c r="L151" s="15" cm="1">
        <f t="array" aca="1" ref="L15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POSTAGEM]]="",$AW151&gt;$AU$1),2,
AND(Tabela18[[#This Row],[STATUS]]="Em andamento",Tabela18[[#This Row],[DATA REAL - POSTAGEM]]="",$AW151&lt;=$AU$1),3,
AND(Tabela18[[#This Row],[STATUS]]="Em andamento",Tabela18[[#This Row],[DATA REAL - POSTAGEM]]&lt;&gt;""),1)</f>
        <v>0</v>
      </c>
      <c r="M151" s="16" cm="1">
        <f t="array" aca="1" ref="M15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APROVAÇÃO]]="",$AZ151&gt;$AX$1),2,
AND(Tabela18[[#This Row],[STATUS]]="Em andamento",Tabela18[[#This Row],[DATA REAL - APROVAÇÃO]]="",$AZ151&lt;=$AX$1),3,
AND(Tabela18[[#This Row],[STATUS]]="Em andamento",Tabela18[[#This Row],[DATA REAL - APROVAÇÃO]]&lt;&gt;""),1)</f>
        <v>1</v>
      </c>
      <c r="N151" s="21">
        <f>IF(Tabela18[[#This Row],[DATA REAL -EMAIL]]&lt;&gt;"",Tabela18[[#This Row],[DATA REAL -EMAIL]]+30,Tabela18[[#This Row],[DATA PREV - EMAIL]]+30)</f>
        <v>45816</v>
      </c>
      <c r="O15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45842</v>
      </c>
      <c r="P15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56</v>
      </c>
      <c r="Q15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151" s="48">
        <f>MAX(Tabela18[[#This Row],[DATA REAL - POSTAGEM]],Tabela18[[#This Row],[DATA REAL - APROVAÇÃO]])-MIN(Tabela18[[#This Row],[DATA REAL - POSTAGEM]],Tabela18[[#This Row],[DATA REAL - APROVAÇÃO]])+1</f>
        <v>1</v>
      </c>
      <c r="S151" s="16"/>
      <c r="T151" s="16"/>
      <c r="U151" s="18"/>
      <c r="V151" s="18" t="s">
        <v>86</v>
      </c>
      <c r="W151" s="16" t="s">
        <v>97</v>
      </c>
      <c r="X151" s="16" t="s">
        <v>89</v>
      </c>
      <c r="Y151" s="16" t="s">
        <v>401</v>
      </c>
      <c r="Z151" s="15" t="s">
        <v>402</v>
      </c>
      <c r="AA151" s="15" t="str">
        <f>_xlfn.XLOOKUP(Tabela18[[#This Row],[CÓD. CT]],Controle_Projetos[COD CT],Controle_Projetos[COD PHD],"")</f>
        <v>FIDE-CT02-PDER</v>
      </c>
      <c r="AB151" s="16"/>
      <c r="AC151" s="21">
        <v>45786</v>
      </c>
      <c r="AD151"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45799</v>
      </c>
      <c r="AE151" s="16" cm="1">
        <f t="array" aca="1" ref="AE15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14</v>
      </c>
      <c r="AF151" s="21">
        <v>45786</v>
      </c>
      <c r="AG151" s="74">
        <v>45786</v>
      </c>
      <c r="AH151" s="16" cm="1">
        <f t="array" aca="1" ref="AH15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1" s="21">
        <f>Tabela18[[#This Row],[DATA PREV - EMAIL]]+$AI$1</f>
        <v>45787</v>
      </c>
      <c r="AJ151" s="74"/>
      <c r="AK151" s="16" cm="1">
        <f t="array" aca="1" ref="AK15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1" s="20">
        <f t="shared" si="20"/>
        <v>45793</v>
      </c>
      <c r="AM151" s="74">
        <v>45796</v>
      </c>
      <c r="AN151" s="15" cm="1">
        <f t="array" aca="1" ref="AN15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151" s="20">
        <f t="shared" si="21"/>
        <v>45797</v>
      </c>
      <c r="AP151" s="74">
        <v>45796</v>
      </c>
      <c r="AQ151" s="15" cm="1">
        <f t="array" aca="1" ref="AQ15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51" s="20">
        <f t="shared" si="22"/>
        <v>45810</v>
      </c>
      <c r="AS151" s="74">
        <v>45810</v>
      </c>
      <c r="AT151" s="15" cm="1">
        <f t="array" aca="1" ref="AT15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51" s="20">
        <f t="shared" si="23"/>
        <v>45817</v>
      </c>
      <c r="AV151" s="74"/>
      <c r="AW151" s="15" cm="1">
        <f t="array" aca="1" ref="AW15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51" s="20">
        <f t="shared" si="24"/>
        <v>45818</v>
      </c>
      <c r="AY151" s="74">
        <v>45842</v>
      </c>
      <c r="AZ151" s="15" cm="1">
        <f t="array" aca="1" ref="AZ15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25</v>
      </c>
      <c r="BA151" s="16" t="s">
        <v>1103</v>
      </c>
    </row>
    <row r="152" spans="2:53" hidden="1" x14ac:dyDescent="0.35">
      <c r="B152" s="14" t="s">
        <v>79</v>
      </c>
      <c r="C152" s="16" t="s">
        <v>136</v>
      </c>
      <c r="D152" s="16" t="s">
        <v>108</v>
      </c>
      <c r="E152" s="16" t="s">
        <v>226</v>
      </c>
      <c r="F152" s="16" cm="1">
        <f t="array" ref="F152">_xlfn.IFS(Tabela18[[#This Row],[STATUS]]="Finalizado",1,Tabela18[[#This Row],[STATUS]]="Cancelado",2,Tabela18[[#This Row],[STATUS]]="Em andamento",3)</f>
        <v>1</v>
      </c>
      <c r="G152" s="16" cm="1">
        <f t="array" aca="1" ref="G15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-EMAIL]]="",$AH152&gt;$AF$1),2,
AND(Tabela18[[#This Row],[STATUS]]="Em andamento",Tabela18[[#This Row],[DATA REAL -EMAIL]]="",$AH152&lt;=$AF$1),3,
AND(Tabela18[[#This Row],[STATUS]]="Em andamento",Tabela18[[#This Row],[DATA REAL -EMAIL]]&lt;&gt;""),1)</f>
        <v>1</v>
      </c>
      <c r="H152" s="16" cm="1">
        <f t="array" aca="1" ref="H15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CLIENTE]]="",$AK152&gt;$AI$1),2,
AND(Tabela18[[#This Row],[STATUS]]="Em andamento",Tabela18[[#This Row],[DATA REAL - DOC CLIENTE]]="",$AK152&lt;=$AI$1),3,
AND(Tabela18[[#This Row],[STATUS]]="Em andamento",Tabela18[[#This Row],[DATA REAL - DOC CLIENTE]]&lt;&gt;""),1)</f>
        <v>1</v>
      </c>
      <c r="I152" s="16" cm="1">
        <f t="array" aca="1" ref="I15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06]]="",$AN152&gt;$AL$1),2,
AND(Tabela18[[#This Row],[STATUS]]="Em andamento",Tabela18[[#This Row],[DATA REAL - ANEXO 06]]="",$AN152&lt;=$AL$1),3,
AND(Tabela18[[#This Row],[STATUS]]="Em andamento",Tabela18[[#This Row],[DATA REAL - ANEXO 06]]&lt;&gt;""),1)</f>
        <v>1</v>
      </c>
      <c r="J152" s="15" cm="1">
        <f t="array" aca="1" ref="J15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LEGAIS]]="",$AQ152&gt;$AO$1),2,
AND(Tabela18[[#This Row],[STATUS]]="Em andamento",Tabela18[[#This Row],[DATA REAL - SOLIC. PROG LEGAIS]]="",$AQ152&lt;=$AO$1),3,
AND(Tabela18[[#This Row],[STATUS]]="Em andamento",Tabela18[[#This Row],[DATA REAL - SOLIC. PROG LEGAIS]]&lt;&gt;""),1)</f>
        <v>1</v>
      </c>
      <c r="K152" s="15" cm="1">
        <f t="array" aca="1" ref="K15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ENVIO]]="",$AT152&gt;$AR$1),2,
AND(Tabela18[[#This Row],[STATUS]]="Em andamento",Tabela18[[#This Row],[DATA REAL - ENVIO]]="",$AT152&lt;=$AR$1),3,
AND(Tabela18[[#This Row],[STATUS]]="Em andamento",Tabela18[[#This Row],[DATA REAL - ENVIO]]&lt;&gt;""),1)</f>
        <v>1</v>
      </c>
      <c r="L152" s="15" cm="1">
        <f t="array" aca="1" ref="L15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POSTAGEM]]="",$AW152&gt;$AU$1),2,
AND(Tabela18[[#This Row],[STATUS]]="Em andamento",Tabela18[[#This Row],[DATA REAL - POSTAGEM]]="",$AW152&lt;=$AU$1),3,
AND(Tabela18[[#This Row],[STATUS]]="Em andamento",Tabela18[[#This Row],[DATA REAL - POSTAGEM]]&lt;&gt;""),1)</f>
        <v>1</v>
      </c>
      <c r="M152" s="16" cm="1">
        <f t="array" aca="1" ref="M15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APROVAÇÃO]]="",$AZ152&gt;$AX$1),2,
AND(Tabela18[[#This Row],[STATUS]]="Em andamento",Tabela18[[#This Row],[DATA REAL - APROVAÇÃO]]="",$AZ152&lt;=$AX$1),3,
AND(Tabela18[[#This Row],[STATUS]]="Em andamento",Tabela18[[#This Row],[DATA REAL - APROVAÇÃO]]&lt;&gt;""),1)</f>
        <v>1</v>
      </c>
      <c r="N152" s="21">
        <f>IF(Tabela18[[#This Row],[DATA REAL -EMAIL]]&lt;&gt;"",Tabela18[[#This Row],[DATA REAL -EMAIL]]+30,Tabela18[[#This Row],[DATA PREV - EMAIL]]+30)</f>
        <v>45820</v>
      </c>
      <c r="O15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45947</v>
      </c>
      <c r="P15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157</v>
      </c>
      <c r="Q15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157</v>
      </c>
      <c r="R152" s="48">
        <f>MAX(Tabela18[[#This Row],[DATA REAL - POSTAGEM]],Tabela18[[#This Row],[DATA REAL - APROVAÇÃO]])-MIN(Tabela18[[#This Row],[DATA REAL - POSTAGEM]],Tabela18[[#This Row],[DATA REAL - APROVAÇÃO]])+1</f>
        <v>8</v>
      </c>
      <c r="S152" s="16"/>
      <c r="T152" s="16"/>
      <c r="U152" s="18"/>
      <c r="V152" s="18" t="s">
        <v>124</v>
      </c>
      <c r="W152" s="16" t="s">
        <v>87</v>
      </c>
      <c r="X152" s="16" t="s">
        <v>227</v>
      </c>
      <c r="Y152" s="16" t="s">
        <v>1104</v>
      </c>
      <c r="Z152" s="15" t="s">
        <v>377</v>
      </c>
      <c r="AA152" s="15" t="str">
        <f>_xlfn.XLOOKUP(Tabela18[[#This Row],[CÓD. CT]],Controle_Projetos[COD CT],Controle_Projetos[COD PHD],"")</f>
        <v>ARCL-CT03-CGH7</v>
      </c>
      <c r="AB152" s="16"/>
      <c r="AC152" s="21">
        <v>45790</v>
      </c>
      <c r="AD152"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45824</v>
      </c>
      <c r="AE152" s="16" cm="1">
        <f t="array" aca="1" ref="AE15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35</v>
      </c>
      <c r="AF152" s="21">
        <v>45790</v>
      </c>
      <c r="AG152" s="74">
        <v>45790</v>
      </c>
      <c r="AH152" s="16" cm="1">
        <f t="array" aca="1" ref="AH15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2" s="21">
        <f>Tabela18[[#This Row],[DATA PREV - EMAIL]]+$AI$1</f>
        <v>45791</v>
      </c>
      <c r="AJ152" s="74">
        <v>45947</v>
      </c>
      <c r="AK152" s="16" cm="1">
        <f t="array" aca="1" ref="AK15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2" s="20">
        <f t="shared" si="20"/>
        <v>45954</v>
      </c>
      <c r="AM152" s="74">
        <v>45792</v>
      </c>
      <c r="AN152" s="15" cm="1">
        <f t="array" aca="1" ref="AN15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-161</v>
      </c>
      <c r="AO152" s="20">
        <f t="shared" si="21"/>
        <v>45793</v>
      </c>
      <c r="AP152" s="74">
        <v>45803</v>
      </c>
      <c r="AQ152" s="15" cm="1">
        <f t="array" aca="1" ref="AQ15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11</v>
      </c>
      <c r="AR152" s="20">
        <f t="shared" si="22"/>
        <v>45817</v>
      </c>
      <c r="AS152" s="74">
        <v>45819</v>
      </c>
      <c r="AT152" s="15" cm="1">
        <f t="array" aca="1" ref="AT15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52" s="20">
        <f t="shared" si="23"/>
        <v>45826</v>
      </c>
      <c r="AV152" s="74">
        <v>45819</v>
      </c>
      <c r="AW152" s="15" cm="1">
        <f t="array" aca="1" ref="AW15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52" s="20">
        <f t="shared" si="24"/>
        <v>45820</v>
      </c>
      <c r="AY152" s="74">
        <v>45826</v>
      </c>
      <c r="AZ152" s="15" cm="1">
        <f t="array" aca="1" ref="AZ15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152" s="16" t="s">
        <v>1105</v>
      </c>
    </row>
    <row r="153" spans="2:53" ht="18" hidden="1" customHeight="1" x14ac:dyDescent="0.35">
      <c r="B153" s="14" t="s">
        <v>79</v>
      </c>
      <c r="C153" s="16" t="s">
        <v>136</v>
      </c>
      <c r="D153" s="16" t="s">
        <v>108</v>
      </c>
      <c r="E153" s="16" t="s">
        <v>446</v>
      </c>
      <c r="F153" s="16" cm="1">
        <f t="array" ref="F153">_xlfn.IFS(Tabela18[[#This Row],[STATUS]]="Finalizado",1,Tabela18[[#This Row],[STATUS]]="Cancelado",2,Tabela18[[#This Row],[STATUS]]="Em andamento",3)</f>
        <v>1</v>
      </c>
      <c r="G153" s="16" cm="1">
        <f t="array" aca="1" ref="G15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-EMAIL]]="",$AH153&gt;$AF$1),2,
AND(Tabela18[[#This Row],[STATUS]]="Em andamento",Tabela18[[#This Row],[DATA REAL -EMAIL]]="",$AH153&lt;=$AF$1),3,
AND(Tabela18[[#This Row],[STATUS]]="Em andamento",Tabela18[[#This Row],[DATA REAL -EMAIL]]&lt;&gt;""),1)</f>
        <v>1</v>
      </c>
      <c r="H153" s="16" cm="1">
        <f t="array" aca="1" ref="H15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CLIENTE]]="",$AK153&gt;$AI$1),2,
AND(Tabela18[[#This Row],[STATUS]]="Em andamento",Tabela18[[#This Row],[DATA REAL - DOC CLIENTE]]="",$AK153&lt;=$AI$1),3,
AND(Tabela18[[#This Row],[STATUS]]="Em andamento",Tabela18[[#This Row],[DATA REAL - DOC CLIENTE]]&lt;&gt;""),1)</f>
        <v>1</v>
      </c>
      <c r="I153" s="16" cm="1">
        <f t="array" aca="1" ref="I15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06]]="",$AN153&gt;$AL$1),2,
AND(Tabela18[[#This Row],[STATUS]]="Em andamento",Tabela18[[#This Row],[DATA REAL - ANEXO 06]]="",$AN153&lt;=$AL$1),3,
AND(Tabela18[[#This Row],[STATUS]]="Em andamento",Tabela18[[#This Row],[DATA REAL - ANEXO 06]]&lt;&gt;""),1)</f>
        <v>1</v>
      </c>
      <c r="J153" s="15" cm="1">
        <f t="array" aca="1" ref="J15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LEGAIS]]="",$AQ153&gt;$AO$1),2,
AND(Tabela18[[#This Row],[STATUS]]="Em andamento",Tabela18[[#This Row],[DATA REAL - SOLIC. PROG LEGAIS]]="",$AQ153&lt;=$AO$1),3,
AND(Tabela18[[#This Row],[STATUS]]="Em andamento",Tabela18[[#This Row],[DATA REAL - SOLIC. PROG LEGAIS]]&lt;&gt;""),1)</f>
        <v>1</v>
      </c>
      <c r="K153" s="15" cm="1">
        <f t="array" aca="1" ref="K15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ENVIO]]="",$AT153&gt;$AR$1),2,
AND(Tabela18[[#This Row],[STATUS]]="Em andamento",Tabela18[[#This Row],[DATA REAL - ENVIO]]="",$AT153&lt;=$AR$1),3,
AND(Tabela18[[#This Row],[STATUS]]="Em andamento",Tabela18[[#This Row],[DATA REAL - ENVIO]]&lt;&gt;""),1)</f>
        <v>1</v>
      </c>
      <c r="L153" s="15" cm="1">
        <f t="array" aca="1" ref="L15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POSTAGEM]]="",$AW153&gt;$AU$1),2,
AND(Tabela18[[#This Row],[STATUS]]="Em andamento",Tabela18[[#This Row],[DATA REAL - POSTAGEM]]="",$AW153&lt;=$AU$1),3,
AND(Tabela18[[#This Row],[STATUS]]="Em andamento",Tabela18[[#This Row],[DATA REAL - POSTAGEM]]&lt;&gt;""),1)</f>
        <v>1</v>
      </c>
      <c r="M153" s="16" cm="1">
        <f t="array" aca="1" ref="M15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APROVAÇÃO]]="",$AZ153&gt;$AX$1),2,
AND(Tabela18[[#This Row],[STATUS]]="Em andamento",Tabela18[[#This Row],[DATA REAL - APROVAÇÃO]]="",$AZ153&lt;=$AX$1),3,
AND(Tabela18[[#This Row],[STATUS]]="Em andamento",Tabela18[[#This Row],[DATA REAL - APROVAÇÃO]]&lt;&gt;""),1)</f>
        <v>1</v>
      </c>
      <c r="N153" s="21">
        <f>IF(Tabela18[[#This Row],[DATA REAL -EMAIL]]&lt;&gt;"",Tabela18[[#This Row],[DATA REAL -EMAIL]]+30,Tabela18[[#This Row],[DATA PREV - EMAIL]]+30)</f>
        <v>45882</v>
      </c>
      <c r="O15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45947</v>
      </c>
      <c r="P15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95</v>
      </c>
      <c r="Q15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95</v>
      </c>
      <c r="R153" s="48">
        <f>MAX(Tabela18[[#This Row],[DATA REAL - POSTAGEM]],Tabela18[[#This Row],[DATA REAL - APROVAÇÃO]])-MIN(Tabela18[[#This Row],[DATA REAL - POSTAGEM]],Tabela18[[#This Row],[DATA REAL - APROVAÇÃO]])+1</f>
        <v>5</v>
      </c>
      <c r="S153" s="16"/>
      <c r="T153" s="16"/>
      <c r="U153" s="18"/>
      <c r="V153" s="18" t="s">
        <v>124</v>
      </c>
      <c r="W153" s="16" t="s">
        <v>97</v>
      </c>
      <c r="X153" s="16" t="s">
        <v>447</v>
      </c>
      <c r="Y153" s="16" t="s">
        <v>1106</v>
      </c>
      <c r="Z153" s="15" t="s">
        <v>449</v>
      </c>
      <c r="AA153" s="15" t="str">
        <f>_xlfn.XLOOKUP(Tabela18[[#This Row],[CÓD. CT]],Controle_Projetos[COD CT],Controle_Projetos[COD PHD],"")</f>
        <v>CONO-CT02-EXCE</v>
      </c>
      <c r="AB153" s="16"/>
      <c r="AC153" s="21">
        <v>45852</v>
      </c>
      <c r="AD153"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45853</v>
      </c>
      <c r="AE153" s="16" cm="1">
        <f t="array" aca="1" ref="AE15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v>
      </c>
      <c r="AF153" s="21">
        <v>45852</v>
      </c>
      <c r="AG153" s="74">
        <v>45852</v>
      </c>
      <c r="AH153" s="16" cm="1">
        <f t="array" aca="1" ref="AH15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3" s="21">
        <f>Tabela18[[#This Row],[DATA PREV - EMAIL]]+$AI$1</f>
        <v>45853</v>
      </c>
      <c r="AJ153" s="74">
        <v>45947</v>
      </c>
      <c r="AK153" s="16" cm="1">
        <f t="array" aca="1" ref="AK15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3" s="20">
        <f t="shared" si="20"/>
        <v>45954</v>
      </c>
      <c r="AM153" s="74">
        <v>45855</v>
      </c>
      <c r="AN153" s="15" cm="1">
        <f t="array" aca="1" ref="AN15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-98</v>
      </c>
      <c r="AO153" s="20">
        <f t="shared" si="21"/>
        <v>45856</v>
      </c>
      <c r="AP153" s="74">
        <v>45859</v>
      </c>
      <c r="AQ153" s="15" cm="1">
        <f t="array" aca="1" ref="AQ15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53" s="20">
        <f t="shared" si="22"/>
        <v>45873</v>
      </c>
      <c r="AS153" s="74">
        <v>45866</v>
      </c>
      <c r="AT153" s="15" cm="1">
        <f t="array" aca="1" ref="AT15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53" s="20">
        <f t="shared" si="23"/>
        <v>45873</v>
      </c>
      <c r="AV153" s="74">
        <v>45866</v>
      </c>
      <c r="AW153" s="15" cm="1">
        <f t="array" aca="1" ref="AW15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53" s="20">
        <f t="shared" si="24"/>
        <v>45867</v>
      </c>
      <c r="AY153" s="74">
        <v>45870</v>
      </c>
      <c r="AZ153" s="15" cm="1">
        <f t="array" aca="1" ref="AZ15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153" s="81" t="s">
        <v>1107</v>
      </c>
    </row>
    <row r="154" spans="2:53" hidden="1" x14ac:dyDescent="0.35">
      <c r="B154" s="14" t="s">
        <v>79</v>
      </c>
      <c r="C154" s="16" t="s">
        <v>136</v>
      </c>
      <c r="D154" s="16" t="s">
        <v>108</v>
      </c>
      <c r="E154" s="16" t="s">
        <v>455</v>
      </c>
      <c r="F154" s="16" cm="1">
        <f t="array" ref="F154">_xlfn.IFS(Tabela18[[#This Row],[STATUS]]="Finalizado",1,Tabela18[[#This Row],[STATUS]]="Cancelado",2,Tabela18[[#This Row],[STATUS]]="Em andamento",3)</f>
        <v>1</v>
      </c>
      <c r="G154" s="16" cm="1">
        <f t="array" aca="1" ref="G15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-EMAIL]]="",$AH154&gt;$AF$1),2,
AND(Tabela18[[#This Row],[STATUS]]="Em andamento",Tabela18[[#This Row],[DATA REAL -EMAIL]]="",$AH154&lt;=$AF$1),3,
AND(Tabela18[[#This Row],[STATUS]]="Em andamento",Tabela18[[#This Row],[DATA REAL -EMAIL]]&lt;&gt;""),1)</f>
        <v>1</v>
      </c>
      <c r="H154" s="16" cm="1">
        <f t="array" aca="1" ref="H15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CLIENTE]]="",$AK154&gt;$AI$1),2,
AND(Tabela18[[#This Row],[STATUS]]="Em andamento",Tabela18[[#This Row],[DATA REAL - DOC CLIENTE]]="",$AK154&lt;=$AI$1),3,
AND(Tabela18[[#This Row],[STATUS]]="Em andamento",Tabela18[[#This Row],[DATA REAL - DOC CLIENTE]]&lt;&gt;""),1)</f>
        <v>1</v>
      </c>
      <c r="I154" s="16" cm="1">
        <f t="array" aca="1" ref="I15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06]]="",$AN154&gt;$AL$1),2,
AND(Tabela18[[#This Row],[STATUS]]="Em andamento",Tabela18[[#This Row],[DATA REAL - ANEXO 06]]="",$AN154&lt;=$AL$1),3,
AND(Tabela18[[#This Row],[STATUS]]="Em andamento",Tabela18[[#This Row],[DATA REAL - ANEXO 06]]&lt;&gt;""),1)</f>
        <v>1</v>
      </c>
      <c r="J154" s="15" cm="1">
        <f t="array" aca="1" ref="J15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LEGAIS]]="",$AQ154&gt;$AO$1),2,
AND(Tabela18[[#This Row],[STATUS]]="Em andamento",Tabela18[[#This Row],[DATA REAL - SOLIC. PROG LEGAIS]]="",$AQ154&lt;=$AO$1),3,
AND(Tabela18[[#This Row],[STATUS]]="Em andamento",Tabela18[[#This Row],[DATA REAL - SOLIC. PROG LEGAIS]]&lt;&gt;""),1)</f>
        <v>1</v>
      </c>
      <c r="K154" s="15" cm="1">
        <f t="array" aca="1" ref="K15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ENVIO]]="",$AT154&gt;$AR$1),2,
AND(Tabela18[[#This Row],[STATUS]]="Em andamento",Tabela18[[#This Row],[DATA REAL - ENVIO]]="",$AT154&lt;=$AR$1),3,
AND(Tabela18[[#This Row],[STATUS]]="Em andamento",Tabela18[[#This Row],[DATA REAL - ENVIO]]&lt;&gt;""),1)</f>
        <v>1</v>
      </c>
      <c r="L154" s="15" cm="1">
        <f t="array" aca="1" ref="L15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POSTAGEM]]="",$AW154&gt;$AU$1),2,
AND(Tabela18[[#This Row],[STATUS]]="Em andamento",Tabela18[[#This Row],[DATA REAL - POSTAGEM]]="",$AW154&lt;=$AU$1),3,
AND(Tabela18[[#This Row],[STATUS]]="Em andamento",Tabela18[[#This Row],[DATA REAL - POSTAGEM]]&lt;&gt;""),1)</f>
        <v>1</v>
      </c>
      <c r="M154" s="16" cm="1">
        <f t="array" aca="1" ref="M15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APROVAÇÃO]]="",$AZ154&gt;$AX$1),2,
AND(Tabela18[[#This Row],[STATUS]]="Em andamento",Tabela18[[#This Row],[DATA REAL - APROVAÇÃO]]="",$AZ154&lt;=$AX$1),3,
AND(Tabela18[[#This Row],[STATUS]]="Em andamento",Tabela18[[#This Row],[DATA REAL - APROVAÇÃO]]&lt;&gt;""),1)</f>
        <v>1</v>
      </c>
      <c r="N154" s="21">
        <f>IF(Tabela18[[#This Row],[DATA REAL -EMAIL]]&lt;&gt;"",Tabela18[[#This Row],[DATA REAL -EMAIL]]+30,Tabela18[[#This Row],[DATA PREV - EMAIL]]+30)</f>
        <v>45884</v>
      </c>
      <c r="O154"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45947</v>
      </c>
      <c r="P154"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94</v>
      </c>
      <c r="Q15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94</v>
      </c>
      <c r="R154" s="48">
        <f>MAX(Tabela18[[#This Row],[DATA REAL - POSTAGEM]],Tabela18[[#This Row],[DATA REAL - APROVAÇÃO]])-MIN(Tabela18[[#This Row],[DATA REAL - POSTAGEM]],Tabela18[[#This Row],[DATA REAL - APROVAÇÃO]])+1</f>
        <v>9</v>
      </c>
      <c r="S154" s="16"/>
      <c r="T154" s="16"/>
      <c r="U154" s="18"/>
      <c r="V154" s="18" t="s">
        <v>152</v>
      </c>
      <c r="W154" s="16" t="s">
        <v>97</v>
      </c>
      <c r="X154" s="16" t="s">
        <v>455</v>
      </c>
      <c r="Y154" s="16" t="s">
        <v>456</v>
      </c>
      <c r="Z154" s="15" t="s">
        <v>457</v>
      </c>
      <c r="AA154" s="15" t="str">
        <f>_xlfn.XLOOKUP(Tabela18[[#This Row],[CÓD. CT]],Controle_Projetos[COD CT],Controle_Projetos[COD PHD],"")</f>
        <v>AURA-CT01-GERE</v>
      </c>
      <c r="AB154" s="16"/>
      <c r="AC154" s="21">
        <v>45854</v>
      </c>
      <c r="AD154"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45853</v>
      </c>
      <c r="AE154" s="16" cm="1">
        <f t="array" aca="1" ref="AE15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54" s="21">
        <v>45854</v>
      </c>
      <c r="AG154" s="74">
        <v>45854</v>
      </c>
      <c r="AH154" s="16" cm="1">
        <f t="array" aca="1" ref="AH15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4" s="21">
        <f>Tabela18[[#This Row],[DATA PREV - EMAIL]]+$AI$1</f>
        <v>45855</v>
      </c>
      <c r="AJ154" s="74">
        <v>45947</v>
      </c>
      <c r="AK154" s="16" cm="1">
        <f t="array" aca="1" ref="AK15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4" s="20">
        <f t="shared" si="20"/>
        <v>45954</v>
      </c>
      <c r="AM154" s="74">
        <v>45859</v>
      </c>
      <c r="AN154" s="15" cm="1">
        <f t="array" aca="1" ref="AN15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-94</v>
      </c>
      <c r="AO154" s="20">
        <f t="shared" si="21"/>
        <v>45860</v>
      </c>
      <c r="AP154" s="74">
        <v>45859</v>
      </c>
      <c r="AQ154" s="15" cm="1">
        <f t="array" aca="1" ref="AQ15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54" s="20">
        <f t="shared" si="22"/>
        <v>45873</v>
      </c>
      <c r="AS154" s="74">
        <v>45869</v>
      </c>
      <c r="AT154" s="15" cm="1">
        <f t="array" aca="1" ref="AT15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54" s="20">
        <f t="shared" si="23"/>
        <v>45876</v>
      </c>
      <c r="AV154" s="74">
        <v>45869</v>
      </c>
      <c r="AW154" s="15" cm="1">
        <f t="array" aca="1" ref="AW15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54" s="20">
        <f t="shared" si="24"/>
        <v>45870</v>
      </c>
      <c r="AY154" s="74">
        <v>45877</v>
      </c>
      <c r="AZ154" s="15" cm="1">
        <f t="array" aca="1" ref="AZ15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54" s="16" t="s">
        <v>1108</v>
      </c>
    </row>
    <row r="155" spans="2:53" hidden="1" x14ac:dyDescent="0.35">
      <c r="B155" s="14" t="s">
        <v>79</v>
      </c>
      <c r="C155" s="16" t="s">
        <v>136</v>
      </c>
      <c r="D155" s="16" t="s">
        <v>108</v>
      </c>
      <c r="E155" s="16" t="s">
        <v>452</v>
      </c>
      <c r="F155" s="16" cm="1">
        <f t="array" ref="F155">_xlfn.IFS(Tabela18[[#This Row],[STATUS]]="Finalizado",1,Tabela18[[#This Row],[STATUS]]="Cancelado",2,Tabela18[[#This Row],[STATUS]]="Em andamento",3)</f>
        <v>1</v>
      </c>
      <c r="G155" s="16" cm="1">
        <f t="array" aca="1" ref="G15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-EMAIL]]="",$AH155&gt;$AF$1),2,
AND(Tabela18[[#This Row],[STATUS]]="Em andamento",Tabela18[[#This Row],[DATA REAL -EMAIL]]="",$AH155&lt;=$AF$1),3,
AND(Tabela18[[#This Row],[STATUS]]="Em andamento",Tabela18[[#This Row],[DATA REAL -EMAIL]]&lt;&gt;""),1)</f>
        <v>1</v>
      </c>
      <c r="H155" s="16" cm="1">
        <f t="array" aca="1" ref="H15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CLIENTE]]="",$AK155&gt;$AI$1),2,
AND(Tabela18[[#This Row],[STATUS]]="Em andamento",Tabela18[[#This Row],[DATA REAL - DOC CLIENTE]]="",$AK155&lt;=$AI$1),3,
AND(Tabela18[[#This Row],[STATUS]]="Em andamento",Tabela18[[#This Row],[DATA REAL - DOC CLIENTE]]&lt;&gt;""),1)</f>
        <v>1</v>
      </c>
      <c r="I155" s="16" cm="1">
        <f t="array" aca="1" ref="I15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06]]="",$AN155&gt;$AL$1),2,
AND(Tabela18[[#This Row],[STATUS]]="Em andamento",Tabela18[[#This Row],[DATA REAL - ANEXO 06]]="",$AN155&lt;=$AL$1),3,
AND(Tabela18[[#This Row],[STATUS]]="Em andamento",Tabela18[[#This Row],[DATA REAL - ANEXO 06]]&lt;&gt;""),1)</f>
        <v>1</v>
      </c>
      <c r="J155" s="15" cm="1">
        <f t="array" aca="1" ref="J15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LEGAIS]]="",$AQ155&gt;$AO$1),2,
AND(Tabela18[[#This Row],[STATUS]]="Em andamento",Tabela18[[#This Row],[DATA REAL - SOLIC. PROG LEGAIS]]="",$AQ155&lt;=$AO$1),3,
AND(Tabela18[[#This Row],[STATUS]]="Em andamento",Tabela18[[#This Row],[DATA REAL - SOLIC. PROG LEGAIS]]&lt;&gt;""),1)</f>
        <v>1</v>
      </c>
      <c r="K155" s="15" cm="1">
        <f t="array" aca="1" ref="K15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ENVIO]]="",$AT155&gt;$AR$1),2,
AND(Tabela18[[#This Row],[STATUS]]="Em andamento",Tabela18[[#This Row],[DATA REAL - ENVIO]]="",$AT155&lt;=$AR$1),3,
AND(Tabela18[[#This Row],[STATUS]]="Em andamento",Tabela18[[#This Row],[DATA REAL - ENVIO]]&lt;&gt;""),1)</f>
        <v>1</v>
      </c>
      <c r="L155" s="15" cm="1">
        <f t="array" aca="1" ref="L15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POSTAGEM]]="",$AW155&gt;$AU$1),2,
AND(Tabela18[[#This Row],[STATUS]]="Em andamento",Tabela18[[#This Row],[DATA REAL - POSTAGEM]]="",$AW155&lt;=$AU$1),3,
AND(Tabela18[[#This Row],[STATUS]]="Em andamento",Tabela18[[#This Row],[DATA REAL - POSTAGEM]]&lt;&gt;""),1)</f>
        <v>1</v>
      </c>
      <c r="M155" s="16" cm="1">
        <f t="array" aca="1" ref="M15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APROVAÇÃO]]="",$AZ155&gt;$AX$1),2,
AND(Tabela18[[#This Row],[STATUS]]="Em andamento",Tabela18[[#This Row],[DATA REAL - APROVAÇÃO]]="",$AZ155&lt;=$AX$1),3,
AND(Tabela18[[#This Row],[STATUS]]="Em andamento",Tabela18[[#This Row],[DATA REAL - APROVAÇÃO]]&lt;&gt;""),1)</f>
        <v>1</v>
      </c>
      <c r="N155" s="21">
        <f>IF(Tabela18[[#This Row],[DATA REAL -EMAIL]]&lt;&gt;"",Tabela18[[#This Row],[DATA REAL -EMAIL]]+30,Tabela18[[#This Row],[DATA PREV - EMAIL]]+30)</f>
        <v>45884</v>
      </c>
      <c r="O155"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45947</v>
      </c>
      <c r="P155"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93</v>
      </c>
      <c r="Q15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93</v>
      </c>
      <c r="R155" s="48">
        <f>MAX(Tabela18[[#This Row],[DATA REAL - POSTAGEM]],Tabela18[[#This Row],[DATA REAL - APROVAÇÃO]])-MIN(Tabela18[[#This Row],[DATA REAL - POSTAGEM]],Tabela18[[#This Row],[DATA REAL - APROVAÇÃO]])+1</f>
        <v>7</v>
      </c>
      <c r="S155" s="16"/>
      <c r="T155" s="16"/>
      <c r="U155" s="18"/>
      <c r="V155" s="18" t="s">
        <v>86</v>
      </c>
      <c r="W155" s="16" t="s">
        <v>97</v>
      </c>
      <c r="X155" s="16" t="s">
        <v>89</v>
      </c>
      <c r="Y155" s="16" t="s">
        <v>1109</v>
      </c>
      <c r="Z155" s="15" t="s">
        <v>453</v>
      </c>
      <c r="AA155" s="15" t="str">
        <f>_xlfn.XLOOKUP(Tabela18[[#This Row],[CÓD. CT]],Controle_Projetos[COD CT],Controle_Projetos[COD PHD],"")</f>
        <v>ENGF-CT03-PLAN</v>
      </c>
      <c r="AB155" s="16"/>
      <c r="AC155" s="21">
        <v>45854</v>
      </c>
      <c r="AD155"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45868</v>
      </c>
      <c r="AE155" s="16" cm="1">
        <f t="array" aca="1" ref="AE15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15</v>
      </c>
      <c r="AF155" s="21">
        <v>45854</v>
      </c>
      <c r="AG155" s="74">
        <v>45854</v>
      </c>
      <c r="AH155" s="16" cm="1">
        <f t="array" aca="1" ref="AH15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5" s="21">
        <f>Tabela18[[#This Row],[DATA PREV - EMAIL]]+$AI$1</f>
        <v>45855</v>
      </c>
      <c r="AJ155" s="74">
        <v>45947</v>
      </c>
      <c r="AK155" s="16" cm="1">
        <f t="array" aca="1" ref="AK15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5" s="20">
        <f t="shared" si="20"/>
        <v>45954</v>
      </c>
      <c r="AM155" s="74">
        <v>45855</v>
      </c>
      <c r="AN155" s="15" cm="1">
        <f t="array" aca="1" ref="AN15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-98</v>
      </c>
      <c r="AO155" s="20">
        <f t="shared" si="21"/>
        <v>45856</v>
      </c>
      <c r="AP155" s="74">
        <v>45859</v>
      </c>
      <c r="AQ155" s="15" cm="1">
        <f t="array" aca="1" ref="AQ15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4</v>
      </c>
      <c r="AR155" s="20">
        <f t="shared" si="22"/>
        <v>45873</v>
      </c>
      <c r="AS155" s="74">
        <v>45866</v>
      </c>
      <c r="AT155" s="15" cm="1">
        <f t="array" aca="1" ref="AT15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55" s="20">
        <f t="shared" si="23"/>
        <v>45873</v>
      </c>
      <c r="AV155" s="74">
        <v>45876</v>
      </c>
      <c r="AW155" s="15" cm="1">
        <f t="array" aca="1" ref="AW15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v>
      </c>
      <c r="AX155" s="20">
        <f t="shared" si="24"/>
        <v>45877</v>
      </c>
      <c r="AY155" s="74">
        <v>45882</v>
      </c>
      <c r="AZ155" s="15" cm="1">
        <f t="array" aca="1" ref="AZ15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155" s="16" t="s">
        <v>1110</v>
      </c>
    </row>
    <row r="156" spans="2:53" hidden="1" x14ac:dyDescent="0.35">
      <c r="B156" s="14" t="s">
        <v>79</v>
      </c>
      <c r="C156" s="16" t="s">
        <v>136</v>
      </c>
      <c r="D156" s="16" t="s">
        <v>108</v>
      </c>
      <c r="E156" s="16" t="s">
        <v>235</v>
      </c>
      <c r="F156" s="16" cm="1">
        <f t="array" ref="F156">_xlfn.IFS(Tabela18[[#This Row],[STATUS]]="Finalizado",1,Tabela18[[#This Row],[STATUS]]="Cancelado",2,Tabela18[[#This Row],[STATUS]]="Em andamento",3)</f>
        <v>1</v>
      </c>
      <c r="G156" s="16" cm="1">
        <f t="array" aca="1" ref="G15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-EMAIL]]="",$AH156&gt;$AF$1),2,
AND(Tabela18[[#This Row],[STATUS]]="Em andamento",Tabela18[[#This Row],[DATA REAL -EMAIL]]="",$AH156&lt;=$AF$1),3,
AND(Tabela18[[#This Row],[STATUS]]="Em andamento",Tabela18[[#This Row],[DATA REAL -EMAIL]]&lt;&gt;""),1)</f>
        <v>1</v>
      </c>
      <c r="H156" s="16" cm="1">
        <f t="array" aca="1" ref="H15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CLIENTE]]="",$AK156&gt;$AI$1),2,
AND(Tabela18[[#This Row],[STATUS]]="Em andamento",Tabela18[[#This Row],[DATA REAL - DOC CLIENTE]]="",$AK156&lt;=$AI$1),3,
AND(Tabela18[[#This Row],[STATUS]]="Em andamento",Tabela18[[#This Row],[DATA REAL - DOC CLIENTE]]&lt;&gt;""),1)</f>
        <v>1</v>
      </c>
      <c r="I156" s="16" cm="1">
        <f t="array" aca="1" ref="I15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06]]="",$AN156&gt;$AL$1),2,
AND(Tabela18[[#This Row],[STATUS]]="Em andamento",Tabela18[[#This Row],[DATA REAL - ANEXO 06]]="",$AN156&lt;=$AL$1),3,
AND(Tabela18[[#This Row],[STATUS]]="Em andamento",Tabela18[[#This Row],[DATA REAL - ANEXO 06]]&lt;&gt;""),1)</f>
        <v>1</v>
      </c>
      <c r="J156" s="15" cm="1">
        <f t="array" aca="1" ref="J15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LEGAIS]]="",$AQ156&gt;$AO$1),2,
AND(Tabela18[[#This Row],[STATUS]]="Em andamento",Tabela18[[#This Row],[DATA REAL - SOLIC. PROG LEGAIS]]="",$AQ156&lt;=$AO$1),3,
AND(Tabela18[[#This Row],[STATUS]]="Em andamento",Tabela18[[#This Row],[DATA REAL - SOLIC. PROG LEGAIS]]&lt;&gt;""),1)</f>
        <v>1</v>
      </c>
      <c r="K156" s="15" cm="1">
        <f t="array" aca="1" ref="K15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ENVIO]]="",$AT156&gt;$AR$1),2,
AND(Tabela18[[#This Row],[STATUS]]="Em andamento",Tabela18[[#This Row],[DATA REAL - ENVIO]]="",$AT156&lt;=$AR$1),3,
AND(Tabela18[[#This Row],[STATUS]]="Em andamento",Tabela18[[#This Row],[DATA REAL - ENVIO]]&lt;&gt;""),1)</f>
        <v>1</v>
      </c>
      <c r="L156" s="15" cm="1">
        <f t="array" aca="1" ref="L15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POSTAGEM]]="",$AW156&gt;$AU$1),2,
AND(Tabela18[[#This Row],[STATUS]]="Em andamento",Tabela18[[#This Row],[DATA REAL - POSTAGEM]]="",$AW156&lt;=$AU$1),3,
AND(Tabela18[[#This Row],[STATUS]]="Em andamento",Tabela18[[#This Row],[DATA REAL - POSTAGEM]]&lt;&gt;""),1)</f>
        <v>0</v>
      </c>
      <c r="M156" s="16" cm="1">
        <f t="array" aca="1" ref="M15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APROVAÇÃO]]="",$AZ156&gt;$AX$1),2,
AND(Tabela18[[#This Row],[STATUS]]="Em andamento",Tabela18[[#This Row],[DATA REAL - APROVAÇÃO]]="",$AZ156&lt;=$AX$1),3,
AND(Tabela18[[#This Row],[STATUS]]="Em andamento",Tabela18[[#This Row],[DATA REAL - APROVAÇÃO]]&lt;&gt;""),1)</f>
        <v>1</v>
      </c>
      <c r="N156" s="21">
        <f>IF(Tabela18[[#This Row],[DATA REAL -EMAIL]]&lt;&gt;"",Tabela18[[#This Row],[DATA REAL -EMAIL]]+30,Tabela18[[#This Row],[DATA PREV - EMAIL]]+30)</f>
        <v>45906</v>
      </c>
      <c r="O156"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45957</v>
      </c>
      <c r="P156"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82</v>
      </c>
      <c r="Q15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82</v>
      </c>
      <c r="R156" s="48">
        <f>MAX(Tabela18[[#This Row],[DATA REAL - POSTAGEM]],Tabela18[[#This Row],[DATA REAL - APROVAÇÃO]])-MIN(Tabela18[[#This Row],[DATA REAL - POSTAGEM]],Tabela18[[#This Row],[DATA REAL - APROVAÇÃO]])+1</f>
        <v>1</v>
      </c>
      <c r="S156" s="16" t="s">
        <v>211</v>
      </c>
      <c r="T156" s="16"/>
      <c r="U156" s="18" t="s">
        <v>1111</v>
      </c>
      <c r="V156" s="18" t="s">
        <v>86</v>
      </c>
      <c r="W156" s="16" t="s">
        <v>97</v>
      </c>
      <c r="X156" s="16" t="s">
        <v>468</v>
      </c>
      <c r="Y156" s="16" t="s">
        <v>469</v>
      </c>
      <c r="Z156" s="15" t="s">
        <v>470</v>
      </c>
      <c r="AA156" s="15" t="str">
        <f>_xlfn.XLOOKUP(Tabela18[[#This Row],[CÓD. CT]],Controle_Projetos[COD CT],Controle_Projetos[COD PHD],"")</f>
        <v>CCAP-CT16-PLAN</v>
      </c>
      <c r="AB156" s="16"/>
      <c r="AC156" s="21">
        <v>45876</v>
      </c>
      <c r="AD156"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45875</v>
      </c>
      <c r="AE156" s="16" cm="1">
        <f t="array" aca="1" ref="AE15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0</v>
      </c>
      <c r="AF156" s="21">
        <v>45876</v>
      </c>
      <c r="AG156" s="74">
        <v>45876</v>
      </c>
      <c r="AH156" s="16" cm="1">
        <f t="array" aca="1" ref="AH15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6" s="21">
        <f>Tabela18[[#This Row],[DATA PREV - EMAIL]]+$AI$1</f>
        <v>45877</v>
      </c>
      <c r="AJ156" s="74">
        <v>45957</v>
      </c>
      <c r="AK156" s="16" cm="1">
        <f t="array" aca="1" ref="AK15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6" s="20">
        <f t="shared" si="20"/>
        <v>45964</v>
      </c>
      <c r="AM156" s="74">
        <v>45877</v>
      </c>
      <c r="AN156" s="15" cm="1">
        <f t="array" aca="1" ref="AN15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-86</v>
      </c>
      <c r="AO156" s="20">
        <f t="shared" si="21"/>
        <v>45880</v>
      </c>
      <c r="AP156" s="74">
        <v>45880</v>
      </c>
      <c r="AQ156" s="15" cm="1">
        <f t="array" aca="1" ref="AQ15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56" s="20">
        <f t="shared" si="22"/>
        <v>45894</v>
      </c>
      <c r="AS156" s="74">
        <v>45889</v>
      </c>
      <c r="AT156" s="15" cm="1">
        <f t="array" aca="1" ref="AT15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56" s="20">
        <f t="shared" si="23"/>
        <v>45896</v>
      </c>
      <c r="AV156" s="74"/>
      <c r="AW156" s="15" cm="1">
        <f t="array" aca="1" ref="AW15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56" s="20">
        <f t="shared" si="24"/>
        <v>45897</v>
      </c>
      <c r="AY156" s="74">
        <v>45904</v>
      </c>
      <c r="AZ156" s="15" cm="1">
        <f t="array" aca="1" ref="AZ15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56" s="16" t="s">
        <v>1112</v>
      </c>
    </row>
    <row r="157" spans="2:53" hidden="1" x14ac:dyDescent="0.35">
      <c r="B157" s="14" t="s">
        <v>79</v>
      </c>
      <c r="C157" s="16" t="s">
        <v>136</v>
      </c>
      <c r="D157" s="16" t="s">
        <v>108</v>
      </c>
      <c r="E157" s="16" t="s">
        <v>521</v>
      </c>
      <c r="F157" s="16" cm="1">
        <f t="array" ref="F157">_xlfn.IFS(Tabela18[[#This Row],[STATUS]]="Finalizado",1,Tabela18[[#This Row],[STATUS]]="Cancelado",2,Tabela18[[#This Row],[STATUS]]="Em andamento",3)</f>
        <v>1</v>
      </c>
      <c r="G157" s="16" cm="1">
        <f t="array" aca="1" ref="G15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-EMAIL]]="",$AH157&gt;$AF$1),2,
AND(Tabela18[[#This Row],[STATUS]]="Em andamento",Tabela18[[#This Row],[DATA REAL -EMAIL]]="",$AH157&lt;=$AF$1),3,
AND(Tabela18[[#This Row],[STATUS]]="Em andamento",Tabela18[[#This Row],[DATA REAL -EMAIL]]&lt;&gt;""),1)</f>
        <v>1</v>
      </c>
      <c r="H157" s="16" cm="1">
        <f t="array" aca="1" ref="H15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CLIENTE]]="",$AK157&gt;$AI$1),2,
AND(Tabela18[[#This Row],[STATUS]]="Em andamento",Tabela18[[#This Row],[DATA REAL - DOC CLIENTE]]="",$AK157&lt;=$AI$1),3,
AND(Tabela18[[#This Row],[STATUS]]="Em andamento",Tabela18[[#This Row],[DATA REAL - DOC CLIENTE]]&lt;&gt;""),1)</f>
        <v>1</v>
      </c>
      <c r="I157" s="16" cm="1">
        <f t="array" aca="1" ref="I15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06]]="",$AN157&gt;$AL$1),2,
AND(Tabela18[[#This Row],[STATUS]]="Em andamento",Tabela18[[#This Row],[DATA REAL - ANEXO 06]]="",$AN157&lt;=$AL$1),3,
AND(Tabela18[[#This Row],[STATUS]]="Em andamento",Tabela18[[#This Row],[DATA REAL - ANEXO 06]]&lt;&gt;""),1)</f>
        <v>1</v>
      </c>
      <c r="J157" s="15" cm="1">
        <f t="array" aca="1" ref="J15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LEGAIS]]="",$AQ157&gt;$AO$1),2,
AND(Tabela18[[#This Row],[STATUS]]="Em andamento",Tabela18[[#This Row],[DATA REAL - SOLIC. PROG LEGAIS]]="",$AQ157&lt;=$AO$1),3,
AND(Tabela18[[#This Row],[STATUS]]="Em andamento",Tabela18[[#This Row],[DATA REAL - SOLIC. PROG LEGAIS]]&lt;&gt;""),1)</f>
        <v>1</v>
      </c>
      <c r="K157" s="15" cm="1">
        <f t="array" aca="1" ref="K15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ENVIO]]="",$AT157&gt;$AR$1),2,
AND(Tabela18[[#This Row],[STATUS]]="Em andamento",Tabela18[[#This Row],[DATA REAL - ENVIO]]="",$AT157&lt;=$AR$1),3,
AND(Tabela18[[#This Row],[STATUS]]="Em andamento",Tabela18[[#This Row],[DATA REAL - ENVIO]]&lt;&gt;""),1)</f>
        <v>1</v>
      </c>
      <c r="L157" s="15" cm="1">
        <f t="array" aca="1" ref="L15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POSTAGEM]]="",$AW157&gt;$AU$1),2,
AND(Tabela18[[#This Row],[STATUS]]="Em andamento",Tabela18[[#This Row],[DATA REAL - POSTAGEM]]="",$AW157&lt;=$AU$1),3,
AND(Tabela18[[#This Row],[STATUS]]="Em andamento",Tabela18[[#This Row],[DATA REAL - POSTAGEM]]&lt;&gt;""),1)</f>
        <v>1</v>
      </c>
      <c r="M157" s="16" cm="1">
        <f t="array" aca="1" ref="M15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APROVAÇÃO]]="",$AZ157&gt;$AX$1),2,
AND(Tabela18[[#This Row],[STATUS]]="Em andamento",Tabela18[[#This Row],[DATA REAL - APROVAÇÃO]]="",$AZ157&lt;=$AX$1),3,
AND(Tabela18[[#This Row],[STATUS]]="Em andamento",Tabela18[[#This Row],[DATA REAL - APROVAÇÃO]]&lt;&gt;""),1)</f>
        <v>1</v>
      </c>
      <c r="N157" s="21">
        <f>IF(Tabela18[[#This Row],[DATA REAL -EMAIL]]&lt;&gt;"",Tabela18[[#This Row],[DATA REAL -EMAIL]]+30,Tabela18[[#This Row],[DATA PREV - EMAIL]]+30)</f>
        <v>45927</v>
      </c>
      <c r="O157"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45966</v>
      </c>
      <c r="P157"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69</v>
      </c>
      <c r="Q15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55</v>
      </c>
      <c r="R157" s="48">
        <f>MAX(Tabela18[[#This Row],[DATA REAL - POSTAGEM]],Tabela18[[#This Row],[DATA REAL - APROVAÇÃO]])-MIN(Tabela18[[#This Row],[DATA REAL - POSTAGEM]],Tabela18[[#This Row],[DATA REAL - APROVAÇÃO]])+1</f>
        <v>1</v>
      </c>
      <c r="S157" s="16" t="s">
        <v>83</v>
      </c>
      <c r="T157" s="16"/>
      <c r="U157" s="18" t="s">
        <v>85</v>
      </c>
      <c r="V157" s="18" t="s">
        <v>86</v>
      </c>
      <c r="W157" s="16" t="s">
        <v>97</v>
      </c>
      <c r="X157" s="16" t="s">
        <v>521</v>
      </c>
      <c r="Y157" s="16" t="s">
        <v>554</v>
      </c>
      <c r="Z157" s="15" t="s">
        <v>523</v>
      </c>
      <c r="AA157" s="15" t="str">
        <f>_xlfn.XLOOKUP(Tabela18[[#This Row],[CÓD. CT]],Controle_Projetos[COD CT],Controle_Projetos[COD PHD],"")</f>
        <v>PAVI-CT01-PLAN</v>
      </c>
      <c r="AB157" s="16"/>
      <c r="AC157" s="21">
        <v>45897</v>
      </c>
      <c r="AD157"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45912</v>
      </c>
      <c r="AE157" s="16" cm="1">
        <f t="array" aca="1" ref="AE15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16</v>
      </c>
      <c r="AF157" s="21">
        <v>45897</v>
      </c>
      <c r="AG157" s="74">
        <v>45897</v>
      </c>
      <c r="AH157" s="16" cm="1">
        <f t="array" aca="1" ref="AH15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7" s="21">
        <f>Tabela18[[#This Row],[DATA PREV - EMAIL]]+$AI$1</f>
        <v>45898</v>
      </c>
      <c r="AJ157" s="74">
        <v>45952</v>
      </c>
      <c r="AK157" s="16" cm="1">
        <f t="array" aca="1" ref="AK15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7" s="20">
        <f t="shared" si="20"/>
        <v>45959</v>
      </c>
      <c r="AM157" s="74">
        <v>45898</v>
      </c>
      <c r="AN157" s="15" cm="1">
        <f t="array" aca="1" ref="AN15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-60</v>
      </c>
      <c r="AO157" s="20">
        <f t="shared" si="21"/>
        <v>45901</v>
      </c>
      <c r="AP157" s="74">
        <v>45903</v>
      </c>
      <c r="AQ157" s="15" cm="1">
        <f t="array" aca="1" ref="AQ15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57" s="20">
        <f t="shared" si="22"/>
        <v>45917</v>
      </c>
      <c r="AS157" s="74">
        <v>45911</v>
      </c>
      <c r="AT157" s="15" cm="1">
        <f t="array" aca="1" ref="AT15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57" s="20">
        <f t="shared" si="23"/>
        <v>45918</v>
      </c>
      <c r="AV157" s="74">
        <v>45966</v>
      </c>
      <c r="AW157" s="15" cm="1">
        <f t="array" aca="1" ref="AW15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49</v>
      </c>
      <c r="AX157" s="20">
        <f t="shared" si="24"/>
        <v>45967</v>
      </c>
      <c r="AY157" s="74">
        <v>45966</v>
      </c>
      <c r="AZ157" s="15" cm="1">
        <f t="array" aca="1" ref="AZ15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57" s="16" t="s">
        <v>1113</v>
      </c>
    </row>
    <row r="158" spans="2:53" hidden="1" x14ac:dyDescent="0.35">
      <c r="B158" s="14" t="s">
        <v>79</v>
      </c>
      <c r="C158" s="16" t="s">
        <v>136</v>
      </c>
      <c r="D158" s="16" t="s">
        <v>108</v>
      </c>
      <c r="E158" s="16" t="s">
        <v>532</v>
      </c>
      <c r="F158" s="16" cm="1">
        <f t="array" ref="F158">_xlfn.IFS(Tabela18[[#This Row],[STATUS]]="Finalizado",1,Tabela18[[#This Row],[STATUS]]="Cancelado",2,Tabela18[[#This Row],[STATUS]]="Em andamento",3)</f>
        <v>1</v>
      </c>
      <c r="G158" s="16" cm="1">
        <f t="array" aca="1" ref="G15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-EMAIL]]="",$AH158&gt;$AF$1),2,
AND(Tabela18[[#This Row],[STATUS]]="Em andamento",Tabela18[[#This Row],[DATA REAL -EMAIL]]="",$AH158&lt;=$AF$1),3,
AND(Tabela18[[#This Row],[STATUS]]="Em andamento",Tabela18[[#This Row],[DATA REAL -EMAIL]]&lt;&gt;""),1)</f>
        <v>1</v>
      </c>
      <c r="H158" s="16" cm="1">
        <f t="array" aca="1" ref="H15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CLIENTE]]="",$AK158&gt;$AI$1),2,
AND(Tabela18[[#This Row],[STATUS]]="Em andamento",Tabela18[[#This Row],[DATA REAL - DOC CLIENTE]]="",$AK158&lt;=$AI$1),3,
AND(Tabela18[[#This Row],[STATUS]]="Em andamento",Tabela18[[#This Row],[DATA REAL - DOC CLIENTE]]&lt;&gt;""),1)</f>
        <v>1</v>
      </c>
      <c r="I158" s="16" cm="1">
        <f t="array" aca="1" ref="I15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06]]="",$AN158&gt;$AL$1),2,
AND(Tabela18[[#This Row],[STATUS]]="Em andamento",Tabela18[[#This Row],[DATA REAL - ANEXO 06]]="",$AN158&lt;=$AL$1),3,
AND(Tabela18[[#This Row],[STATUS]]="Em andamento",Tabela18[[#This Row],[DATA REAL - ANEXO 06]]&lt;&gt;""),1)</f>
        <v>1</v>
      </c>
      <c r="J158" s="15" cm="1">
        <f t="array" aca="1" ref="J15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LEGAIS]]="",$AQ158&gt;$AO$1),2,
AND(Tabela18[[#This Row],[STATUS]]="Em andamento",Tabela18[[#This Row],[DATA REAL - SOLIC. PROG LEGAIS]]="",$AQ158&lt;=$AO$1),3,
AND(Tabela18[[#This Row],[STATUS]]="Em andamento",Tabela18[[#This Row],[DATA REAL - SOLIC. PROG LEGAIS]]&lt;&gt;""),1)</f>
        <v>1</v>
      </c>
      <c r="K158" s="15" cm="1">
        <f t="array" aca="1" ref="K15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ENVIO]]="",$AT158&gt;$AR$1),2,
AND(Tabela18[[#This Row],[STATUS]]="Em andamento",Tabela18[[#This Row],[DATA REAL - ENVIO]]="",$AT158&lt;=$AR$1),3,
AND(Tabela18[[#This Row],[STATUS]]="Em andamento",Tabela18[[#This Row],[DATA REAL - ENVIO]]&lt;&gt;""),1)</f>
        <v>1</v>
      </c>
      <c r="L158" s="15" cm="1">
        <f t="array" aca="1" ref="L15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POSTAGEM]]="",$AW158&gt;$AU$1),2,
AND(Tabela18[[#This Row],[STATUS]]="Em andamento",Tabela18[[#This Row],[DATA REAL - POSTAGEM]]="",$AW158&lt;=$AU$1),3,
AND(Tabela18[[#This Row],[STATUS]]="Em andamento",Tabela18[[#This Row],[DATA REAL - POSTAGEM]]&lt;&gt;""),1)</f>
        <v>1</v>
      </c>
      <c r="M158" s="16" cm="1">
        <f t="array" aca="1" ref="M15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APROVAÇÃO]]="",$AZ158&gt;$AX$1),2,
AND(Tabela18[[#This Row],[STATUS]]="Em andamento",Tabela18[[#This Row],[DATA REAL - APROVAÇÃO]]="",$AZ158&lt;=$AX$1),3,
AND(Tabela18[[#This Row],[STATUS]]="Em andamento",Tabela18[[#This Row],[DATA REAL - APROVAÇÃO]]&lt;&gt;""),1)</f>
        <v>1</v>
      </c>
      <c r="N158" s="21">
        <f>IF(Tabela18[[#This Row],[DATA REAL -EMAIL]]&lt;&gt;"",Tabela18[[#This Row],[DATA REAL -EMAIL]]+30,Tabela18[[#This Row],[DATA PREV - EMAIL]]+30)</f>
        <v>45927</v>
      </c>
      <c r="O158"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45952</v>
      </c>
      <c r="P158"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55</v>
      </c>
      <c r="Q15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55</v>
      </c>
      <c r="R158" s="48">
        <f>MAX(Tabela18[[#This Row],[DATA REAL - POSTAGEM]],Tabela18[[#This Row],[DATA REAL - APROVAÇÃO]])-MIN(Tabela18[[#This Row],[DATA REAL - POSTAGEM]],Tabela18[[#This Row],[DATA REAL - APROVAÇÃO]])+1</f>
        <v>2</v>
      </c>
      <c r="S158" s="16"/>
      <c r="T158" s="16"/>
      <c r="U158" s="18"/>
      <c r="V158" s="18" t="s">
        <v>86</v>
      </c>
      <c r="W158" s="16" t="s">
        <v>97</v>
      </c>
      <c r="X158" s="16" t="s">
        <v>89</v>
      </c>
      <c r="Y158" s="16" t="s">
        <v>533</v>
      </c>
      <c r="Z158" s="15" t="s">
        <v>534</v>
      </c>
      <c r="AA158" s="15" t="str">
        <f>_xlfn.XLOOKUP(Tabela18[[#This Row],[CÓD. CT]],Controle_Projetos[COD CT],Controle_Projetos[COD PHD],"")</f>
        <v>U&amp;MM-CT02-PLAN</v>
      </c>
      <c r="AB158" s="16"/>
      <c r="AC158" s="21">
        <v>45897</v>
      </c>
      <c r="AD158" s="73">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45897</v>
      </c>
      <c r="AE158" s="16" cm="1">
        <f t="array" aca="1" ref="AE15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58" s="21">
        <v>45897</v>
      </c>
      <c r="AG158" s="74">
        <v>45897</v>
      </c>
      <c r="AH158" s="16" cm="1">
        <f t="array" aca="1" ref="AH15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8" s="21">
        <f>Tabela18[[#This Row],[DATA PREV - EMAIL]]+$AI$1</f>
        <v>45898</v>
      </c>
      <c r="AJ158" s="74">
        <v>45952</v>
      </c>
      <c r="AK158" s="16" cm="1">
        <f t="array" aca="1" ref="AK15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8" s="20">
        <f t="shared" si="20"/>
        <v>45959</v>
      </c>
      <c r="AM158" s="74">
        <v>45916</v>
      </c>
      <c r="AN158" s="15" cm="1">
        <f t="array" aca="1" ref="AN15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-42</v>
      </c>
      <c r="AO158" s="20">
        <f t="shared" si="21"/>
        <v>45917</v>
      </c>
      <c r="AP158" s="74">
        <v>45916</v>
      </c>
      <c r="AQ158" s="15" cm="1">
        <f t="array" aca="1" ref="AQ15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58" s="20">
        <f t="shared" si="22"/>
        <v>45930</v>
      </c>
      <c r="AS158" s="74">
        <v>45923</v>
      </c>
      <c r="AT158" s="15" cm="1">
        <f t="array" aca="1" ref="AT15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58" s="20">
        <f t="shared" si="23"/>
        <v>45930</v>
      </c>
      <c r="AV158" s="74">
        <v>45930</v>
      </c>
      <c r="AW158" s="15" cm="1">
        <f t="array" aca="1" ref="AW15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58" s="20">
        <f t="shared" si="24"/>
        <v>45931</v>
      </c>
      <c r="AY158" s="74">
        <v>45931</v>
      </c>
      <c r="AZ158" s="15" cm="1">
        <f t="array" aca="1" ref="AZ15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58" s="16" t="s">
        <v>1114</v>
      </c>
    </row>
    <row r="159" spans="2:53" hidden="1" x14ac:dyDescent="0.35">
      <c r="B159" s="14" t="s">
        <v>79</v>
      </c>
      <c r="C159" s="16" t="s">
        <v>136</v>
      </c>
      <c r="D159" s="16" t="s">
        <v>108</v>
      </c>
      <c r="E159" s="16" t="s">
        <v>506</v>
      </c>
      <c r="F159" s="16" cm="1">
        <f t="array" ref="F159">_xlfn.IFS(Tabela18[[#This Row],[STATUS]]="Finalizado",1,Tabela18[[#This Row],[STATUS]]="Cancelado",2,Tabela18[[#This Row],[STATUS]]="Em andamento",3)</f>
        <v>1</v>
      </c>
      <c r="G159" s="16" cm="1">
        <f t="array" aca="1" ref="G15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-EMAIL]]="",$AH159&gt;$AF$1),2,
AND(Tabela18[[#This Row],[STATUS]]="Em andamento",Tabela18[[#This Row],[DATA REAL -EMAIL]]="",$AH159&lt;=$AF$1),3,
AND(Tabela18[[#This Row],[STATUS]]="Em andamento",Tabela18[[#This Row],[DATA REAL -EMAIL]]&lt;&gt;""),1)</f>
        <v>1</v>
      </c>
      <c r="H159" s="16" cm="1">
        <f t="array" aca="1" ref="H15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CLIENTE]]="",$AK159&gt;$AI$1),2,
AND(Tabela18[[#This Row],[STATUS]]="Em andamento",Tabela18[[#This Row],[DATA REAL - DOC CLIENTE]]="",$AK159&lt;=$AI$1),3,
AND(Tabela18[[#This Row],[STATUS]]="Em andamento",Tabela18[[#This Row],[DATA REAL - DOC CLIENTE]]&lt;&gt;""),1)</f>
        <v>0</v>
      </c>
      <c r="I159" s="16" cm="1">
        <f t="array" aca="1" ref="I15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06]]="",$AN159&gt;$AL$1),2,
AND(Tabela18[[#This Row],[STATUS]]="Em andamento",Tabela18[[#This Row],[DATA REAL - ANEXO 06]]="",$AN159&lt;=$AL$1),3,
AND(Tabela18[[#This Row],[STATUS]]="Em andamento",Tabela18[[#This Row],[DATA REAL - ANEXO 06]]&lt;&gt;""),1)</f>
        <v>1</v>
      </c>
      <c r="J159" s="16" cm="1">
        <f t="array" aca="1" ref="J15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LEGAIS]]="",$AQ159&gt;$AO$1),2,
AND(Tabela18[[#This Row],[STATUS]]="Em andamento",Tabela18[[#This Row],[DATA REAL - SOLIC. PROG LEGAIS]]="",$AQ159&lt;=$AO$1),3,
AND(Tabela18[[#This Row],[STATUS]]="Em andamento",Tabela18[[#This Row],[DATA REAL - SOLIC. PROG LEGAIS]]&lt;&gt;""),1)</f>
        <v>1</v>
      </c>
      <c r="K159" s="16" cm="1">
        <f t="array" aca="1" ref="K15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ENVIO]]="",$AT159&gt;$AR$1),2,
AND(Tabela18[[#This Row],[STATUS]]="Em andamento",Tabela18[[#This Row],[DATA REAL - ENVIO]]="",$AT159&lt;=$AR$1),3,
AND(Tabela18[[#This Row],[STATUS]]="Em andamento",Tabela18[[#This Row],[DATA REAL - ENVIO]]&lt;&gt;""),1)</f>
        <v>1</v>
      </c>
      <c r="L159" s="16" cm="1">
        <f t="array" aca="1" ref="L15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POSTAGEM]]="",$AW159&gt;$AU$1),2,
AND(Tabela18[[#This Row],[STATUS]]="Em andamento",Tabela18[[#This Row],[DATA REAL - POSTAGEM]]="",$AW159&lt;=$AU$1),3,
AND(Tabela18[[#This Row],[STATUS]]="Em andamento",Tabela18[[#This Row],[DATA REAL - POSTAGEM]]&lt;&gt;""),1)</f>
        <v>1</v>
      </c>
      <c r="M159" s="16" cm="1">
        <f t="array" aca="1" ref="M15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APROVAÇÃO]]="",$AZ159&gt;$AX$1),2,
AND(Tabela18[[#This Row],[STATUS]]="Em andamento",Tabela18[[#This Row],[DATA REAL - APROVAÇÃO]]="",$AZ159&lt;=$AX$1),3,
AND(Tabela18[[#This Row],[STATUS]]="Em andamento",Tabela18[[#This Row],[DATA REAL - APROVAÇÃO]]&lt;&gt;""),1)</f>
        <v>1</v>
      </c>
      <c r="N159" s="21">
        <f>IF(Tabela18[[#This Row],[DATA REAL -EMAIL]]&lt;&gt;"",Tabela18[[#This Row],[DATA REAL -EMAIL]]+30,Tabela18[[#This Row],[DATA PREV - EMAIL]]+30)</f>
        <v>45927</v>
      </c>
      <c r="O159"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45946</v>
      </c>
      <c r="P159"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49</v>
      </c>
      <c r="Q15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49</v>
      </c>
      <c r="R159" s="48">
        <f>MAX(Tabela18[[#This Row],[DATA REAL - POSTAGEM]],Tabela18[[#This Row],[DATA REAL - APROVAÇÃO]])-MIN(Tabela18[[#This Row],[DATA REAL - POSTAGEM]],Tabela18[[#This Row],[DATA REAL - APROVAÇÃO]])+1</f>
        <v>1</v>
      </c>
      <c r="S159" s="16"/>
      <c r="T159" s="16"/>
      <c r="U159" s="18"/>
      <c r="V159" s="18" t="s">
        <v>124</v>
      </c>
      <c r="W159" s="16" t="s">
        <v>97</v>
      </c>
      <c r="X159" s="16" t="s">
        <v>506</v>
      </c>
      <c r="Y159" s="16"/>
      <c r="Z159" s="15" t="s">
        <v>507</v>
      </c>
      <c r="AA159" s="15" t="str">
        <f>_xlfn.XLOOKUP(Tabela18[[#This Row],[CÓD. CT]],Controle_Projetos[COD CT],Controle_Projetos[COD PHD],"")</f>
        <v>ENGT-CT01-LPSA</v>
      </c>
      <c r="AB159" s="16"/>
      <c r="AC159" s="21">
        <v>45897</v>
      </c>
      <c r="AD159"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45946</v>
      </c>
      <c r="AE159" s="16" cm="1">
        <f t="array" aca="1" ref="AE15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50</v>
      </c>
      <c r="AF159" s="21">
        <v>45897</v>
      </c>
      <c r="AG159" s="74">
        <v>45897</v>
      </c>
      <c r="AH159" s="16" cm="1">
        <f t="array" aca="1" ref="AH15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59" s="21">
        <f>Tabela18[[#This Row],[DATA PREV - EMAIL]]+$AI$1</f>
        <v>45898</v>
      </c>
      <c r="AJ159" s="74"/>
      <c r="AK159" s="16" cm="1">
        <f t="array" aca="1" ref="AK15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59" s="20">
        <f t="shared" si="20"/>
        <v>45905</v>
      </c>
      <c r="AM159" s="74">
        <v>45911</v>
      </c>
      <c r="AN159" s="16" cm="1">
        <f t="array" aca="1" ref="AN15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7</v>
      </c>
      <c r="AO159" s="20">
        <f t="shared" si="21"/>
        <v>45912</v>
      </c>
      <c r="AP159" s="74">
        <v>45911</v>
      </c>
      <c r="AQ159" s="16" cm="1">
        <f t="array" aca="1" ref="AQ15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59" s="20">
        <f t="shared" si="22"/>
        <v>45925</v>
      </c>
      <c r="AS159" s="74">
        <v>45917</v>
      </c>
      <c r="AT159" s="16" cm="1">
        <f t="array" aca="1" ref="AT15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159" s="20">
        <f t="shared" si="23"/>
        <v>45924</v>
      </c>
      <c r="AV159" s="101">
        <v>45917</v>
      </c>
      <c r="AW159" s="16" cm="1">
        <f t="array" aca="1" ref="AW15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59" s="20">
        <f t="shared" si="24"/>
        <v>45918</v>
      </c>
      <c r="AY159" s="74">
        <v>45917</v>
      </c>
      <c r="AZ159" s="16" cm="1">
        <f t="array" aca="1" ref="AZ15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59" s="16" t="s">
        <v>1115</v>
      </c>
    </row>
    <row r="160" spans="2:53" hidden="1" x14ac:dyDescent="0.35">
      <c r="B160" s="14" t="s">
        <v>79</v>
      </c>
      <c r="C160" s="16" t="s">
        <v>136</v>
      </c>
      <c r="D160" s="16" t="s">
        <v>108</v>
      </c>
      <c r="E160" s="16" t="s">
        <v>516</v>
      </c>
      <c r="F160" s="16" cm="1">
        <f t="array" ref="F160">_xlfn.IFS(Tabela18[[#This Row],[STATUS]]="Finalizado",1,Tabela18[[#This Row],[STATUS]]="Cancelado",2,Tabela18[[#This Row],[STATUS]]="Em andamento",3)</f>
        <v>1</v>
      </c>
      <c r="G160" s="16" cm="1">
        <f t="array" aca="1" ref="G16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-EMAIL]]="",$AH160&gt;$AF$1),2,
AND(Tabela18[[#This Row],[STATUS]]="Em andamento",Tabela18[[#This Row],[DATA REAL -EMAIL]]="",$AH160&lt;=$AF$1),3,
AND(Tabela18[[#This Row],[STATUS]]="Em andamento",Tabela18[[#This Row],[DATA REAL -EMAIL]]&lt;&gt;""),1)</f>
        <v>1</v>
      </c>
      <c r="H160" s="16" cm="1">
        <f t="array" aca="1" ref="H16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CLIENTE]]="",$AK160&gt;$AI$1),2,
AND(Tabela18[[#This Row],[STATUS]]="Em andamento",Tabela18[[#This Row],[DATA REAL - DOC CLIENTE]]="",$AK160&lt;=$AI$1),3,
AND(Tabela18[[#This Row],[STATUS]]="Em andamento",Tabela18[[#This Row],[DATA REAL - DOC CLIENTE]]&lt;&gt;""),1)</f>
        <v>0</v>
      </c>
      <c r="I160" s="16" cm="1">
        <f t="array" aca="1" ref="I16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06]]="",$AN160&gt;$AL$1),2,
AND(Tabela18[[#This Row],[STATUS]]="Em andamento",Tabela18[[#This Row],[DATA REAL - ANEXO 06]]="",$AN160&lt;=$AL$1),3,
AND(Tabela18[[#This Row],[STATUS]]="Em andamento",Tabela18[[#This Row],[DATA REAL - ANEXO 06]]&lt;&gt;""),1)</f>
        <v>1</v>
      </c>
      <c r="J160" s="16" cm="1">
        <f t="array" aca="1" ref="J16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LEGAIS]]="",$AQ160&gt;$AO$1),2,
AND(Tabela18[[#This Row],[STATUS]]="Em andamento",Tabela18[[#This Row],[DATA REAL - SOLIC. PROG LEGAIS]]="",$AQ160&lt;=$AO$1),3,
AND(Tabela18[[#This Row],[STATUS]]="Em andamento",Tabela18[[#This Row],[DATA REAL - SOLIC. PROG LEGAIS]]&lt;&gt;""),1)</f>
        <v>1</v>
      </c>
      <c r="K160" s="16" cm="1">
        <f t="array" aca="1" ref="K16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ENVIO]]="",$AT160&gt;$AR$1),2,
AND(Tabela18[[#This Row],[STATUS]]="Em andamento",Tabela18[[#This Row],[DATA REAL - ENVIO]]="",$AT160&lt;=$AR$1),3,
AND(Tabela18[[#This Row],[STATUS]]="Em andamento",Tabela18[[#This Row],[DATA REAL - ENVIO]]&lt;&gt;""),1)</f>
        <v>1</v>
      </c>
      <c r="L160" s="16" cm="1">
        <f t="array" aca="1" ref="L16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POSTAGEM]]="",$AW160&gt;$AU$1),2,
AND(Tabela18[[#This Row],[STATUS]]="Em andamento",Tabela18[[#This Row],[DATA REAL - POSTAGEM]]="",$AW160&lt;=$AU$1),3,
AND(Tabela18[[#This Row],[STATUS]]="Em andamento",Tabela18[[#This Row],[DATA REAL - POSTAGEM]]&lt;&gt;""),1)</f>
        <v>1</v>
      </c>
      <c r="M160" s="16" cm="1">
        <f t="array" aca="1" ref="M16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APROVAÇÃO]]="",$AZ160&gt;$AX$1),2,
AND(Tabela18[[#This Row],[STATUS]]="Em andamento",Tabela18[[#This Row],[DATA REAL - APROVAÇÃO]]="",$AZ160&lt;=$AX$1),3,
AND(Tabela18[[#This Row],[STATUS]]="Em andamento",Tabela18[[#This Row],[DATA REAL - APROVAÇÃO]]&lt;&gt;""),1)</f>
        <v>1</v>
      </c>
      <c r="N160" s="21">
        <f>IF(Tabela18[[#This Row],[DATA REAL -EMAIL]]&lt;&gt;"",Tabela18[[#This Row],[DATA REAL -EMAIL]]+30,Tabela18[[#This Row],[DATA PREV - EMAIL]]+30)</f>
        <v>45947</v>
      </c>
      <c r="O160"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45973</v>
      </c>
      <c r="P160"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56</v>
      </c>
      <c r="Q16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56</v>
      </c>
      <c r="R160" s="48">
        <f>MAX(Tabela18[[#This Row],[DATA REAL - POSTAGEM]],Tabela18[[#This Row],[DATA REAL - APROVAÇÃO]])-MIN(Tabela18[[#This Row],[DATA REAL - POSTAGEM]],Tabela18[[#This Row],[DATA REAL - APROVAÇÃO]])+1</f>
        <v>7</v>
      </c>
      <c r="S160" s="16"/>
      <c r="T160" s="16"/>
      <c r="U160" s="18"/>
      <c r="V160" s="18" t="s">
        <v>131</v>
      </c>
      <c r="W160" s="16" t="s">
        <v>97</v>
      </c>
      <c r="X160" s="16" t="s">
        <v>516</v>
      </c>
      <c r="Y160" s="16" t="s">
        <v>1116</v>
      </c>
      <c r="Z160" s="15" t="s">
        <v>518</v>
      </c>
      <c r="AA160" s="15" t="str">
        <f>_xlfn.XLOOKUP(Tabela18[[#This Row],[CÓD. CT]],Controle_Projetos[COD CT],Controle_Projetos[COD PHD],"")</f>
        <v>SINO-CT01-CONS</v>
      </c>
      <c r="AB160" s="16"/>
      <c r="AC160" s="21">
        <v>45917</v>
      </c>
      <c r="AD160"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45973</v>
      </c>
      <c r="AE160" s="16" cm="1">
        <f t="array" aca="1" ref="AE16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57</v>
      </c>
      <c r="AF160" s="21">
        <v>45917</v>
      </c>
      <c r="AG160" s="74">
        <v>45917</v>
      </c>
      <c r="AH160" s="16" cm="1">
        <f t="array" aca="1" ref="AH16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0" s="21">
        <f>Tabela18[[#This Row],[DATA PREV - EMAIL]]+$AI$1</f>
        <v>45918</v>
      </c>
      <c r="AJ160" s="74"/>
      <c r="AK160" s="16" cm="1">
        <f t="array" aca="1" ref="AK16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0" s="20">
        <f t="shared" si="20"/>
        <v>45925</v>
      </c>
      <c r="AM160" s="74">
        <v>45919</v>
      </c>
      <c r="AN160" s="16" cm="1">
        <f t="array" aca="1" ref="AN16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60" s="20">
        <f t="shared" si="21"/>
        <v>45922</v>
      </c>
      <c r="AP160" s="74">
        <v>45919</v>
      </c>
      <c r="AQ160" s="16" cm="1">
        <f t="array" aca="1" ref="AQ16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60" s="20">
        <f t="shared" si="22"/>
        <v>45933</v>
      </c>
      <c r="AS160" s="74">
        <v>45919</v>
      </c>
      <c r="AT160" s="16" cm="1">
        <f t="array" aca="1" ref="AT16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60" s="20">
        <f t="shared" si="23"/>
        <v>45926</v>
      </c>
      <c r="AV160" s="101">
        <v>45919</v>
      </c>
      <c r="AW160" s="16" cm="1">
        <f t="array" aca="1" ref="AW16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60" s="20">
        <f t="shared" si="24"/>
        <v>45922</v>
      </c>
      <c r="AY160" s="74">
        <v>45925</v>
      </c>
      <c r="AZ160" s="16" cm="1">
        <f t="array" aca="1" ref="AZ16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160" s="80" t="s">
        <v>1117</v>
      </c>
    </row>
    <row r="161" spans="2:54" hidden="1" x14ac:dyDescent="0.35">
      <c r="B161" s="14" t="s">
        <v>119</v>
      </c>
      <c r="C161" s="16" t="s">
        <v>136</v>
      </c>
      <c r="D161" s="16" t="s">
        <v>119</v>
      </c>
      <c r="E161" s="16" t="s">
        <v>557</v>
      </c>
      <c r="F161" s="16" cm="1">
        <f t="array" ref="F161">_xlfn.IFS(Tabela18[[#This Row],[STATUS]]="Finalizado",1,Tabela18[[#This Row],[STATUS]]="Cancelado",2,Tabela18[[#This Row],[STATUS]]="Em andamento",3)</f>
        <v>2</v>
      </c>
      <c r="G161" s="16" cm="1">
        <f t="array" aca="1" ref="G16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-EMAIL]]="",$AH161&gt;$AF$1),2,
AND(Tabela18[[#This Row],[STATUS]]="Em andamento",Tabela18[[#This Row],[DATA REAL -EMAIL]]="",$AH161&lt;=$AF$1),3,
AND(Tabela18[[#This Row],[STATUS]]="Em andamento",Tabela18[[#This Row],[DATA REAL -EMAIL]]&lt;&gt;""),1)</f>
        <v>1</v>
      </c>
      <c r="H161" s="16" cm="1">
        <f t="array" aca="1" ref="H16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CLIENTE]]="",$AK161&gt;$AI$1),2,
AND(Tabela18[[#This Row],[STATUS]]="Em andamento",Tabela18[[#This Row],[DATA REAL - DOC CLIENTE]]="",$AK161&lt;=$AI$1),3,
AND(Tabela18[[#This Row],[STATUS]]="Em andamento",Tabela18[[#This Row],[DATA REAL - DOC CLIENTE]]&lt;&gt;""),1)</f>
        <v>0</v>
      </c>
      <c r="I161" s="16" cm="1">
        <f t="array" aca="1" ref="I16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06]]="",$AN161&gt;$AL$1),2,
AND(Tabela18[[#This Row],[STATUS]]="Em andamento",Tabela18[[#This Row],[DATA REAL - ANEXO 06]]="",$AN161&lt;=$AL$1),3,
AND(Tabela18[[#This Row],[STATUS]]="Em andamento",Tabela18[[#This Row],[DATA REAL - ANEXO 06]]&lt;&gt;""),1)</f>
        <v>1</v>
      </c>
      <c r="J161" s="16" cm="1">
        <f t="array" aca="1" ref="J16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LEGAIS]]="",$AQ161&gt;$AO$1),2,
AND(Tabela18[[#This Row],[STATUS]]="Em andamento",Tabela18[[#This Row],[DATA REAL - SOLIC. PROG LEGAIS]]="",$AQ161&lt;=$AO$1),3,
AND(Tabela18[[#This Row],[STATUS]]="Em andamento",Tabela18[[#This Row],[DATA REAL - SOLIC. PROG LEGAIS]]&lt;&gt;""),1)</f>
        <v>0</v>
      </c>
      <c r="K161" s="16" cm="1">
        <f t="array" aca="1" ref="K16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ENVIO]]="",$AT161&gt;$AR$1),2,
AND(Tabela18[[#This Row],[STATUS]]="Em andamento",Tabela18[[#This Row],[DATA REAL - ENVIO]]="",$AT161&lt;=$AR$1),3,
AND(Tabela18[[#This Row],[STATUS]]="Em andamento",Tabela18[[#This Row],[DATA REAL - ENVIO]]&lt;&gt;""),1)</f>
        <v>0</v>
      </c>
      <c r="L161" s="16" cm="1">
        <f t="array" aca="1" ref="L16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POSTAGEM]]="",$AW161&gt;$AU$1),2,
AND(Tabela18[[#This Row],[STATUS]]="Em andamento",Tabela18[[#This Row],[DATA REAL - POSTAGEM]]="",$AW161&lt;=$AU$1),3,
AND(Tabela18[[#This Row],[STATUS]]="Em andamento",Tabela18[[#This Row],[DATA REAL - POSTAGEM]]&lt;&gt;""),1)</f>
        <v>0</v>
      </c>
      <c r="M161" s="16" cm="1">
        <f t="array" aca="1" ref="M16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APROVAÇÃO]]="",$AZ161&gt;$AX$1),2,
AND(Tabela18[[#This Row],[STATUS]]="Em andamento",Tabela18[[#This Row],[DATA REAL - APROVAÇÃO]]="",$AZ161&lt;=$AX$1),3,
AND(Tabela18[[#This Row],[STATUS]]="Em andamento",Tabela18[[#This Row],[DATA REAL - APROVAÇÃO]]&lt;&gt;""),1)</f>
        <v>1</v>
      </c>
      <c r="N161" s="21">
        <f>IF(Tabela18[[#This Row],[DATA REAL -EMAIL]]&lt;&gt;"",Tabela18[[#This Row],[DATA REAL -EMAIL]]+30,Tabela18[[#This Row],[DATA PREV - EMAIL]]+30)</f>
        <v>45975</v>
      </c>
      <c r="O161"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45958</v>
      </c>
      <c r="P161"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13</v>
      </c>
      <c r="Q16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161" s="48">
        <f>MAX(Tabela18[[#This Row],[DATA REAL - POSTAGEM]],Tabela18[[#This Row],[DATA REAL - APROVAÇÃO]])-MIN(Tabela18[[#This Row],[DATA REAL - POSTAGEM]],Tabela18[[#This Row],[DATA REAL - APROVAÇÃO]])+1</f>
        <v>1</v>
      </c>
      <c r="S161" s="16"/>
      <c r="T161" s="16"/>
      <c r="U161" s="18"/>
      <c r="V161" s="18"/>
      <c r="W161" s="16" t="s">
        <v>97</v>
      </c>
      <c r="X161" s="16" t="s">
        <v>557</v>
      </c>
      <c r="Y161" s="16" t="s">
        <v>1118</v>
      </c>
      <c r="Z161" s="15" t="s">
        <v>558</v>
      </c>
      <c r="AA161" s="15" t="str">
        <f>_xlfn.XLOOKUP(Tabela18[[#This Row],[CÓD. CT]],Controle_Projetos[COD CT],Controle_Projetos[COD PHD],"")</f>
        <v>ANDR-CT03-SUAP</v>
      </c>
      <c r="AB161" s="16"/>
      <c r="AC161" s="21">
        <v>45945</v>
      </c>
      <c r="AD161"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45958</v>
      </c>
      <c r="AE161" s="16" cm="1">
        <f t="array" aca="1" ref="AE16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14</v>
      </c>
      <c r="AF161" s="21">
        <v>45945</v>
      </c>
      <c r="AG161" s="74">
        <v>45945</v>
      </c>
      <c r="AH161" s="16" cm="1">
        <f t="array" aca="1" ref="AH16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1" s="21">
        <f>Tabela18[[#This Row],[DATA PREV - EMAIL]]+$AI$1</f>
        <v>45946</v>
      </c>
      <c r="AJ161" s="74"/>
      <c r="AK161" s="16" cm="1">
        <f t="array" aca="1" ref="AK16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1" s="20">
        <f t="shared" si="20"/>
        <v>45953</v>
      </c>
      <c r="AM161" s="74">
        <v>45947</v>
      </c>
      <c r="AN161" s="16" cm="1">
        <f t="array" aca="1" ref="AN16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61" s="20">
        <f t="shared" si="21"/>
        <v>45950</v>
      </c>
      <c r="AP161" s="74"/>
      <c r="AQ161" s="16" cm="1">
        <f t="array" aca="1" ref="AQ16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61" s="20">
        <f t="shared" si="22"/>
        <v>45964</v>
      </c>
      <c r="AS161" s="74"/>
      <c r="AT161" s="16" cm="1">
        <f t="array" aca="1" ref="AT16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61" s="20">
        <f t="shared" si="23"/>
        <v>45971</v>
      </c>
      <c r="AV161" s="101"/>
      <c r="AW161" s="16" cm="1">
        <f t="array" aca="1" ref="AW16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61" s="20">
        <f t="shared" si="24"/>
        <v>45972</v>
      </c>
      <c r="AY161" s="74">
        <v>45950</v>
      </c>
      <c r="AZ161" s="16" cm="1">
        <f t="array" aca="1" ref="AZ16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-21</v>
      </c>
      <c r="BA161" s="16" t="s">
        <v>1119</v>
      </c>
    </row>
    <row r="162" spans="2:54" hidden="1" x14ac:dyDescent="0.35">
      <c r="B162" s="14" t="s">
        <v>79</v>
      </c>
      <c r="C162" s="16" t="s">
        <v>136</v>
      </c>
      <c r="D162" s="16" t="s">
        <v>108</v>
      </c>
      <c r="E162" s="16" t="s">
        <v>911</v>
      </c>
      <c r="F162" s="16" cm="1">
        <f t="array" ref="F162">_xlfn.IFS(Tabela18[[#This Row],[STATUS]]="Finalizado",1,Tabela18[[#This Row],[STATUS]]="Cancelado",2,Tabela18[[#This Row],[STATUS]]="Em andamento",3)</f>
        <v>1</v>
      </c>
      <c r="G162" s="16" cm="1">
        <f t="array" aca="1" ref="G16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-EMAIL]]="",$AH162&gt;$AF$1),2,
AND(Tabela18[[#This Row],[STATUS]]="Em andamento",Tabela18[[#This Row],[DATA REAL -EMAIL]]="",$AH162&lt;=$AF$1),3,
AND(Tabela18[[#This Row],[STATUS]]="Em andamento",Tabela18[[#This Row],[DATA REAL -EMAIL]]&lt;&gt;""),1)</f>
        <v>1</v>
      </c>
      <c r="H162" s="16" cm="1">
        <f t="array" aca="1" ref="H16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CLIENTE]]="",$AK162&gt;$AI$1),2,
AND(Tabela18[[#This Row],[STATUS]]="Em andamento",Tabela18[[#This Row],[DATA REAL - DOC CLIENTE]]="",$AK162&lt;=$AI$1),3,
AND(Tabela18[[#This Row],[STATUS]]="Em andamento",Tabela18[[#This Row],[DATA REAL - DOC CLIENTE]]&lt;&gt;""),1)</f>
        <v>0</v>
      </c>
      <c r="I162" s="16" cm="1">
        <f t="array" aca="1" ref="I16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06]]="",$AN162&gt;$AL$1),2,
AND(Tabela18[[#This Row],[STATUS]]="Em andamento",Tabela18[[#This Row],[DATA REAL - ANEXO 06]]="",$AN162&lt;=$AL$1),3,
AND(Tabela18[[#This Row],[STATUS]]="Em andamento",Tabela18[[#This Row],[DATA REAL - ANEXO 06]]&lt;&gt;""),1)</f>
        <v>1</v>
      </c>
      <c r="J162" s="16" cm="1">
        <f t="array" aca="1" ref="J16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LEGAIS]]="",$AQ162&gt;$AO$1),2,
AND(Tabela18[[#This Row],[STATUS]]="Em andamento",Tabela18[[#This Row],[DATA REAL - SOLIC. PROG LEGAIS]]="",$AQ162&lt;=$AO$1),3,
AND(Tabela18[[#This Row],[STATUS]]="Em andamento",Tabela18[[#This Row],[DATA REAL - SOLIC. PROG LEGAIS]]&lt;&gt;""),1)</f>
        <v>1</v>
      </c>
      <c r="K162" s="16" cm="1">
        <f t="array" aca="1" ref="K16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ENVIO]]="",$AT162&gt;$AR$1),2,
AND(Tabela18[[#This Row],[STATUS]]="Em andamento",Tabela18[[#This Row],[DATA REAL - ENVIO]]="",$AT162&lt;=$AR$1),3,
AND(Tabela18[[#This Row],[STATUS]]="Em andamento",Tabela18[[#This Row],[DATA REAL - ENVIO]]&lt;&gt;""),1)</f>
        <v>1</v>
      </c>
      <c r="L162" s="16" cm="1">
        <f t="array" aca="1" ref="L16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POSTAGEM]]="",$AW162&gt;$AU$1),2,
AND(Tabela18[[#This Row],[STATUS]]="Em andamento",Tabela18[[#This Row],[DATA REAL - POSTAGEM]]="",$AW162&lt;=$AU$1),3,
AND(Tabela18[[#This Row],[STATUS]]="Em andamento",Tabela18[[#This Row],[DATA REAL - POSTAGEM]]&lt;&gt;""),1)</f>
        <v>1</v>
      </c>
      <c r="M162" s="16" cm="1">
        <f t="array" aca="1" ref="M16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APROVAÇÃO]]="",$AZ162&gt;$AX$1),2,
AND(Tabela18[[#This Row],[STATUS]]="Em andamento",Tabela18[[#This Row],[DATA REAL - APROVAÇÃO]]="",$AZ162&lt;=$AX$1),3,
AND(Tabela18[[#This Row],[STATUS]]="Em andamento",Tabela18[[#This Row],[DATA REAL - APROVAÇÃO]]&lt;&gt;""),1)</f>
        <v>1</v>
      </c>
      <c r="N162" s="21">
        <f>IF(Tabela18[[#This Row],[DATA REAL -EMAIL]]&lt;&gt;"",Tabela18[[#This Row],[DATA REAL -EMAIL]]+30,Tabela18[[#This Row],[DATA PREV - EMAIL]]+30)</f>
        <v>45975</v>
      </c>
      <c r="O162"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46128</v>
      </c>
      <c r="P162"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183</v>
      </c>
      <c r="Q16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183</v>
      </c>
      <c r="R162" s="48">
        <f>MAX(Tabela18[[#This Row],[DATA REAL - POSTAGEM]],Tabela18[[#This Row],[DATA REAL - APROVAÇÃO]])-MIN(Tabela18[[#This Row],[DATA REAL - POSTAGEM]],Tabela18[[#This Row],[DATA REAL - APROVAÇÃO]])+1</f>
        <v>2</v>
      </c>
      <c r="S162" s="16"/>
      <c r="T162" s="16"/>
      <c r="U162" s="18"/>
      <c r="V162" s="18" t="s">
        <v>124</v>
      </c>
      <c r="W162" s="16" t="s">
        <v>97</v>
      </c>
      <c r="X162" s="16" t="s">
        <v>548</v>
      </c>
      <c r="Y162" s="16" t="s">
        <v>549</v>
      </c>
      <c r="Z162" s="15" t="s">
        <v>550</v>
      </c>
      <c r="AA162" s="15" t="str">
        <f>_xlfn.XLOOKUP(Tabela18[[#This Row],[CÓD. CT]],Controle_Projetos[COD CT],Controle_Projetos[COD PHD],"")</f>
        <v>MROS-CT02-CAIN</v>
      </c>
      <c r="AB162" s="16"/>
      <c r="AC162" s="21">
        <v>45945</v>
      </c>
      <c r="AD162"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46128</v>
      </c>
      <c r="AE162" s="16" cm="1">
        <f t="array" aca="1" ref="AE16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184</v>
      </c>
      <c r="AF162" s="21">
        <v>45945</v>
      </c>
      <c r="AG162" s="74">
        <v>45945</v>
      </c>
      <c r="AH162" s="16" cm="1">
        <f t="array" aca="1" ref="AH16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2" s="21">
        <f>Tabela18[[#This Row],[DATA PREV - EMAIL]]+$AI$1</f>
        <v>45946</v>
      </c>
      <c r="AJ162" s="74"/>
      <c r="AK162" s="16" cm="1">
        <f t="array" aca="1" ref="AK16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2" s="20">
        <f t="shared" si="20"/>
        <v>45953</v>
      </c>
      <c r="AM162" s="74">
        <v>45968</v>
      </c>
      <c r="AN162" s="16" cm="1">
        <f t="array" aca="1" ref="AN16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16</v>
      </c>
      <c r="AO162" s="20">
        <f t="shared" si="21"/>
        <v>45971</v>
      </c>
      <c r="AP162" s="74">
        <v>45947</v>
      </c>
      <c r="AQ162" s="16" cm="1">
        <f t="array" aca="1" ref="AQ16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-23</v>
      </c>
      <c r="AR162" s="20">
        <f t="shared" si="22"/>
        <v>45961</v>
      </c>
      <c r="AS162" s="74">
        <v>45954</v>
      </c>
      <c r="AT162" s="16" cm="1">
        <f t="array" aca="1" ref="AT16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62" s="20">
        <f t="shared" si="23"/>
        <v>45961</v>
      </c>
      <c r="AV162" s="101">
        <v>45965</v>
      </c>
      <c r="AW162" s="16" cm="1">
        <f t="array" aca="1" ref="AW16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5</v>
      </c>
      <c r="AX162" s="20">
        <f t="shared" si="24"/>
        <v>45966</v>
      </c>
      <c r="AY162" s="74">
        <v>45966</v>
      </c>
      <c r="AZ162" s="16" cm="1">
        <f t="array" aca="1" ref="AZ16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62" s="16" t="s">
        <v>1120</v>
      </c>
    </row>
    <row r="163" spans="2:54" hidden="1" x14ac:dyDescent="0.35">
      <c r="B163" s="14" t="s">
        <v>79</v>
      </c>
      <c r="C163" s="16" t="s">
        <v>136</v>
      </c>
      <c r="D163" s="16" t="s">
        <v>108</v>
      </c>
      <c r="E163" s="16" t="s">
        <v>452</v>
      </c>
      <c r="F163" s="16" cm="1">
        <f t="array" ref="F163">_xlfn.IFS(Tabela18[[#This Row],[STATUS]]="Finalizado",1,Tabela18[[#This Row],[STATUS]]="Cancelado",2,Tabela18[[#This Row],[STATUS]]="Em andamento",3)</f>
        <v>1</v>
      </c>
      <c r="G163" s="16" cm="1">
        <f t="array" aca="1" ref="G16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-EMAIL]]="",$AH163&gt;$AF$1),2,
AND(Tabela18[[#This Row],[STATUS]]="Em andamento",Tabela18[[#This Row],[DATA REAL -EMAIL]]="",$AH163&lt;=$AF$1),3,
AND(Tabela18[[#This Row],[STATUS]]="Em andamento",Tabela18[[#This Row],[DATA REAL -EMAIL]]&lt;&gt;""),1)</f>
        <v>1</v>
      </c>
      <c r="H163" s="16" cm="1">
        <f t="array" aca="1" ref="H16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CLIENTE]]="",$AK163&gt;$AI$1),2,
AND(Tabela18[[#This Row],[STATUS]]="Em andamento",Tabela18[[#This Row],[DATA REAL - DOC CLIENTE]]="",$AK163&lt;=$AI$1),3,
AND(Tabela18[[#This Row],[STATUS]]="Em andamento",Tabela18[[#This Row],[DATA REAL - DOC CLIENTE]]&lt;&gt;""),1)</f>
        <v>1</v>
      </c>
      <c r="I163" s="16" cm="1">
        <f t="array" aca="1" ref="I16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06]]="",$AN163&gt;$AL$1),2,
AND(Tabela18[[#This Row],[STATUS]]="Em andamento",Tabela18[[#This Row],[DATA REAL - ANEXO 06]]="",$AN163&lt;=$AL$1),3,
AND(Tabela18[[#This Row],[STATUS]]="Em andamento",Tabela18[[#This Row],[DATA REAL - ANEXO 06]]&lt;&gt;""),1)</f>
        <v>1</v>
      </c>
      <c r="J163" s="16" cm="1">
        <f t="array" aca="1" ref="J16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LEGAIS]]="",$AQ163&gt;$AO$1),2,
AND(Tabela18[[#This Row],[STATUS]]="Em andamento",Tabela18[[#This Row],[DATA REAL - SOLIC. PROG LEGAIS]]="",$AQ163&lt;=$AO$1),3,
AND(Tabela18[[#This Row],[STATUS]]="Em andamento",Tabela18[[#This Row],[DATA REAL - SOLIC. PROG LEGAIS]]&lt;&gt;""),1)</f>
        <v>1</v>
      </c>
      <c r="K163" s="16" cm="1">
        <f t="array" aca="1" ref="K16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ENVIO]]="",$AT163&gt;$AR$1),2,
AND(Tabela18[[#This Row],[STATUS]]="Em andamento",Tabela18[[#This Row],[DATA REAL - ENVIO]]="",$AT163&lt;=$AR$1),3,
AND(Tabela18[[#This Row],[STATUS]]="Em andamento",Tabela18[[#This Row],[DATA REAL - ENVIO]]&lt;&gt;""),1)</f>
        <v>1</v>
      </c>
      <c r="L163" s="16" cm="1">
        <f t="array" aca="1" ref="L16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POSTAGEM]]="",$AW163&gt;$AU$1),2,
AND(Tabela18[[#This Row],[STATUS]]="Em andamento",Tabela18[[#This Row],[DATA REAL - POSTAGEM]]="",$AW163&lt;=$AU$1),3,
AND(Tabela18[[#This Row],[STATUS]]="Em andamento",Tabela18[[#This Row],[DATA REAL - POSTAGEM]]&lt;&gt;""),1)</f>
        <v>1</v>
      </c>
      <c r="M163" s="16" cm="1">
        <f t="array" aca="1" ref="M16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APROVAÇÃO]]="",$AZ163&gt;$AX$1),2,
AND(Tabela18[[#This Row],[STATUS]]="Em andamento",Tabela18[[#This Row],[DATA REAL - APROVAÇÃO]]="",$AZ163&lt;=$AX$1),3,
AND(Tabela18[[#This Row],[STATUS]]="Em andamento",Tabela18[[#This Row],[DATA REAL - APROVAÇÃO]]&lt;&gt;""),1)</f>
        <v>1</v>
      </c>
      <c r="N163" s="21">
        <f>IF(Tabela18[[#This Row],[DATA REAL -EMAIL]]&lt;&gt;"",Tabela18[[#This Row],[DATA REAL -EMAIL]]+30,Tabela18[[#This Row],[DATA PREV - EMAIL]]+30)</f>
        <v>45973</v>
      </c>
      <c r="O163" s="20">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45992</v>
      </c>
      <c r="P163" s="4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49</v>
      </c>
      <c r="Q16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35</v>
      </c>
      <c r="R163" s="48">
        <f>MAX(Tabela18[[#This Row],[DATA REAL - POSTAGEM]],Tabela18[[#This Row],[DATA REAL - APROVAÇÃO]])-MIN(Tabela18[[#This Row],[DATA REAL - POSTAGEM]],Tabela18[[#This Row],[DATA REAL - APROVAÇÃO]])+1</f>
        <v>15</v>
      </c>
      <c r="S163" s="16"/>
      <c r="T163" s="16"/>
      <c r="U163" s="18"/>
      <c r="V163" s="18" t="s">
        <v>86</v>
      </c>
      <c r="W163" s="16" t="s">
        <v>97</v>
      </c>
      <c r="X163" s="16" t="s">
        <v>553</v>
      </c>
      <c r="Y163" s="16"/>
      <c r="Z163" s="15" t="s">
        <v>555</v>
      </c>
      <c r="AA163" s="15" t="str">
        <f>_xlfn.XLOOKUP(Tabela18[[#This Row],[CÓD. CT]],Controle_Projetos[COD CT],Controle_Projetos[COD PHD],"")</f>
        <v>ENGF-CT04-LNTR</v>
      </c>
      <c r="AB163" s="16"/>
      <c r="AC163" s="21"/>
      <c r="AD163" s="74"/>
      <c r="AE163" s="16" t="str" cm="1">
        <f t="array" aca="1" ref="AE16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3" s="21">
        <v>45943</v>
      </c>
      <c r="AG163" s="74">
        <v>45943</v>
      </c>
      <c r="AH163" s="16" cm="1">
        <f t="array" aca="1" ref="AH16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3" s="21">
        <f>Tabela18[[#This Row],[DATA PREV - EMAIL]]+$AI$1</f>
        <v>45944</v>
      </c>
      <c r="AJ163" s="74">
        <v>45943</v>
      </c>
      <c r="AK163" s="16" cm="1">
        <f t="array" aca="1" ref="AK16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3" s="20">
        <f t="shared" si="20"/>
        <v>45950</v>
      </c>
      <c r="AM163" s="74">
        <v>45971</v>
      </c>
      <c r="AN163" s="16" cm="1">
        <f t="array" aca="1" ref="AN16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22</v>
      </c>
      <c r="AO163" s="20">
        <f t="shared" si="21"/>
        <v>45972</v>
      </c>
      <c r="AP163" s="74">
        <v>45968</v>
      </c>
      <c r="AQ163" s="16" cm="1">
        <f t="array" aca="1" ref="AQ16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63" s="20">
        <f t="shared" si="22"/>
        <v>45982</v>
      </c>
      <c r="AS163" s="74">
        <v>45978</v>
      </c>
      <c r="AT163" s="16" cm="1">
        <f t="array" aca="1" ref="AT16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-3</v>
      </c>
      <c r="AU163" s="20">
        <f t="shared" si="23"/>
        <v>45985</v>
      </c>
      <c r="AV163" s="74">
        <v>45978</v>
      </c>
      <c r="AW163" s="16" cm="1">
        <f t="array" aca="1" ref="AW16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63" s="20">
        <f t="shared" si="24"/>
        <v>45979</v>
      </c>
      <c r="AY163" s="74">
        <v>45992</v>
      </c>
      <c r="AZ163" s="16" cm="1">
        <f t="array" aca="1" ref="AZ16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163" s="16" t="s">
        <v>1121</v>
      </c>
    </row>
    <row r="164" spans="2:54" ht="18" hidden="1" customHeight="1" x14ac:dyDescent="0.35">
      <c r="B164" s="14" t="s">
        <v>79</v>
      </c>
      <c r="C164" s="16" t="s">
        <v>136</v>
      </c>
      <c r="D164" s="16" t="s">
        <v>108</v>
      </c>
      <c r="E164" s="16" t="s">
        <v>584</v>
      </c>
      <c r="F164" s="16" cm="1">
        <f t="array" ref="F164">_xlfn.IFS(Tabela18[[#This Row],[STATUS]]="Finalizado",1,Tabela18[[#This Row],[STATUS]]="Cancelado",2,Tabela18[[#This Row],[STATUS]]="Em andamento",3)</f>
        <v>1</v>
      </c>
      <c r="G164" s="16" cm="1">
        <f t="array" aca="1" ref="G16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-EMAIL]]="",$AH164&gt;$AF$1),2,
AND(Tabela18[[#This Row],[STATUS]]="Em andamento",Tabela18[[#This Row],[DATA REAL -EMAIL]]="",$AH164&lt;=$AF$1),3,
AND(Tabela18[[#This Row],[STATUS]]="Em andamento",Tabela18[[#This Row],[DATA REAL -EMAIL]]&lt;&gt;""),1)</f>
        <v>1</v>
      </c>
      <c r="H164" s="16" cm="1">
        <f t="array" aca="1" ref="H16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CLIENTE]]="",$AK164&gt;$AI$1),2,
AND(Tabela18[[#This Row],[STATUS]]="Em andamento",Tabela18[[#This Row],[DATA REAL - DOC CLIENTE]]="",$AK164&lt;=$AI$1),3,
AND(Tabela18[[#This Row],[STATUS]]="Em andamento",Tabela18[[#This Row],[DATA REAL - DOC CLIENTE]]&lt;&gt;""),1)</f>
        <v>1</v>
      </c>
      <c r="I164" s="16" cm="1">
        <f t="array" aca="1" ref="I16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06]]="",$AN164&gt;$AL$1),2,
AND(Tabela18[[#This Row],[STATUS]]="Em andamento",Tabela18[[#This Row],[DATA REAL - ANEXO 06]]="",$AN164&lt;=$AL$1),3,
AND(Tabela18[[#This Row],[STATUS]]="Em andamento",Tabela18[[#This Row],[DATA REAL - ANEXO 06]]&lt;&gt;""),1)</f>
        <v>1</v>
      </c>
      <c r="J164" s="16" cm="1">
        <f t="array" aca="1" ref="J16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LEGAIS]]="",$AQ164&gt;$AO$1),2,
AND(Tabela18[[#This Row],[STATUS]]="Em andamento",Tabela18[[#This Row],[DATA REAL - SOLIC. PROG LEGAIS]]="",$AQ164&lt;=$AO$1),3,
AND(Tabela18[[#This Row],[STATUS]]="Em andamento",Tabela18[[#This Row],[DATA REAL - SOLIC. PROG LEGAIS]]&lt;&gt;""),1)</f>
        <v>1</v>
      </c>
      <c r="K164" s="16" cm="1">
        <f t="array" aca="1" ref="K16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ENVIO]]="",$AT164&gt;$AR$1),2,
AND(Tabela18[[#This Row],[STATUS]]="Em andamento",Tabela18[[#This Row],[DATA REAL - ENVIO]]="",$AT164&lt;=$AR$1),3,
AND(Tabela18[[#This Row],[STATUS]]="Em andamento",Tabela18[[#This Row],[DATA REAL - ENVIO]]&lt;&gt;""),1)</f>
        <v>1</v>
      </c>
      <c r="L164" s="16" cm="1">
        <f t="array" aca="1" ref="L16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POSTAGEM]]="",$AW164&gt;$AU$1),2,
AND(Tabela18[[#This Row],[STATUS]]="Em andamento",Tabela18[[#This Row],[DATA REAL - POSTAGEM]]="",$AW164&lt;=$AU$1),3,
AND(Tabela18[[#This Row],[STATUS]]="Em andamento",Tabela18[[#This Row],[DATA REAL - POSTAGEM]]&lt;&gt;""),1)</f>
        <v>1</v>
      </c>
      <c r="M164" s="16" cm="1">
        <f t="array" aca="1" ref="M16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APROVAÇÃO]]="",$AZ164&gt;$AX$1),2,
AND(Tabela18[[#This Row],[STATUS]]="Em andamento",Tabela18[[#This Row],[DATA REAL - APROVAÇÃO]]="",$AZ164&lt;=$AX$1),3,
AND(Tabela18[[#This Row],[STATUS]]="Em andamento",Tabela18[[#This Row],[DATA REAL - APROVAÇÃO]]&lt;&gt;""),1)</f>
        <v>1</v>
      </c>
      <c r="N164" s="21">
        <f>IF(Tabela18[[#This Row],[DATA REAL -EMAIL]]&lt;&gt;"",Tabela18[[#This Row],[DATA REAL -EMAIL]]+30,Tabela18[[#This Row],[DATA PREV - EMAIL]]+30)</f>
        <v>45997</v>
      </c>
      <c r="O164"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46038</v>
      </c>
      <c r="P164"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71</v>
      </c>
      <c r="Q16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60</v>
      </c>
      <c r="R164" s="48">
        <f>MAX(Tabela18[[#This Row],[DATA REAL - POSTAGEM]],Tabela18[[#This Row],[DATA REAL - APROVAÇÃO]])-MIN(Tabela18[[#This Row],[DATA REAL - POSTAGEM]],Tabela18[[#This Row],[DATA REAL - APROVAÇÃO]])+1</f>
        <v>4</v>
      </c>
      <c r="S164" s="16"/>
      <c r="T164" s="16"/>
      <c r="U164" s="18"/>
      <c r="V164" s="18" t="s">
        <v>124</v>
      </c>
      <c r="W164" s="16" t="s">
        <v>97</v>
      </c>
      <c r="X164" s="16" t="s">
        <v>585</v>
      </c>
      <c r="Y164" s="16" t="s">
        <v>586</v>
      </c>
      <c r="Z164" s="15" t="s">
        <v>587</v>
      </c>
      <c r="AA164" s="15" t="str">
        <f>_xlfn.XLOOKUP(Tabela18[[#This Row],[CÓD. CT]],Controle_Projetos[COD CT],Controle_Projetos[COD PHD],"")</f>
        <v>COTR-CT01-LPSA</v>
      </c>
      <c r="AB164" s="16"/>
      <c r="AC164" s="21">
        <v>45967</v>
      </c>
      <c r="AD164" s="74">
        <v>46027</v>
      </c>
      <c r="AE164" s="16" cm="1">
        <f t="array" aca="1" ref="AE16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61</v>
      </c>
      <c r="AF164" s="21">
        <v>45967</v>
      </c>
      <c r="AG164" s="74">
        <v>45967</v>
      </c>
      <c r="AH164" s="16" cm="1">
        <f t="array" aca="1" ref="AH16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4" s="21">
        <f>Tabela18[[#This Row],[DATA PREV - EMAIL]]+$AI$1</f>
        <v>45968</v>
      </c>
      <c r="AJ164" s="74">
        <v>45968</v>
      </c>
      <c r="AK164" s="16" cm="1">
        <f t="array" aca="1" ref="AK16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4" s="20">
        <f t="shared" ref="AL164:AL182" si="25">IF(AI164="","",IF(AJ164="",WORKDAY(AI164,AL$1,),WORKDAY(AJ164,AL$1,)))</f>
        <v>45975</v>
      </c>
      <c r="AM164" s="74">
        <v>45975</v>
      </c>
      <c r="AN164" s="16" cm="1">
        <f t="array" aca="1" ref="AN16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64" s="20">
        <f t="shared" ref="AO164:AO182" si="26">IF(AL164="","",IF(AM164="",WORKDAY(AL164,AO$1,),WORKDAY(AM164,AO$1,)))</f>
        <v>45978</v>
      </c>
      <c r="AP164" s="74">
        <v>45971</v>
      </c>
      <c r="AQ164" s="16" cm="1">
        <f t="array" aca="1" ref="AQ16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164" s="20">
        <f t="shared" ref="AR164:AR182" si="27">IF(AO164="","",IF(AP164="",WORKDAY(AO164,AR$1,),WORKDAY(AP164,AR$1,)))</f>
        <v>45985</v>
      </c>
      <c r="AS164" s="74">
        <v>45985</v>
      </c>
      <c r="AT164" s="16" cm="1">
        <f t="array" aca="1" ref="AT16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64" s="20">
        <f t="shared" ref="AU164:AU178" si="28">IF(AR164="","",IF(AS164="",WORKDAY(AR164,AU$1,),WORKDAY(AS164,AU$1,)))</f>
        <v>45992</v>
      </c>
      <c r="AV164" s="74">
        <v>46035</v>
      </c>
      <c r="AW164" s="16" cm="1">
        <f t="array" aca="1" ref="AW16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44</v>
      </c>
      <c r="AX164" s="20">
        <f t="shared" ref="AX164:AX178" si="29">IF(AU164="","",IF(AV164="",WORKDAY(AU164,AX$1,),WORKDAY(AV164,AX$1,)))</f>
        <v>46036</v>
      </c>
      <c r="AY164" s="74">
        <v>46038</v>
      </c>
      <c r="AZ164" s="16" cm="1">
        <f t="array" aca="1" ref="AZ16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164" s="106" t="s">
        <v>1122</v>
      </c>
    </row>
    <row r="165" spans="2:54" hidden="1" x14ac:dyDescent="0.35">
      <c r="B165" s="14" t="s">
        <v>79</v>
      </c>
      <c r="C165" s="16" t="s">
        <v>136</v>
      </c>
      <c r="D165" s="16" t="s">
        <v>108</v>
      </c>
      <c r="E165" s="16" t="s">
        <v>1049</v>
      </c>
      <c r="F165" s="16" cm="1">
        <f t="array" ref="F165">_xlfn.IFS(Tabela18[[#This Row],[STATUS]]="Finalizado",1,Tabela18[[#This Row],[STATUS]]="Cancelado",2,Tabela18[[#This Row],[STATUS]]="Em andamento",3)</f>
        <v>1</v>
      </c>
      <c r="G165" s="16" cm="1">
        <f t="array" aca="1" ref="G16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-EMAIL]]="",$AH165&gt;$AF$1),2,
AND(Tabela18[[#This Row],[STATUS]]="Em andamento",Tabela18[[#This Row],[DATA REAL -EMAIL]]="",$AH165&lt;=$AF$1),3,
AND(Tabela18[[#This Row],[STATUS]]="Em andamento",Tabela18[[#This Row],[DATA REAL -EMAIL]]&lt;&gt;""),1)</f>
        <v>1</v>
      </c>
      <c r="H165" s="16" cm="1">
        <f t="array" aca="1" ref="H16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CLIENTE]]="",$AK165&gt;$AI$1),2,
AND(Tabela18[[#This Row],[STATUS]]="Em andamento",Tabela18[[#This Row],[DATA REAL - DOC CLIENTE]]="",$AK165&lt;=$AI$1),3,
AND(Tabela18[[#This Row],[STATUS]]="Em andamento",Tabela18[[#This Row],[DATA REAL - DOC CLIENTE]]&lt;&gt;""),1)</f>
        <v>1</v>
      </c>
      <c r="I165" s="16" cm="1">
        <f t="array" aca="1" ref="I16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06]]="",$AN165&gt;$AL$1),2,
AND(Tabela18[[#This Row],[STATUS]]="Em andamento",Tabela18[[#This Row],[DATA REAL - ANEXO 06]]="",$AN165&lt;=$AL$1),3,
AND(Tabela18[[#This Row],[STATUS]]="Em andamento",Tabela18[[#This Row],[DATA REAL - ANEXO 06]]&lt;&gt;""),1)</f>
        <v>1</v>
      </c>
      <c r="J165" s="16" cm="1">
        <f t="array" aca="1" ref="J16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LEGAIS]]="",$AQ165&gt;$AO$1),2,
AND(Tabela18[[#This Row],[STATUS]]="Em andamento",Tabela18[[#This Row],[DATA REAL - SOLIC. PROG LEGAIS]]="",$AQ165&lt;=$AO$1),3,
AND(Tabela18[[#This Row],[STATUS]]="Em andamento",Tabela18[[#This Row],[DATA REAL - SOLIC. PROG LEGAIS]]&lt;&gt;""),1)</f>
        <v>1</v>
      </c>
      <c r="K165" s="16" cm="1">
        <f t="array" aca="1" ref="K16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ENVIO]]="",$AT165&gt;$AR$1),2,
AND(Tabela18[[#This Row],[STATUS]]="Em andamento",Tabela18[[#This Row],[DATA REAL - ENVIO]]="",$AT165&lt;=$AR$1),3,
AND(Tabela18[[#This Row],[STATUS]]="Em andamento",Tabela18[[#This Row],[DATA REAL - ENVIO]]&lt;&gt;""),1)</f>
        <v>0</v>
      </c>
      <c r="L165" s="16" cm="1">
        <f t="array" aca="1" ref="L16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POSTAGEM]]="",$AW165&gt;$AU$1),2,
AND(Tabela18[[#This Row],[STATUS]]="Em andamento",Tabela18[[#This Row],[DATA REAL - POSTAGEM]]="",$AW165&lt;=$AU$1),3,
AND(Tabela18[[#This Row],[STATUS]]="Em andamento",Tabela18[[#This Row],[DATA REAL - POSTAGEM]]&lt;&gt;""),1)</f>
        <v>0</v>
      </c>
      <c r="M165" s="16" cm="1">
        <f t="array" aca="1" ref="M16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APROVAÇÃO]]="",$AZ165&gt;$AX$1),2,
AND(Tabela18[[#This Row],[STATUS]]="Em andamento",Tabela18[[#This Row],[DATA REAL - APROVAÇÃO]]="",$AZ165&lt;=$AX$1),3,
AND(Tabela18[[#This Row],[STATUS]]="Em andamento",Tabela18[[#This Row],[DATA REAL - APROVAÇÃO]]&lt;&gt;""),1)</f>
        <v>1</v>
      </c>
      <c r="N165" s="21">
        <f>IF(Tabela18[[#This Row],[DATA REAL -EMAIL]]&lt;&gt;"",Tabela18[[#This Row],[DATA REAL -EMAIL]]+30,Tabela18[[#This Row],[DATA PREV - EMAIL]]+30)</f>
        <v>46005</v>
      </c>
      <c r="O165"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45991</v>
      </c>
      <c r="P165"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100</v>
      </c>
      <c r="Q16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89</v>
      </c>
      <c r="R165" s="48">
        <f>MAX(Tabela18[[#This Row],[DATA REAL - POSTAGEM]],Tabela18[[#This Row],[DATA REAL - APROVAÇÃO]])-MIN(Tabela18[[#This Row],[DATA REAL - POSTAGEM]],Tabela18[[#This Row],[DATA REAL - APROVAÇÃO]])+1</f>
        <v>1</v>
      </c>
      <c r="S165" s="16" t="s">
        <v>539</v>
      </c>
      <c r="T165" s="16"/>
      <c r="U165" s="18"/>
      <c r="V165" s="18" t="s">
        <v>131</v>
      </c>
      <c r="W165" s="16" t="s">
        <v>87</v>
      </c>
      <c r="X165" s="16" t="s">
        <v>132</v>
      </c>
      <c r="Y165" s="16" t="s">
        <v>1123</v>
      </c>
      <c r="Z165" s="15" t="s">
        <v>484</v>
      </c>
      <c r="AA165" s="15" t="str">
        <f>_xlfn.XLOOKUP(Tabela18[[#This Row],[CÓD. CT]],Controle_Projetos[COD CT],Controle_Projetos[COD PHD],"")</f>
        <v>GERD-CT19-PROD</v>
      </c>
      <c r="AB165" s="16"/>
      <c r="AC165" s="21"/>
      <c r="AD165"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45891</v>
      </c>
      <c r="AE165" s="16" t="str" cm="1">
        <f t="array" aca="1" ref="AE16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5" s="21">
        <v>45975</v>
      </c>
      <c r="AG165" s="74">
        <v>45975</v>
      </c>
      <c r="AH165" s="16" cm="1">
        <f t="array" aca="1" ref="AH16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5" s="21">
        <f>Tabela18[[#This Row],[DATA PREV - EMAIL]]+$AI$1</f>
        <v>45976</v>
      </c>
      <c r="AJ165" s="74">
        <v>45975</v>
      </c>
      <c r="AK165" s="16" cm="1">
        <f t="array" aca="1" ref="AK16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5" s="20">
        <f t="shared" si="25"/>
        <v>45982</v>
      </c>
      <c r="AM165" s="74">
        <v>45975</v>
      </c>
      <c r="AN165" s="16" cm="1">
        <f t="array" aca="1" ref="AN16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65" s="20">
        <f t="shared" si="26"/>
        <v>45978</v>
      </c>
      <c r="AP165" s="74">
        <v>45980</v>
      </c>
      <c r="AQ165" s="16" cm="1">
        <f t="array" aca="1" ref="AQ16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65" s="20">
        <f t="shared" si="27"/>
        <v>45994</v>
      </c>
      <c r="AS165" s="74"/>
      <c r="AT165" s="16" cm="1">
        <f t="array" aca="1" ref="AT16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65" s="20">
        <f t="shared" si="28"/>
        <v>46001</v>
      </c>
      <c r="AV165" s="74"/>
      <c r="AW165" s="16" cm="1">
        <f t="array" aca="1" ref="AW16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65" s="20">
        <f t="shared" si="29"/>
        <v>46002</v>
      </c>
      <c r="AY165" s="74">
        <v>45991</v>
      </c>
      <c r="AZ165" s="16" cm="1">
        <f t="array" aca="1" ref="AZ16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-10</v>
      </c>
      <c r="BA165" s="16" t="s">
        <v>1124</v>
      </c>
    </row>
    <row r="166" spans="2:54" hidden="1" x14ac:dyDescent="0.35">
      <c r="B166" s="14" t="s">
        <v>79</v>
      </c>
      <c r="C166" s="16" t="s">
        <v>136</v>
      </c>
      <c r="D166" s="16" t="s">
        <v>108</v>
      </c>
      <c r="E166" s="16" t="s">
        <v>1049</v>
      </c>
      <c r="F166" s="16" cm="1">
        <f t="array" ref="F166">_xlfn.IFS(Tabela18[[#This Row],[STATUS]]="Finalizado",1,Tabela18[[#This Row],[STATUS]]="Cancelado",2,Tabela18[[#This Row],[STATUS]]="Em andamento",3)</f>
        <v>1</v>
      </c>
      <c r="G166" s="16" cm="1">
        <f t="array" aca="1" ref="G16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-EMAIL]]="",$AH166&gt;$AF$1),2,
AND(Tabela18[[#This Row],[STATUS]]="Em andamento",Tabela18[[#This Row],[DATA REAL -EMAIL]]="",$AH166&lt;=$AF$1),3,
AND(Tabela18[[#This Row],[STATUS]]="Em andamento",Tabela18[[#This Row],[DATA REAL -EMAIL]]&lt;&gt;""),1)</f>
        <v>1</v>
      </c>
      <c r="H166" s="16" cm="1">
        <f t="array" aca="1" ref="H16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CLIENTE]]="",$AK166&gt;$AI$1),2,
AND(Tabela18[[#This Row],[STATUS]]="Em andamento",Tabela18[[#This Row],[DATA REAL - DOC CLIENTE]]="",$AK166&lt;=$AI$1),3,
AND(Tabela18[[#This Row],[STATUS]]="Em andamento",Tabela18[[#This Row],[DATA REAL - DOC CLIENTE]]&lt;&gt;""),1)</f>
        <v>1</v>
      </c>
      <c r="I166" s="16" cm="1">
        <f t="array" aca="1" ref="I16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06]]="",$AN166&gt;$AL$1),2,
AND(Tabela18[[#This Row],[STATUS]]="Em andamento",Tabela18[[#This Row],[DATA REAL - ANEXO 06]]="",$AN166&lt;=$AL$1),3,
AND(Tabela18[[#This Row],[STATUS]]="Em andamento",Tabela18[[#This Row],[DATA REAL - ANEXO 06]]&lt;&gt;""),1)</f>
        <v>1</v>
      </c>
      <c r="J166" s="16" cm="1">
        <f t="array" aca="1" ref="J16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LEGAIS]]="",$AQ166&gt;$AO$1),2,
AND(Tabela18[[#This Row],[STATUS]]="Em andamento",Tabela18[[#This Row],[DATA REAL - SOLIC. PROG LEGAIS]]="",$AQ166&lt;=$AO$1),3,
AND(Tabela18[[#This Row],[STATUS]]="Em andamento",Tabela18[[#This Row],[DATA REAL - SOLIC. PROG LEGAIS]]&lt;&gt;""),1)</f>
        <v>1</v>
      </c>
      <c r="K166" s="16" cm="1">
        <f t="array" aca="1" ref="K16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ENVIO]]="",$AT166&gt;$AR$1),2,
AND(Tabela18[[#This Row],[STATUS]]="Em andamento",Tabela18[[#This Row],[DATA REAL - ENVIO]]="",$AT166&lt;=$AR$1),3,
AND(Tabela18[[#This Row],[STATUS]]="Em andamento",Tabela18[[#This Row],[DATA REAL - ENVIO]]&lt;&gt;""),1)</f>
        <v>0</v>
      </c>
      <c r="L166" s="16" cm="1">
        <f t="array" aca="1" ref="L16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POSTAGEM]]="",$AW166&gt;$AU$1),2,
AND(Tabela18[[#This Row],[STATUS]]="Em andamento",Tabela18[[#This Row],[DATA REAL - POSTAGEM]]="",$AW166&lt;=$AU$1),3,
AND(Tabela18[[#This Row],[STATUS]]="Em andamento",Tabela18[[#This Row],[DATA REAL - POSTAGEM]]&lt;&gt;""),1)</f>
        <v>0</v>
      </c>
      <c r="M166" s="16" cm="1">
        <f t="array" aca="1" ref="M16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APROVAÇÃO]]="",$AZ166&gt;$AX$1),2,
AND(Tabela18[[#This Row],[STATUS]]="Em andamento",Tabela18[[#This Row],[DATA REAL - APROVAÇÃO]]="",$AZ166&lt;=$AX$1),3,
AND(Tabela18[[#This Row],[STATUS]]="Em andamento",Tabela18[[#This Row],[DATA REAL - APROVAÇÃO]]&lt;&gt;""),1)</f>
        <v>1</v>
      </c>
      <c r="N166" s="21">
        <f>IF(Tabela18[[#This Row],[DATA REAL -EMAIL]]&lt;&gt;"",Tabela18[[#This Row],[DATA REAL -EMAIL]]+30,Tabela18[[#This Row],[DATA PREV - EMAIL]]+30)</f>
        <v>46005</v>
      </c>
      <c r="O166"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45991</v>
      </c>
      <c r="P166"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100</v>
      </c>
      <c r="Q16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84</v>
      </c>
      <c r="R166" s="48">
        <f>MAX(Tabela18[[#This Row],[DATA REAL - POSTAGEM]],Tabela18[[#This Row],[DATA REAL - APROVAÇÃO]])-MIN(Tabela18[[#This Row],[DATA REAL - POSTAGEM]],Tabela18[[#This Row],[DATA REAL - APROVAÇÃO]])+1</f>
        <v>1</v>
      </c>
      <c r="S166" s="16" t="s">
        <v>539</v>
      </c>
      <c r="T166" s="16"/>
      <c r="U166" s="18"/>
      <c r="V166" s="18" t="s">
        <v>131</v>
      </c>
      <c r="W166" s="16" t="s">
        <v>87</v>
      </c>
      <c r="X166" s="16" t="s">
        <v>132</v>
      </c>
      <c r="Y166" s="16" t="s">
        <v>1125</v>
      </c>
      <c r="Z166" s="15" t="s">
        <v>484</v>
      </c>
      <c r="AA166" s="15" t="str">
        <f>_xlfn.XLOOKUP(Tabela18[[#This Row],[CÓD. CT]],Controle_Projetos[COD CT],Controle_Projetos[COD PHD],"")</f>
        <v>GERD-CT19-PROD</v>
      </c>
      <c r="AB166" s="16"/>
      <c r="AC166" s="21"/>
      <c r="AD166"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45891</v>
      </c>
      <c r="AE166" s="16" t="str" cm="1">
        <f t="array" aca="1" ref="AE16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6" s="21">
        <v>45975</v>
      </c>
      <c r="AG166" s="74">
        <v>45975</v>
      </c>
      <c r="AH166" s="16" cm="1">
        <f t="array" aca="1" ref="AH16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6" s="21">
        <f>Tabela18[[#This Row],[DATA PREV - EMAIL]]+$AI$1</f>
        <v>45976</v>
      </c>
      <c r="AJ166" s="74">
        <v>45975</v>
      </c>
      <c r="AK166" s="16" cm="1">
        <f t="array" aca="1" ref="AK16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6" s="20">
        <f t="shared" si="25"/>
        <v>45982</v>
      </c>
      <c r="AM166" s="74">
        <v>45975</v>
      </c>
      <c r="AN166" s="16" cm="1">
        <f t="array" aca="1" ref="AN16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66" s="20">
        <f t="shared" si="26"/>
        <v>45978</v>
      </c>
      <c r="AP166" s="74">
        <v>45975</v>
      </c>
      <c r="AQ166" s="16" cm="1">
        <f t="array" aca="1" ref="AQ16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66" s="20">
        <f t="shared" si="27"/>
        <v>45989</v>
      </c>
      <c r="AS166" s="74"/>
      <c r="AT166" s="16" cm="1">
        <f t="array" aca="1" ref="AT16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66" s="20">
        <f t="shared" si="28"/>
        <v>45996</v>
      </c>
      <c r="AV166" s="74"/>
      <c r="AW166" s="16" cm="1">
        <f t="array" aca="1" ref="AW16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66" s="20">
        <f t="shared" si="29"/>
        <v>45999</v>
      </c>
      <c r="AY166" s="74">
        <v>45991</v>
      </c>
      <c r="AZ166" s="16" cm="1">
        <f t="array" aca="1" ref="AZ16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166" s="16" t="s">
        <v>1126</v>
      </c>
    </row>
    <row r="167" spans="2:54" hidden="1" x14ac:dyDescent="0.35">
      <c r="B167" s="14" t="s">
        <v>79</v>
      </c>
      <c r="C167" s="16" t="s">
        <v>136</v>
      </c>
      <c r="D167" s="16" t="s">
        <v>108</v>
      </c>
      <c r="E167" s="16" t="s">
        <v>1049</v>
      </c>
      <c r="F167" s="16" cm="1">
        <f t="array" ref="F167">_xlfn.IFS(Tabela18[[#This Row],[STATUS]]="Finalizado",1,Tabela18[[#This Row],[STATUS]]="Cancelado",2,Tabela18[[#This Row],[STATUS]]="Em andamento",3)</f>
        <v>1</v>
      </c>
      <c r="G167" s="16" cm="1">
        <f t="array" aca="1" ref="G16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-EMAIL]]="",$AH167&gt;$AF$1),2,
AND(Tabela18[[#This Row],[STATUS]]="Em andamento",Tabela18[[#This Row],[DATA REAL -EMAIL]]="",$AH167&lt;=$AF$1),3,
AND(Tabela18[[#This Row],[STATUS]]="Em andamento",Tabela18[[#This Row],[DATA REAL -EMAIL]]&lt;&gt;""),1)</f>
        <v>1</v>
      </c>
      <c r="H167" s="16" cm="1">
        <f t="array" aca="1" ref="H16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CLIENTE]]="",$AK167&gt;$AI$1),2,
AND(Tabela18[[#This Row],[STATUS]]="Em andamento",Tabela18[[#This Row],[DATA REAL - DOC CLIENTE]]="",$AK167&lt;=$AI$1),3,
AND(Tabela18[[#This Row],[STATUS]]="Em andamento",Tabela18[[#This Row],[DATA REAL - DOC CLIENTE]]&lt;&gt;""),1)</f>
        <v>1</v>
      </c>
      <c r="I167" s="16" cm="1">
        <f t="array" aca="1" ref="I16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06]]="",$AN167&gt;$AL$1),2,
AND(Tabela18[[#This Row],[STATUS]]="Em andamento",Tabela18[[#This Row],[DATA REAL - ANEXO 06]]="",$AN167&lt;=$AL$1),3,
AND(Tabela18[[#This Row],[STATUS]]="Em andamento",Tabela18[[#This Row],[DATA REAL - ANEXO 06]]&lt;&gt;""),1)</f>
        <v>1</v>
      </c>
      <c r="J167" s="16" cm="1">
        <f t="array" aca="1" ref="J16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LEGAIS]]="",$AQ167&gt;$AO$1),2,
AND(Tabela18[[#This Row],[STATUS]]="Em andamento",Tabela18[[#This Row],[DATA REAL - SOLIC. PROG LEGAIS]]="",$AQ167&lt;=$AO$1),3,
AND(Tabela18[[#This Row],[STATUS]]="Em andamento",Tabela18[[#This Row],[DATA REAL - SOLIC. PROG LEGAIS]]&lt;&gt;""),1)</f>
        <v>1</v>
      </c>
      <c r="K167" s="16" cm="1">
        <f t="array" aca="1" ref="K16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ENVIO]]="",$AT167&gt;$AR$1),2,
AND(Tabela18[[#This Row],[STATUS]]="Em andamento",Tabela18[[#This Row],[DATA REAL - ENVIO]]="",$AT167&lt;=$AR$1),3,
AND(Tabela18[[#This Row],[STATUS]]="Em andamento",Tabela18[[#This Row],[DATA REAL - ENVIO]]&lt;&gt;""),1)</f>
        <v>1</v>
      </c>
      <c r="L167" s="16" cm="1">
        <f t="array" aca="1" ref="L16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POSTAGEM]]="",$AW167&gt;$AU$1),2,
AND(Tabela18[[#This Row],[STATUS]]="Em andamento",Tabela18[[#This Row],[DATA REAL - POSTAGEM]]="",$AW167&lt;=$AU$1),3,
AND(Tabela18[[#This Row],[STATUS]]="Em andamento",Tabela18[[#This Row],[DATA REAL - POSTAGEM]]&lt;&gt;""),1)</f>
        <v>1</v>
      </c>
      <c r="M167" s="16" cm="1">
        <f t="array" aca="1" ref="M16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APROVAÇÃO]]="",$AZ167&gt;$AX$1),2,
AND(Tabela18[[#This Row],[STATUS]]="Em andamento",Tabela18[[#This Row],[DATA REAL - APROVAÇÃO]]="",$AZ167&lt;=$AX$1),3,
AND(Tabela18[[#This Row],[STATUS]]="Em andamento",Tabela18[[#This Row],[DATA REAL - APROVAÇÃO]]&lt;&gt;""),1)</f>
        <v>1</v>
      </c>
      <c r="N167" s="21">
        <f>IF(Tabela18[[#This Row],[DATA REAL -EMAIL]]&lt;&gt;"",Tabela18[[#This Row],[DATA REAL -EMAIL]]+30,Tabela18[[#This Row],[DATA PREV - EMAIL]]+30)</f>
        <v>46005</v>
      </c>
      <c r="O167"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45991</v>
      </c>
      <c r="P167"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100</v>
      </c>
      <c r="Q16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97</v>
      </c>
      <c r="R167" s="48">
        <f>MAX(Tabela18[[#This Row],[DATA REAL - POSTAGEM]],Tabela18[[#This Row],[DATA REAL - APROVAÇÃO]])-MIN(Tabela18[[#This Row],[DATA REAL - POSTAGEM]],Tabela18[[#This Row],[DATA REAL - APROVAÇÃO]])+1</f>
        <v>4</v>
      </c>
      <c r="S167" s="16" t="s">
        <v>539</v>
      </c>
      <c r="T167" s="16"/>
      <c r="U167" s="18"/>
      <c r="V167" s="18" t="s">
        <v>131</v>
      </c>
      <c r="W167" s="16" t="s">
        <v>87</v>
      </c>
      <c r="X167" s="16" t="s">
        <v>132</v>
      </c>
      <c r="Y167" s="16" t="s">
        <v>1127</v>
      </c>
      <c r="Z167" s="15" t="s">
        <v>484</v>
      </c>
      <c r="AA167" s="15" t="str">
        <f>_xlfn.XLOOKUP(Tabela18[[#This Row],[CÓD. CT]],Controle_Projetos[COD CT],Controle_Projetos[COD PHD],"")</f>
        <v>GERD-CT19-PROD</v>
      </c>
      <c r="AB167" s="16"/>
      <c r="AC167" s="21"/>
      <c r="AD167" s="74">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45891</v>
      </c>
      <c r="AE167" s="16" t="str" cm="1">
        <f t="array" aca="1" ref="AE16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7" s="21">
        <v>45975</v>
      </c>
      <c r="AG167" s="74">
        <v>45975</v>
      </c>
      <c r="AH167" s="16" cm="1">
        <f t="array" aca="1" ref="AH16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7" s="21">
        <f>Tabela18[[#This Row],[DATA PREV - EMAIL]]+$AI$1</f>
        <v>45976</v>
      </c>
      <c r="AJ167" s="74">
        <v>45975</v>
      </c>
      <c r="AK167" s="16" cm="1">
        <f t="array" aca="1" ref="AK16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7" s="20">
        <f t="shared" si="25"/>
        <v>45982</v>
      </c>
      <c r="AM167" s="74">
        <v>45985</v>
      </c>
      <c r="AN167" s="16" cm="1">
        <f t="array" aca="1" ref="AN16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4</v>
      </c>
      <c r="AO167" s="20">
        <f t="shared" si="26"/>
        <v>45986</v>
      </c>
      <c r="AP167" s="74">
        <v>45980</v>
      </c>
      <c r="AQ167" s="16" cm="1">
        <f t="array" aca="1" ref="AQ16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-5</v>
      </c>
      <c r="AR167" s="20">
        <f t="shared" si="27"/>
        <v>45994</v>
      </c>
      <c r="AS167" s="74">
        <v>45988</v>
      </c>
      <c r="AT167" s="16" cm="1">
        <f t="array" aca="1" ref="AT16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67" s="20">
        <f t="shared" si="28"/>
        <v>45995</v>
      </c>
      <c r="AV167" s="74">
        <v>45988</v>
      </c>
      <c r="AW167" s="16" cm="1">
        <f t="array" aca="1" ref="AW16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67" s="20">
        <f t="shared" si="29"/>
        <v>45989</v>
      </c>
      <c r="AY167" s="74">
        <v>45991</v>
      </c>
      <c r="AZ167" s="16" cm="1">
        <f t="array" aca="1" ref="AZ16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167" s="16" t="s">
        <v>1128</v>
      </c>
    </row>
    <row r="168" spans="2:54" hidden="1" x14ac:dyDescent="0.35">
      <c r="B168" s="14" t="s">
        <v>79</v>
      </c>
      <c r="C168" s="16" t="s">
        <v>136</v>
      </c>
      <c r="D168" s="16" t="s">
        <v>108</v>
      </c>
      <c r="E168" s="16" t="s">
        <v>98</v>
      </c>
      <c r="F168" s="16" cm="1">
        <f t="array" ref="F168">_xlfn.IFS(Tabela18[[#This Row],[STATUS]]="Finalizado",1,Tabela18[[#This Row],[STATUS]]="Cancelado",2,Tabela18[[#This Row],[STATUS]]="Em andamento",3)</f>
        <v>1</v>
      </c>
      <c r="G168" s="16" cm="1">
        <f t="array" aca="1" ref="G16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-EMAIL]]="",$AH168&gt;$AF$1),2,
AND(Tabela18[[#This Row],[STATUS]]="Em andamento",Tabela18[[#This Row],[DATA REAL -EMAIL]]="",$AH168&lt;=$AF$1),3,
AND(Tabela18[[#This Row],[STATUS]]="Em andamento",Tabela18[[#This Row],[DATA REAL -EMAIL]]&lt;&gt;""),1)</f>
        <v>1</v>
      </c>
      <c r="H168" s="16" cm="1">
        <f t="array" aca="1" ref="H16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CLIENTE]]="",$AK168&gt;$AI$1),2,
AND(Tabela18[[#This Row],[STATUS]]="Em andamento",Tabela18[[#This Row],[DATA REAL - DOC CLIENTE]]="",$AK168&lt;=$AI$1),3,
AND(Tabela18[[#This Row],[STATUS]]="Em andamento",Tabela18[[#This Row],[DATA REAL - DOC CLIENTE]]&lt;&gt;""),1)</f>
        <v>1</v>
      </c>
      <c r="I168" s="16" cm="1">
        <f t="array" aca="1" ref="I16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06]]="",$AN168&gt;$AL$1),2,
AND(Tabela18[[#This Row],[STATUS]]="Em andamento",Tabela18[[#This Row],[DATA REAL - ANEXO 06]]="",$AN168&lt;=$AL$1),3,
AND(Tabela18[[#This Row],[STATUS]]="Em andamento",Tabela18[[#This Row],[DATA REAL - ANEXO 06]]&lt;&gt;""),1)</f>
        <v>1</v>
      </c>
      <c r="J168" s="16" cm="1">
        <f t="array" aca="1" ref="J16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LEGAIS]]="",$AQ168&gt;$AO$1),2,
AND(Tabela18[[#This Row],[STATUS]]="Em andamento",Tabela18[[#This Row],[DATA REAL - SOLIC. PROG LEGAIS]]="",$AQ168&lt;=$AO$1),3,
AND(Tabela18[[#This Row],[STATUS]]="Em andamento",Tabela18[[#This Row],[DATA REAL - SOLIC. PROG LEGAIS]]&lt;&gt;""),1)</f>
        <v>1</v>
      </c>
      <c r="K168" s="16" cm="1">
        <f t="array" aca="1" ref="K16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ENVIO]]="",$AT168&gt;$AR$1),2,
AND(Tabela18[[#This Row],[STATUS]]="Em andamento",Tabela18[[#This Row],[DATA REAL - ENVIO]]="",$AT168&lt;=$AR$1),3,
AND(Tabela18[[#This Row],[STATUS]]="Em andamento",Tabela18[[#This Row],[DATA REAL - ENVIO]]&lt;&gt;""),1)</f>
        <v>1</v>
      </c>
      <c r="L168" s="16" cm="1">
        <f t="array" aca="1" ref="L16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POSTAGEM]]="",$AW168&gt;$AU$1),2,
AND(Tabela18[[#This Row],[STATUS]]="Em andamento",Tabela18[[#This Row],[DATA REAL - POSTAGEM]]="",$AW168&lt;=$AU$1),3,
AND(Tabela18[[#This Row],[STATUS]]="Em andamento",Tabela18[[#This Row],[DATA REAL - POSTAGEM]]&lt;&gt;""),1)</f>
        <v>1</v>
      </c>
      <c r="M168" s="16" cm="1">
        <f t="array" aca="1" ref="M16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APROVAÇÃO]]="",$AZ168&gt;$AX$1),2,
AND(Tabela18[[#This Row],[STATUS]]="Em andamento",Tabela18[[#This Row],[DATA REAL - APROVAÇÃO]]="",$AZ168&lt;=$AX$1),3,
AND(Tabela18[[#This Row],[STATUS]]="Em andamento",Tabela18[[#This Row],[DATA REAL - APROVAÇÃO]]&lt;&gt;""),1)</f>
        <v>1</v>
      </c>
      <c r="N168" s="21">
        <f>IF(Tabela18[[#This Row],[DATA REAL -EMAIL]]&lt;&gt;"",Tabela18[[#This Row],[DATA REAL -EMAIL]]+30,Tabela18[[#This Row],[DATA PREV - EMAIL]]+30)</f>
        <v>46015</v>
      </c>
      <c r="O168"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46000</v>
      </c>
      <c r="P168"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v>
      </c>
      <c r="Q16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168" s="48">
        <f>MAX(Tabela18[[#This Row],[DATA REAL - POSTAGEM]],Tabela18[[#This Row],[DATA REAL - APROVAÇÃO]])-MIN(Tabela18[[#This Row],[DATA REAL - POSTAGEM]],Tabela18[[#This Row],[DATA REAL - APROVAÇÃO]])+1</f>
        <v>1</v>
      </c>
      <c r="S168" s="16"/>
      <c r="T168" s="16"/>
      <c r="U168" s="18"/>
      <c r="V168" s="18" t="s">
        <v>86</v>
      </c>
      <c r="W168" s="16" t="s">
        <v>97</v>
      </c>
      <c r="X168" s="16" t="s">
        <v>89</v>
      </c>
      <c r="Y168" s="16" t="s">
        <v>581</v>
      </c>
      <c r="Z168" s="15" t="s">
        <v>249</v>
      </c>
      <c r="AA168" s="15" t="str">
        <f>_xlfn.XLOOKUP(Tabela18[[#This Row],[CÓD. CT]],Controle_Projetos[COD CT],Controle_Projetos[COD PHD],"")</f>
        <v/>
      </c>
      <c r="AB168" s="16"/>
      <c r="AC168" s="21"/>
      <c r="AD168"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68" s="16" t="str" cm="1">
        <f t="array" aca="1" ref="AE16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68" s="21">
        <v>45985</v>
      </c>
      <c r="AG168" s="74">
        <v>45985</v>
      </c>
      <c r="AH168" s="16" cm="1">
        <f t="array" aca="1" ref="AH16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8" s="21">
        <f>Tabela18[[#This Row],[DATA PREV - EMAIL]]+$AI$1</f>
        <v>45986</v>
      </c>
      <c r="AJ168" s="74">
        <v>45985</v>
      </c>
      <c r="AK168" s="16" cm="1">
        <f t="array" aca="1" ref="AK16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8" s="20">
        <f t="shared" si="25"/>
        <v>45992</v>
      </c>
      <c r="AM168" s="74">
        <v>45994</v>
      </c>
      <c r="AN168" s="16" cm="1">
        <f t="array" aca="1" ref="AN16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3</v>
      </c>
      <c r="AO168" s="20">
        <f t="shared" si="26"/>
        <v>45995</v>
      </c>
      <c r="AP168" s="74">
        <v>45985</v>
      </c>
      <c r="AQ168" s="16" cm="1">
        <f t="array" aca="1" ref="AQ16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-9</v>
      </c>
      <c r="AR168" s="20">
        <f t="shared" si="27"/>
        <v>45999</v>
      </c>
      <c r="AS168" s="74">
        <v>45993</v>
      </c>
      <c r="AT168" s="16" cm="1">
        <f t="array" aca="1" ref="AT16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68" s="20">
        <f t="shared" si="28"/>
        <v>46000</v>
      </c>
      <c r="AV168" s="74">
        <v>46000</v>
      </c>
      <c r="AW168" s="16" cm="1">
        <f t="array" aca="1" ref="AW16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68" s="20">
        <f t="shared" si="29"/>
        <v>46001</v>
      </c>
      <c r="AY168" s="74">
        <v>46000</v>
      </c>
      <c r="AZ168" s="16" cm="1">
        <f t="array" aca="1" ref="AZ16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68" s="80" t="s">
        <v>1129</v>
      </c>
    </row>
    <row r="169" spans="2:54" ht="18" hidden="1" customHeight="1" x14ac:dyDescent="0.35">
      <c r="B169" s="14" t="s">
        <v>79</v>
      </c>
      <c r="C169" s="16" t="s">
        <v>136</v>
      </c>
      <c r="D169" s="16" t="s">
        <v>108</v>
      </c>
      <c r="E169" s="16" t="s">
        <v>589</v>
      </c>
      <c r="F169" s="16" cm="1">
        <f t="array" ref="F169">_xlfn.IFS(Tabela18[[#This Row],[STATUS]]="Finalizado",1,Tabela18[[#This Row],[STATUS]]="Cancelado",2,Tabela18[[#This Row],[STATUS]]="Em andamento",3)</f>
        <v>1</v>
      </c>
      <c r="G169" s="16" cm="1">
        <f t="array" aca="1" ref="G16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-EMAIL]]="",$AH169&gt;$AF$1),2,
AND(Tabela18[[#This Row],[STATUS]]="Em andamento",Tabela18[[#This Row],[DATA REAL -EMAIL]]="",$AH169&lt;=$AF$1),3,
AND(Tabela18[[#This Row],[STATUS]]="Em andamento",Tabela18[[#This Row],[DATA REAL -EMAIL]]&lt;&gt;""),1)</f>
        <v>1</v>
      </c>
      <c r="H169" s="16" cm="1">
        <f t="array" aca="1" ref="H16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CLIENTE]]="",$AK169&gt;$AI$1),2,
AND(Tabela18[[#This Row],[STATUS]]="Em andamento",Tabela18[[#This Row],[DATA REAL - DOC CLIENTE]]="",$AK169&lt;=$AI$1),3,
AND(Tabela18[[#This Row],[STATUS]]="Em andamento",Tabela18[[#This Row],[DATA REAL - DOC CLIENTE]]&lt;&gt;""),1)</f>
        <v>1</v>
      </c>
      <c r="I169" s="16" cm="1">
        <f t="array" aca="1" ref="I16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06]]="",$AN169&gt;$AL$1),2,
AND(Tabela18[[#This Row],[STATUS]]="Em andamento",Tabela18[[#This Row],[DATA REAL - ANEXO 06]]="",$AN169&lt;=$AL$1),3,
AND(Tabela18[[#This Row],[STATUS]]="Em andamento",Tabela18[[#This Row],[DATA REAL - ANEXO 06]]&lt;&gt;""),1)</f>
        <v>1</v>
      </c>
      <c r="J169" s="16" cm="1">
        <f t="array" aca="1" ref="J16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LEGAIS]]="",$AQ169&gt;$AO$1),2,
AND(Tabela18[[#This Row],[STATUS]]="Em andamento",Tabela18[[#This Row],[DATA REAL - SOLIC. PROG LEGAIS]]="",$AQ169&lt;=$AO$1),3,
AND(Tabela18[[#This Row],[STATUS]]="Em andamento",Tabela18[[#This Row],[DATA REAL - SOLIC. PROG LEGAIS]]&lt;&gt;""),1)</f>
        <v>1</v>
      </c>
      <c r="K169" s="16" cm="1">
        <f t="array" aca="1" ref="K16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ENVIO]]="",$AT169&gt;$AR$1),2,
AND(Tabela18[[#This Row],[STATUS]]="Em andamento",Tabela18[[#This Row],[DATA REAL - ENVIO]]="",$AT169&lt;=$AR$1),3,
AND(Tabela18[[#This Row],[STATUS]]="Em andamento",Tabela18[[#This Row],[DATA REAL - ENVIO]]&lt;&gt;""),1)</f>
        <v>1</v>
      </c>
      <c r="L169" s="16" cm="1">
        <f t="array" aca="1" ref="L16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POSTAGEM]]="",$AW169&gt;$AU$1),2,
AND(Tabela18[[#This Row],[STATUS]]="Em andamento",Tabela18[[#This Row],[DATA REAL - POSTAGEM]]="",$AW169&lt;=$AU$1),3,
AND(Tabela18[[#This Row],[STATUS]]="Em andamento",Tabela18[[#This Row],[DATA REAL - POSTAGEM]]&lt;&gt;""),1)</f>
        <v>1</v>
      </c>
      <c r="M169" s="16" cm="1">
        <f t="array" aca="1" ref="M16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APROVAÇÃO]]="",$AZ169&gt;$AX$1),2,
AND(Tabela18[[#This Row],[STATUS]]="Em andamento",Tabela18[[#This Row],[DATA REAL - APROVAÇÃO]]="",$AZ169&lt;=$AX$1),3,
AND(Tabela18[[#This Row],[STATUS]]="Em andamento",Tabela18[[#This Row],[DATA REAL - APROVAÇÃO]]&lt;&gt;""),1)</f>
        <v>1</v>
      </c>
      <c r="N169" s="21">
        <f>IF(Tabela18[[#This Row],[DATA REAL -EMAIL]]&lt;&gt;"",Tabela18[[#This Row],[DATA REAL -EMAIL]]+30,Tabela18[[#This Row],[DATA PREV - EMAIL]]+30)</f>
        <v>46023</v>
      </c>
      <c r="O169"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46043</v>
      </c>
      <c r="P169"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50</v>
      </c>
      <c r="Q16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10</v>
      </c>
      <c r="R169" s="49">
        <f>MAX(Tabela18[[#This Row],[DATA REAL - POSTAGEM]],Tabela18[[#This Row],[DATA REAL - APROVAÇÃO]])-MIN(Tabela18[[#This Row],[DATA REAL - POSTAGEM]],Tabela18[[#This Row],[DATA REAL - APROVAÇÃO]])+1</f>
        <v>41</v>
      </c>
      <c r="S169" s="16"/>
      <c r="T169" s="16"/>
      <c r="U169" s="18"/>
      <c r="V169" s="83"/>
      <c r="W169" s="16" t="s">
        <v>97</v>
      </c>
      <c r="X169" s="16" t="s">
        <v>589</v>
      </c>
      <c r="Y169" s="16"/>
      <c r="Z169" s="15"/>
      <c r="AA169" s="15" t="str">
        <f>_xlfn.XLOOKUP(Tabela18[[#This Row],[CÓD. CT]],Controle_Projetos[COD CT],Controle_Projetos[COD PHD],"")</f>
        <v/>
      </c>
      <c r="AB169" s="16"/>
      <c r="AC169" s="21">
        <v>45993</v>
      </c>
      <c r="AD169" s="74">
        <v>45993</v>
      </c>
      <c r="AE169" s="16" cm="1">
        <f t="array" aca="1" ref="AE16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69" s="21">
        <v>45993</v>
      </c>
      <c r="AG169" s="74">
        <v>45993</v>
      </c>
      <c r="AH169" s="16" cm="1">
        <f t="array" aca="1" ref="AH16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69" s="21">
        <f>Tabela18[[#This Row],[DATA PREV - EMAIL]]+$AI$1</f>
        <v>45994</v>
      </c>
      <c r="AJ169" s="74">
        <v>45994</v>
      </c>
      <c r="AK169" s="16" cm="1">
        <f t="array" aca="1" ref="AK16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69" s="20">
        <f t="shared" si="25"/>
        <v>46001</v>
      </c>
      <c r="AM169" s="74">
        <v>46001</v>
      </c>
      <c r="AN169" s="16" cm="1">
        <f t="array" aca="1" ref="AN16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69" s="20">
        <f t="shared" si="26"/>
        <v>46002</v>
      </c>
      <c r="AP169" s="74">
        <v>45994</v>
      </c>
      <c r="AQ169" s="16" cm="1">
        <f t="array" aca="1" ref="AQ16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-7</v>
      </c>
      <c r="AR169" s="20">
        <f t="shared" si="27"/>
        <v>46008</v>
      </c>
      <c r="AS169" s="74">
        <v>46003</v>
      </c>
      <c r="AT169" s="16" cm="1">
        <f t="array" aca="1" ref="AT16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69" s="20">
        <f t="shared" si="28"/>
        <v>46010</v>
      </c>
      <c r="AV169" s="74">
        <v>46003</v>
      </c>
      <c r="AW169" s="16" cm="1">
        <f t="array" aca="1" ref="AW16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69" s="20">
        <f t="shared" si="29"/>
        <v>46006</v>
      </c>
      <c r="AY169" s="74">
        <v>46043</v>
      </c>
      <c r="AZ169" s="16" cm="1">
        <f t="array" aca="1" ref="AZ16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38</v>
      </c>
      <c r="BA169" s="81" t="s">
        <v>1130</v>
      </c>
    </row>
    <row r="170" spans="2:54" ht="18" hidden="1" customHeight="1" x14ac:dyDescent="0.35">
      <c r="B170" s="14" t="s">
        <v>79</v>
      </c>
      <c r="C170" s="16" t="s">
        <v>136</v>
      </c>
      <c r="D170" s="16" t="s">
        <v>108</v>
      </c>
      <c r="E170" s="16" t="s">
        <v>89</v>
      </c>
      <c r="F170" s="16" cm="1">
        <f t="array" ref="F170">_xlfn.IFS(Tabela18[[#This Row],[STATUS]]="Finalizado",1,Tabela18[[#This Row],[STATUS]]="Cancelado",2,Tabela18[[#This Row],[STATUS]]="Em andamento",3)</f>
        <v>1</v>
      </c>
      <c r="G170" s="16" cm="1">
        <f t="array" aca="1" ref="G17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-EMAIL]]="",$AH170&gt;$AF$1),2,
AND(Tabela18[[#This Row],[STATUS]]="Em andamento",Tabela18[[#This Row],[DATA REAL -EMAIL]]="",$AH170&lt;=$AF$1),3,
AND(Tabela18[[#This Row],[STATUS]]="Em andamento",Tabela18[[#This Row],[DATA REAL -EMAIL]]&lt;&gt;""),1)</f>
        <v>1</v>
      </c>
      <c r="H170" s="16" cm="1">
        <f t="array" aca="1" ref="H17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CLIENTE]]="",$AK170&gt;$AI$1),2,
AND(Tabela18[[#This Row],[STATUS]]="Em andamento",Tabela18[[#This Row],[DATA REAL - DOC CLIENTE]]="",$AK170&lt;=$AI$1),3,
AND(Tabela18[[#This Row],[STATUS]]="Em andamento",Tabela18[[#This Row],[DATA REAL - DOC CLIENTE]]&lt;&gt;""),1)</f>
        <v>1</v>
      </c>
      <c r="I170" s="16" cm="1">
        <f t="array" aca="1" ref="I17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06]]="",$AN170&gt;$AL$1),2,
AND(Tabela18[[#This Row],[STATUS]]="Em andamento",Tabela18[[#This Row],[DATA REAL - ANEXO 06]]="",$AN170&lt;=$AL$1),3,
AND(Tabela18[[#This Row],[STATUS]]="Em andamento",Tabela18[[#This Row],[DATA REAL - ANEXO 06]]&lt;&gt;""),1)</f>
        <v>1</v>
      </c>
      <c r="J170" s="16" cm="1">
        <f t="array" aca="1" ref="J17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LEGAIS]]="",$AQ170&gt;$AO$1),2,
AND(Tabela18[[#This Row],[STATUS]]="Em andamento",Tabela18[[#This Row],[DATA REAL - SOLIC. PROG LEGAIS]]="",$AQ170&lt;=$AO$1),3,
AND(Tabela18[[#This Row],[STATUS]]="Em andamento",Tabela18[[#This Row],[DATA REAL - SOLIC. PROG LEGAIS]]&lt;&gt;""),1)</f>
        <v>1</v>
      </c>
      <c r="K170" s="16" cm="1">
        <f t="array" aca="1" ref="K17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ENVIO]]="",$AT170&gt;$AR$1),2,
AND(Tabela18[[#This Row],[STATUS]]="Em andamento",Tabela18[[#This Row],[DATA REAL - ENVIO]]="",$AT170&lt;=$AR$1),3,
AND(Tabela18[[#This Row],[STATUS]]="Em andamento",Tabela18[[#This Row],[DATA REAL - ENVIO]]&lt;&gt;""),1)</f>
        <v>1</v>
      </c>
      <c r="L170" s="16" cm="1">
        <f t="array" aca="1" ref="L17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POSTAGEM]]="",$AW170&gt;$AU$1),2,
AND(Tabela18[[#This Row],[STATUS]]="Em andamento",Tabela18[[#This Row],[DATA REAL - POSTAGEM]]="",$AW170&lt;=$AU$1),3,
AND(Tabela18[[#This Row],[STATUS]]="Em andamento",Tabela18[[#This Row],[DATA REAL - POSTAGEM]]&lt;&gt;""),1)</f>
        <v>1</v>
      </c>
      <c r="M170" s="16" cm="1">
        <f t="array" aca="1" ref="M17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APROVAÇÃO]]="",$AZ170&gt;$AX$1),2,
AND(Tabela18[[#This Row],[STATUS]]="Em andamento",Tabela18[[#This Row],[DATA REAL - APROVAÇÃO]]="",$AZ170&lt;=$AX$1),3,
AND(Tabela18[[#This Row],[STATUS]]="Em andamento",Tabela18[[#This Row],[DATA REAL - APROVAÇÃO]]&lt;&gt;""),1)</f>
        <v>1</v>
      </c>
      <c r="N170" s="21">
        <f>IF(Tabela18[[#This Row],[DATA REAL -EMAIL]]&lt;&gt;"",Tabela18[[#This Row],[DATA REAL -EMAIL]]+30,Tabela18[[#This Row],[DATA PREV - EMAIL]]+30)</f>
        <v>46031</v>
      </c>
      <c r="O170"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46010</v>
      </c>
      <c r="P170"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v>
      </c>
      <c r="Q17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170" s="49">
        <f>MAX(Tabela18[[#This Row],[DATA REAL - POSTAGEM]],Tabela18[[#This Row],[DATA REAL - APROVAÇÃO]])-MIN(Tabela18[[#This Row],[DATA REAL - POSTAGEM]],Tabela18[[#This Row],[DATA REAL - APROVAÇÃO]])+1</f>
        <v>3</v>
      </c>
      <c r="S170" s="16"/>
      <c r="T170" s="16"/>
      <c r="U170" s="18"/>
      <c r="V170" s="83"/>
      <c r="W170" s="16" t="s">
        <v>97</v>
      </c>
      <c r="X170" s="16" t="s">
        <v>89</v>
      </c>
      <c r="Y170" s="16"/>
      <c r="Z170" s="15"/>
      <c r="AA170" s="15" t="str">
        <f>_xlfn.XLOOKUP(Tabela18[[#This Row],[CÓD. CT]],Controle_Projetos[COD CT],Controle_Projetos[COD PHD],"")</f>
        <v/>
      </c>
      <c r="AB170" s="16"/>
      <c r="AC170" s="21">
        <v>46001</v>
      </c>
      <c r="AD170" s="74">
        <v>46001</v>
      </c>
      <c r="AE170" s="16" cm="1">
        <f t="array" aca="1" ref="AE17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70" s="21">
        <v>46001</v>
      </c>
      <c r="AG170" s="74">
        <v>46001</v>
      </c>
      <c r="AH170" s="16" cm="1">
        <f t="array" aca="1" ref="AH17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0" s="21">
        <f>Tabela18[[#This Row],[DATA PREV - EMAIL]]+$AI$1</f>
        <v>46002</v>
      </c>
      <c r="AJ170" s="74">
        <v>46001</v>
      </c>
      <c r="AK170" s="16" cm="1">
        <f t="array" aca="1" ref="AK17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0" s="20">
        <f t="shared" si="25"/>
        <v>46008</v>
      </c>
      <c r="AM170" s="74">
        <v>46009</v>
      </c>
      <c r="AN170" s="16" cm="1">
        <f t="array" aca="1" ref="AN17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170" s="20">
        <f t="shared" si="26"/>
        <v>46010</v>
      </c>
      <c r="AP170" s="74">
        <v>46003</v>
      </c>
      <c r="AQ170" s="16" cm="1">
        <f t="array" aca="1" ref="AQ17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-6</v>
      </c>
      <c r="AR170" s="20">
        <f t="shared" si="27"/>
        <v>46017</v>
      </c>
      <c r="AS170" s="74">
        <v>46008</v>
      </c>
      <c r="AT170" s="16" cm="1">
        <f t="array" aca="1" ref="AT17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170" s="20">
        <f t="shared" si="28"/>
        <v>46015</v>
      </c>
      <c r="AV170" s="74">
        <v>46008</v>
      </c>
      <c r="AW170" s="16" cm="1">
        <f t="array" aca="1" ref="AW17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0" s="20">
        <f t="shared" si="29"/>
        <v>46009</v>
      </c>
      <c r="AY170" s="74">
        <v>46010</v>
      </c>
      <c r="AZ170" s="16" cm="1">
        <f t="array" aca="1" ref="AZ17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70" s="81" t="s">
        <v>1131</v>
      </c>
    </row>
    <row r="171" spans="2:54" ht="18" hidden="1" customHeight="1" x14ac:dyDescent="0.35">
      <c r="B171" s="14" t="s">
        <v>79</v>
      </c>
      <c r="C171" s="16" t="s">
        <v>136</v>
      </c>
      <c r="D171" s="16" t="s">
        <v>108</v>
      </c>
      <c r="E171" s="16" t="s">
        <v>89</v>
      </c>
      <c r="F171" s="16" cm="1">
        <f t="array" ref="F171">_xlfn.IFS(Tabela18[[#This Row],[STATUS]]="Finalizado",1,Tabela18[[#This Row],[STATUS]]="Cancelado",2,Tabela18[[#This Row],[STATUS]]="Em andamento",3)</f>
        <v>1</v>
      </c>
      <c r="G171" s="16" cm="1">
        <f t="array" aca="1" ref="G17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-EMAIL]]="",$AH171&gt;$AF$1),2,
AND(Tabela18[[#This Row],[STATUS]]="Em andamento",Tabela18[[#This Row],[DATA REAL -EMAIL]]="",$AH171&lt;=$AF$1),3,
AND(Tabela18[[#This Row],[STATUS]]="Em andamento",Tabela18[[#This Row],[DATA REAL -EMAIL]]&lt;&gt;""),1)</f>
        <v>1</v>
      </c>
      <c r="H171" s="16" cm="1">
        <f t="array" aca="1" ref="H17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CLIENTE]]="",$AK171&gt;$AI$1),2,
AND(Tabela18[[#This Row],[STATUS]]="Em andamento",Tabela18[[#This Row],[DATA REAL - DOC CLIENTE]]="",$AK171&lt;=$AI$1),3,
AND(Tabela18[[#This Row],[STATUS]]="Em andamento",Tabela18[[#This Row],[DATA REAL - DOC CLIENTE]]&lt;&gt;""),1)</f>
        <v>1</v>
      </c>
      <c r="I171" s="16" cm="1">
        <f t="array" aca="1" ref="I17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06]]="",$AN171&gt;$AL$1),2,
AND(Tabela18[[#This Row],[STATUS]]="Em andamento",Tabela18[[#This Row],[DATA REAL - ANEXO 06]]="",$AN171&lt;=$AL$1),3,
AND(Tabela18[[#This Row],[STATUS]]="Em andamento",Tabela18[[#This Row],[DATA REAL - ANEXO 06]]&lt;&gt;""),1)</f>
        <v>1</v>
      </c>
      <c r="J171" s="16" cm="1">
        <f t="array" aca="1" ref="J17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LEGAIS]]="",$AQ171&gt;$AO$1),2,
AND(Tabela18[[#This Row],[STATUS]]="Em andamento",Tabela18[[#This Row],[DATA REAL - SOLIC. PROG LEGAIS]]="",$AQ171&lt;=$AO$1),3,
AND(Tabela18[[#This Row],[STATUS]]="Em andamento",Tabela18[[#This Row],[DATA REAL - SOLIC. PROG LEGAIS]]&lt;&gt;""),1)</f>
        <v>1</v>
      </c>
      <c r="K171" s="16" cm="1">
        <f t="array" aca="1" ref="K17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ENVIO]]="",$AT171&gt;$AR$1),2,
AND(Tabela18[[#This Row],[STATUS]]="Em andamento",Tabela18[[#This Row],[DATA REAL - ENVIO]]="",$AT171&lt;=$AR$1),3,
AND(Tabela18[[#This Row],[STATUS]]="Em andamento",Tabela18[[#This Row],[DATA REAL - ENVIO]]&lt;&gt;""),1)</f>
        <v>1</v>
      </c>
      <c r="L171" s="16" cm="1">
        <f t="array" aca="1" ref="L17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POSTAGEM]]="",$AW171&gt;$AU$1),2,
AND(Tabela18[[#This Row],[STATUS]]="Em andamento",Tabela18[[#This Row],[DATA REAL - POSTAGEM]]="",$AW171&lt;=$AU$1),3,
AND(Tabela18[[#This Row],[STATUS]]="Em andamento",Tabela18[[#This Row],[DATA REAL - POSTAGEM]]&lt;&gt;""),1)</f>
        <v>1</v>
      </c>
      <c r="M171" s="16" cm="1">
        <f t="array" aca="1" ref="M17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APROVAÇÃO]]="",$AZ171&gt;$AX$1),2,
AND(Tabela18[[#This Row],[STATUS]]="Em andamento",Tabela18[[#This Row],[DATA REAL - APROVAÇÃO]]="",$AZ171&lt;=$AX$1),3,
AND(Tabela18[[#This Row],[STATUS]]="Em andamento",Tabela18[[#This Row],[DATA REAL - APROVAÇÃO]]&lt;&gt;""),1)</f>
        <v>1</v>
      </c>
      <c r="N171" s="21">
        <f>IF(Tabela18[[#This Row],[DATA REAL -EMAIL]]&lt;&gt;"",Tabela18[[#This Row],[DATA REAL -EMAIL]]+30,Tabela18[[#This Row],[DATA PREV - EMAIL]]+30)</f>
        <v>46037</v>
      </c>
      <c r="O171"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46038</v>
      </c>
      <c r="P171"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31</v>
      </c>
      <c r="Q17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31</v>
      </c>
      <c r="R171" s="49">
        <f>MAX(Tabela18[[#This Row],[DATA REAL - POSTAGEM]],Tabela18[[#This Row],[DATA REAL - APROVAÇÃO]])-MIN(Tabela18[[#This Row],[DATA REAL - POSTAGEM]],Tabela18[[#This Row],[DATA REAL - APROVAÇÃO]])+1</f>
        <v>9</v>
      </c>
      <c r="S171" s="16"/>
      <c r="T171" s="16"/>
      <c r="U171" s="18"/>
      <c r="V171" s="83"/>
      <c r="W171" s="16" t="s">
        <v>97</v>
      </c>
      <c r="X171" s="16" t="s">
        <v>89</v>
      </c>
      <c r="Y171" s="16"/>
      <c r="Z171" s="15"/>
      <c r="AA171" s="15" t="str">
        <f>_xlfn.XLOOKUP(Tabela18[[#This Row],[CÓD. CT]],Controle_Projetos[COD CT],Controle_Projetos[COD PHD],"")</f>
        <v/>
      </c>
      <c r="AB171" s="16"/>
      <c r="AC171" s="21">
        <v>46007</v>
      </c>
      <c r="AD171" s="74">
        <v>46009</v>
      </c>
      <c r="AE171" s="16" cm="1">
        <f t="array" aca="1" ref="AE17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3</v>
      </c>
      <c r="AF171" s="21">
        <v>46007</v>
      </c>
      <c r="AG171" s="74">
        <v>46007</v>
      </c>
      <c r="AH171" s="16" cm="1">
        <f t="array" aca="1" ref="AH17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1" s="21">
        <f>Tabela18[[#This Row],[DATA PREV - EMAIL]]+$AI$1</f>
        <v>46008</v>
      </c>
      <c r="AJ171" s="74">
        <v>46007</v>
      </c>
      <c r="AK171" s="16" cm="1">
        <f t="array" aca="1" ref="AK17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1" s="20">
        <f t="shared" si="25"/>
        <v>46014</v>
      </c>
      <c r="AM171" s="74">
        <v>46038</v>
      </c>
      <c r="AN171" s="16" cm="1">
        <f t="array" aca="1" ref="AN17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25</v>
      </c>
      <c r="AO171" s="20">
        <f t="shared" si="26"/>
        <v>46041</v>
      </c>
      <c r="AP171" s="74">
        <v>46009</v>
      </c>
      <c r="AQ171" s="16" cm="1">
        <f t="array" aca="1" ref="AQ17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-31</v>
      </c>
      <c r="AR171" s="20">
        <f t="shared" si="27"/>
        <v>46023</v>
      </c>
      <c r="AS171" s="74">
        <v>46021</v>
      </c>
      <c r="AT171" s="16" cm="1">
        <f t="array" aca="1" ref="AT17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71" s="20">
        <f t="shared" si="28"/>
        <v>46028</v>
      </c>
      <c r="AV171" s="74">
        <v>46021</v>
      </c>
      <c r="AW171" s="16" cm="1">
        <f t="array" aca="1" ref="AW17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1" s="20">
        <f t="shared" si="29"/>
        <v>46022</v>
      </c>
      <c r="AY171" s="74">
        <v>46029</v>
      </c>
      <c r="AZ171" s="16" cm="1">
        <f t="array" aca="1" ref="AZ17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71" s="81" t="s">
        <v>1132</v>
      </c>
      <c r="BB171" s="63"/>
    </row>
    <row r="172" spans="2:54" ht="18" hidden="1" customHeight="1" x14ac:dyDescent="0.35">
      <c r="B172" s="14" t="s">
        <v>79</v>
      </c>
      <c r="C172" s="16" t="s">
        <v>136</v>
      </c>
      <c r="D172" s="16" t="s">
        <v>108</v>
      </c>
      <c r="E172" s="16" t="s">
        <v>615</v>
      </c>
      <c r="F172" s="16" cm="1">
        <f t="array" ref="F172">_xlfn.IFS(Tabela18[[#This Row],[STATUS]]="Finalizado",1,Tabela18[[#This Row],[STATUS]]="Cancelado",2,Tabela18[[#This Row],[STATUS]]="Em andamento",3)</f>
        <v>1</v>
      </c>
      <c r="G172" s="16" cm="1">
        <f t="array" aca="1" ref="G17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-EMAIL]]="",$AH172&gt;$AF$1),2,
AND(Tabela18[[#This Row],[STATUS]]="Em andamento",Tabela18[[#This Row],[DATA REAL -EMAIL]]="",$AH172&lt;=$AF$1),3,
AND(Tabela18[[#This Row],[STATUS]]="Em andamento",Tabela18[[#This Row],[DATA REAL -EMAIL]]&lt;&gt;""),1)</f>
        <v>1</v>
      </c>
      <c r="H172" s="16" cm="1">
        <f t="array" aca="1" ref="H17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CLIENTE]]="",$AK172&gt;$AI$1),2,
AND(Tabela18[[#This Row],[STATUS]]="Em andamento",Tabela18[[#This Row],[DATA REAL - DOC CLIENTE]]="",$AK172&lt;=$AI$1),3,
AND(Tabela18[[#This Row],[STATUS]]="Em andamento",Tabela18[[#This Row],[DATA REAL - DOC CLIENTE]]&lt;&gt;""),1)</f>
        <v>1</v>
      </c>
      <c r="I172" s="16" cm="1">
        <f t="array" aca="1" ref="I17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06]]="",$AN172&gt;$AL$1),2,
AND(Tabela18[[#This Row],[STATUS]]="Em andamento",Tabela18[[#This Row],[DATA REAL - ANEXO 06]]="",$AN172&lt;=$AL$1),3,
AND(Tabela18[[#This Row],[STATUS]]="Em andamento",Tabela18[[#This Row],[DATA REAL - ANEXO 06]]&lt;&gt;""),1)</f>
        <v>0</v>
      </c>
      <c r="J172" s="16" cm="1">
        <f t="array" aca="1" ref="J17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LEGAIS]]="",$AQ172&gt;$AO$1),2,
AND(Tabela18[[#This Row],[STATUS]]="Em andamento",Tabela18[[#This Row],[DATA REAL - SOLIC. PROG LEGAIS]]="",$AQ172&lt;=$AO$1),3,
AND(Tabela18[[#This Row],[STATUS]]="Em andamento",Tabela18[[#This Row],[DATA REAL - SOLIC. PROG LEGAIS]]&lt;&gt;""),1)</f>
        <v>1</v>
      </c>
      <c r="K172" s="16" cm="1">
        <f t="array" aca="1" ref="K17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ENVIO]]="",$AT172&gt;$AR$1),2,
AND(Tabela18[[#This Row],[STATUS]]="Em andamento",Tabela18[[#This Row],[DATA REAL - ENVIO]]="",$AT172&lt;=$AR$1),3,
AND(Tabela18[[#This Row],[STATUS]]="Em andamento",Tabela18[[#This Row],[DATA REAL - ENVIO]]&lt;&gt;""),1)</f>
        <v>1</v>
      </c>
      <c r="L172" s="16" cm="1">
        <f t="array" aca="1" ref="L17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POSTAGEM]]="",$AW172&gt;$AU$1),2,
AND(Tabela18[[#This Row],[STATUS]]="Em andamento",Tabela18[[#This Row],[DATA REAL - POSTAGEM]]="",$AW172&lt;=$AU$1),3,
AND(Tabela18[[#This Row],[STATUS]]="Em andamento",Tabela18[[#This Row],[DATA REAL - POSTAGEM]]&lt;&gt;""),1)</f>
        <v>1</v>
      </c>
      <c r="M172" s="16" cm="1">
        <f t="array" aca="1" ref="M17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APROVAÇÃO]]="",$AZ172&gt;$AX$1),2,
AND(Tabela18[[#This Row],[STATUS]]="Em andamento",Tabela18[[#This Row],[DATA REAL - APROVAÇÃO]]="",$AZ172&lt;=$AX$1),3,
AND(Tabela18[[#This Row],[STATUS]]="Em andamento",Tabela18[[#This Row],[DATA REAL - APROVAÇÃO]]&lt;&gt;""),1)</f>
        <v>1</v>
      </c>
      <c r="N172" s="21">
        <f>IF(Tabela18[[#This Row],[DATA REAL -EMAIL]]&lt;&gt;"",Tabela18[[#This Row],[DATA REAL -EMAIL]]+30,Tabela18[[#This Row],[DATA PREV - EMAIL]]+30)</f>
        <v>46064</v>
      </c>
      <c r="O172"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46049</v>
      </c>
      <c r="P172"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v>
      </c>
      <c r="Q17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172" s="49">
        <f>MAX(Tabela18[[#This Row],[DATA REAL - POSTAGEM]],Tabela18[[#This Row],[DATA REAL - APROVAÇÃO]])-MIN(Tabela18[[#This Row],[DATA REAL - POSTAGEM]],Tabela18[[#This Row],[DATA REAL - APROVAÇÃO]])+1</f>
        <v>5</v>
      </c>
      <c r="S172" s="16" t="s">
        <v>716</v>
      </c>
      <c r="T172" s="16"/>
      <c r="U172" s="18"/>
      <c r="V172" s="83"/>
      <c r="W172" s="16" t="s">
        <v>97</v>
      </c>
      <c r="X172" s="16"/>
      <c r="Y172" s="16"/>
      <c r="Z172" s="15"/>
      <c r="AA172" s="15" t="str">
        <f>_xlfn.XLOOKUP(Tabela18[[#This Row],[CÓD. CT]],Controle_Projetos[COD CT],Controle_Projetos[COD PHD],"")</f>
        <v/>
      </c>
      <c r="AB172" s="16"/>
      <c r="AC172" s="21">
        <v>46034</v>
      </c>
      <c r="AD172" s="74">
        <v>46037</v>
      </c>
      <c r="AE172" s="16" cm="1">
        <f t="array" aca="1" ref="AE17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4</v>
      </c>
      <c r="AF172" s="21">
        <v>46034</v>
      </c>
      <c r="AG172" s="74">
        <v>46034</v>
      </c>
      <c r="AH172" s="16" cm="1">
        <f t="array" aca="1" ref="AH17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2" s="21">
        <f>Tabela18[[#This Row],[DATA PREV - EMAIL]]+$AI$1</f>
        <v>46035</v>
      </c>
      <c r="AJ172" s="74">
        <v>46034</v>
      </c>
      <c r="AK172" s="16" cm="1">
        <f t="array" aca="1" ref="AK17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2" s="20">
        <f t="shared" si="25"/>
        <v>46041</v>
      </c>
      <c r="AM172" s="74"/>
      <c r="AN172" s="16" cm="1">
        <f t="array" aca="1" ref="AN17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72" s="20">
        <f t="shared" si="26"/>
        <v>46042</v>
      </c>
      <c r="AP172" s="74">
        <v>46041</v>
      </c>
      <c r="AQ172" s="16" cm="1">
        <f t="array" aca="1" ref="AQ17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72" s="20">
        <f t="shared" si="27"/>
        <v>46055</v>
      </c>
      <c r="AS172" s="74">
        <v>46045</v>
      </c>
      <c r="AT172" s="16" cm="1">
        <f t="array" aca="1" ref="AT17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72" s="20">
        <f t="shared" si="28"/>
        <v>46052</v>
      </c>
      <c r="AV172" s="74">
        <v>46045</v>
      </c>
      <c r="AW172" s="16" cm="1">
        <f t="array" aca="1" ref="AW17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2" s="20">
        <f t="shared" si="29"/>
        <v>46048</v>
      </c>
      <c r="AY172" s="74">
        <v>46049</v>
      </c>
      <c r="AZ172" s="16" cm="1">
        <f t="array" aca="1" ref="AZ17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72" s="81" t="s">
        <v>1133</v>
      </c>
    </row>
    <row r="173" spans="2:54" ht="18" hidden="1" customHeight="1" x14ac:dyDescent="0.35">
      <c r="B173" s="14" t="s">
        <v>79</v>
      </c>
      <c r="C173" s="16" t="s">
        <v>136</v>
      </c>
      <c r="D173" s="16" t="s">
        <v>108</v>
      </c>
      <c r="E173" s="16" t="s">
        <v>768</v>
      </c>
      <c r="F173" s="16" cm="1">
        <f t="array" ref="F173">_xlfn.IFS(Tabela18[[#This Row],[STATUS]]="Finalizado",1,Tabela18[[#This Row],[STATUS]]="Cancelado",2,Tabela18[[#This Row],[STATUS]]="Em andamento",3)</f>
        <v>1</v>
      </c>
      <c r="G173" s="16" cm="1">
        <f t="array" aca="1" ref="G17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-EMAIL]]="",$AH173&gt;$AF$1),2,
AND(Tabela18[[#This Row],[STATUS]]="Em andamento",Tabela18[[#This Row],[DATA REAL -EMAIL]]="",$AH173&lt;=$AF$1),3,
AND(Tabela18[[#This Row],[STATUS]]="Em andamento",Tabela18[[#This Row],[DATA REAL -EMAIL]]&lt;&gt;""),1)</f>
        <v>1</v>
      </c>
      <c r="H173" s="16" cm="1">
        <f t="array" aca="1" ref="H17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CLIENTE]]="",$AK173&gt;$AI$1),2,
AND(Tabela18[[#This Row],[STATUS]]="Em andamento",Tabela18[[#This Row],[DATA REAL - DOC CLIENTE]]="",$AK173&lt;=$AI$1),3,
AND(Tabela18[[#This Row],[STATUS]]="Em andamento",Tabela18[[#This Row],[DATA REAL - DOC CLIENTE]]&lt;&gt;""),1)</f>
        <v>1</v>
      </c>
      <c r="I173" s="16" cm="1">
        <f t="array" aca="1" ref="I17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06]]="",$AN173&gt;$AL$1),2,
AND(Tabela18[[#This Row],[STATUS]]="Em andamento",Tabela18[[#This Row],[DATA REAL - ANEXO 06]]="",$AN173&lt;=$AL$1),3,
AND(Tabela18[[#This Row],[STATUS]]="Em andamento",Tabela18[[#This Row],[DATA REAL - ANEXO 06]]&lt;&gt;""),1)</f>
        <v>1</v>
      </c>
      <c r="J173" s="16" cm="1">
        <f t="array" aca="1" ref="J17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LEGAIS]]="",$AQ173&gt;$AO$1),2,
AND(Tabela18[[#This Row],[STATUS]]="Em andamento",Tabela18[[#This Row],[DATA REAL - SOLIC. PROG LEGAIS]]="",$AQ173&lt;=$AO$1),3,
AND(Tabela18[[#This Row],[STATUS]]="Em andamento",Tabela18[[#This Row],[DATA REAL - SOLIC. PROG LEGAIS]]&lt;&gt;""),1)</f>
        <v>1</v>
      </c>
      <c r="K173" s="16" cm="1">
        <f t="array" aca="1" ref="K17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ENVIO]]="",$AT173&gt;$AR$1),2,
AND(Tabela18[[#This Row],[STATUS]]="Em andamento",Tabela18[[#This Row],[DATA REAL - ENVIO]]="",$AT173&lt;=$AR$1),3,
AND(Tabela18[[#This Row],[STATUS]]="Em andamento",Tabela18[[#This Row],[DATA REAL - ENVIO]]&lt;&gt;""),1)</f>
        <v>1</v>
      </c>
      <c r="L173" s="16" cm="1">
        <f t="array" aca="1" ref="L17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POSTAGEM]]="",$AW173&gt;$AU$1),2,
AND(Tabela18[[#This Row],[STATUS]]="Em andamento",Tabela18[[#This Row],[DATA REAL - POSTAGEM]]="",$AW173&lt;=$AU$1),3,
AND(Tabela18[[#This Row],[STATUS]]="Em andamento",Tabela18[[#This Row],[DATA REAL - POSTAGEM]]&lt;&gt;""),1)</f>
        <v>1</v>
      </c>
      <c r="M173" s="16" cm="1">
        <f t="array" aca="1" ref="M17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APROVAÇÃO]]="",$AZ173&gt;$AX$1),2,
AND(Tabela18[[#This Row],[STATUS]]="Em andamento",Tabela18[[#This Row],[DATA REAL - APROVAÇÃO]]="",$AZ173&lt;=$AX$1),3,
AND(Tabela18[[#This Row],[STATUS]]="Em andamento",Tabela18[[#This Row],[DATA REAL - APROVAÇÃO]]&lt;&gt;""),1)</f>
        <v>1</v>
      </c>
      <c r="N173" s="21">
        <f>IF(Tabela18[[#This Row],[DATA REAL -EMAIL]]&lt;&gt;"",Tabela18[[#This Row],[DATA REAL -EMAIL]]+30,Tabela18[[#This Row],[DATA PREV - EMAIL]]+30)</f>
        <v>46082</v>
      </c>
      <c r="O173"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46065</v>
      </c>
      <c r="P173"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13</v>
      </c>
      <c r="Q17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13</v>
      </c>
      <c r="R173" s="49">
        <f>MAX(Tabela18[[#This Row],[DATA REAL - POSTAGEM]],Tabela18[[#This Row],[DATA REAL - APROVAÇÃO]])-MIN(Tabela18[[#This Row],[DATA REAL - POSTAGEM]],Tabela18[[#This Row],[DATA REAL - APROVAÇÃO]])+1</f>
        <v>1</v>
      </c>
      <c r="S173" s="16"/>
      <c r="T173" s="16"/>
      <c r="U173" s="18"/>
      <c r="V173" s="83"/>
      <c r="W173" s="16" t="s">
        <v>97</v>
      </c>
      <c r="X173" s="16" t="s">
        <v>89</v>
      </c>
      <c r="Y173" s="16"/>
      <c r="Z173" s="15" t="s">
        <v>634</v>
      </c>
      <c r="AA173" s="15" t="str">
        <f>_xlfn.XLOOKUP(Tabela18[[#This Row],[CÓD. CT]],Controle_Projetos[COD CT],Controle_Projetos[COD PHD],"")</f>
        <v>VABM-CT01-CONS</v>
      </c>
      <c r="AB173" s="16"/>
      <c r="AC173" s="21">
        <v>46052</v>
      </c>
      <c r="AD173" s="74">
        <v>46056</v>
      </c>
      <c r="AE173" s="16" cm="1">
        <f t="array" aca="1" ref="AE17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v>
      </c>
      <c r="AF173" s="21">
        <v>46052</v>
      </c>
      <c r="AG173" s="74">
        <v>46052</v>
      </c>
      <c r="AH173" s="16" cm="1">
        <f t="array" aca="1" ref="AH17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3" s="21">
        <f>Tabela18[[#This Row],[DATA PREV - EMAIL]]+$AI$1</f>
        <v>46053</v>
      </c>
      <c r="AJ173" s="74">
        <v>46052</v>
      </c>
      <c r="AK173" s="16" cm="1">
        <f t="array" aca="1" ref="AK17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3" s="20">
        <f t="shared" si="25"/>
        <v>46059</v>
      </c>
      <c r="AM173" s="74">
        <v>46052</v>
      </c>
      <c r="AN173" s="16" cm="1">
        <f t="array" aca="1" ref="AN17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73" s="20">
        <f t="shared" si="26"/>
        <v>46055</v>
      </c>
      <c r="AP173" s="74">
        <v>46057</v>
      </c>
      <c r="AQ173" s="16" cm="1">
        <f t="array" aca="1" ref="AQ17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3</v>
      </c>
      <c r="AR173" s="20">
        <f t="shared" si="27"/>
        <v>46071</v>
      </c>
      <c r="AS173" s="74">
        <v>46065</v>
      </c>
      <c r="AT173" s="16" cm="1">
        <f t="array" aca="1" ref="AT17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73" s="20">
        <f t="shared" si="28"/>
        <v>46072</v>
      </c>
      <c r="AV173" s="74">
        <v>46065</v>
      </c>
      <c r="AW173" s="16" cm="1">
        <f t="array" aca="1" ref="AW17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3" s="20">
        <f t="shared" si="29"/>
        <v>46066</v>
      </c>
      <c r="AY173" s="74">
        <v>46065</v>
      </c>
      <c r="AZ173" s="16" cm="1">
        <f t="array" aca="1" ref="AZ17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73" s="81" t="s">
        <v>1134</v>
      </c>
    </row>
    <row r="174" spans="2:54" ht="18" hidden="1" customHeight="1" x14ac:dyDescent="0.35">
      <c r="B174" s="84" t="s">
        <v>79</v>
      </c>
      <c r="C174" s="86" t="s">
        <v>136</v>
      </c>
      <c r="D174" s="86" t="s">
        <v>108</v>
      </c>
      <c r="E174" s="86" t="s">
        <v>1135</v>
      </c>
      <c r="F174" s="86" cm="1">
        <f t="array" ref="F174">_xlfn.IFS(Tabela18[[#This Row],[STATUS]]="Finalizado",1,Tabela18[[#This Row],[STATUS]]="Cancelado",2,Tabela18[[#This Row],[STATUS]]="Em andamento",3)</f>
        <v>1</v>
      </c>
      <c r="G174" s="86" cm="1">
        <f t="array" aca="1" ref="G17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-EMAIL]]="",$AH174&gt;$AF$1),2,
AND(Tabela18[[#This Row],[STATUS]]="Em andamento",Tabela18[[#This Row],[DATA REAL -EMAIL]]="",$AH174&lt;=$AF$1),3,
AND(Tabela18[[#This Row],[STATUS]]="Em andamento",Tabela18[[#This Row],[DATA REAL -EMAIL]]&lt;&gt;""),1)</f>
        <v>1</v>
      </c>
      <c r="H174" s="86" cm="1">
        <f t="array" aca="1" ref="H17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CLIENTE]]="",$AK174&gt;$AI$1),2,
AND(Tabela18[[#This Row],[STATUS]]="Em andamento",Tabela18[[#This Row],[DATA REAL - DOC CLIENTE]]="",$AK174&lt;=$AI$1),3,
AND(Tabela18[[#This Row],[STATUS]]="Em andamento",Tabela18[[#This Row],[DATA REAL - DOC CLIENTE]]&lt;&gt;""),1)</f>
        <v>1</v>
      </c>
      <c r="I174" s="86" cm="1">
        <f t="array" aca="1" ref="I17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06]]="",$AN174&gt;$AL$1),2,
AND(Tabela18[[#This Row],[STATUS]]="Em andamento",Tabela18[[#This Row],[DATA REAL - ANEXO 06]]="",$AN174&lt;=$AL$1),3,
AND(Tabela18[[#This Row],[STATUS]]="Em andamento",Tabela18[[#This Row],[DATA REAL - ANEXO 06]]&lt;&gt;""),1)</f>
        <v>1</v>
      </c>
      <c r="J174" s="86" cm="1">
        <f t="array" aca="1" ref="J17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LEGAIS]]="",$AQ174&gt;$AO$1),2,
AND(Tabela18[[#This Row],[STATUS]]="Em andamento",Tabela18[[#This Row],[DATA REAL - SOLIC. PROG LEGAIS]]="",$AQ174&lt;=$AO$1),3,
AND(Tabela18[[#This Row],[STATUS]]="Em andamento",Tabela18[[#This Row],[DATA REAL - SOLIC. PROG LEGAIS]]&lt;&gt;""),1)</f>
        <v>1</v>
      </c>
      <c r="K174" s="86" cm="1">
        <f t="array" aca="1" ref="K17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ENVIO]]="",$AT174&gt;$AR$1),2,
AND(Tabela18[[#This Row],[STATUS]]="Em andamento",Tabela18[[#This Row],[DATA REAL - ENVIO]]="",$AT174&lt;=$AR$1),3,
AND(Tabela18[[#This Row],[STATUS]]="Em andamento",Tabela18[[#This Row],[DATA REAL - ENVIO]]&lt;&gt;""),1)</f>
        <v>1</v>
      </c>
      <c r="L174" s="86" cm="1">
        <f t="array" aca="1" ref="L17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POSTAGEM]]="",$AW174&gt;$AU$1),2,
AND(Tabela18[[#This Row],[STATUS]]="Em andamento",Tabela18[[#This Row],[DATA REAL - POSTAGEM]]="",$AW174&lt;=$AU$1),3,
AND(Tabela18[[#This Row],[STATUS]]="Em andamento",Tabela18[[#This Row],[DATA REAL - POSTAGEM]]&lt;&gt;""),1)</f>
        <v>1</v>
      </c>
      <c r="M174" s="86" cm="1">
        <f t="array" aca="1" ref="M17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APROVAÇÃO]]="",$AZ174&gt;$AX$1),2,
AND(Tabela18[[#This Row],[STATUS]]="Em andamento",Tabela18[[#This Row],[DATA REAL - APROVAÇÃO]]="",$AZ174&lt;=$AX$1),3,
AND(Tabela18[[#This Row],[STATUS]]="Em andamento",Tabela18[[#This Row],[DATA REAL - APROVAÇÃO]]&lt;&gt;""),1)</f>
        <v>1</v>
      </c>
      <c r="N174" s="87">
        <f>IF(Tabela18[[#This Row],[DATA REAL -EMAIL]]&lt;&gt;"",Tabela18[[#This Row],[DATA REAL -EMAIL]]+30,Tabela18[[#This Row],[DATA PREV - EMAIL]]+30)</f>
        <v>46082</v>
      </c>
      <c r="O174" s="87">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46080</v>
      </c>
      <c r="P174" s="8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28</v>
      </c>
      <c r="Q174" s="88">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24</v>
      </c>
      <c r="R174" s="88">
        <f>MAX(Tabela18[[#This Row],[DATA REAL - POSTAGEM]],Tabela18[[#This Row],[DATA REAL - APROVAÇÃO]])-MIN(Tabela18[[#This Row],[DATA REAL - POSTAGEM]],Tabela18[[#This Row],[DATA REAL - APROVAÇÃO]])+1</f>
        <v>5</v>
      </c>
      <c r="S174" s="86" t="s">
        <v>515</v>
      </c>
      <c r="T174" s="16" t="s">
        <v>130</v>
      </c>
      <c r="U174" s="97" t="s">
        <v>1136</v>
      </c>
      <c r="V174" s="95" t="s">
        <v>131</v>
      </c>
      <c r="W174" s="16" t="s">
        <v>97</v>
      </c>
      <c r="X174" s="86" t="s">
        <v>89</v>
      </c>
      <c r="Y174" s="86"/>
      <c r="Z174" s="98"/>
      <c r="AA174" s="15" t="str">
        <f>_xlfn.XLOOKUP(Tabela18[[#This Row],[CÓD. CT]],Controle_Projetos[COD CT],Controle_Projetos[COD PHD],"")</f>
        <v/>
      </c>
      <c r="AB174" s="86"/>
      <c r="AC174" s="87">
        <v>46052</v>
      </c>
      <c r="AD174" s="90">
        <v>46057</v>
      </c>
      <c r="AE174" s="86" cm="1">
        <f t="array" aca="1" ref="AE17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6</v>
      </c>
      <c r="AF174" s="87">
        <v>46052</v>
      </c>
      <c r="AG174" s="90">
        <v>46052</v>
      </c>
      <c r="AH174" s="86" cm="1">
        <f t="array" aca="1" ref="AH17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4" s="21">
        <f>Tabela18[[#This Row],[DATA PREV - EMAIL]]+$AI$1</f>
        <v>46053</v>
      </c>
      <c r="AJ174" s="90">
        <v>46052</v>
      </c>
      <c r="AK174" s="86" cm="1">
        <f t="array" aca="1" ref="AK17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4" s="20">
        <f t="shared" si="25"/>
        <v>46059</v>
      </c>
      <c r="AM174" s="90">
        <v>46057</v>
      </c>
      <c r="AN174" s="86" cm="1">
        <f t="array" aca="1" ref="AN17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74" s="20">
        <f t="shared" si="26"/>
        <v>46058</v>
      </c>
      <c r="AP174" s="90">
        <v>46055</v>
      </c>
      <c r="AQ174" s="86" cm="1">
        <f t="array" aca="1" ref="AQ17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74" s="20">
        <f t="shared" si="27"/>
        <v>46069</v>
      </c>
      <c r="AS174" s="90">
        <v>46076</v>
      </c>
      <c r="AT174" s="86" cm="1">
        <f t="array" aca="1" ref="AT17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174" s="20">
        <f t="shared" si="28"/>
        <v>46083</v>
      </c>
      <c r="AV174" s="90">
        <v>46076</v>
      </c>
      <c r="AW174" s="86" cm="1">
        <f t="array" aca="1" ref="AW17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4" s="20">
        <f t="shared" si="29"/>
        <v>46077</v>
      </c>
      <c r="AY174" s="90">
        <v>46080</v>
      </c>
      <c r="AZ174" s="86" cm="1">
        <f t="array" aca="1" ref="AZ17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174" s="94" t="s">
        <v>1137</v>
      </c>
    </row>
    <row r="175" spans="2:54" ht="18" hidden="1" customHeight="1" x14ac:dyDescent="0.35">
      <c r="B175" s="84" t="s">
        <v>79</v>
      </c>
      <c r="C175" s="86" t="s">
        <v>136</v>
      </c>
      <c r="D175" s="16" t="s">
        <v>108</v>
      </c>
      <c r="E175" s="16" t="s">
        <v>212</v>
      </c>
      <c r="F175" s="16" cm="1">
        <f t="array" ref="F175">_xlfn.IFS(Tabela18[[#This Row],[STATUS]]="Finalizado",1,Tabela18[[#This Row],[STATUS]]="Cancelado",2,Tabela18[[#This Row],[STATUS]]="Em andamento",3)</f>
        <v>1</v>
      </c>
      <c r="G175" s="16" cm="1">
        <f t="array" aca="1" ref="G17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-EMAIL]]="",$AH175&gt;$AF$1),2,
AND(Tabela18[[#This Row],[STATUS]]="Em andamento",Tabela18[[#This Row],[DATA REAL -EMAIL]]="",$AH175&lt;=$AF$1),3,
AND(Tabela18[[#This Row],[STATUS]]="Em andamento",Tabela18[[#This Row],[DATA REAL -EMAIL]]&lt;&gt;""),1)</f>
        <v>1</v>
      </c>
      <c r="H175" s="16" cm="1">
        <f t="array" aca="1" ref="H17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CLIENTE]]="",$AK175&gt;$AI$1),2,
AND(Tabela18[[#This Row],[STATUS]]="Em andamento",Tabela18[[#This Row],[DATA REAL - DOC CLIENTE]]="",$AK175&lt;=$AI$1),3,
AND(Tabela18[[#This Row],[STATUS]]="Em andamento",Tabela18[[#This Row],[DATA REAL - DOC CLIENTE]]&lt;&gt;""),1)</f>
        <v>1</v>
      </c>
      <c r="I175" s="16" cm="1">
        <f t="array" aca="1" ref="I17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06]]="",$AN175&gt;$AL$1),2,
AND(Tabela18[[#This Row],[STATUS]]="Em andamento",Tabela18[[#This Row],[DATA REAL - ANEXO 06]]="",$AN175&lt;=$AL$1),3,
AND(Tabela18[[#This Row],[STATUS]]="Em andamento",Tabela18[[#This Row],[DATA REAL - ANEXO 06]]&lt;&gt;""),1)</f>
        <v>1</v>
      </c>
      <c r="J175" s="16" cm="1">
        <f t="array" aca="1" ref="J17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LEGAIS]]="",$AQ175&gt;$AO$1),2,
AND(Tabela18[[#This Row],[STATUS]]="Em andamento",Tabela18[[#This Row],[DATA REAL - SOLIC. PROG LEGAIS]]="",$AQ175&lt;=$AO$1),3,
AND(Tabela18[[#This Row],[STATUS]]="Em andamento",Tabela18[[#This Row],[DATA REAL - SOLIC. PROG LEGAIS]]&lt;&gt;""),1)</f>
        <v>1</v>
      </c>
      <c r="K175" s="16" cm="1">
        <f t="array" aca="1" ref="K17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ENVIO]]="",$AT175&gt;$AR$1),2,
AND(Tabela18[[#This Row],[STATUS]]="Em andamento",Tabela18[[#This Row],[DATA REAL - ENVIO]]="",$AT175&lt;=$AR$1),3,
AND(Tabela18[[#This Row],[STATUS]]="Em andamento",Tabela18[[#This Row],[DATA REAL - ENVIO]]&lt;&gt;""),1)</f>
        <v>1</v>
      </c>
      <c r="L175" s="16" cm="1">
        <f t="array" aca="1" ref="L17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POSTAGEM]]="",$AW175&gt;$AU$1),2,
AND(Tabela18[[#This Row],[STATUS]]="Em andamento",Tabela18[[#This Row],[DATA REAL - POSTAGEM]]="",$AW175&lt;=$AU$1),3,
AND(Tabela18[[#This Row],[STATUS]]="Em andamento",Tabela18[[#This Row],[DATA REAL - POSTAGEM]]&lt;&gt;""),1)</f>
        <v>1</v>
      </c>
      <c r="M175" s="16" cm="1">
        <f t="array" aca="1" ref="M17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APROVAÇÃO]]="",$AZ175&gt;$AX$1),2,
AND(Tabela18[[#This Row],[STATUS]]="Em andamento",Tabela18[[#This Row],[DATA REAL - APROVAÇÃO]]="",$AZ175&lt;=$AX$1),3,
AND(Tabela18[[#This Row],[STATUS]]="Em andamento",Tabela18[[#This Row],[DATA REAL - APROVAÇÃO]]&lt;&gt;""),1)</f>
        <v>1</v>
      </c>
      <c r="N175" s="21">
        <f>IF(Tabela18[[#This Row],[DATA REAL -EMAIL]]&lt;&gt;"",Tabela18[[#This Row],[DATA REAL -EMAIL]]+30,Tabela18[[#This Row],[DATA PREV - EMAIL]]+30)</f>
        <v>46093</v>
      </c>
      <c r="O175"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46092</v>
      </c>
      <c r="P175"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29</v>
      </c>
      <c r="Q17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v>
      </c>
      <c r="R175" s="49">
        <f>MAX(Tabela18[[#This Row],[DATA REAL - POSTAGEM]],Tabela18[[#This Row],[DATA REAL - APROVAÇÃO]])-MIN(Tabela18[[#This Row],[DATA REAL - POSTAGEM]],Tabela18[[#This Row],[DATA REAL - APROVAÇÃO]])+1</f>
        <v>29</v>
      </c>
      <c r="S175" s="16" t="s">
        <v>431</v>
      </c>
      <c r="T175" s="16" t="s">
        <v>355</v>
      </c>
      <c r="U175" s="18" t="s">
        <v>432</v>
      </c>
      <c r="V175" s="96" t="s">
        <v>356</v>
      </c>
      <c r="W175" s="16" t="s">
        <v>97</v>
      </c>
      <c r="X175" s="16" t="s">
        <v>628</v>
      </c>
      <c r="Y175" s="16"/>
      <c r="Z175" s="15" t="s">
        <v>630</v>
      </c>
      <c r="AA175" s="15" t="str">
        <f>_xlfn.XLOOKUP(Tabela18[[#This Row],[CÓD. CT]],Controle_Projetos[COD CT],Controle_Projetos[COD PHD],"")</f>
        <v>NOBR-CT07-MOSA</v>
      </c>
      <c r="AB175" s="16"/>
      <c r="AC175" s="21">
        <v>46063</v>
      </c>
      <c r="AD175" s="74">
        <v>46063</v>
      </c>
      <c r="AE175" s="16" cm="1">
        <f t="array" aca="1" ref="AE17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75" s="21">
        <v>46063</v>
      </c>
      <c r="AG175" s="74">
        <v>46063</v>
      </c>
      <c r="AH175" s="16" cm="1">
        <f t="array" aca="1" ref="AH17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5" s="21">
        <f>Tabela18[[#This Row],[DATA PREV - EMAIL]]+$AI$1</f>
        <v>46064</v>
      </c>
      <c r="AJ175" s="74">
        <v>46063</v>
      </c>
      <c r="AK175" s="16" cm="1">
        <f t="array" aca="1" ref="AK17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5" s="20">
        <f t="shared" si="25"/>
        <v>46070</v>
      </c>
      <c r="AM175" s="74">
        <v>46064</v>
      </c>
      <c r="AN175" s="16" cm="1">
        <f t="array" aca="1" ref="AN17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75" s="20">
        <f t="shared" si="26"/>
        <v>46065</v>
      </c>
      <c r="AP175" s="74">
        <v>46063</v>
      </c>
      <c r="AQ175" s="16" cm="1">
        <f t="array" aca="1" ref="AQ17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75" s="20">
        <f t="shared" si="27"/>
        <v>46077</v>
      </c>
      <c r="AS175" s="74">
        <v>46064</v>
      </c>
      <c r="AT175" s="16" cm="1">
        <f t="array" aca="1" ref="AT17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-12</v>
      </c>
      <c r="AU175" s="20">
        <f t="shared" si="28"/>
        <v>46071</v>
      </c>
      <c r="AV175" s="74">
        <v>46064</v>
      </c>
      <c r="AW175" s="16" cm="1">
        <f t="array" aca="1" ref="AW17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5" s="20">
        <f t="shared" si="29"/>
        <v>46065</v>
      </c>
      <c r="AY175" s="74">
        <v>46092</v>
      </c>
      <c r="AZ175" s="16" cm="1">
        <f t="array" aca="1" ref="AZ17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28</v>
      </c>
      <c r="BA175" s="81" t="s">
        <v>1138</v>
      </c>
    </row>
    <row r="176" spans="2:54" ht="18" hidden="1" customHeight="1" x14ac:dyDescent="0.35">
      <c r="B176" s="84" t="s">
        <v>79</v>
      </c>
      <c r="C176" s="86" t="s">
        <v>136</v>
      </c>
      <c r="D176" s="16" t="s">
        <v>108</v>
      </c>
      <c r="E176" s="16" t="s">
        <v>153</v>
      </c>
      <c r="F176" s="16" cm="1">
        <f t="array" ref="F176">_xlfn.IFS(Tabela18[[#This Row],[STATUS]]="Finalizado",1,Tabela18[[#This Row],[STATUS]]="Cancelado",2,Tabela18[[#This Row],[STATUS]]="Em andamento",3)</f>
        <v>1</v>
      </c>
      <c r="G176" s="16" cm="1">
        <f t="array" aca="1" ref="G17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-EMAIL]]="",$AH176&gt;$AF$1),2,
AND(Tabela18[[#This Row],[STATUS]]="Em andamento",Tabela18[[#This Row],[DATA REAL -EMAIL]]="",$AH176&lt;=$AF$1),3,
AND(Tabela18[[#This Row],[STATUS]]="Em andamento",Tabela18[[#This Row],[DATA REAL -EMAIL]]&lt;&gt;""),1)</f>
        <v>1</v>
      </c>
      <c r="H176" s="16" cm="1">
        <f t="array" aca="1" ref="H17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CLIENTE]]="",$AK176&gt;$AI$1),2,
AND(Tabela18[[#This Row],[STATUS]]="Em andamento",Tabela18[[#This Row],[DATA REAL - DOC CLIENTE]]="",$AK176&lt;=$AI$1),3,
AND(Tabela18[[#This Row],[STATUS]]="Em andamento",Tabela18[[#This Row],[DATA REAL - DOC CLIENTE]]&lt;&gt;""),1)</f>
        <v>1</v>
      </c>
      <c r="I176" s="16" cm="1">
        <f t="array" aca="1" ref="I17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06]]="",$AN176&gt;$AL$1),2,
AND(Tabela18[[#This Row],[STATUS]]="Em andamento",Tabela18[[#This Row],[DATA REAL - ANEXO 06]]="",$AN176&lt;=$AL$1),3,
AND(Tabela18[[#This Row],[STATUS]]="Em andamento",Tabela18[[#This Row],[DATA REAL - ANEXO 06]]&lt;&gt;""),1)</f>
        <v>1</v>
      </c>
      <c r="J176" s="16" cm="1">
        <f t="array" aca="1" ref="J17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LEGAIS]]="",$AQ176&gt;$AO$1),2,
AND(Tabela18[[#This Row],[STATUS]]="Em andamento",Tabela18[[#This Row],[DATA REAL - SOLIC. PROG LEGAIS]]="",$AQ176&lt;=$AO$1),3,
AND(Tabela18[[#This Row],[STATUS]]="Em andamento",Tabela18[[#This Row],[DATA REAL - SOLIC. PROG LEGAIS]]&lt;&gt;""),1)</f>
        <v>1</v>
      </c>
      <c r="K176" s="16" cm="1">
        <f t="array" aca="1" ref="K17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ENVIO]]="",$AT176&gt;$AR$1),2,
AND(Tabela18[[#This Row],[STATUS]]="Em andamento",Tabela18[[#This Row],[DATA REAL - ENVIO]]="",$AT176&lt;=$AR$1),3,
AND(Tabela18[[#This Row],[STATUS]]="Em andamento",Tabela18[[#This Row],[DATA REAL - ENVIO]]&lt;&gt;""),1)</f>
        <v>1</v>
      </c>
      <c r="L176" s="16" cm="1">
        <f t="array" aca="1" ref="L17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POSTAGEM]]="",$AW176&gt;$AU$1),2,
AND(Tabela18[[#This Row],[STATUS]]="Em andamento",Tabela18[[#This Row],[DATA REAL - POSTAGEM]]="",$AW176&lt;=$AU$1),3,
AND(Tabela18[[#This Row],[STATUS]]="Em andamento",Tabela18[[#This Row],[DATA REAL - POSTAGEM]]&lt;&gt;""),1)</f>
        <v>1</v>
      </c>
      <c r="M176" s="16" cm="1">
        <f t="array" aca="1" ref="M17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APROVAÇÃO]]="",$AZ176&gt;$AX$1),2,
AND(Tabela18[[#This Row],[STATUS]]="Em andamento",Tabela18[[#This Row],[DATA REAL - APROVAÇÃO]]="",$AZ176&lt;=$AX$1),3,
AND(Tabela18[[#This Row],[STATUS]]="Em andamento",Tabela18[[#This Row],[DATA REAL - APROVAÇÃO]]&lt;&gt;""),1)</f>
        <v>1</v>
      </c>
      <c r="N176" s="21">
        <f>IF(Tabela18[[#This Row],[DATA REAL -EMAIL]]&lt;&gt;"",Tabela18[[#This Row],[DATA REAL -EMAIL]]+30,Tabela18[[#This Row],[DATA PREV - EMAIL]]+30)</f>
        <v>46094</v>
      </c>
      <c r="O176"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46078</v>
      </c>
      <c r="P176"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17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176" s="49">
        <f>MAX(Tabela18[[#This Row],[DATA REAL - POSTAGEM]],Tabela18[[#This Row],[DATA REAL - APROVAÇÃO]])-MIN(Tabela18[[#This Row],[DATA REAL - POSTAGEM]],Tabela18[[#This Row],[DATA REAL - APROVAÇÃO]])+1</f>
        <v>6</v>
      </c>
      <c r="S176" s="16" t="s">
        <v>121</v>
      </c>
      <c r="T176" s="16" t="s">
        <v>122</v>
      </c>
      <c r="U176" s="18"/>
      <c r="V176" s="96" t="s">
        <v>124</v>
      </c>
      <c r="W176" s="16" t="s">
        <v>97</v>
      </c>
      <c r="X176" s="16" t="s">
        <v>153</v>
      </c>
      <c r="Y176" s="16" t="s">
        <v>1139</v>
      </c>
      <c r="Z176" s="15" t="s">
        <v>626</v>
      </c>
      <c r="AA176" s="15" t="str">
        <f>_xlfn.XLOOKUP(Tabela18[[#This Row],[CÓD. CT]],Controle_Projetos[COD CT],Controle_Projetos[COD PHD],"")</f>
        <v>ADMB-CT17-ROND</v>
      </c>
      <c r="AB176" s="16"/>
      <c r="AC176" s="21">
        <v>46064</v>
      </c>
      <c r="AD176" s="74"/>
      <c r="AE176" s="16" cm="1">
        <f t="array" aca="1" ref="AE17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76" s="21">
        <v>46064</v>
      </c>
      <c r="AG176" s="74">
        <v>46064</v>
      </c>
      <c r="AH176" s="16" cm="1">
        <f t="array" aca="1" ref="AH17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6" s="21">
        <f>Tabela18[[#This Row],[DATA PREV - EMAIL]]+$AI$1</f>
        <v>46065</v>
      </c>
      <c r="AJ176" s="74">
        <v>46064</v>
      </c>
      <c r="AK176" s="16" cm="1">
        <f t="array" aca="1" ref="AK17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6" s="20">
        <f t="shared" si="25"/>
        <v>46071</v>
      </c>
      <c r="AM176" s="74">
        <v>46064</v>
      </c>
      <c r="AN176" s="16" cm="1">
        <f t="array" aca="1" ref="AN17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76" s="20">
        <f t="shared" si="26"/>
        <v>46065</v>
      </c>
      <c r="AP176" s="74">
        <v>46064</v>
      </c>
      <c r="AQ176" s="16" cm="1">
        <f t="array" aca="1" ref="AQ17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76" s="20">
        <f t="shared" si="27"/>
        <v>46078</v>
      </c>
      <c r="AS176" s="74">
        <v>46073</v>
      </c>
      <c r="AT176" s="16" cm="1">
        <f t="array" aca="1" ref="AT17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76" s="20">
        <f t="shared" si="28"/>
        <v>46080</v>
      </c>
      <c r="AV176" s="74">
        <v>46073</v>
      </c>
      <c r="AW176" s="16" cm="1">
        <f t="array" aca="1" ref="AW17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6" s="20">
        <f t="shared" si="29"/>
        <v>46076</v>
      </c>
      <c r="AY176" s="74">
        <v>46078</v>
      </c>
      <c r="AZ176" s="16" cm="1">
        <f t="array" aca="1" ref="AZ17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176" s="100" t="s">
        <v>1140</v>
      </c>
    </row>
    <row r="177" spans="2:53" ht="18" hidden="1" customHeight="1" x14ac:dyDescent="0.35">
      <c r="B177" s="84" t="s">
        <v>79</v>
      </c>
      <c r="C177" s="86" t="s">
        <v>136</v>
      </c>
      <c r="D177" s="16" t="s">
        <v>108</v>
      </c>
      <c r="E177" s="16" t="s">
        <v>1141</v>
      </c>
      <c r="F177" s="16" cm="1">
        <f t="array" ref="F177">_xlfn.IFS(Tabela18[[#This Row],[STATUS]]="Finalizado",1,Tabela18[[#This Row],[STATUS]]="Cancelado",2,Tabela18[[#This Row],[STATUS]]="Em andamento",3)</f>
        <v>1</v>
      </c>
      <c r="G177" s="16" cm="1">
        <f t="array" aca="1" ref="G17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-EMAIL]]="",$AH177&gt;$AF$1),2,
AND(Tabela18[[#This Row],[STATUS]]="Em andamento",Tabela18[[#This Row],[DATA REAL -EMAIL]]="",$AH177&lt;=$AF$1),3,
AND(Tabela18[[#This Row],[STATUS]]="Em andamento",Tabela18[[#This Row],[DATA REAL -EMAIL]]&lt;&gt;""),1)</f>
        <v>1</v>
      </c>
      <c r="H177" s="16" cm="1">
        <f t="array" aca="1" ref="H17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CLIENTE]]="",$AK177&gt;$AI$1),2,
AND(Tabela18[[#This Row],[STATUS]]="Em andamento",Tabela18[[#This Row],[DATA REAL - DOC CLIENTE]]="",$AK177&lt;=$AI$1),3,
AND(Tabela18[[#This Row],[STATUS]]="Em andamento",Tabela18[[#This Row],[DATA REAL - DOC CLIENTE]]&lt;&gt;""),1)</f>
        <v>1</v>
      </c>
      <c r="I177" s="16" cm="1">
        <f t="array" aca="1" ref="I17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06]]="",$AN177&gt;$AL$1),2,
AND(Tabela18[[#This Row],[STATUS]]="Em andamento",Tabela18[[#This Row],[DATA REAL - ANEXO 06]]="",$AN177&lt;=$AL$1),3,
AND(Tabela18[[#This Row],[STATUS]]="Em andamento",Tabela18[[#This Row],[DATA REAL - ANEXO 06]]&lt;&gt;""),1)</f>
        <v>1</v>
      </c>
      <c r="J177" s="16" cm="1">
        <f t="array" aca="1" ref="J17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LEGAIS]]="",$AQ177&gt;$AO$1),2,
AND(Tabela18[[#This Row],[STATUS]]="Em andamento",Tabela18[[#This Row],[DATA REAL - SOLIC. PROG LEGAIS]]="",$AQ177&lt;=$AO$1),3,
AND(Tabela18[[#This Row],[STATUS]]="Em andamento",Tabela18[[#This Row],[DATA REAL - SOLIC. PROG LEGAIS]]&lt;&gt;""),1)</f>
        <v>1</v>
      </c>
      <c r="K177" s="16" cm="1">
        <f t="array" aca="1" ref="K17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ENVIO]]="",$AT177&gt;$AR$1),2,
AND(Tabela18[[#This Row],[STATUS]]="Em andamento",Tabela18[[#This Row],[DATA REAL - ENVIO]]="",$AT177&lt;=$AR$1),3,
AND(Tabela18[[#This Row],[STATUS]]="Em andamento",Tabela18[[#This Row],[DATA REAL - ENVIO]]&lt;&gt;""),1)</f>
        <v>1</v>
      </c>
      <c r="L177" s="16" cm="1">
        <f t="array" aca="1" ref="L17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POSTAGEM]]="",$AW177&gt;$AU$1),2,
AND(Tabela18[[#This Row],[STATUS]]="Em andamento",Tabela18[[#This Row],[DATA REAL - POSTAGEM]]="",$AW177&lt;=$AU$1),3,
AND(Tabela18[[#This Row],[STATUS]]="Em andamento",Tabela18[[#This Row],[DATA REAL - POSTAGEM]]&lt;&gt;""),1)</f>
        <v>1</v>
      </c>
      <c r="M177" s="16" cm="1">
        <f t="array" aca="1" ref="M17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APROVAÇÃO]]="",$AZ177&gt;$AX$1),2,
AND(Tabela18[[#This Row],[STATUS]]="Em andamento",Tabela18[[#This Row],[DATA REAL - APROVAÇÃO]]="",$AZ177&lt;=$AX$1),3,
AND(Tabela18[[#This Row],[STATUS]]="Em andamento",Tabela18[[#This Row],[DATA REAL - APROVAÇÃO]]&lt;&gt;""),1)</f>
        <v>1</v>
      </c>
      <c r="N177" s="21">
        <f>IF(Tabela18[[#This Row],[DATA REAL -EMAIL]]&lt;&gt;"",Tabela18[[#This Row],[DATA REAL -EMAIL]]+30,Tabela18[[#This Row],[DATA PREV - EMAIL]]+30)</f>
        <v>46094</v>
      </c>
      <c r="O177"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46078</v>
      </c>
      <c r="P177"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17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14</v>
      </c>
      <c r="R177" s="49">
        <f>MAX(Tabela18[[#This Row],[DATA REAL - POSTAGEM]],Tabela18[[#This Row],[DATA REAL - APROVAÇÃO]])-MIN(Tabela18[[#This Row],[DATA REAL - POSTAGEM]],Tabela18[[#This Row],[DATA REAL - APROVAÇÃO]])+1</f>
        <v>1</v>
      </c>
      <c r="S177" s="16"/>
      <c r="T177" s="16" t="s">
        <v>84</v>
      </c>
      <c r="U177" s="18" t="s">
        <v>123</v>
      </c>
      <c r="V177" s="96" t="s">
        <v>86</v>
      </c>
      <c r="W177" s="16" t="s">
        <v>97</v>
      </c>
      <c r="X177" s="16" t="s">
        <v>1141</v>
      </c>
      <c r="Y177" s="16"/>
      <c r="Z177" s="15" t="s">
        <v>1142</v>
      </c>
      <c r="AA177" s="15" t="str">
        <f>_xlfn.XLOOKUP(Tabela18[[#This Row],[CÓD. CT]],Controle_Projetos[COD CT],Controle_Projetos[COD PHD],"")</f>
        <v>AURI-CT01-GERE</v>
      </c>
      <c r="AB177" s="16"/>
      <c r="AC177" s="21">
        <v>46064</v>
      </c>
      <c r="AD177" s="74"/>
      <c r="AE177" s="16" cm="1">
        <f t="array" aca="1" ref="AE17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77" s="21">
        <v>46064</v>
      </c>
      <c r="AG177" s="74">
        <v>46064</v>
      </c>
      <c r="AH177" s="16" cm="1">
        <f t="array" aca="1" ref="AH17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7" s="21">
        <f>Tabela18[[#This Row],[DATA PREV - EMAIL]]+$AI$1</f>
        <v>46065</v>
      </c>
      <c r="AJ177" s="74">
        <v>46065</v>
      </c>
      <c r="AK177" s="16" cm="1">
        <f t="array" aca="1" ref="AK17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7" s="20">
        <f t="shared" si="25"/>
        <v>46072</v>
      </c>
      <c r="AM177" s="74">
        <v>46065</v>
      </c>
      <c r="AN177" s="16" cm="1">
        <f t="array" aca="1" ref="AN17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77" s="20">
        <f t="shared" si="26"/>
        <v>46066</v>
      </c>
      <c r="AP177" s="74">
        <v>46078</v>
      </c>
      <c r="AQ177" s="16" cm="1">
        <f t="array" aca="1" ref="AQ17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13</v>
      </c>
      <c r="AR177" s="20">
        <f t="shared" si="27"/>
        <v>46092</v>
      </c>
      <c r="AS177" s="74">
        <v>46078</v>
      </c>
      <c r="AT177" s="16" cm="1">
        <f t="array" aca="1" ref="AT17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77" s="20">
        <f t="shared" si="28"/>
        <v>46085</v>
      </c>
      <c r="AV177" s="74">
        <v>46078</v>
      </c>
      <c r="AW177" s="16" cm="1">
        <f t="array" aca="1" ref="AW17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7" s="20">
        <f t="shared" si="29"/>
        <v>46079</v>
      </c>
      <c r="AY177" s="74">
        <v>46078</v>
      </c>
      <c r="AZ177" s="16" cm="1">
        <f t="array" aca="1" ref="AZ17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77" s="81" t="s">
        <v>1143</v>
      </c>
    </row>
    <row r="178" spans="2:53" ht="18" hidden="1" customHeight="1" x14ac:dyDescent="0.35">
      <c r="B178" s="84" t="s">
        <v>79</v>
      </c>
      <c r="C178" s="86" t="s">
        <v>136</v>
      </c>
      <c r="D178" s="16" t="s">
        <v>108</v>
      </c>
      <c r="E178" s="16" t="s">
        <v>88</v>
      </c>
      <c r="F178" s="16" cm="1">
        <f t="array" ref="F178">_xlfn.IFS(Tabela18[[#This Row],[STATUS]]="Finalizado",1,Tabela18[[#This Row],[STATUS]]="Cancelado",2,Tabela18[[#This Row],[STATUS]]="Em andamento",3)</f>
        <v>1</v>
      </c>
      <c r="G178" s="16" cm="1">
        <f t="array" aca="1" ref="G17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-EMAIL]]="",$AH178&gt;$AF$1),2,
AND(Tabela18[[#This Row],[STATUS]]="Em andamento",Tabela18[[#This Row],[DATA REAL -EMAIL]]="",$AH178&lt;=$AF$1),3,
AND(Tabela18[[#This Row],[STATUS]]="Em andamento",Tabela18[[#This Row],[DATA REAL -EMAIL]]&lt;&gt;""),1)</f>
        <v>1</v>
      </c>
      <c r="H178" s="16" cm="1">
        <f t="array" aca="1" ref="H17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CLIENTE]]="",$AK178&gt;$AI$1),2,
AND(Tabela18[[#This Row],[STATUS]]="Em andamento",Tabela18[[#This Row],[DATA REAL - DOC CLIENTE]]="",$AK178&lt;=$AI$1),3,
AND(Tabela18[[#This Row],[STATUS]]="Em andamento",Tabela18[[#This Row],[DATA REAL - DOC CLIENTE]]&lt;&gt;""),1)</f>
        <v>1</v>
      </c>
      <c r="I178" s="16" cm="1">
        <f t="array" aca="1" ref="I17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06]]="",$AN178&gt;$AL$1),2,
AND(Tabela18[[#This Row],[STATUS]]="Em andamento",Tabela18[[#This Row],[DATA REAL - ANEXO 06]]="",$AN178&lt;=$AL$1),3,
AND(Tabela18[[#This Row],[STATUS]]="Em andamento",Tabela18[[#This Row],[DATA REAL - ANEXO 06]]&lt;&gt;""),1)</f>
        <v>1</v>
      </c>
      <c r="J178" s="16" cm="1">
        <f t="array" aca="1" ref="J17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LEGAIS]]="",$AQ178&gt;$AO$1),2,
AND(Tabela18[[#This Row],[STATUS]]="Em andamento",Tabela18[[#This Row],[DATA REAL - SOLIC. PROG LEGAIS]]="",$AQ178&lt;=$AO$1),3,
AND(Tabela18[[#This Row],[STATUS]]="Em andamento",Tabela18[[#This Row],[DATA REAL - SOLIC. PROG LEGAIS]]&lt;&gt;""),1)</f>
        <v>1</v>
      </c>
      <c r="K178" s="16" cm="1">
        <f t="array" aca="1" ref="K17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ENVIO]]="",$AT178&gt;$AR$1),2,
AND(Tabela18[[#This Row],[STATUS]]="Em andamento",Tabela18[[#This Row],[DATA REAL - ENVIO]]="",$AT178&lt;=$AR$1),3,
AND(Tabela18[[#This Row],[STATUS]]="Em andamento",Tabela18[[#This Row],[DATA REAL - ENVIO]]&lt;&gt;""),1)</f>
        <v>1</v>
      </c>
      <c r="L178" s="16" cm="1">
        <f t="array" aca="1" ref="L17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POSTAGEM]]="",$AW178&gt;$AU$1),2,
AND(Tabela18[[#This Row],[STATUS]]="Em andamento",Tabela18[[#This Row],[DATA REAL - POSTAGEM]]="",$AW178&lt;=$AU$1),3,
AND(Tabela18[[#This Row],[STATUS]]="Em andamento",Tabela18[[#This Row],[DATA REAL - POSTAGEM]]&lt;&gt;""),1)</f>
        <v>1</v>
      </c>
      <c r="M178" s="16" cm="1">
        <f t="array" aca="1" ref="M17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APROVAÇÃO]]="",$AZ178&gt;$AX$1),2,
AND(Tabela18[[#This Row],[STATUS]]="Em andamento",Tabela18[[#This Row],[DATA REAL - APROVAÇÃO]]="",$AZ178&lt;=$AX$1),3,
AND(Tabela18[[#This Row],[STATUS]]="Em andamento",Tabela18[[#This Row],[DATA REAL - APROVAÇÃO]]&lt;&gt;""),1)</f>
        <v>1</v>
      </c>
      <c r="N178" s="21">
        <f>IF(Tabela18[[#This Row],[DATA REAL -EMAIL]]&lt;&gt;"",Tabela18[[#This Row],[DATA REAL -EMAIL]]+30,Tabela18[[#This Row],[DATA PREV - EMAIL]]+30)</f>
        <v>46095</v>
      </c>
      <c r="O178"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46099</v>
      </c>
      <c r="P178"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34</v>
      </c>
      <c r="Q17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20</v>
      </c>
      <c r="R178" s="49">
        <f>MAX(Tabela18[[#This Row],[DATA REAL - POSTAGEM]],Tabela18[[#This Row],[DATA REAL - APROVAÇÃO]])-MIN(Tabela18[[#This Row],[DATA REAL - POSTAGEM]],Tabela18[[#This Row],[DATA REAL - APROVAÇÃO]])+1</f>
        <v>15</v>
      </c>
      <c r="S178" s="16" t="s">
        <v>103</v>
      </c>
      <c r="T178" s="16" t="s">
        <v>150</v>
      </c>
      <c r="U178" s="18" t="s">
        <v>104</v>
      </c>
      <c r="V178" s="96" t="s">
        <v>152</v>
      </c>
      <c r="W178" s="16" t="s">
        <v>97</v>
      </c>
      <c r="X178" s="16" t="s">
        <v>89</v>
      </c>
      <c r="Y178" s="16" t="s">
        <v>262</v>
      </c>
      <c r="Z178" s="15" t="s">
        <v>645</v>
      </c>
      <c r="AA178" s="15" t="str">
        <f>_xlfn.XLOOKUP(Tabela18[[#This Row],[CÓD. CT]],Controle_Projetos[COD CT],Controle_Projetos[COD PHD],"")</f>
        <v>IMCS-CT09-PLAN</v>
      </c>
      <c r="AB178" s="16"/>
      <c r="AC178" s="21">
        <v>46065</v>
      </c>
      <c r="AD178" s="74">
        <v>46077</v>
      </c>
      <c r="AE178" s="16" cm="1">
        <f t="array" aca="1" ref="AE17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13</v>
      </c>
      <c r="AF178" s="21">
        <v>46065</v>
      </c>
      <c r="AG178" s="74">
        <v>46065</v>
      </c>
      <c r="AH178" s="16" cm="1">
        <f t="array" aca="1" ref="AH17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8" s="21">
        <f>Tabela18[[#This Row],[DATA PREV - EMAIL]]+$AI$1</f>
        <v>46066</v>
      </c>
      <c r="AJ178" s="74">
        <v>46065</v>
      </c>
      <c r="AK178" s="16" cm="1">
        <f t="array" aca="1" ref="AK17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8" s="20">
        <f t="shared" si="25"/>
        <v>46072</v>
      </c>
      <c r="AM178" s="74">
        <v>46076</v>
      </c>
      <c r="AN178" s="16" cm="1">
        <f t="array" aca="1" ref="AN17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78" s="20">
        <f t="shared" si="26"/>
        <v>46077</v>
      </c>
      <c r="AP178" s="74">
        <v>46076</v>
      </c>
      <c r="AQ178" s="16" cm="1">
        <f t="array" aca="1" ref="AQ17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78" s="20">
        <f t="shared" si="27"/>
        <v>46090</v>
      </c>
      <c r="AS178" s="74">
        <v>46085</v>
      </c>
      <c r="AT178" s="16" cm="1">
        <f t="array" aca="1" ref="AT17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78" s="20">
        <f t="shared" si="28"/>
        <v>46092</v>
      </c>
      <c r="AV178" s="74">
        <v>46085</v>
      </c>
      <c r="AW178" s="16" cm="1">
        <f t="array" aca="1" ref="AW17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78" s="20">
        <f t="shared" si="29"/>
        <v>46086</v>
      </c>
      <c r="AY178" s="74">
        <v>46099</v>
      </c>
      <c r="AZ178" s="16" cm="1">
        <f t="array" aca="1" ref="AZ17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14</v>
      </c>
      <c r="BA178" s="81" t="s">
        <v>1144</v>
      </c>
    </row>
    <row r="179" spans="2:53" ht="18" hidden="1" customHeight="1" x14ac:dyDescent="0.35">
      <c r="B179" s="84" t="s">
        <v>79</v>
      </c>
      <c r="C179" s="86" t="s">
        <v>136</v>
      </c>
      <c r="D179" s="16" t="s">
        <v>108</v>
      </c>
      <c r="E179" s="16" t="s">
        <v>88</v>
      </c>
      <c r="F179" s="16" cm="1">
        <f t="array" ref="F179">_xlfn.IFS(Tabela18[[#This Row],[STATUS]]="Finalizado",1,Tabela18[[#This Row],[STATUS]]="Cancelado",2,Tabela18[[#This Row],[STATUS]]="Em andamento",3)</f>
        <v>1</v>
      </c>
      <c r="G179" s="16" cm="1">
        <f t="array" aca="1" ref="G17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-EMAIL]]="",$AH179&gt;$AF$1),2,
AND(Tabela18[[#This Row],[STATUS]]="Em andamento",Tabela18[[#This Row],[DATA REAL -EMAIL]]="",$AH179&lt;=$AF$1),3,
AND(Tabela18[[#This Row],[STATUS]]="Em andamento",Tabela18[[#This Row],[DATA REAL -EMAIL]]&lt;&gt;""),1)</f>
        <v>1</v>
      </c>
      <c r="H179" s="16" cm="1">
        <f t="array" aca="1" ref="H17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CLIENTE]]="",$AK179&gt;$AI$1),2,
AND(Tabela18[[#This Row],[STATUS]]="Em andamento",Tabela18[[#This Row],[DATA REAL - DOC CLIENTE]]="",$AK179&lt;=$AI$1),3,
AND(Tabela18[[#This Row],[STATUS]]="Em andamento",Tabela18[[#This Row],[DATA REAL - DOC CLIENTE]]&lt;&gt;""),1)</f>
        <v>1</v>
      </c>
      <c r="I179" s="16" cm="1">
        <f t="array" aca="1" ref="I17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06]]="",$AN179&gt;$AL$1),2,
AND(Tabela18[[#This Row],[STATUS]]="Em andamento",Tabela18[[#This Row],[DATA REAL - ANEXO 06]]="",$AN179&lt;=$AL$1),3,
AND(Tabela18[[#This Row],[STATUS]]="Em andamento",Tabela18[[#This Row],[DATA REAL - ANEXO 06]]&lt;&gt;""),1)</f>
        <v>1</v>
      </c>
      <c r="J179" s="16" cm="1">
        <f t="array" aca="1" ref="J17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LEGAIS]]="",$AQ179&gt;$AO$1),2,
AND(Tabela18[[#This Row],[STATUS]]="Em andamento",Tabela18[[#This Row],[DATA REAL - SOLIC. PROG LEGAIS]]="",$AQ179&lt;=$AO$1),3,
AND(Tabela18[[#This Row],[STATUS]]="Em andamento",Tabela18[[#This Row],[DATA REAL - SOLIC. PROG LEGAIS]]&lt;&gt;""),1)</f>
        <v>1</v>
      </c>
      <c r="K179" s="16" cm="1">
        <f t="array" aca="1" ref="K17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ENVIO]]="",$AT179&gt;$AR$1),2,
AND(Tabela18[[#This Row],[STATUS]]="Em andamento",Tabela18[[#This Row],[DATA REAL - ENVIO]]="",$AT179&lt;=$AR$1),3,
AND(Tabela18[[#This Row],[STATUS]]="Em andamento",Tabela18[[#This Row],[DATA REAL - ENVIO]]&lt;&gt;""),1)</f>
        <v>1</v>
      </c>
      <c r="L179" s="16" cm="1">
        <f t="array" aca="1" ref="L17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POSTAGEM]]="",$AW179&gt;$AU$1),2,
AND(Tabela18[[#This Row],[STATUS]]="Em andamento",Tabela18[[#This Row],[DATA REAL - POSTAGEM]]="",$AW179&lt;=$AU$1),3,
AND(Tabela18[[#This Row],[STATUS]]="Em andamento",Tabela18[[#This Row],[DATA REAL - POSTAGEM]]&lt;&gt;""),1)</f>
        <v>1</v>
      </c>
      <c r="M179" s="16" cm="1">
        <f t="array" aca="1" ref="M17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APROVAÇÃO]]="",$AZ179&gt;$AX$1),2,
AND(Tabela18[[#This Row],[STATUS]]="Em andamento",Tabela18[[#This Row],[DATA REAL - APROVAÇÃO]]="",$AZ179&lt;=$AX$1),3,
AND(Tabela18[[#This Row],[STATUS]]="Em andamento",Tabela18[[#This Row],[DATA REAL - APROVAÇÃO]]&lt;&gt;""),1)</f>
        <v>1</v>
      </c>
      <c r="N179" s="21">
        <f>IF(Tabela18[[#This Row],[DATA REAL -EMAIL]]&lt;&gt;"",Tabela18[[#This Row],[DATA REAL -EMAIL]]+30,Tabela18[[#This Row],[DATA PREV - EMAIL]]+30)</f>
        <v>46107</v>
      </c>
      <c r="O179"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46112</v>
      </c>
      <c r="P179"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35</v>
      </c>
      <c r="Q17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179" s="49">
        <f>MAX(Tabela18[[#This Row],[DATA REAL - POSTAGEM]],Tabela18[[#This Row],[DATA REAL - APROVAÇÃO]])-MIN(Tabela18[[#This Row],[DATA REAL - POSTAGEM]],Tabela18[[#This Row],[DATA REAL - APROVAÇÃO]])+1</f>
        <v>1</v>
      </c>
      <c r="S179" s="16" t="s">
        <v>103</v>
      </c>
      <c r="T179" s="16" t="s">
        <v>150</v>
      </c>
      <c r="U179" s="18" t="s">
        <v>104</v>
      </c>
      <c r="V179" s="96" t="s">
        <v>152</v>
      </c>
      <c r="W179" s="16" t="s">
        <v>87</v>
      </c>
      <c r="X179" s="16" t="s">
        <v>89</v>
      </c>
      <c r="Y179" s="16" t="s">
        <v>262</v>
      </c>
      <c r="Z179" s="15" t="s">
        <v>645</v>
      </c>
      <c r="AA179" s="15" t="str">
        <f>_xlfn.XLOOKUP(Tabela18[[#This Row],[CÓD. CT]],Controle_Projetos[COD CT],Controle_Projetos[COD PHD],"")</f>
        <v>IMCS-CT09-PLAN</v>
      </c>
      <c r="AB179" s="16"/>
      <c r="AC179" s="21">
        <v>46077</v>
      </c>
      <c r="AD179" s="74">
        <v>46077</v>
      </c>
      <c r="AE179" s="16" cm="1">
        <f t="array" aca="1" ref="AE17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79" s="21">
        <v>46077</v>
      </c>
      <c r="AG179" s="74">
        <v>46077</v>
      </c>
      <c r="AH179" s="16" cm="1">
        <f t="array" aca="1" ref="AH17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79" s="21">
        <f>Tabela18[[#This Row],[DATA PREV - EMAIL]]+$AI$1</f>
        <v>46078</v>
      </c>
      <c r="AJ179" s="74">
        <v>46077</v>
      </c>
      <c r="AK179" s="16" cm="1">
        <f t="array" aca="1" ref="AK17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79" s="20">
        <f t="shared" si="25"/>
        <v>46084</v>
      </c>
      <c r="AM179" s="74">
        <v>46077</v>
      </c>
      <c r="AN179" s="16" cm="1">
        <f t="array" aca="1" ref="AN17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79" s="20">
        <f t="shared" si="26"/>
        <v>46078</v>
      </c>
      <c r="AP179" s="74">
        <v>46077</v>
      </c>
      <c r="AQ179" s="16" cm="1">
        <f t="array" aca="1" ref="AQ17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79" s="20">
        <f t="shared" si="27"/>
        <v>46091</v>
      </c>
      <c r="AS179" s="74">
        <v>46085</v>
      </c>
      <c r="AT179" s="16" cm="1">
        <f t="array" aca="1" ref="AT17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79" s="24">
        <f t="shared" ref="AU179:AU197" si="30">IF(AR179="","",IF(AS179="",WORKDAY(AR179,AU$1,),WORKDAY(AS179,AU$1,)))</f>
        <v>46092</v>
      </c>
      <c r="AV179" s="74">
        <v>46112</v>
      </c>
      <c r="AW179" s="16" cm="1">
        <f t="array" aca="1" ref="AW17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21</v>
      </c>
      <c r="AX179" s="21">
        <f t="shared" ref="AX179:AX184" si="31">IF(AU179="","",IF(AV179="",WORKDAY(AU179,AX$1,),WORKDAY(AV179,AX$1,)))</f>
        <v>46113</v>
      </c>
      <c r="AY179" s="74">
        <v>46112</v>
      </c>
      <c r="AZ179" s="16" cm="1">
        <f t="array" aca="1" ref="AZ17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79" s="81" t="s">
        <v>1145</v>
      </c>
    </row>
    <row r="180" spans="2:53" ht="18" hidden="1" customHeight="1" x14ac:dyDescent="0.35">
      <c r="B180" s="84" t="s">
        <v>79</v>
      </c>
      <c r="C180" s="86" t="s">
        <v>136</v>
      </c>
      <c r="D180" s="86" t="s">
        <v>108</v>
      </c>
      <c r="E180" s="86" t="s">
        <v>649</v>
      </c>
      <c r="F180" s="86" cm="1">
        <f t="array" ref="F180">_xlfn.IFS(Tabela18[[#This Row],[STATUS]]="Finalizado",1,Tabela18[[#This Row],[STATUS]]="Cancelado",2,Tabela18[[#This Row],[STATUS]]="Em andamento",3)</f>
        <v>1</v>
      </c>
      <c r="G180" s="86" cm="1">
        <f t="array" aca="1" ref="G18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-EMAIL]]="",$AH180&gt;$AF$1),2,
AND(Tabela18[[#This Row],[STATUS]]="Em andamento",Tabela18[[#This Row],[DATA REAL -EMAIL]]="",$AH180&lt;=$AF$1),3,
AND(Tabela18[[#This Row],[STATUS]]="Em andamento",Tabela18[[#This Row],[DATA REAL -EMAIL]]&lt;&gt;""),1)</f>
        <v>1</v>
      </c>
      <c r="H180" s="86" cm="1">
        <f t="array" aca="1" ref="H18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CLIENTE]]="",$AK180&gt;$AI$1),2,
AND(Tabela18[[#This Row],[STATUS]]="Em andamento",Tabela18[[#This Row],[DATA REAL - DOC CLIENTE]]="",$AK180&lt;=$AI$1),3,
AND(Tabela18[[#This Row],[STATUS]]="Em andamento",Tabela18[[#This Row],[DATA REAL - DOC CLIENTE]]&lt;&gt;""),1)</f>
        <v>1</v>
      </c>
      <c r="I180" s="86" cm="1">
        <f t="array" aca="1" ref="I18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06]]="",$AN180&gt;$AL$1),2,
AND(Tabela18[[#This Row],[STATUS]]="Em andamento",Tabela18[[#This Row],[DATA REAL - ANEXO 06]]="",$AN180&lt;=$AL$1),3,
AND(Tabela18[[#This Row],[STATUS]]="Em andamento",Tabela18[[#This Row],[DATA REAL - ANEXO 06]]&lt;&gt;""),1)</f>
        <v>1</v>
      </c>
      <c r="J180" s="86" cm="1">
        <f t="array" aca="1" ref="J18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LEGAIS]]="",$AQ180&gt;$AO$1),2,
AND(Tabela18[[#This Row],[STATUS]]="Em andamento",Tabela18[[#This Row],[DATA REAL - SOLIC. PROG LEGAIS]]="",$AQ180&lt;=$AO$1),3,
AND(Tabela18[[#This Row],[STATUS]]="Em andamento",Tabela18[[#This Row],[DATA REAL - SOLIC. PROG LEGAIS]]&lt;&gt;""),1)</f>
        <v>1</v>
      </c>
      <c r="K180" s="86" cm="1">
        <f t="array" aca="1" ref="K18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ENVIO]]="",$AT180&gt;$AR$1),2,
AND(Tabela18[[#This Row],[STATUS]]="Em andamento",Tabela18[[#This Row],[DATA REAL - ENVIO]]="",$AT180&lt;=$AR$1),3,
AND(Tabela18[[#This Row],[STATUS]]="Em andamento",Tabela18[[#This Row],[DATA REAL - ENVIO]]&lt;&gt;""),1)</f>
        <v>1</v>
      </c>
      <c r="L180" s="86" cm="1">
        <f t="array" aca="1" ref="L18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POSTAGEM]]="",$AW180&gt;$AU$1),2,
AND(Tabela18[[#This Row],[STATUS]]="Em andamento",Tabela18[[#This Row],[DATA REAL - POSTAGEM]]="",$AW180&lt;=$AU$1),3,
AND(Tabela18[[#This Row],[STATUS]]="Em andamento",Tabela18[[#This Row],[DATA REAL - POSTAGEM]]&lt;&gt;""),1)</f>
        <v>1</v>
      </c>
      <c r="M180" s="86" cm="1">
        <f t="array" aca="1" ref="M18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APROVAÇÃO]]="",$AZ180&gt;$AX$1),2,
AND(Tabela18[[#This Row],[STATUS]]="Em andamento",Tabela18[[#This Row],[DATA REAL - APROVAÇÃO]]="",$AZ180&lt;=$AX$1),3,
AND(Tabela18[[#This Row],[STATUS]]="Em andamento",Tabela18[[#This Row],[DATA REAL - APROVAÇÃO]]&lt;&gt;""),1)</f>
        <v>1</v>
      </c>
      <c r="N180" s="87">
        <f>IF(Tabela18[[#This Row],[DATA REAL -EMAIL]]&lt;&gt;"",Tabela18[[#This Row],[DATA REAL -EMAIL]]+30,Tabela18[[#This Row],[DATA PREV - EMAIL]]+30)</f>
        <v>46110</v>
      </c>
      <c r="O180" s="87">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46113</v>
      </c>
      <c r="P180" s="88">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33</v>
      </c>
      <c r="Q18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v>
      </c>
      <c r="R180" s="88">
        <f>MAX(Tabela18[[#This Row],[DATA REAL - POSTAGEM]],Tabela18[[#This Row],[DATA REAL - APROVAÇÃO]])-MIN(Tabela18[[#This Row],[DATA REAL - POSTAGEM]],Tabela18[[#This Row],[DATA REAL - APROVAÇÃO]])+1</f>
        <v>7</v>
      </c>
      <c r="S180" s="86" t="s">
        <v>110</v>
      </c>
      <c r="T180" s="26" t="s">
        <v>84</v>
      </c>
      <c r="U180" s="97" t="s">
        <v>1146</v>
      </c>
      <c r="V180" s="95" t="s">
        <v>86</v>
      </c>
      <c r="W180" s="86" t="s">
        <v>97</v>
      </c>
      <c r="X180" s="86" t="s">
        <v>89</v>
      </c>
      <c r="Y180" s="86" t="s">
        <v>1147</v>
      </c>
      <c r="Z180" s="98" t="s">
        <v>651</v>
      </c>
      <c r="AA180" s="15" t="str">
        <f>_xlfn.XLOOKUP(Tabela18[[#This Row],[CÓD. CT]],Controle_Projetos[COD CT],Controle_Projetos[COD PHD],"")</f>
        <v>CIVM-CT01-PLAN</v>
      </c>
      <c r="AB180" s="86"/>
      <c r="AC180" s="87">
        <v>46080</v>
      </c>
      <c r="AD180" s="90">
        <v>46101</v>
      </c>
      <c r="AE180" s="86" cm="1">
        <f t="array" aca="1" ref="AE18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22</v>
      </c>
      <c r="AF180" s="87">
        <v>46080</v>
      </c>
      <c r="AG180" s="90">
        <v>46080</v>
      </c>
      <c r="AH180" s="86" cm="1">
        <f t="array" aca="1" ref="AH18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0" s="87">
        <f>Tabela18[[#This Row],[DATA PREV - EMAIL]]+$AI$1</f>
        <v>46081</v>
      </c>
      <c r="AJ180" s="90">
        <v>46080</v>
      </c>
      <c r="AK180" s="86" cm="1">
        <f t="array" aca="1" ref="AK18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0" s="20">
        <f t="shared" si="25"/>
        <v>46087</v>
      </c>
      <c r="AM180" s="90">
        <v>46084</v>
      </c>
      <c r="AN180" s="86" cm="1">
        <f t="array" aca="1" ref="AN18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180" s="20">
        <f t="shared" si="26"/>
        <v>46085</v>
      </c>
      <c r="AP180" s="90">
        <v>46084</v>
      </c>
      <c r="AQ180" s="86" cm="1">
        <f t="array" aca="1" ref="AQ18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80" s="20">
        <f t="shared" si="27"/>
        <v>46098</v>
      </c>
      <c r="AS180" s="90">
        <v>46092</v>
      </c>
      <c r="AT180" s="86" cm="1">
        <f t="array" aca="1" ref="AT18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80" s="24">
        <f t="shared" si="30"/>
        <v>46099</v>
      </c>
      <c r="AV180" s="90">
        <v>46107</v>
      </c>
      <c r="AW180" s="86" cm="1">
        <f t="array" aca="1" ref="AW18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v>
      </c>
      <c r="AX180" s="87">
        <f t="shared" si="31"/>
        <v>46108</v>
      </c>
      <c r="AY180" s="90">
        <v>46113</v>
      </c>
      <c r="AZ180" s="86" cm="1">
        <f t="array" aca="1" ref="AZ18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6</v>
      </c>
      <c r="BA180" s="94" t="s">
        <v>1148</v>
      </c>
    </row>
    <row r="181" spans="2:53" ht="18" hidden="1" customHeight="1" x14ac:dyDescent="0.35">
      <c r="B181" s="14" t="s">
        <v>79</v>
      </c>
      <c r="C181" s="16" t="s">
        <v>136</v>
      </c>
      <c r="D181" s="16" t="s">
        <v>108</v>
      </c>
      <c r="E181" s="16" t="s">
        <v>455</v>
      </c>
      <c r="F181" s="16" cm="1">
        <f t="array" ref="F181">_xlfn.IFS(Tabela18[[#This Row],[STATUS]]="Finalizado",1,Tabela18[[#This Row],[STATUS]]="Cancelado",2,Tabela18[[#This Row],[STATUS]]="Em andamento",3)</f>
        <v>1</v>
      </c>
      <c r="G181" s="16" cm="1">
        <f t="array" aca="1" ref="G18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-EMAIL]]="",$AH181&gt;$AF$1),2,
AND(Tabela18[[#This Row],[STATUS]]="Em andamento",Tabela18[[#This Row],[DATA REAL -EMAIL]]="",$AH181&lt;=$AF$1),3,
AND(Tabela18[[#This Row],[STATUS]]="Em andamento",Tabela18[[#This Row],[DATA REAL -EMAIL]]&lt;&gt;""),1)</f>
        <v>1</v>
      </c>
      <c r="H181" s="16" cm="1">
        <f t="array" aca="1" ref="H18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CLIENTE]]="",$AK181&gt;$AI$1),2,
AND(Tabela18[[#This Row],[STATUS]]="Em andamento",Tabela18[[#This Row],[DATA REAL - DOC CLIENTE]]="",$AK181&lt;=$AI$1),3,
AND(Tabela18[[#This Row],[STATUS]]="Em andamento",Tabela18[[#This Row],[DATA REAL - DOC CLIENTE]]&lt;&gt;""),1)</f>
        <v>1</v>
      </c>
      <c r="I181" s="16" cm="1">
        <f t="array" aca="1" ref="I18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06]]="",$AN181&gt;$AL$1),2,
AND(Tabela18[[#This Row],[STATUS]]="Em andamento",Tabela18[[#This Row],[DATA REAL - ANEXO 06]]="",$AN181&lt;=$AL$1),3,
AND(Tabela18[[#This Row],[STATUS]]="Em andamento",Tabela18[[#This Row],[DATA REAL - ANEXO 06]]&lt;&gt;""),1)</f>
        <v>1</v>
      </c>
      <c r="J181" s="16" cm="1">
        <f t="array" aca="1" ref="J18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LEGAIS]]="",$AQ181&gt;$AO$1),2,
AND(Tabela18[[#This Row],[STATUS]]="Em andamento",Tabela18[[#This Row],[DATA REAL - SOLIC. PROG LEGAIS]]="",$AQ181&lt;=$AO$1),3,
AND(Tabela18[[#This Row],[STATUS]]="Em andamento",Tabela18[[#This Row],[DATA REAL - SOLIC. PROG LEGAIS]]&lt;&gt;""),1)</f>
        <v>1</v>
      </c>
      <c r="K181" s="16" cm="1">
        <f t="array" aca="1" ref="K18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ENVIO]]="",$AT181&gt;$AR$1),2,
AND(Tabela18[[#This Row],[STATUS]]="Em andamento",Tabela18[[#This Row],[DATA REAL - ENVIO]]="",$AT181&lt;=$AR$1),3,
AND(Tabela18[[#This Row],[STATUS]]="Em andamento",Tabela18[[#This Row],[DATA REAL - ENVIO]]&lt;&gt;""),1)</f>
        <v>1</v>
      </c>
      <c r="L181" s="16" cm="1">
        <f t="array" aca="1" ref="L18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POSTAGEM]]="",$AW181&gt;$AU$1),2,
AND(Tabela18[[#This Row],[STATUS]]="Em andamento",Tabela18[[#This Row],[DATA REAL - POSTAGEM]]="",$AW181&lt;=$AU$1),3,
AND(Tabela18[[#This Row],[STATUS]]="Em andamento",Tabela18[[#This Row],[DATA REAL - POSTAGEM]]&lt;&gt;""),1)</f>
        <v>1</v>
      </c>
      <c r="M181" s="16" cm="1">
        <f t="array" aca="1" ref="M18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APROVAÇÃO]]="",$AZ181&gt;$AX$1),2,
AND(Tabela18[[#This Row],[STATUS]]="Em andamento",Tabela18[[#This Row],[DATA REAL - APROVAÇÃO]]="",$AZ181&lt;=$AX$1),3,
AND(Tabela18[[#This Row],[STATUS]]="Em andamento",Tabela18[[#This Row],[DATA REAL - APROVAÇÃO]]&lt;&gt;""),1)</f>
        <v>1</v>
      </c>
      <c r="N181" s="21">
        <f>IF(Tabela18[[#This Row],[DATA REAL -EMAIL]]&lt;&gt;"",Tabela18[[#This Row],[DATA REAL -EMAIL]]+30,Tabela18[[#This Row],[DATA PREV - EMAIL]]+30)</f>
        <v>46128</v>
      </c>
      <c r="O181"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46101</v>
      </c>
      <c r="P181"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v>
      </c>
      <c r="Q18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81" s="49">
        <f>MAX(Tabela18[[#This Row],[DATA REAL - POSTAGEM]],Tabela18[[#This Row],[DATA REAL - APROVAÇÃO]])-MIN(Tabela18[[#This Row],[DATA REAL - POSTAGEM]],Tabela18[[#This Row],[DATA REAL - APROVAÇÃO]])+1</f>
        <v>4</v>
      </c>
      <c r="S181" s="16" t="s">
        <v>149</v>
      </c>
      <c r="T181" s="26" t="s">
        <v>150</v>
      </c>
      <c r="U181" s="18" t="s">
        <v>151</v>
      </c>
      <c r="V181" s="96" t="s">
        <v>152</v>
      </c>
      <c r="W181" s="86" t="s">
        <v>97</v>
      </c>
      <c r="X181" s="16" t="s">
        <v>455</v>
      </c>
      <c r="Y181" s="16" t="s">
        <v>1149</v>
      </c>
      <c r="Z181" s="15" t="s">
        <v>670</v>
      </c>
      <c r="AA181" s="15" t="str">
        <f>_xlfn.XLOOKUP(Tabela18[[#This Row],[CÓD. CT]],Controle_Projetos[COD CT],Controle_Projetos[COD PHD],"")</f>
        <v>AURA-CT03-BORB</v>
      </c>
      <c r="AB181" s="16"/>
      <c r="AC181" s="21">
        <v>46098</v>
      </c>
      <c r="AD181" s="74">
        <v>46098</v>
      </c>
      <c r="AE181" s="16" cm="1">
        <f t="array" aca="1" ref="AE18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1" s="21">
        <v>46098</v>
      </c>
      <c r="AG181" s="74">
        <v>46098</v>
      </c>
      <c r="AH181" s="16" cm="1">
        <f t="array" aca="1" ref="AH18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1" s="21">
        <f>Tabela18[[#This Row],[DATA PREV - EMAIL]]+$AI$1</f>
        <v>46099</v>
      </c>
      <c r="AJ181" s="74">
        <v>46098</v>
      </c>
      <c r="AK181" s="16" cm="1">
        <f t="array" aca="1" ref="AK18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1" s="20">
        <f t="shared" si="25"/>
        <v>46105</v>
      </c>
      <c r="AM181" s="74">
        <v>46098</v>
      </c>
      <c r="AN181" s="16" cm="1">
        <f t="array" aca="1" ref="AN18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81" s="20">
        <f t="shared" si="26"/>
        <v>46099</v>
      </c>
      <c r="AP181" s="74">
        <v>46098</v>
      </c>
      <c r="AQ181" s="16" cm="1">
        <f t="array" aca="1" ref="AQ18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81" s="20">
        <f t="shared" si="27"/>
        <v>46112</v>
      </c>
      <c r="AS181" s="74">
        <v>46098</v>
      </c>
      <c r="AT181" s="16" cm="1">
        <f t="array" aca="1" ref="AT18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81" s="24">
        <f t="shared" si="30"/>
        <v>46105</v>
      </c>
      <c r="AV181" s="74">
        <v>46098</v>
      </c>
      <c r="AW181" s="16" cm="1">
        <f t="array" aca="1" ref="AW18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81" s="21">
        <f t="shared" si="31"/>
        <v>46099</v>
      </c>
      <c r="AY181" s="74">
        <v>46101</v>
      </c>
      <c r="AZ181" s="16" cm="1">
        <f t="array" aca="1" ref="AZ18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v>
      </c>
      <c r="BA181" s="81" t="s">
        <v>1150</v>
      </c>
    </row>
    <row r="182" spans="2:53" ht="18" hidden="1" customHeight="1" x14ac:dyDescent="0.35">
      <c r="B182" s="14" t="s">
        <v>79</v>
      </c>
      <c r="C182" s="16" t="s">
        <v>136</v>
      </c>
      <c r="D182" s="16" t="s">
        <v>108</v>
      </c>
      <c r="E182" s="16" t="s">
        <v>685</v>
      </c>
      <c r="F182" s="16" cm="1">
        <f t="array" ref="F182">_xlfn.IFS(Tabela18[[#This Row],[STATUS]]="Finalizado",1,Tabela18[[#This Row],[STATUS]]="Cancelado",2,Tabela18[[#This Row],[STATUS]]="Em andamento",3)</f>
        <v>1</v>
      </c>
      <c r="G182" s="16" cm="1">
        <f t="array" aca="1" ref="G18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-EMAIL]]="",$AH182&gt;$AF$1),2,
AND(Tabela18[[#This Row],[STATUS]]="Em andamento",Tabela18[[#This Row],[DATA REAL -EMAIL]]="",$AH182&lt;=$AF$1),3,
AND(Tabela18[[#This Row],[STATUS]]="Em andamento",Tabela18[[#This Row],[DATA REAL -EMAIL]]&lt;&gt;""),1)</f>
        <v>1</v>
      </c>
      <c r="H182" s="16" cm="1">
        <f t="array" aca="1" ref="H18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CLIENTE]]="",$AK182&gt;$AI$1),2,
AND(Tabela18[[#This Row],[STATUS]]="Em andamento",Tabela18[[#This Row],[DATA REAL - DOC CLIENTE]]="",$AK182&lt;=$AI$1),3,
AND(Tabela18[[#This Row],[STATUS]]="Em andamento",Tabela18[[#This Row],[DATA REAL - DOC CLIENTE]]&lt;&gt;""),1)</f>
        <v>1</v>
      </c>
      <c r="I182" s="16" cm="1">
        <f t="array" aca="1" ref="I18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06]]="",$AN182&gt;$AL$1),2,
AND(Tabela18[[#This Row],[STATUS]]="Em andamento",Tabela18[[#This Row],[DATA REAL - ANEXO 06]]="",$AN182&lt;=$AL$1),3,
AND(Tabela18[[#This Row],[STATUS]]="Em andamento",Tabela18[[#This Row],[DATA REAL - ANEXO 06]]&lt;&gt;""),1)</f>
        <v>0</v>
      </c>
      <c r="J182" s="16" cm="1">
        <f t="array" aca="1" ref="J18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LEGAIS]]="",$AQ182&gt;$AO$1),2,
AND(Tabela18[[#This Row],[STATUS]]="Em andamento",Tabela18[[#This Row],[DATA REAL - SOLIC. PROG LEGAIS]]="",$AQ182&lt;=$AO$1),3,
AND(Tabela18[[#This Row],[STATUS]]="Em andamento",Tabela18[[#This Row],[DATA REAL - SOLIC. PROG LEGAIS]]&lt;&gt;""),1)</f>
        <v>0</v>
      </c>
      <c r="K182" s="16" cm="1">
        <f t="array" aca="1" ref="K18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ENVIO]]="",$AT182&gt;$AR$1),2,
AND(Tabela18[[#This Row],[STATUS]]="Em andamento",Tabela18[[#This Row],[DATA REAL - ENVIO]]="",$AT182&lt;=$AR$1),3,
AND(Tabela18[[#This Row],[STATUS]]="Em andamento",Tabela18[[#This Row],[DATA REAL - ENVIO]]&lt;&gt;""),1)</f>
        <v>0</v>
      </c>
      <c r="L182" s="16" cm="1">
        <f t="array" aca="1" ref="L18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POSTAGEM]]="",$AW182&gt;$AU$1),2,
AND(Tabela18[[#This Row],[STATUS]]="Em andamento",Tabela18[[#This Row],[DATA REAL - POSTAGEM]]="",$AW182&lt;=$AU$1),3,
AND(Tabela18[[#This Row],[STATUS]]="Em andamento",Tabela18[[#This Row],[DATA REAL - POSTAGEM]]&lt;&gt;""),1)</f>
        <v>0</v>
      </c>
      <c r="M182" s="16" cm="1">
        <f t="array" aca="1" ref="M18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APROVAÇÃO]]="",$AZ182&gt;$AX$1),2,
AND(Tabela18[[#This Row],[STATUS]]="Em andamento",Tabela18[[#This Row],[DATA REAL - APROVAÇÃO]]="",$AZ182&lt;=$AX$1),3,
AND(Tabela18[[#This Row],[STATUS]]="Em andamento",Tabela18[[#This Row],[DATA REAL - APROVAÇÃO]]&lt;&gt;""),1)</f>
        <v>1</v>
      </c>
      <c r="N182" s="21">
        <f>IF(Tabela18[[#This Row],[DATA REAL -EMAIL]]&lt;&gt;"",Tabela18[[#This Row],[DATA REAL -EMAIL]]+30,Tabela18[[#This Row],[DATA PREV - EMAIL]]+30)</f>
        <v>46128</v>
      </c>
      <c r="O182"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46150</v>
      </c>
      <c r="P182"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52</v>
      </c>
      <c r="Q18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52</v>
      </c>
      <c r="R182" s="49">
        <f>MAX(Tabela18[[#This Row],[DATA REAL - POSTAGEM]],Tabela18[[#This Row],[DATA REAL - APROVAÇÃO]])-MIN(Tabela18[[#This Row],[DATA REAL - POSTAGEM]],Tabela18[[#This Row],[DATA REAL - APROVAÇÃO]])+1</f>
        <v>1</v>
      </c>
      <c r="S182" s="16" t="s">
        <v>515</v>
      </c>
      <c r="T182" s="26" t="s">
        <v>130</v>
      </c>
      <c r="U182" s="18" t="s">
        <v>1136</v>
      </c>
      <c r="V182" s="96" t="s">
        <v>131</v>
      </c>
      <c r="W182" s="86" t="s">
        <v>97</v>
      </c>
      <c r="X182" s="16" t="s">
        <v>685</v>
      </c>
      <c r="Y182" s="16" t="s">
        <v>686</v>
      </c>
      <c r="Z182" s="15" t="s">
        <v>687</v>
      </c>
      <c r="AA182" s="15" t="str">
        <f>_xlfn.XLOOKUP(Tabela18[[#This Row],[CÓD. CT]],Controle_Projetos[COD CT],Controle_Projetos[COD PHD],"")</f>
        <v>APER-CT01-CONS</v>
      </c>
      <c r="AB182" s="16"/>
      <c r="AC182" s="21">
        <v>46098</v>
      </c>
      <c r="AD182" s="74">
        <v>46150</v>
      </c>
      <c r="AE182" s="16" cm="1">
        <f t="array" aca="1" ref="AE18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53</v>
      </c>
      <c r="AF182" s="21">
        <v>46098</v>
      </c>
      <c r="AG182" s="74">
        <v>46098</v>
      </c>
      <c r="AH182" s="16" cm="1">
        <f t="array" aca="1" ref="AH18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2" s="21">
        <f>Tabela18[[#This Row],[DATA PREV - EMAIL]]+$AI$1</f>
        <v>46099</v>
      </c>
      <c r="AJ182" s="74">
        <v>46098</v>
      </c>
      <c r="AK182" s="16" cm="1">
        <f t="array" aca="1" ref="AK18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2" s="20">
        <f t="shared" si="25"/>
        <v>46105</v>
      </c>
      <c r="AM182" s="74"/>
      <c r="AN182" s="16" cm="1">
        <f t="array" aca="1" ref="AN18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82" s="20">
        <f t="shared" si="26"/>
        <v>46106</v>
      </c>
      <c r="AP182" s="74"/>
      <c r="AQ182" s="16" cm="1">
        <f t="array" aca="1" ref="AQ18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82" s="20">
        <f t="shared" si="27"/>
        <v>46120</v>
      </c>
      <c r="AS182" s="74"/>
      <c r="AT182" s="16" cm="1">
        <f t="array" aca="1" ref="AT18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82" s="24">
        <f t="shared" si="30"/>
        <v>46127</v>
      </c>
      <c r="AV182" s="101"/>
      <c r="AW182" s="16" cm="1">
        <f t="array" aca="1" ref="AW18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82" s="21">
        <f t="shared" si="31"/>
        <v>46128</v>
      </c>
      <c r="AY182" s="74">
        <v>46150</v>
      </c>
      <c r="AZ182" s="16" cm="1">
        <f t="array" aca="1" ref="AZ18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23</v>
      </c>
      <c r="BA182" s="81" t="s">
        <v>1151</v>
      </c>
    </row>
    <row r="183" spans="2:53" ht="18" hidden="1" customHeight="1" x14ac:dyDescent="0.35">
      <c r="B183" s="84" t="s">
        <v>79</v>
      </c>
      <c r="C183" s="86" t="s">
        <v>136</v>
      </c>
      <c r="D183" s="86" t="s">
        <v>108</v>
      </c>
      <c r="E183" s="86" t="s">
        <v>649</v>
      </c>
      <c r="F183" s="16" cm="1">
        <f t="array" ref="F183">_xlfn.IFS(Tabela18[[#This Row],[STATUS]]="Finalizado",1,Tabela18[[#This Row],[STATUS]]="Cancelado",2,Tabela18[[#This Row],[STATUS]]="Em andamento",3)</f>
        <v>1</v>
      </c>
      <c r="G183" s="16" cm="1">
        <f t="array" aca="1" ref="G18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-EMAIL]]="",$AH183&gt;$AF$1),2,
AND(Tabela18[[#This Row],[STATUS]]="Em andamento",Tabela18[[#This Row],[DATA REAL -EMAIL]]="",$AH183&lt;=$AF$1),3,
AND(Tabela18[[#This Row],[STATUS]]="Em andamento",Tabela18[[#This Row],[DATA REAL -EMAIL]]&lt;&gt;""),1)</f>
        <v>1</v>
      </c>
      <c r="H183" s="16" cm="1">
        <f t="array" aca="1" ref="H18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CLIENTE]]="",$AK183&gt;$AI$1),2,
AND(Tabela18[[#This Row],[STATUS]]="Em andamento",Tabela18[[#This Row],[DATA REAL - DOC CLIENTE]]="",$AK183&lt;=$AI$1),3,
AND(Tabela18[[#This Row],[STATUS]]="Em andamento",Tabela18[[#This Row],[DATA REAL - DOC CLIENTE]]&lt;&gt;""),1)</f>
        <v>1</v>
      </c>
      <c r="I183" s="16" cm="1">
        <f t="array" aca="1" ref="I18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06]]="",$AN183&gt;$AL$1),2,
AND(Tabela18[[#This Row],[STATUS]]="Em andamento",Tabela18[[#This Row],[DATA REAL - ANEXO 06]]="",$AN183&lt;=$AL$1),3,
AND(Tabela18[[#This Row],[STATUS]]="Em andamento",Tabela18[[#This Row],[DATA REAL - ANEXO 06]]&lt;&gt;""),1)</f>
        <v>1</v>
      </c>
      <c r="J183" s="16" cm="1">
        <f t="array" aca="1" ref="J18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LEGAIS]]="",$AQ183&gt;$AO$1),2,
AND(Tabela18[[#This Row],[STATUS]]="Em andamento",Tabela18[[#This Row],[DATA REAL - SOLIC. PROG LEGAIS]]="",$AQ183&lt;=$AO$1),3,
AND(Tabela18[[#This Row],[STATUS]]="Em andamento",Tabela18[[#This Row],[DATA REAL - SOLIC. PROG LEGAIS]]&lt;&gt;""),1)</f>
        <v>1</v>
      </c>
      <c r="K183" s="16" cm="1">
        <f t="array" aca="1" ref="K18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ENVIO]]="",$AT183&gt;$AR$1),2,
AND(Tabela18[[#This Row],[STATUS]]="Em andamento",Tabela18[[#This Row],[DATA REAL - ENVIO]]="",$AT183&lt;=$AR$1),3,
AND(Tabela18[[#This Row],[STATUS]]="Em andamento",Tabela18[[#This Row],[DATA REAL - ENVIO]]&lt;&gt;""),1)</f>
        <v>1</v>
      </c>
      <c r="L183" s="16" cm="1">
        <f t="array" aca="1" ref="L18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POSTAGEM]]="",$AW183&gt;$AU$1),2,
AND(Tabela18[[#This Row],[STATUS]]="Em andamento",Tabela18[[#This Row],[DATA REAL - POSTAGEM]]="",$AW183&lt;=$AU$1),3,
AND(Tabela18[[#This Row],[STATUS]]="Em andamento",Tabela18[[#This Row],[DATA REAL - POSTAGEM]]&lt;&gt;""),1)</f>
        <v>1</v>
      </c>
      <c r="M183" s="16" cm="1">
        <f t="array" aca="1" ref="M18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APROVAÇÃO]]="",$AZ183&gt;$AX$1),2,
AND(Tabela18[[#This Row],[STATUS]]="Em andamento",Tabela18[[#This Row],[DATA REAL - APROVAÇÃO]]="",$AZ183&lt;=$AX$1),3,
AND(Tabela18[[#This Row],[STATUS]]="Em andamento",Tabela18[[#This Row],[DATA REAL - APROVAÇÃO]]&lt;&gt;""),1)</f>
        <v>1</v>
      </c>
      <c r="N183" s="21">
        <f>IF(Tabela18[[#This Row],[DATA REAL -EMAIL]]&lt;&gt;"",Tabela18[[#This Row],[DATA REAL -EMAIL]]+30,Tabela18[[#This Row],[DATA PREV - EMAIL]]+30)</f>
        <v>46110</v>
      </c>
      <c r="O183"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46129</v>
      </c>
      <c r="P183"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49</v>
      </c>
      <c r="Q18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21</v>
      </c>
      <c r="R183" s="49">
        <f>MAX(Tabela18[[#This Row],[DATA REAL - POSTAGEM]],Tabela18[[#This Row],[DATA REAL - APROVAÇÃO]])-MIN(Tabela18[[#This Row],[DATA REAL - POSTAGEM]],Tabela18[[#This Row],[DATA REAL - APROVAÇÃO]])+1</f>
        <v>16</v>
      </c>
      <c r="S183" s="86" t="s">
        <v>110</v>
      </c>
      <c r="T183" s="26" t="s">
        <v>84</v>
      </c>
      <c r="U183" s="97" t="s">
        <v>1146</v>
      </c>
      <c r="V183" s="95" t="s">
        <v>86</v>
      </c>
      <c r="W183" s="86" t="s">
        <v>97</v>
      </c>
      <c r="X183" s="86" t="s">
        <v>89</v>
      </c>
      <c r="Y183" s="16" t="s">
        <v>105</v>
      </c>
      <c r="Z183" s="98" t="s">
        <v>651</v>
      </c>
      <c r="AA183" s="15" t="str">
        <f>_xlfn.XLOOKUP(Tabela18[[#This Row],[CÓD. CT]],Controle_Projetos[COD CT],Controle_Projetos[COD PHD],"")</f>
        <v>CIVM-CT01-PLAN</v>
      </c>
      <c r="AB183" s="16"/>
      <c r="AC183" s="87">
        <v>46080</v>
      </c>
      <c r="AD183" s="90">
        <v>46101</v>
      </c>
      <c r="AE183" s="16" cm="1">
        <f t="array" aca="1" ref="AE18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22</v>
      </c>
      <c r="AF183" s="87">
        <v>46080</v>
      </c>
      <c r="AG183" s="90">
        <v>46080</v>
      </c>
      <c r="AH183" s="16" cm="1">
        <f t="array" aca="1" ref="AH18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3" s="21">
        <f>Tabela18[[#This Row],[DATA PREV - EMAIL]]+$AI$1</f>
        <v>46081</v>
      </c>
      <c r="AJ183" s="90">
        <v>46080</v>
      </c>
      <c r="AK183" s="16" cm="1">
        <f t="array" aca="1" ref="AK18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3" s="20">
        <f>IF(AI183="","",IF(AJ183="",WORKDAY(AI183,AL$1,),WORKDAY(AJ183,AL$1,)))</f>
        <v>46087</v>
      </c>
      <c r="AM183" s="90">
        <v>46084</v>
      </c>
      <c r="AN183" s="16" cm="1">
        <f t="array" aca="1" ref="AN18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v>
      </c>
      <c r="AO183" s="20">
        <f>IF(AL183="","",IF(AM183="",WORKDAY(AL183,AO$1,),WORKDAY(AM183,AO$1,)))</f>
        <v>46085</v>
      </c>
      <c r="AP183" s="74">
        <v>46084</v>
      </c>
      <c r="AQ183" s="16" cm="1">
        <f t="array" aca="1" ref="AQ18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83" s="20">
        <f>IF(AO183="","",IF(AP183="",WORKDAY(AO183,AR$1,),WORKDAY(AP183,AR$1,)))</f>
        <v>46098</v>
      </c>
      <c r="AS183" s="74">
        <v>46092</v>
      </c>
      <c r="AT183" s="16" cm="1">
        <f t="array" aca="1" ref="AT18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-5</v>
      </c>
      <c r="AU183" s="24">
        <f t="shared" si="30"/>
        <v>46099</v>
      </c>
      <c r="AV183" s="74">
        <v>46114</v>
      </c>
      <c r="AW183" s="16" cm="1">
        <f t="array" aca="1" ref="AW18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16</v>
      </c>
      <c r="AX183" s="21">
        <f t="shared" si="31"/>
        <v>46115</v>
      </c>
      <c r="AY183" s="74">
        <v>46129</v>
      </c>
      <c r="AZ183" s="16" cm="1">
        <f t="array" aca="1" ref="AZ18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15</v>
      </c>
      <c r="BA183" s="94" t="s">
        <v>1152</v>
      </c>
    </row>
    <row r="184" spans="2:53" ht="18" hidden="1" customHeight="1" x14ac:dyDescent="0.35">
      <c r="B184" s="84" t="s">
        <v>119</v>
      </c>
      <c r="C184" s="16" t="s">
        <v>136</v>
      </c>
      <c r="D184" s="16" t="s">
        <v>119</v>
      </c>
      <c r="E184" s="16" t="s">
        <v>1153</v>
      </c>
      <c r="F184" s="16" cm="1">
        <f t="array" ref="F184">_xlfn.IFS(Tabela18[[#This Row],[STATUS]]="Finalizado",1,Tabela18[[#This Row],[STATUS]]="Cancelado",2,Tabela18[[#This Row],[STATUS]]="Em andamento",3)</f>
        <v>2</v>
      </c>
      <c r="G184" s="16" cm="1">
        <f t="array" aca="1" ref="G18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-EMAIL]]="",$AH184&gt;$AF$1),2,
AND(Tabela18[[#This Row],[STATUS]]="Em andamento",Tabela18[[#This Row],[DATA REAL -EMAIL]]="",$AH184&lt;=$AF$1),3,
AND(Tabela18[[#This Row],[STATUS]]="Em andamento",Tabela18[[#This Row],[DATA REAL -EMAIL]]&lt;&gt;""),1)</f>
        <v>1</v>
      </c>
      <c r="H184" s="16" cm="1">
        <f t="array" aca="1" ref="H18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CLIENTE]]="",$AK184&gt;$AI$1),2,
AND(Tabela18[[#This Row],[STATUS]]="Em andamento",Tabela18[[#This Row],[DATA REAL - DOC CLIENTE]]="",$AK184&lt;=$AI$1),3,
AND(Tabela18[[#This Row],[STATUS]]="Em andamento",Tabela18[[#This Row],[DATA REAL - DOC CLIENTE]]&lt;&gt;""),1)</f>
        <v>1</v>
      </c>
      <c r="I184" s="16" cm="1">
        <f t="array" aca="1" ref="I18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06]]="",$AN184&gt;$AL$1),2,
AND(Tabela18[[#This Row],[STATUS]]="Em andamento",Tabela18[[#This Row],[DATA REAL - ANEXO 06]]="",$AN184&lt;=$AL$1),3,
AND(Tabela18[[#This Row],[STATUS]]="Em andamento",Tabela18[[#This Row],[DATA REAL - ANEXO 06]]&lt;&gt;""),1)</f>
        <v>1</v>
      </c>
      <c r="J184" s="16" cm="1">
        <f t="array" aca="1" ref="J18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LEGAIS]]="",$AQ184&gt;$AO$1),2,
AND(Tabela18[[#This Row],[STATUS]]="Em andamento",Tabela18[[#This Row],[DATA REAL - SOLIC. PROG LEGAIS]]="",$AQ184&lt;=$AO$1),3,
AND(Tabela18[[#This Row],[STATUS]]="Em andamento",Tabela18[[#This Row],[DATA REAL - SOLIC. PROG LEGAIS]]&lt;&gt;""),1)</f>
        <v>1</v>
      </c>
      <c r="K184" s="16" cm="1">
        <f t="array" aca="1" ref="K18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ENVIO]]="",$AT184&gt;$AR$1),2,
AND(Tabela18[[#This Row],[STATUS]]="Em andamento",Tabela18[[#This Row],[DATA REAL - ENVIO]]="",$AT184&lt;=$AR$1),3,
AND(Tabela18[[#This Row],[STATUS]]="Em andamento",Tabela18[[#This Row],[DATA REAL - ENVIO]]&lt;&gt;""),1)</f>
        <v>1</v>
      </c>
      <c r="L184" s="16" cm="1">
        <f t="array" aca="1" ref="L18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POSTAGEM]]="",$AW184&gt;$AU$1),2,
AND(Tabela18[[#This Row],[STATUS]]="Em andamento",Tabela18[[#This Row],[DATA REAL - POSTAGEM]]="",$AW184&lt;=$AU$1),3,
AND(Tabela18[[#This Row],[STATUS]]="Em andamento",Tabela18[[#This Row],[DATA REAL - POSTAGEM]]&lt;&gt;""),1)</f>
        <v>0</v>
      </c>
      <c r="M184" s="16" cm="1">
        <f t="array" aca="1" ref="M18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APROVAÇÃO]]="",$AZ184&gt;$AX$1),2,
AND(Tabela18[[#This Row],[STATUS]]="Em andamento",Tabela18[[#This Row],[DATA REAL - APROVAÇÃO]]="",$AZ184&lt;=$AX$1),3,
AND(Tabela18[[#This Row],[STATUS]]="Em andamento",Tabela18[[#This Row],[DATA REAL - APROVAÇÃO]]&lt;&gt;""),1)</f>
        <v>1</v>
      </c>
      <c r="N184" s="21">
        <f>IF(Tabela18[[#This Row],[DATA REAL -EMAIL]]&lt;&gt;"",Tabela18[[#This Row],[DATA REAL -EMAIL]]+30,Tabela18[[#This Row],[DATA PREV - EMAIL]]+30)</f>
        <v>46183</v>
      </c>
      <c r="O184"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46206</v>
      </c>
      <c r="P184"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53</v>
      </c>
      <c r="Q18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v>
      </c>
      <c r="R184" s="49">
        <f>MAX(Tabela18[[#This Row],[DATA REAL - POSTAGEM]],Tabela18[[#This Row],[DATA REAL - APROVAÇÃO]])-MIN(Tabela18[[#This Row],[DATA REAL - POSTAGEM]],Tabela18[[#This Row],[DATA REAL - APROVAÇÃO]])+1</f>
        <v>1</v>
      </c>
      <c r="S184" s="16" t="s">
        <v>121</v>
      </c>
      <c r="T184" s="16" t="s">
        <v>122</v>
      </c>
      <c r="U184" s="18"/>
      <c r="V184" s="96" t="s">
        <v>124</v>
      </c>
      <c r="W184" s="86" t="s">
        <v>97</v>
      </c>
      <c r="X184" s="16" t="s">
        <v>447</v>
      </c>
      <c r="Y184" s="16" t="s">
        <v>1106</v>
      </c>
      <c r="Z184" s="15" t="s">
        <v>1154</v>
      </c>
      <c r="AA184" s="15" t="str">
        <f>_xlfn.XLOOKUP(Tabela18[[#This Row],[CÓD. CT]],Controle_Projetos[COD CT],Controle_Projetos[COD PHD],"")</f>
        <v>SUPE-CT01-EXCE</v>
      </c>
      <c r="AB184" s="16"/>
      <c r="AC184" s="21">
        <v>46153</v>
      </c>
      <c r="AD184"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4" s="16" cm="1">
        <f t="array" aca="1" ref="AE18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4" s="21">
        <v>46153</v>
      </c>
      <c r="AG184" s="74">
        <v>46153</v>
      </c>
      <c r="AH184" s="16" cm="1">
        <f t="array" aca="1" ref="AH18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4" s="21">
        <f>Tabela18[[#This Row],[DATA PREV - EMAIL]]+$AI$1</f>
        <v>46154</v>
      </c>
      <c r="AJ184" s="74">
        <v>46154</v>
      </c>
      <c r="AK184" s="16" cm="1">
        <f t="array" aca="1" ref="AK18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4" s="20">
        <f>IF(AI184="","",IF(AJ184="",WORKDAY(AI184,AL$1,),WORKDAY(AJ184,AL$1,)))</f>
        <v>46161</v>
      </c>
      <c r="AM184" s="74">
        <v>46154</v>
      </c>
      <c r="AN184" s="16" cm="1">
        <f t="array" aca="1" ref="AN18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84" s="20">
        <f>IF(AL184="","",IF(AM184="",WORKDAY(AL184,AO$1,),WORKDAY(AM184,AO$1,)))</f>
        <v>46155</v>
      </c>
      <c r="AP184" s="74">
        <v>46155</v>
      </c>
      <c r="AQ184" s="16" cm="1">
        <f t="array" aca="1" ref="AQ18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84" s="20">
        <f>IF(AO184="","",IF(AP184="",WORKDAY(AO184,AR$1,),WORKDAY(AP184,AR$1,)))</f>
        <v>46169</v>
      </c>
      <c r="AS184" s="74">
        <v>46161</v>
      </c>
      <c r="AT184" s="16" cm="1">
        <f t="array" aca="1" ref="AT18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184" s="24">
        <f t="shared" si="30"/>
        <v>46168</v>
      </c>
      <c r="AV184" s="101"/>
      <c r="AW184" s="16" cm="1">
        <f t="array" aca="1" ref="AW18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84" s="21">
        <f t="shared" si="31"/>
        <v>46169</v>
      </c>
      <c r="AY184" s="74">
        <v>46206</v>
      </c>
      <c r="AZ184" s="16" cm="1">
        <f t="array" aca="1" ref="AZ18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38</v>
      </c>
      <c r="BA184" s="81" t="s">
        <v>1155</v>
      </c>
    </row>
    <row r="185" spans="2:53" hidden="1" x14ac:dyDescent="0.35">
      <c r="B185" s="84" t="s">
        <v>79</v>
      </c>
      <c r="C185" s="16" t="s">
        <v>136</v>
      </c>
      <c r="D185" s="16" t="s">
        <v>119</v>
      </c>
      <c r="E185" s="16" t="s">
        <v>452</v>
      </c>
      <c r="F185" s="16" cm="1">
        <f t="array" ref="F185">_xlfn.IFS(Tabela18[[#This Row],[STATUS]]="Finalizado",1,Tabela18[[#This Row],[STATUS]]="Cancelado",2,Tabela18[[#This Row],[STATUS]]="Em andamento",3)</f>
        <v>1</v>
      </c>
      <c r="G185" s="16" cm="1">
        <f t="array" aca="1" ref="G18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-EMAIL]]="",$AH185&gt;$AF$1),2,
AND(Tabela18[[#This Row],[STATUS]]="Em andamento",Tabela18[[#This Row],[DATA REAL -EMAIL]]="",$AH185&lt;=$AF$1),3,
AND(Tabela18[[#This Row],[STATUS]]="Em andamento",Tabela18[[#This Row],[DATA REAL -EMAIL]]&lt;&gt;""),1)</f>
        <v>0</v>
      </c>
      <c r="H185" s="16" cm="1">
        <f t="array" aca="1" ref="H18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CLIENTE]]="",$AK185&gt;$AI$1),2,
AND(Tabela18[[#This Row],[STATUS]]="Em andamento",Tabela18[[#This Row],[DATA REAL - DOC CLIENTE]]="",$AK185&lt;=$AI$1),3,
AND(Tabela18[[#This Row],[STATUS]]="Em andamento",Tabela18[[#This Row],[DATA REAL - DOC CLIENTE]]&lt;&gt;""),1)</f>
        <v>0</v>
      </c>
      <c r="I185" s="16" cm="1">
        <f t="array" aca="1" ref="I18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06]]="",$AN185&gt;$AL$1),2,
AND(Tabela18[[#This Row],[STATUS]]="Em andamento",Tabela18[[#This Row],[DATA REAL - ANEXO 06]]="",$AN185&lt;=$AL$1),3,
AND(Tabela18[[#This Row],[STATUS]]="Em andamento",Tabela18[[#This Row],[DATA REAL - ANEXO 06]]&lt;&gt;""),1)</f>
        <v>0</v>
      </c>
      <c r="J185" s="16" cm="1">
        <f t="array" aca="1" ref="J18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LEGAIS]]="",$AQ185&gt;$AO$1),2,
AND(Tabela18[[#This Row],[STATUS]]="Em andamento",Tabela18[[#This Row],[DATA REAL - SOLIC. PROG LEGAIS]]="",$AQ185&lt;=$AO$1),3,
AND(Tabela18[[#This Row],[STATUS]]="Em andamento",Tabela18[[#This Row],[DATA REAL - SOLIC. PROG LEGAIS]]&lt;&gt;""),1)</f>
        <v>0</v>
      </c>
      <c r="K185" s="16" cm="1">
        <f t="array" aca="1" ref="K18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ENVIO]]="",$AT185&gt;$AR$1),2,
AND(Tabela18[[#This Row],[STATUS]]="Em andamento",Tabela18[[#This Row],[DATA REAL - ENVIO]]="",$AT185&lt;=$AR$1),3,
AND(Tabela18[[#This Row],[STATUS]]="Em andamento",Tabela18[[#This Row],[DATA REAL - ENVIO]]&lt;&gt;""),1)</f>
        <v>0</v>
      </c>
      <c r="L185" s="16" cm="1">
        <f t="array" aca="1" ref="L18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POSTAGEM]]="",$AW185&gt;$AU$1),2,
AND(Tabela18[[#This Row],[STATUS]]="Em andamento",Tabela18[[#This Row],[DATA REAL - POSTAGEM]]="",$AW185&lt;=$AU$1),3,
AND(Tabela18[[#This Row],[STATUS]]="Em andamento",Tabela18[[#This Row],[DATA REAL - POSTAGEM]]&lt;&gt;""),1)</f>
        <v>0</v>
      </c>
      <c r="M185" s="16" cm="1">
        <f t="array" aca="1" ref="M18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APROVAÇÃO]]="",$AZ185&gt;$AX$1),2,
AND(Tabela18[[#This Row],[STATUS]]="Em andamento",Tabela18[[#This Row],[DATA REAL - APROVAÇÃO]]="",$AZ185&lt;=$AX$1),3,
AND(Tabela18[[#This Row],[STATUS]]="Em andamento",Tabela18[[#This Row],[DATA REAL - APROVAÇÃO]]&lt;&gt;""),1)</f>
        <v>0</v>
      </c>
      <c r="N185" s="21">
        <f>IF(Tabela18[[#This Row],[DATA REAL -EMAIL]]&lt;&gt;"",Tabela18[[#This Row],[DATA REAL -EMAIL]]+30,Tabela18[[#This Row],[DATA PREV - EMAIL]]+30)</f>
        <v>30</v>
      </c>
      <c r="O185"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P185"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Q18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85" s="49">
        <f>MAX(Tabela18[[#This Row],[DATA REAL - POSTAGEM]],Tabela18[[#This Row],[DATA REAL - APROVAÇÃO]])-MIN(Tabela18[[#This Row],[DATA REAL - POSTAGEM]],Tabela18[[#This Row],[DATA REAL - APROVAÇÃO]])+1</f>
        <v>1</v>
      </c>
      <c r="S185" s="16"/>
      <c r="T185" s="16"/>
      <c r="U185" s="18"/>
      <c r="V185" s="16"/>
      <c r="W185" s="86" t="s">
        <v>97</v>
      </c>
      <c r="X185" s="16" t="s">
        <v>452</v>
      </c>
      <c r="Y185" s="16" t="s">
        <v>1156</v>
      </c>
      <c r="Z185" s="98" t="s">
        <v>1157</v>
      </c>
      <c r="AA185" s="15" t="str">
        <f>_xlfn.XLOOKUP(Tabela18[[#This Row],[CÓD. CT]],Controle_Projetos[COD CT],Controle_Projetos[COD PHD],"")</f>
        <v>ENGF-CT05-SUPR</v>
      </c>
      <c r="AB185" s="16"/>
      <c r="AC185" s="21"/>
      <c r="AD185"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5" s="16" t="str" cm="1">
        <f t="array" aca="1" ref="AE18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85" s="21"/>
      <c r="AG185" s="74"/>
      <c r="AH185" s="16" t="str" cm="1">
        <f t="array" aca="1" ref="AH18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185" s="21">
        <f>Tabela18[[#This Row],[DATA PREV - EMAIL]]+$AI$1</f>
        <v>1</v>
      </c>
      <c r="AJ185" s="74"/>
      <c r="AK185" s="16" t="str" cm="1">
        <f t="array" aca="1" ref="AK18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185" s="20">
        <f t="shared" ref="AL185:AL189" si="32">IF(AI185="","",IF(AJ185="",WORKDAY(AI185,AL$1,),WORKDAY(AJ185,AL$1,)))</f>
        <v>6</v>
      </c>
      <c r="AM185" s="74"/>
      <c r="AN185" s="16" cm="1">
        <f t="array" aca="1" ref="AN18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85" s="20">
        <f t="shared" ref="AO185:AO189" si="33">IF(AL185="","",IF(AM185="",WORKDAY(AL185,AO$1,),WORKDAY(AM185,AO$1,)))</f>
        <v>9</v>
      </c>
      <c r="AP185" s="74"/>
      <c r="AQ185" s="16" cm="1">
        <f t="array" aca="1" ref="AQ18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85" s="20">
        <f t="shared" ref="AR185:AR197" si="34">IF(AO185="","",IF(AP185="",WORKDAY(AO185,AR$1,),WORKDAY(AP185,AR$1,)))</f>
        <v>23</v>
      </c>
      <c r="AS185" s="74"/>
      <c r="AT185" s="16" cm="1">
        <f t="array" aca="1" ref="AT18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85" s="24">
        <f t="shared" si="30"/>
        <v>30</v>
      </c>
      <c r="AV185" s="101"/>
      <c r="AW185" s="16" cm="1">
        <f t="array" aca="1" ref="AW18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1</v>
      </c>
      <c r="AX185" s="21">
        <f t="shared" ref="AX185:AX186" si="35">IF(AU185="","",IF(AV185="",WORKDAY(AU185,AX$1,),WORKDAY(AV185,AX$1,)))</f>
        <v>31</v>
      </c>
      <c r="AY185" s="74"/>
      <c r="AZ185" s="16" cm="1">
        <f t="array" aca="1" ref="AZ18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85" s="80" t="s">
        <v>1158</v>
      </c>
    </row>
    <row r="186" spans="2:53" ht="18" hidden="1" customHeight="1" x14ac:dyDescent="0.35">
      <c r="B186" s="84" t="s">
        <v>79</v>
      </c>
      <c r="C186" s="16" t="s">
        <v>136</v>
      </c>
      <c r="D186" s="16" t="s">
        <v>108</v>
      </c>
      <c r="E186" s="16" t="s">
        <v>235</v>
      </c>
      <c r="F186" s="16" cm="1">
        <f t="array" ref="F186">_xlfn.IFS(Tabela18[[#This Row],[STATUS]]="Finalizado",1,Tabela18[[#This Row],[STATUS]]="Cancelado",2,Tabela18[[#This Row],[STATUS]]="Em andamento",3)</f>
        <v>1</v>
      </c>
      <c r="G186" s="16" cm="1">
        <f t="array" aca="1" ref="G18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-EMAIL]]="",$AH186&gt;$AF$1),2,
AND(Tabela18[[#This Row],[STATUS]]="Em andamento",Tabela18[[#This Row],[DATA REAL -EMAIL]]="",$AH186&lt;=$AF$1),3,
AND(Tabela18[[#This Row],[STATUS]]="Em andamento",Tabela18[[#This Row],[DATA REAL -EMAIL]]&lt;&gt;""),1)</f>
        <v>1</v>
      </c>
      <c r="H186" s="16" cm="1">
        <f t="array" aca="1" ref="H18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CLIENTE]]="",$AK186&gt;$AI$1),2,
AND(Tabela18[[#This Row],[STATUS]]="Em andamento",Tabela18[[#This Row],[DATA REAL - DOC CLIENTE]]="",$AK186&lt;=$AI$1),3,
AND(Tabela18[[#This Row],[STATUS]]="Em andamento",Tabela18[[#This Row],[DATA REAL - DOC CLIENTE]]&lt;&gt;""),1)</f>
        <v>1</v>
      </c>
      <c r="I186" s="16" cm="1">
        <f t="array" aca="1" ref="I18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06]]="",$AN186&gt;$AL$1),2,
AND(Tabela18[[#This Row],[STATUS]]="Em andamento",Tabela18[[#This Row],[DATA REAL - ANEXO 06]]="",$AN186&lt;=$AL$1),3,
AND(Tabela18[[#This Row],[STATUS]]="Em andamento",Tabela18[[#This Row],[DATA REAL - ANEXO 06]]&lt;&gt;""),1)</f>
        <v>1</v>
      </c>
      <c r="J186" s="16" cm="1">
        <f t="array" aca="1" ref="J18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LEGAIS]]="",$AQ186&gt;$AO$1),2,
AND(Tabela18[[#This Row],[STATUS]]="Em andamento",Tabela18[[#This Row],[DATA REAL - SOLIC. PROG LEGAIS]]="",$AQ186&lt;=$AO$1),3,
AND(Tabela18[[#This Row],[STATUS]]="Em andamento",Tabela18[[#This Row],[DATA REAL - SOLIC. PROG LEGAIS]]&lt;&gt;""),1)</f>
        <v>1</v>
      </c>
      <c r="K186" s="16" cm="1">
        <f t="array" aca="1" ref="K18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ENVIO]]="",$AT186&gt;$AR$1),2,
AND(Tabela18[[#This Row],[STATUS]]="Em andamento",Tabela18[[#This Row],[DATA REAL - ENVIO]]="",$AT186&lt;=$AR$1),3,
AND(Tabela18[[#This Row],[STATUS]]="Em andamento",Tabela18[[#This Row],[DATA REAL - ENVIO]]&lt;&gt;""),1)</f>
        <v>1</v>
      </c>
      <c r="L186" s="16" cm="1">
        <f t="array" aca="1" ref="L18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POSTAGEM]]="",$AW186&gt;$AU$1),2,
AND(Tabela18[[#This Row],[STATUS]]="Em andamento",Tabela18[[#This Row],[DATA REAL - POSTAGEM]]="",$AW186&lt;=$AU$1),3,
AND(Tabela18[[#This Row],[STATUS]]="Em andamento",Tabela18[[#This Row],[DATA REAL - POSTAGEM]]&lt;&gt;""),1)</f>
        <v>1</v>
      </c>
      <c r="M186" s="16" cm="1">
        <f t="array" aca="1" ref="M18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APROVAÇÃO]]="",$AZ186&gt;$AX$1),2,
AND(Tabela18[[#This Row],[STATUS]]="Em andamento",Tabela18[[#This Row],[DATA REAL - APROVAÇÃO]]="",$AZ186&lt;=$AX$1),3,
AND(Tabela18[[#This Row],[STATUS]]="Em andamento",Tabela18[[#This Row],[DATA REAL - APROVAÇÃO]]&lt;&gt;""),1)</f>
        <v>1</v>
      </c>
      <c r="N186" s="21">
        <f>IF(Tabela18[[#This Row],[DATA REAL -EMAIL]]&lt;&gt;"",Tabela18[[#This Row],[DATA REAL -EMAIL]]+30,Tabela18[[#This Row],[DATA PREV - EMAIL]]+30)</f>
        <v>46191</v>
      </c>
      <c r="O186"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46193</v>
      </c>
      <c r="P186"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32</v>
      </c>
      <c r="Q18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32</v>
      </c>
      <c r="R186" s="49">
        <f>MAX(Tabela18[[#This Row],[DATA REAL - POSTAGEM]],Tabela18[[#This Row],[DATA REAL - APROVAÇÃO]])-MIN(Tabela18[[#This Row],[DATA REAL - POSTAGEM]],Tabela18[[#This Row],[DATA REAL - APROVAÇÃO]])+1</f>
        <v>4</v>
      </c>
      <c r="S186" s="16" t="s">
        <v>737</v>
      </c>
      <c r="T186" s="16"/>
      <c r="U186" s="18"/>
      <c r="V186" s="16"/>
      <c r="W186" s="16" t="s">
        <v>632</v>
      </c>
      <c r="X186" s="16" t="s">
        <v>235</v>
      </c>
      <c r="Y186" s="16" t="s">
        <v>972</v>
      </c>
      <c r="Z186" s="77" t="s">
        <v>738</v>
      </c>
      <c r="AA186" s="15" t="str">
        <f>_xlfn.XLOOKUP(Tabela18[[#This Row],[CÓD. CT]],Controle_Projetos[COD CT],Controle_Projetos[COD PHD],"")</f>
        <v>CCAP-CT20-SUPR</v>
      </c>
      <c r="AB186" s="16"/>
      <c r="AC186" s="21">
        <v>46161</v>
      </c>
      <c r="AD186"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6" s="16" cm="1">
        <f t="array" aca="1" ref="AE18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6" s="21">
        <v>46161</v>
      </c>
      <c r="AG186" s="74">
        <v>46161</v>
      </c>
      <c r="AH186" s="16" cm="1">
        <f t="array" aca="1" ref="AH18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6" s="21">
        <f>Tabela18[[#This Row],[DATA PREV - EMAIL]]+$AI$1</f>
        <v>46162</v>
      </c>
      <c r="AJ186" s="74">
        <v>46161</v>
      </c>
      <c r="AK186" s="16" cm="1">
        <f t="array" aca="1" ref="AK18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6" s="20">
        <f t="shared" si="32"/>
        <v>46168</v>
      </c>
      <c r="AM186" s="74">
        <v>46193</v>
      </c>
      <c r="AN186" s="16" cm="1">
        <f t="array" aca="1" ref="AN18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26</v>
      </c>
      <c r="AO186" s="20">
        <f t="shared" si="33"/>
        <v>46195</v>
      </c>
      <c r="AP186" s="74">
        <v>46167</v>
      </c>
      <c r="AQ186" s="16" cm="1">
        <f t="array" aca="1" ref="AQ18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-27</v>
      </c>
      <c r="AR186" s="20">
        <f t="shared" si="34"/>
        <v>46181</v>
      </c>
      <c r="AS186" s="74">
        <v>46171</v>
      </c>
      <c r="AT186" s="16" cm="1">
        <f t="array" aca="1" ref="AT18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-9</v>
      </c>
      <c r="AU186" s="24">
        <f t="shared" si="30"/>
        <v>46178</v>
      </c>
      <c r="AV186" s="74">
        <v>46171</v>
      </c>
      <c r="AW186" s="16" cm="1">
        <f t="array" aca="1" ref="AW18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86" s="21">
        <f t="shared" si="35"/>
        <v>46174</v>
      </c>
      <c r="AY186" s="74">
        <v>46174</v>
      </c>
      <c r="AZ186" s="16" cm="1">
        <f t="array" aca="1" ref="AZ18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86" s="81" t="s">
        <v>1159</v>
      </c>
    </row>
    <row r="187" spans="2:53" ht="18" hidden="1" customHeight="1" x14ac:dyDescent="0.35">
      <c r="B187" s="14" t="s">
        <v>79</v>
      </c>
      <c r="C187" s="16" t="s">
        <v>136</v>
      </c>
      <c r="D187" s="16" t="s">
        <v>108</v>
      </c>
      <c r="E187" s="16" t="s">
        <v>744</v>
      </c>
      <c r="F187" s="16" cm="1">
        <f t="array" ref="F187">_xlfn.IFS(Tabela18[[#This Row],[STATUS]]="Finalizado",1,Tabela18[[#This Row],[STATUS]]="Cancelado",2,Tabela18[[#This Row],[STATUS]]="Em andamento",3)</f>
        <v>1</v>
      </c>
      <c r="G187" s="16" cm="1">
        <f t="array" aca="1" ref="G18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-EMAIL]]="",$AH187&gt;$AF$1),2,
AND(Tabela18[[#This Row],[STATUS]]="Em andamento",Tabela18[[#This Row],[DATA REAL -EMAIL]]="",$AH187&lt;=$AF$1),3,
AND(Tabela18[[#This Row],[STATUS]]="Em andamento",Tabela18[[#This Row],[DATA REAL -EMAIL]]&lt;&gt;""),1)</f>
        <v>1</v>
      </c>
      <c r="H187" s="16" cm="1">
        <f t="array" aca="1" ref="H18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CLIENTE]]="",$AK187&gt;$AI$1),2,
AND(Tabela18[[#This Row],[STATUS]]="Em andamento",Tabela18[[#This Row],[DATA REAL - DOC CLIENTE]]="",$AK187&lt;=$AI$1),3,
AND(Tabela18[[#This Row],[STATUS]]="Em andamento",Tabela18[[#This Row],[DATA REAL - DOC CLIENTE]]&lt;&gt;""),1)</f>
        <v>1</v>
      </c>
      <c r="I187" s="16" cm="1">
        <f t="array" aca="1" ref="I18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06]]="",$AN187&gt;$AL$1),2,
AND(Tabela18[[#This Row],[STATUS]]="Em andamento",Tabela18[[#This Row],[DATA REAL - ANEXO 06]]="",$AN187&lt;=$AL$1),3,
AND(Tabela18[[#This Row],[STATUS]]="Em andamento",Tabela18[[#This Row],[DATA REAL - ANEXO 06]]&lt;&gt;""),1)</f>
        <v>1</v>
      </c>
      <c r="J187" s="16" cm="1">
        <f t="array" aca="1" ref="J18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LEGAIS]]="",$AQ187&gt;$AO$1),2,
AND(Tabela18[[#This Row],[STATUS]]="Em andamento",Tabela18[[#This Row],[DATA REAL - SOLIC. PROG LEGAIS]]="",$AQ187&lt;=$AO$1),3,
AND(Tabela18[[#This Row],[STATUS]]="Em andamento",Tabela18[[#This Row],[DATA REAL - SOLIC. PROG LEGAIS]]&lt;&gt;""),1)</f>
        <v>1</v>
      </c>
      <c r="K187" s="16" cm="1">
        <f t="array" aca="1" ref="K18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ENVIO]]="",$AT187&gt;$AR$1),2,
AND(Tabela18[[#This Row],[STATUS]]="Em andamento",Tabela18[[#This Row],[DATA REAL - ENVIO]]="",$AT187&lt;=$AR$1),3,
AND(Tabela18[[#This Row],[STATUS]]="Em andamento",Tabela18[[#This Row],[DATA REAL - ENVIO]]&lt;&gt;""),1)</f>
        <v>1</v>
      </c>
      <c r="L187" s="16" cm="1">
        <f t="array" aca="1" ref="L18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POSTAGEM]]="",$AW187&gt;$AU$1),2,
AND(Tabela18[[#This Row],[STATUS]]="Em andamento",Tabela18[[#This Row],[DATA REAL - POSTAGEM]]="",$AW187&lt;=$AU$1),3,
AND(Tabela18[[#This Row],[STATUS]]="Em andamento",Tabela18[[#This Row],[DATA REAL - POSTAGEM]]&lt;&gt;""),1)</f>
        <v>1</v>
      </c>
      <c r="M187" s="16" cm="1">
        <f t="array" aca="1" ref="M18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APROVAÇÃO]]="",$AZ187&gt;$AX$1),2,
AND(Tabela18[[#This Row],[STATUS]]="Em andamento",Tabela18[[#This Row],[DATA REAL - APROVAÇÃO]]="",$AZ187&lt;=$AX$1),3,
AND(Tabela18[[#This Row],[STATUS]]="Em andamento",Tabela18[[#This Row],[DATA REAL - APROVAÇÃO]]&lt;&gt;""),1)</f>
        <v>1</v>
      </c>
      <c r="N187" s="21">
        <f>IF(Tabela18[[#This Row],[DATA REAL -EMAIL]]&lt;&gt;"",Tabela18[[#This Row],[DATA REAL -EMAIL]]+30,Tabela18[[#This Row],[DATA PREV - EMAIL]]+30)</f>
        <v>46211</v>
      </c>
      <c r="O187"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46195</v>
      </c>
      <c r="P187"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18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4</v>
      </c>
      <c r="R187" s="49">
        <f>MAX(Tabela18[[#This Row],[DATA REAL - POSTAGEM]],Tabela18[[#This Row],[DATA REAL - APROVAÇÃO]])-MIN(Tabela18[[#This Row],[DATA REAL - POSTAGEM]],Tabela18[[#This Row],[DATA REAL - APROVAÇÃO]])+1</f>
        <v>11</v>
      </c>
      <c r="S187" s="16" t="s">
        <v>726</v>
      </c>
      <c r="T187" s="117" t="s">
        <v>150</v>
      </c>
      <c r="U187" s="18" t="s">
        <v>104</v>
      </c>
      <c r="V187" s="96" t="s">
        <v>152</v>
      </c>
      <c r="W187" s="16" t="s">
        <v>97</v>
      </c>
      <c r="X187" s="16" t="s">
        <v>744</v>
      </c>
      <c r="Y187" s="16" t="s">
        <v>744</v>
      </c>
      <c r="Z187" s="77" t="s">
        <v>746</v>
      </c>
      <c r="AA187" s="15" t="str">
        <f>_xlfn.XLOOKUP(Tabela18[[#This Row],[CÓD. CT]],Controle_Projetos[COD CT],Controle_Projetos[COD PHD],"")</f>
        <v>ATNI-CT01-GERE</v>
      </c>
      <c r="AB187" s="16"/>
      <c r="AC187" s="21">
        <v>46181</v>
      </c>
      <c r="AD187"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7" s="16" cm="1">
        <f t="array" aca="1" ref="AE18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7" s="21">
        <v>46181</v>
      </c>
      <c r="AG187" s="74">
        <v>46181</v>
      </c>
      <c r="AH187" s="16" cm="1">
        <f t="array" aca="1" ref="AH18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7" s="21">
        <f>Tabela18[[#This Row],[DATA PREV - EMAIL]]+$AI$1</f>
        <v>46182</v>
      </c>
      <c r="AJ187" s="74">
        <v>46182</v>
      </c>
      <c r="AK187" s="16" cm="1">
        <f t="array" aca="1" ref="AK18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7" s="20">
        <f t="shared" si="32"/>
        <v>46189</v>
      </c>
      <c r="AM187" s="74">
        <v>46182</v>
      </c>
      <c r="AN187" s="16" cm="1">
        <f t="array" aca="1" ref="AN18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87" s="20">
        <f t="shared" si="33"/>
        <v>46183</v>
      </c>
      <c r="AP187" s="74">
        <v>46183</v>
      </c>
      <c r="AQ187" s="16" cm="1">
        <f t="array" aca="1" ref="AQ18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87" s="20">
        <f t="shared" si="34"/>
        <v>46197</v>
      </c>
      <c r="AS187" s="74">
        <v>46185</v>
      </c>
      <c r="AT187" s="16" cm="1">
        <f t="array" aca="1" ref="AT18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-11</v>
      </c>
      <c r="AU187" s="24">
        <f t="shared" si="30"/>
        <v>46192</v>
      </c>
      <c r="AV187" s="74">
        <v>46185</v>
      </c>
      <c r="AW187" s="16" cm="1">
        <f t="array" aca="1" ref="AW18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87" s="21">
        <f>IF(AU187="","",IF(AV187="",WORKDAY(AU187,AX$1,),WORKDAY(AV187,AX$1,)))</f>
        <v>46188</v>
      </c>
      <c r="AY187" s="74">
        <v>46195</v>
      </c>
      <c r="AZ187" s="16" cm="1">
        <f t="array" aca="1" ref="AZ18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87" s="81" t="s">
        <v>1160</v>
      </c>
    </row>
    <row r="188" spans="2:53" ht="18" hidden="1" customHeight="1" x14ac:dyDescent="0.35">
      <c r="B188" s="84" t="s">
        <v>79</v>
      </c>
      <c r="C188" s="16" t="s">
        <v>136</v>
      </c>
      <c r="D188" s="16" t="s">
        <v>108</v>
      </c>
      <c r="E188" s="16" t="s">
        <v>235</v>
      </c>
      <c r="F188" s="16" cm="1">
        <f t="array" ref="F188">_xlfn.IFS(Tabela18[[#This Row],[STATUS]]="Finalizado",1,Tabela18[[#This Row],[STATUS]]="Cancelado",2,Tabela18[[#This Row],[STATUS]]="Em andamento",3)</f>
        <v>1</v>
      </c>
      <c r="G188" s="16" cm="1">
        <f t="array" aca="1" ref="G18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-EMAIL]]="",$AH188&gt;$AF$1),2,
AND(Tabela18[[#This Row],[STATUS]]="Em andamento",Tabela18[[#This Row],[DATA REAL -EMAIL]]="",$AH188&lt;=$AF$1),3,
AND(Tabela18[[#This Row],[STATUS]]="Em andamento",Tabela18[[#This Row],[DATA REAL -EMAIL]]&lt;&gt;""),1)</f>
        <v>1</v>
      </c>
      <c r="H188" s="16" cm="1">
        <f t="array" aca="1" ref="H18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CLIENTE]]="",$AK188&gt;$AI$1),2,
AND(Tabela18[[#This Row],[STATUS]]="Em andamento",Tabela18[[#This Row],[DATA REAL - DOC CLIENTE]]="",$AK188&lt;=$AI$1),3,
AND(Tabela18[[#This Row],[STATUS]]="Em andamento",Tabela18[[#This Row],[DATA REAL - DOC CLIENTE]]&lt;&gt;""),1)</f>
        <v>1</v>
      </c>
      <c r="I188" s="16" cm="1">
        <f t="array" aca="1" ref="I18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06]]="",$AN188&gt;$AL$1),2,
AND(Tabela18[[#This Row],[STATUS]]="Em andamento",Tabela18[[#This Row],[DATA REAL - ANEXO 06]]="",$AN188&lt;=$AL$1),3,
AND(Tabela18[[#This Row],[STATUS]]="Em andamento",Tabela18[[#This Row],[DATA REAL - ANEXO 06]]&lt;&gt;""),1)</f>
        <v>1</v>
      </c>
      <c r="J188" s="16" cm="1">
        <f t="array" aca="1" ref="J18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LEGAIS]]="",$AQ188&gt;$AO$1),2,
AND(Tabela18[[#This Row],[STATUS]]="Em andamento",Tabela18[[#This Row],[DATA REAL - SOLIC. PROG LEGAIS]]="",$AQ188&lt;=$AO$1),3,
AND(Tabela18[[#This Row],[STATUS]]="Em andamento",Tabela18[[#This Row],[DATA REAL - SOLIC. PROG LEGAIS]]&lt;&gt;""),1)</f>
        <v>1</v>
      </c>
      <c r="K188" s="16" cm="1">
        <f t="array" aca="1" ref="K18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ENVIO]]="",$AT188&gt;$AR$1),2,
AND(Tabela18[[#This Row],[STATUS]]="Em andamento",Tabela18[[#This Row],[DATA REAL - ENVIO]]="",$AT188&lt;=$AR$1),3,
AND(Tabela18[[#This Row],[STATUS]]="Em andamento",Tabela18[[#This Row],[DATA REAL - ENVIO]]&lt;&gt;""),1)</f>
        <v>1</v>
      </c>
      <c r="L188" s="16" cm="1">
        <f t="array" aca="1" ref="L18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POSTAGEM]]="",$AW188&gt;$AU$1),2,
AND(Tabela18[[#This Row],[STATUS]]="Em andamento",Tabela18[[#This Row],[DATA REAL - POSTAGEM]]="",$AW188&lt;=$AU$1),3,
AND(Tabela18[[#This Row],[STATUS]]="Em andamento",Tabela18[[#This Row],[DATA REAL - POSTAGEM]]&lt;&gt;""),1)</f>
        <v>1</v>
      </c>
      <c r="M188" s="16" cm="1">
        <f t="array" aca="1" ref="M18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APROVAÇÃO]]="",$AZ188&gt;$AX$1),2,
AND(Tabela18[[#This Row],[STATUS]]="Em andamento",Tabela18[[#This Row],[DATA REAL - APROVAÇÃO]]="",$AZ188&lt;=$AX$1),3,
AND(Tabela18[[#This Row],[STATUS]]="Em andamento",Tabela18[[#This Row],[DATA REAL - APROVAÇÃO]]&lt;&gt;""),1)</f>
        <v>1</v>
      </c>
      <c r="N188" s="21">
        <f>IF(Tabela18[[#This Row],[DATA REAL -EMAIL]]&lt;&gt;"",Tabela18[[#This Row],[DATA REAL -EMAIL]]+30,Tabela18[[#This Row],[DATA PREV - EMAIL]]+30)</f>
        <v>46200</v>
      </c>
      <c r="O188"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46189</v>
      </c>
      <c r="P188"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19</v>
      </c>
      <c r="Q18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12</v>
      </c>
      <c r="R188" s="49">
        <f>MAX(Tabela18[[#This Row],[DATA REAL - POSTAGEM]],Tabela18[[#This Row],[DATA REAL - APROVAÇÃO]])-MIN(Tabela18[[#This Row],[DATA REAL - POSTAGEM]],Tabela18[[#This Row],[DATA REAL - APROVAÇÃO]])+1</f>
        <v>8</v>
      </c>
      <c r="S188" s="16" t="s">
        <v>737</v>
      </c>
      <c r="T188" s="117"/>
      <c r="U188" s="18"/>
      <c r="V188" s="16"/>
      <c r="W188" s="16" t="s">
        <v>632</v>
      </c>
      <c r="X188" s="16" t="s">
        <v>732</v>
      </c>
      <c r="Y188" s="16" t="s">
        <v>1161</v>
      </c>
      <c r="Z188" s="15" t="s">
        <v>738</v>
      </c>
      <c r="AA188" s="15" t="str">
        <f>_xlfn.XLOOKUP(Tabela18[[#This Row],[CÓD. CT]],Controle_Projetos[COD CT],Controle_Projetos[COD PHD],"")</f>
        <v>CCAP-CT20-SUPR</v>
      </c>
      <c r="AB188" s="16"/>
      <c r="AC188" s="21">
        <v>46170</v>
      </c>
      <c r="AD188"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88" s="16" cm="1">
        <f t="array" aca="1" ref="AE18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8" s="21">
        <v>46170</v>
      </c>
      <c r="AG188" s="74">
        <v>46170</v>
      </c>
      <c r="AH188" s="16" cm="1">
        <f t="array" aca="1" ref="AH18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8" s="21">
        <f>Tabela18[[#This Row],[DATA PREV - EMAIL]]+$AI$1</f>
        <v>46171</v>
      </c>
      <c r="AJ188" s="74">
        <v>46170</v>
      </c>
      <c r="AK188" s="16" cm="1">
        <f t="array" aca="1" ref="AK18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8" s="20">
        <f t="shared" si="32"/>
        <v>46177</v>
      </c>
      <c r="AM188" s="74">
        <v>46175</v>
      </c>
      <c r="AN188" s="16" cm="1">
        <f t="array" aca="1" ref="AN18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-1</v>
      </c>
      <c r="AO188" s="20">
        <f t="shared" si="33"/>
        <v>46176</v>
      </c>
      <c r="AP188" s="74">
        <v>46175</v>
      </c>
      <c r="AQ188" s="16" cm="1">
        <f t="array" aca="1" ref="AQ18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88" s="20">
        <f t="shared" si="34"/>
        <v>46189</v>
      </c>
      <c r="AS188" s="74">
        <v>46182</v>
      </c>
      <c r="AT188" s="16" cm="1">
        <f t="array" aca="1" ref="AT18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-6</v>
      </c>
      <c r="AU188" s="24">
        <f t="shared" si="30"/>
        <v>46189</v>
      </c>
      <c r="AV188" s="74">
        <v>46182</v>
      </c>
      <c r="AW188" s="16" cm="1">
        <f t="array" aca="1" ref="AW18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88" s="21">
        <f>IF(AU188="","",IF(AV188="",WORKDAY(AU188,AX$1,),WORKDAY(AV188,AX$1,)))</f>
        <v>46183</v>
      </c>
      <c r="AY188" s="74">
        <v>46189</v>
      </c>
      <c r="AZ188" s="16" cm="1">
        <f t="array" aca="1" ref="AZ18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188" s="81" t="s">
        <v>1162</v>
      </c>
    </row>
    <row r="189" spans="2:53" ht="18" hidden="1" customHeight="1" x14ac:dyDescent="0.35">
      <c r="B189" s="14" t="s">
        <v>79</v>
      </c>
      <c r="C189" s="16" t="s">
        <v>136</v>
      </c>
      <c r="D189" s="16" t="s">
        <v>108</v>
      </c>
      <c r="E189" s="16" t="s">
        <v>89</v>
      </c>
      <c r="F189" s="16" cm="1">
        <f t="array" ref="F189">_xlfn.IFS(Tabela18[[#This Row],[STATUS]]="Finalizado",1,Tabela18[[#This Row],[STATUS]]="Cancelado",2,Tabela18[[#This Row],[STATUS]]="Em andamento",3)</f>
        <v>1</v>
      </c>
      <c r="G189" s="16" cm="1">
        <f t="array" aca="1" ref="G189"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-EMAIL]]="",$AH189&gt;$AF$1),2,
AND(Tabela18[[#This Row],[STATUS]]="Em andamento",Tabela18[[#This Row],[DATA REAL -EMAIL]]="",$AH189&lt;=$AF$1),3,
AND(Tabela18[[#This Row],[STATUS]]="Em andamento",Tabela18[[#This Row],[DATA REAL -EMAIL]]&lt;&gt;""),1)</f>
        <v>1</v>
      </c>
      <c r="H189" s="16" cm="1">
        <f t="array" aca="1" ref="H189"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CLIENTE]]="",$AK189&gt;$AI$1),2,
AND(Tabela18[[#This Row],[STATUS]]="Em andamento",Tabela18[[#This Row],[DATA REAL - DOC CLIENTE]]="",$AK189&lt;=$AI$1),3,
AND(Tabela18[[#This Row],[STATUS]]="Em andamento",Tabela18[[#This Row],[DATA REAL - DOC CLIENTE]]&lt;&gt;""),1)</f>
        <v>1</v>
      </c>
      <c r="I189" s="16" cm="1">
        <f t="array" aca="1" ref="I189"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06]]="",$AN189&gt;$AL$1),2,
AND(Tabela18[[#This Row],[STATUS]]="Em andamento",Tabela18[[#This Row],[DATA REAL - ANEXO 06]]="",$AN189&lt;=$AL$1),3,
AND(Tabela18[[#This Row],[STATUS]]="Em andamento",Tabela18[[#This Row],[DATA REAL - ANEXO 06]]&lt;&gt;""),1)</f>
        <v>1</v>
      </c>
      <c r="J189" s="16" cm="1">
        <f t="array" aca="1" ref="J189"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LEGAIS]]="",$AQ189&gt;$AO$1),2,
AND(Tabela18[[#This Row],[STATUS]]="Em andamento",Tabela18[[#This Row],[DATA REAL - SOLIC. PROG LEGAIS]]="",$AQ189&lt;=$AO$1),3,
AND(Tabela18[[#This Row],[STATUS]]="Em andamento",Tabela18[[#This Row],[DATA REAL - SOLIC. PROG LEGAIS]]&lt;&gt;""),1)</f>
        <v>1</v>
      </c>
      <c r="K189" s="16" cm="1">
        <f t="array" aca="1" ref="K189"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ENVIO]]="",$AT189&gt;$AR$1),2,
AND(Tabela18[[#This Row],[STATUS]]="Em andamento",Tabela18[[#This Row],[DATA REAL - ENVIO]]="",$AT189&lt;=$AR$1),3,
AND(Tabela18[[#This Row],[STATUS]]="Em andamento",Tabela18[[#This Row],[DATA REAL - ENVIO]]&lt;&gt;""),1)</f>
        <v>1</v>
      </c>
      <c r="L189" s="16" cm="1">
        <f t="array" aca="1" ref="L189"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POSTAGEM]]="",$AW189&gt;$AU$1),2,
AND(Tabela18[[#This Row],[STATUS]]="Em andamento",Tabela18[[#This Row],[DATA REAL - POSTAGEM]]="",$AW189&lt;=$AU$1),3,
AND(Tabela18[[#This Row],[STATUS]]="Em andamento",Tabela18[[#This Row],[DATA REAL - POSTAGEM]]&lt;&gt;""),1)</f>
        <v>1</v>
      </c>
      <c r="M189" s="16" cm="1">
        <f t="array" aca="1" ref="M189"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APROVAÇÃO]]="",$AZ189&gt;$AX$1),2,
AND(Tabela18[[#This Row],[STATUS]]="Em andamento",Tabela18[[#This Row],[DATA REAL - APROVAÇÃO]]="",$AZ189&lt;=$AX$1),3,
AND(Tabela18[[#This Row],[STATUS]]="Em andamento",Tabela18[[#This Row],[DATA REAL - APROVAÇÃO]]&lt;&gt;""),1)</f>
        <v>1</v>
      </c>
      <c r="N189" s="21">
        <f>IF(Tabela18[[#This Row],[DATA REAL -EMAIL]]&lt;&gt;"",Tabela18[[#This Row],[DATA REAL -EMAIL]]+30,Tabela18[[#This Row],[DATA PREV - EMAIL]]+30)</f>
        <v>46241</v>
      </c>
      <c r="O189"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46220</v>
      </c>
      <c r="P189"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9</v>
      </c>
      <c r="Q189"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v>
      </c>
      <c r="R189" s="49">
        <f>MAX(Tabela18[[#This Row],[DATA REAL - POSTAGEM]],Tabela18[[#This Row],[DATA REAL - APROVAÇÃO]])-MIN(Tabela18[[#This Row],[DATA REAL - POSTAGEM]],Tabela18[[#This Row],[DATA REAL - APROVAÇÃO]])+1</f>
        <v>5</v>
      </c>
      <c r="S189" s="16"/>
      <c r="T189" s="16" t="s">
        <v>122</v>
      </c>
      <c r="U189" s="18"/>
      <c r="V189" s="96" t="s">
        <v>124</v>
      </c>
      <c r="W189" s="16" t="s">
        <v>87</v>
      </c>
      <c r="X189" s="16" t="s">
        <v>89</v>
      </c>
      <c r="Y189" s="16" t="s">
        <v>1163</v>
      </c>
      <c r="Z189" s="15" t="s">
        <v>763</v>
      </c>
      <c r="AA189" s="15" t="str">
        <f>_xlfn.XLOOKUP(Tabela18[[#This Row],[CÓD. CT]],Controle_Projetos[COD CT],Controle_Projetos[COD PHD],"")</f>
        <v/>
      </c>
      <c r="AB189" s="16"/>
      <c r="AC189" s="21">
        <v>46211</v>
      </c>
      <c r="AD189" s="74">
        <v>46211</v>
      </c>
      <c r="AE189" s="16" cm="1">
        <f t="array" aca="1" ref="AE189"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89" s="21">
        <v>46211</v>
      </c>
      <c r="AG189" s="74">
        <v>46211</v>
      </c>
      <c r="AH189" s="16" cm="1">
        <f t="array" aca="1" ref="AH18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89" s="21">
        <f>Tabela18[[#This Row],[DATA PREV - EMAIL]]+$AI$1</f>
        <v>46212</v>
      </c>
      <c r="AJ189" s="74">
        <v>46211</v>
      </c>
      <c r="AK189" s="16" cm="1">
        <f t="array" aca="1" ref="AK189"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89" s="20">
        <f t="shared" si="32"/>
        <v>46218</v>
      </c>
      <c r="AM189" s="74">
        <v>46211</v>
      </c>
      <c r="AN189" s="16" cm="1">
        <f t="array" aca="1" ref="AN189"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89" s="20">
        <f t="shared" si="33"/>
        <v>46212</v>
      </c>
      <c r="AP189" s="74">
        <v>46211</v>
      </c>
      <c r="AQ189" s="16" cm="1">
        <f t="array" aca="1" ref="AQ189"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89" s="20">
        <f t="shared" si="34"/>
        <v>46225</v>
      </c>
      <c r="AS189" s="74">
        <v>46216</v>
      </c>
      <c r="AT189" s="16" cm="1">
        <f t="array" aca="1" ref="AT189"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-8</v>
      </c>
      <c r="AU189" s="24">
        <f t="shared" si="30"/>
        <v>46223</v>
      </c>
      <c r="AV189" s="74">
        <v>46216</v>
      </c>
      <c r="AW189" s="16" cm="1">
        <f t="array" aca="1" ref="AW189"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89" s="21">
        <f>IF(AU189="","",IF(AV189="",WORKDAY(AU189,AX$1,),WORKDAY(AV189,AX$1,)))</f>
        <v>46217</v>
      </c>
      <c r="AY189" s="74">
        <v>46220</v>
      </c>
      <c r="AZ189" s="16" cm="1">
        <f t="array" aca="1" ref="AZ189"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4</v>
      </c>
      <c r="BA189" s="81" t="s">
        <v>1164</v>
      </c>
    </row>
    <row r="190" spans="2:53" ht="18" hidden="1" customHeight="1" x14ac:dyDescent="0.35">
      <c r="B190" s="14" t="s">
        <v>79</v>
      </c>
      <c r="C190" s="16" t="s">
        <v>136</v>
      </c>
      <c r="D190" s="16" t="s">
        <v>108</v>
      </c>
      <c r="E190" s="16" t="s">
        <v>89</v>
      </c>
      <c r="F190" s="16" cm="1">
        <f t="array" ref="F190">_xlfn.IFS(Tabela18[[#This Row],[STATUS]]="Finalizado",1,Tabela18[[#This Row],[STATUS]]="Cancelado",2,Tabela18[[#This Row],[STATUS]]="Em andamento",3)</f>
        <v>1</v>
      </c>
      <c r="G190" s="16" cm="1">
        <f t="array" aca="1" ref="G190"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-EMAIL]]="",$AH190&gt;$AF$1),2,
AND(Tabela18[[#This Row],[STATUS]]="Em andamento",Tabela18[[#This Row],[DATA REAL -EMAIL]]="",$AH190&lt;=$AF$1),3,
AND(Tabela18[[#This Row],[STATUS]]="Em andamento",Tabela18[[#This Row],[DATA REAL -EMAIL]]&lt;&gt;""),1)</f>
        <v>1</v>
      </c>
      <c r="H190" s="16" cm="1">
        <f t="array" aca="1" ref="H190"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CLIENTE]]="",$AK190&gt;$AI$1),2,
AND(Tabela18[[#This Row],[STATUS]]="Em andamento",Tabela18[[#This Row],[DATA REAL - DOC CLIENTE]]="",$AK190&lt;=$AI$1),3,
AND(Tabela18[[#This Row],[STATUS]]="Em andamento",Tabela18[[#This Row],[DATA REAL - DOC CLIENTE]]&lt;&gt;""),1)</f>
        <v>1</v>
      </c>
      <c r="I190" s="16" cm="1">
        <f t="array" aca="1" ref="I190"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06]]="",$AN190&gt;$AL$1),2,
AND(Tabela18[[#This Row],[STATUS]]="Em andamento",Tabela18[[#This Row],[DATA REAL - ANEXO 06]]="",$AN190&lt;=$AL$1),3,
AND(Tabela18[[#This Row],[STATUS]]="Em andamento",Tabela18[[#This Row],[DATA REAL - ANEXO 06]]&lt;&gt;""),1)</f>
        <v>1</v>
      </c>
      <c r="J190" s="16" cm="1">
        <f t="array" aca="1" ref="J190"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LEGAIS]]="",$AQ190&gt;$AO$1),2,
AND(Tabela18[[#This Row],[STATUS]]="Em andamento",Tabela18[[#This Row],[DATA REAL - SOLIC. PROG LEGAIS]]="",$AQ190&lt;=$AO$1),3,
AND(Tabela18[[#This Row],[STATUS]]="Em andamento",Tabela18[[#This Row],[DATA REAL - SOLIC. PROG LEGAIS]]&lt;&gt;""),1)</f>
        <v>1</v>
      </c>
      <c r="K190" s="16" cm="1">
        <f t="array" aca="1" ref="K190"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ENVIO]]="",$AT190&gt;$AR$1),2,
AND(Tabela18[[#This Row],[STATUS]]="Em andamento",Tabela18[[#This Row],[DATA REAL - ENVIO]]="",$AT190&lt;=$AR$1),3,
AND(Tabela18[[#This Row],[STATUS]]="Em andamento",Tabela18[[#This Row],[DATA REAL - ENVIO]]&lt;&gt;""),1)</f>
        <v>1</v>
      </c>
      <c r="L190" s="16" cm="1">
        <f t="array" aca="1" ref="L190"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POSTAGEM]]="",$AW190&gt;$AU$1),2,
AND(Tabela18[[#This Row],[STATUS]]="Em andamento",Tabela18[[#This Row],[DATA REAL - POSTAGEM]]="",$AW190&lt;=$AU$1),3,
AND(Tabela18[[#This Row],[STATUS]]="Em andamento",Tabela18[[#This Row],[DATA REAL - POSTAGEM]]&lt;&gt;""),1)</f>
        <v>1</v>
      </c>
      <c r="M190" s="16" cm="1">
        <f t="array" aca="1" ref="M190"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APROVAÇÃO]]="",$AZ190&gt;$AX$1),2,
AND(Tabela18[[#This Row],[STATUS]]="Em andamento",Tabela18[[#This Row],[DATA REAL - APROVAÇÃO]]="",$AZ190&lt;=$AX$1),3,
AND(Tabela18[[#This Row],[STATUS]]="Em andamento",Tabela18[[#This Row],[DATA REAL - APROVAÇÃO]]&lt;&gt;""),1)</f>
        <v>1</v>
      </c>
      <c r="N190" s="21">
        <f>IF(Tabela18[[#This Row],[DATA REAL -EMAIL]]&lt;&gt;"",Tabela18[[#This Row],[DATA REAL -EMAIL]]+30,Tabela18[[#This Row],[DATA PREV - EMAIL]]+30)</f>
        <v>46241</v>
      </c>
      <c r="O190"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46223</v>
      </c>
      <c r="P190"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12</v>
      </c>
      <c r="Q190"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9</v>
      </c>
      <c r="R190" s="49">
        <f>MAX(Tabela18[[#This Row],[DATA REAL - POSTAGEM]],Tabela18[[#This Row],[DATA REAL - APROVAÇÃO]])-MIN(Tabela18[[#This Row],[DATA REAL - POSTAGEM]],Tabela18[[#This Row],[DATA REAL - APROVAÇÃO]])+1</f>
        <v>1</v>
      </c>
      <c r="S190" s="16"/>
      <c r="T190" s="16" t="s">
        <v>122</v>
      </c>
      <c r="U190" s="18"/>
      <c r="V190" s="96" t="s">
        <v>124</v>
      </c>
      <c r="W190" s="16" t="s">
        <v>97</v>
      </c>
      <c r="X190" s="16" t="s">
        <v>89</v>
      </c>
      <c r="Y190" s="16" t="s">
        <v>1163</v>
      </c>
      <c r="Z190" s="15" t="s">
        <v>763</v>
      </c>
      <c r="AA190" s="15" t="str">
        <f>_xlfn.XLOOKUP(Tabela18[[#This Row],[CÓD. CT]],Controle_Projetos[COD CT],Controle_Projetos[COD PHD],"")</f>
        <v/>
      </c>
      <c r="AB190" s="16"/>
      <c r="AC190" s="21">
        <v>46211</v>
      </c>
      <c r="AD190" s="74">
        <v>46211</v>
      </c>
      <c r="AE190" s="16" cm="1">
        <f t="array" aca="1" ref="AE190"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0" s="21">
        <v>46211</v>
      </c>
      <c r="AG190" s="74">
        <v>46211</v>
      </c>
      <c r="AH190" s="16" cm="1">
        <f t="array" aca="1" ref="AH19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0" s="21">
        <f>Tabela18[[#This Row],[DATA PREV - EMAIL]]+$AI$1</f>
        <v>46212</v>
      </c>
      <c r="AJ190" s="74">
        <v>46211</v>
      </c>
      <c r="AK190" s="16" cm="1">
        <f t="array" aca="1" ref="AK190"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0" s="20">
        <f t="shared" ref="AL190:AL197" si="36">IF(AI190="","",IF(AJ190="",WORKDAY(AI190,AL$1,),WORKDAY(AJ190,AL$1,)))</f>
        <v>46218</v>
      </c>
      <c r="AM190" s="74">
        <v>46211</v>
      </c>
      <c r="AN190" s="16" cm="1">
        <f t="array" aca="1" ref="AN190"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90" s="20">
        <f t="shared" ref="AO190:AO197" si="37">IF(AL190="","",IF(AM190="",WORKDAY(AL190,AO$1,),WORKDAY(AM190,AO$1,)))</f>
        <v>46212</v>
      </c>
      <c r="AP190" s="74">
        <v>46211</v>
      </c>
      <c r="AQ190" s="16" cm="1">
        <f t="array" aca="1" ref="AQ190"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0" s="20">
        <f t="shared" si="34"/>
        <v>46225</v>
      </c>
      <c r="AS190" s="74">
        <v>46220</v>
      </c>
      <c r="AT190" s="16" cm="1">
        <f t="array" aca="1" ref="AT190"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90" s="20">
        <f t="shared" si="30"/>
        <v>46227</v>
      </c>
      <c r="AV190" s="74">
        <v>46223</v>
      </c>
      <c r="AW190" s="16" cm="1">
        <f t="array" aca="1" ref="AW190"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v>
      </c>
      <c r="AX190" s="21">
        <f>IF(AU190="","",IF(AV190="",WORKDAY(AU190,AX$1,),WORKDAY(AV190,AX$1,)))</f>
        <v>46224</v>
      </c>
      <c r="AY190" s="74">
        <v>46223</v>
      </c>
      <c r="AZ190" s="16" cm="1">
        <f t="array" aca="1" ref="AZ190"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90" s="81" t="s">
        <v>1165</v>
      </c>
    </row>
    <row r="191" spans="2:53" ht="18" hidden="1" customHeight="1" x14ac:dyDescent="0.35">
      <c r="B191" s="14" t="s">
        <v>79</v>
      </c>
      <c r="C191" s="16" t="s">
        <v>136</v>
      </c>
      <c r="D191" s="16" t="s">
        <v>108</v>
      </c>
      <c r="E191" s="16" t="s">
        <v>1166</v>
      </c>
      <c r="F191" s="16" cm="1">
        <f t="array" ref="F191">_xlfn.IFS(Tabela18[[#This Row],[STATUS]]="Finalizado",1,Tabela18[[#This Row],[STATUS]]="Cancelado",2,Tabela18[[#This Row],[STATUS]]="Em andamento",3)</f>
        <v>1</v>
      </c>
      <c r="G191" s="16" cm="1">
        <f t="array" aca="1" ref="G191"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-EMAIL]]="",$AH191&gt;$AF$1),2,
AND(Tabela18[[#This Row],[STATUS]]="Em andamento",Tabela18[[#This Row],[DATA REAL -EMAIL]]="",$AH191&lt;=$AF$1),3,
AND(Tabela18[[#This Row],[STATUS]]="Em andamento",Tabela18[[#This Row],[DATA REAL -EMAIL]]&lt;&gt;""),1)</f>
        <v>1</v>
      </c>
      <c r="H191" s="16" cm="1">
        <f t="array" aca="1" ref="H191"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CLIENTE]]="",$AK191&gt;$AI$1),2,
AND(Tabela18[[#This Row],[STATUS]]="Em andamento",Tabela18[[#This Row],[DATA REAL - DOC CLIENTE]]="",$AK191&lt;=$AI$1),3,
AND(Tabela18[[#This Row],[STATUS]]="Em andamento",Tabela18[[#This Row],[DATA REAL - DOC CLIENTE]]&lt;&gt;""),1)</f>
        <v>1</v>
      </c>
      <c r="I191" s="16" cm="1">
        <f t="array" aca="1" ref="I191"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06]]="",$AN191&gt;$AL$1),2,
AND(Tabela18[[#This Row],[STATUS]]="Em andamento",Tabela18[[#This Row],[DATA REAL - ANEXO 06]]="",$AN191&lt;=$AL$1),3,
AND(Tabela18[[#This Row],[STATUS]]="Em andamento",Tabela18[[#This Row],[DATA REAL - ANEXO 06]]&lt;&gt;""),1)</f>
        <v>1</v>
      </c>
      <c r="J191" s="16" cm="1">
        <f t="array" aca="1" ref="J191"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LEGAIS]]="",$AQ191&gt;$AO$1),2,
AND(Tabela18[[#This Row],[STATUS]]="Em andamento",Tabela18[[#This Row],[DATA REAL - SOLIC. PROG LEGAIS]]="",$AQ191&lt;=$AO$1),3,
AND(Tabela18[[#This Row],[STATUS]]="Em andamento",Tabela18[[#This Row],[DATA REAL - SOLIC. PROG LEGAIS]]&lt;&gt;""),1)</f>
        <v>1</v>
      </c>
      <c r="K191" s="16" cm="1">
        <f t="array" aca="1" ref="K191"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ENVIO]]="",$AT191&gt;$AR$1),2,
AND(Tabela18[[#This Row],[STATUS]]="Em andamento",Tabela18[[#This Row],[DATA REAL - ENVIO]]="",$AT191&lt;=$AR$1),3,
AND(Tabela18[[#This Row],[STATUS]]="Em andamento",Tabela18[[#This Row],[DATA REAL - ENVIO]]&lt;&gt;""),1)</f>
        <v>1</v>
      </c>
      <c r="L191" s="16" cm="1">
        <f t="array" aca="1" ref="L191"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POSTAGEM]]="",$AW191&gt;$AU$1),2,
AND(Tabela18[[#This Row],[STATUS]]="Em andamento",Tabela18[[#This Row],[DATA REAL - POSTAGEM]]="",$AW191&lt;=$AU$1),3,
AND(Tabela18[[#This Row],[STATUS]]="Em andamento",Tabela18[[#This Row],[DATA REAL - POSTAGEM]]&lt;&gt;""),1)</f>
        <v>1</v>
      </c>
      <c r="M191" s="16" cm="1">
        <f t="array" aca="1" ref="M191"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APROVAÇÃO]]="",$AZ191&gt;$AX$1),2,
AND(Tabela18[[#This Row],[STATUS]]="Em andamento",Tabela18[[#This Row],[DATA REAL - APROVAÇÃO]]="",$AZ191&lt;=$AX$1),3,
AND(Tabela18[[#This Row],[STATUS]]="Em andamento",Tabela18[[#This Row],[DATA REAL - APROVAÇÃO]]&lt;&gt;""),1)</f>
        <v>1</v>
      </c>
      <c r="N191" s="21">
        <f>IF(Tabela18[[#This Row],[DATA REAL -EMAIL]]&lt;&gt;"",Tabela18[[#This Row],[DATA REAL -EMAIL]]+30,Tabela18[[#This Row],[DATA PREV - EMAIL]]+30)</f>
        <v>46261</v>
      </c>
      <c r="O191"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46234</v>
      </c>
      <c r="P191"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3</v>
      </c>
      <c r="Q191"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v>
      </c>
      <c r="R191" s="49">
        <f>MAX(Tabela18[[#This Row],[DATA REAL - POSTAGEM]],Tabela18[[#This Row],[DATA REAL - APROVAÇÃO]])-MIN(Tabela18[[#This Row],[DATA REAL - POSTAGEM]],Tabela18[[#This Row],[DATA REAL - APROVAÇÃO]])+1</f>
        <v>3</v>
      </c>
      <c r="S191" s="16"/>
      <c r="T191" s="16" t="s">
        <v>122</v>
      </c>
      <c r="U191" s="18"/>
      <c r="V191" s="96" t="s">
        <v>124</v>
      </c>
      <c r="W191" s="16" t="s">
        <v>1166</v>
      </c>
      <c r="X191" s="16" t="s">
        <v>89</v>
      </c>
      <c r="Y191" s="16" t="s">
        <v>1163</v>
      </c>
      <c r="Z191" s="15" t="s">
        <v>763</v>
      </c>
      <c r="AA191" s="15" t="str">
        <f>_xlfn.XLOOKUP(Tabela18[[#This Row],[CÓD. CT]],Controle_Projetos[COD CT],Controle_Projetos[COD PHD],"")</f>
        <v/>
      </c>
      <c r="AB191" s="16"/>
      <c r="AC191" s="21">
        <v>46231</v>
      </c>
      <c r="AD191" s="74">
        <v>46231</v>
      </c>
      <c r="AE191" s="16" cm="1">
        <f t="array" aca="1" ref="AE191"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1" s="21">
        <v>46231</v>
      </c>
      <c r="AG191" s="74">
        <v>46231</v>
      </c>
      <c r="AH191" s="16" cm="1">
        <f t="array" aca="1" ref="AH19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1" s="21">
        <f>Tabela18[[#This Row],[DATA PREV - EMAIL]]+$AI$1</f>
        <v>46232</v>
      </c>
      <c r="AJ191" s="74">
        <v>46231</v>
      </c>
      <c r="AK191" s="16" cm="1">
        <f t="array" aca="1" ref="AK191"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1" s="20">
        <f t="shared" si="36"/>
        <v>46238</v>
      </c>
      <c r="AM191" s="74">
        <v>46232</v>
      </c>
      <c r="AN191" s="16" cm="1">
        <f t="array" aca="1" ref="AN191"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91" s="20">
        <f t="shared" si="37"/>
        <v>46233</v>
      </c>
      <c r="AP191" s="74">
        <v>46232</v>
      </c>
      <c r="AQ191" s="16" cm="1">
        <f t="array" aca="1" ref="AQ191"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1" s="20">
        <f t="shared" si="34"/>
        <v>46246</v>
      </c>
      <c r="AS191" s="74">
        <v>46232</v>
      </c>
      <c r="AT191" s="16" cm="1">
        <f t="array" aca="1" ref="AT191"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-13</v>
      </c>
      <c r="AU191" s="20">
        <f t="shared" si="30"/>
        <v>46239</v>
      </c>
      <c r="AV191" s="74">
        <v>46232</v>
      </c>
      <c r="AW191" s="16" cm="1">
        <f t="array" aca="1" ref="AW191"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91" s="21">
        <f>IF(AU191="","",IF(AV191="",WORKDAY(AU191,AX$1,),WORKDAY(AV191,AX$1,)))</f>
        <v>46233</v>
      </c>
      <c r="AY191" s="74">
        <v>46234</v>
      </c>
      <c r="AZ191" s="16" cm="1">
        <f t="array" aca="1" ref="AZ191"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91" s="81" t="s">
        <v>1167</v>
      </c>
    </row>
    <row r="192" spans="2:53" ht="18" hidden="1" customHeight="1" x14ac:dyDescent="0.35">
      <c r="B192" s="14" t="s">
        <v>79</v>
      </c>
      <c r="C192" s="16" t="s">
        <v>136</v>
      </c>
      <c r="D192" s="16" t="s">
        <v>108</v>
      </c>
      <c r="E192" s="16" t="s">
        <v>649</v>
      </c>
      <c r="F192" s="16" cm="1">
        <f t="array" ref="F192">_xlfn.IFS(Tabela18[[#This Row],[STATUS]]="Finalizado",1,Tabela18[[#This Row],[STATUS]]="Cancelado",2,Tabela18[[#This Row],[STATUS]]="Em andamento",3)</f>
        <v>1</v>
      </c>
      <c r="G192" s="16" cm="1">
        <f t="array" aca="1" ref="G192"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-EMAIL]]="",$AH192&gt;$AF$1),2,
AND(Tabela18[[#This Row],[STATUS]]="Em andamento",Tabela18[[#This Row],[DATA REAL -EMAIL]]="",$AH192&lt;=$AF$1),3,
AND(Tabela18[[#This Row],[STATUS]]="Em andamento",Tabela18[[#This Row],[DATA REAL -EMAIL]]&lt;&gt;""),1)</f>
        <v>1</v>
      </c>
      <c r="H192" s="16" cm="1">
        <f t="array" aca="1" ref="H192"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CLIENTE]]="",$AK192&gt;$AI$1),2,
AND(Tabela18[[#This Row],[STATUS]]="Em andamento",Tabela18[[#This Row],[DATA REAL - DOC CLIENTE]]="",$AK192&lt;=$AI$1),3,
AND(Tabela18[[#This Row],[STATUS]]="Em andamento",Tabela18[[#This Row],[DATA REAL - DOC CLIENTE]]&lt;&gt;""),1)</f>
        <v>1</v>
      </c>
      <c r="I192" s="16" cm="1">
        <f t="array" aca="1" ref="I192"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06]]="",$AN192&gt;$AL$1),2,
AND(Tabela18[[#This Row],[STATUS]]="Em andamento",Tabela18[[#This Row],[DATA REAL - ANEXO 06]]="",$AN192&lt;=$AL$1),3,
AND(Tabela18[[#This Row],[STATUS]]="Em andamento",Tabela18[[#This Row],[DATA REAL - ANEXO 06]]&lt;&gt;""),1)</f>
        <v>1</v>
      </c>
      <c r="J192" s="16" cm="1">
        <f t="array" aca="1" ref="J192"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LEGAIS]]="",$AQ192&gt;$AO$1),2,
AND(Tabela18[[#This Row],[STATUS]]="Em andamento",Tabela18[[#This Row],[DATA REAL - SOLIC. PROG LEGAIS]]="",$AQ192&lt;=$AO$1),3,
AND(Tabela18[[#This Row],[STATUS]]="Em andamento",Tabela18[[#This Row],[DATA REAL - SOLIC. PROG LEGAIS]]&lt;&gt;""),1)</f>
        <v>1</v>
      </c>
      <c r="K192" s="16" cm="1">
        <f t="array" aca="1" ref="K192"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ENVIO]]="",$AT192&gt;$AR$1),2,
AND(Tabela18[[#This Row],[STATUS]]="Em andamento",Tabela18[[#This Row],[DATA REAL - ENVIO]]="",$AT192&lt;=$AR$1),3,
AND(Tabela18[[#This Row],[STATUS]]="Em andamento",Tabela18[[#This Row],[DATA REAL - ENVIO]]&lt;&gt;""),1)</f>
        <v>1</v>
      </c>
      <c r="L192" s="16" cm="1">
        <f t="array" aca="1" ref="L192"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POSTAGEM]]="",$AW192&gt;$AU$1),2,
AND(Tabela18[[#This Row],[STATUS]]="Em andamento",Tabela18[[#This Row],[DATA REAL - POSTAGEM]]="",$AW192&lt;=$AU$1),3,
AND(Tabela18[[#This Row],[STATUS]]="Em andamento",Tabela18[[#This Row],[DATA REAL - POSTAGEM]]&lt;&gt;""),1)</f>
        <v>1</v>
      </c>
      <c r="M192" s="16" cm="1">
        <f t="array" aca="1" ref="M192"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APROVAÇÃO]]="",$AZ192&gt;$AX$1),2,
AND(Tabela18[[#This Row],[STATUS]]="Em andamento",Tabela18[[#This Row],[DATA REAL - APROVAÇÃO]]="",$AZ192&lt;=$AX$1),3,
AND(Tabela18[[#This Row],[STATUS]]="Em andamento",Tabela18[[#This Row],[DATA REAL - APROVAÇÃO]]&lt;&gt;""),1)</f>
        <v>1</v>
      </c>
      <c r="N192" s="21">
        <f>IF(Tabela18[[#This Row],[DATA REAL -EMAIL]]&lt;&gt;"",Tabela18[[#This Row],[DATA REAL -EMAIL]]+30,Tabela18[[#This Row],[DATA PREV - EMAIL]]+30)</f>
        <v>46260</v>
      </c>
      <c r="O192"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46255</v>
      </c>
      <c r="P192"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25</v>
      </c>
      <c r="Q192"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11</v>
      </c>
      <c r="R192" s="49">
        <f>MAX(Tabela18[[#This Row],[DATA REAL - POSTAGEM]],Tabela18[[#This Row],[DATA REAL - APROVAÇÃO]])-MIN(Tabela18[[#This Row],[DATA REAL - POSTAGEM]],Tabela18[[#This Row],[DATA REAL - APROVAÇÃO]])+1</f>
        <v>2</v>
      </c>
      <c r="S192" s="16" t="s">
        <v>110</v>
      </c>
      <c r="T192" s="26" t="s">
        <v>84</v>
      </c>
      <c r="U192" s="18" t="s">
        <v>1168</v>
      </c>
      <c r="V192" s="96" t="s">
        <v>86</v>
      </c>
      <c r="W192" s="16" t="s">
        <v>97</v>
      </c>
      <c r="X192" s="16" t="s">
        <v>89</v>
      </c>
      <c r="Y192" s="16" t="s">
        <v>1101</v>
      </c>
      <c r="Z192" s="98" t="s">
        <v>788</v>
      </c>
      <c r="AA192" s="16"/>
      <c r="AB192" s="16"/>
      <c r="AC192" s="21">
        <v>46230</v>
      </c>
      <c r="AD192"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92" s="16" cm="1">
        <f t="array" aca="1" ref="AE192"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2" s="21">
        <v>46230</v>
      </c>
      <c r="AG192" s="74">
        <v>46230</v>
      </c>
      <c r="AH192" s="16" cm="1">
        <f t="array" aca="1" ref="AH19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2" s="21">
        <f>Tabela18[[#This Row],[DATA PREV - EMAIL]]+$AI$1</f>
        <v>46231</v>
      </c>
      <c r="AJ192" s="74">
        <v>46231</v>
      </c>
      <c r="AK192" s="16" cm="1">
        <f t="array" aca="1" ref="AK192"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2" s="20">
        <f t="shared" si="36"/>
        <v>46238</v>
      </c>
      <c r="AM192" s="74">
        <v>46232</v>
      </c>
      <c r="AN192" s="16" cm="1">
        <f t="array" aca="1" ref="AN192"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92" s="20">
        <f t="shared" si="37"/>
        <v>46233</v>
      </c>
      <c r="AP192" s="74">
        <v>46232</v>
      </c>
      <c r="AQ192" s="16" cm="1">
        <f t="array" aca="1" ref="AQ192"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2" s="20">
        <f t="shared" si="34"/>
        <v>46246</v>
      </c>
      <c r="AS192" s="74">
        <v>46241</v>
      </c>
      <c r="AT192" s="16" cm="1">
        <f t="array" aca="1" ref="AT192"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-4</v>
      </c>
      <c r="AU192" s="20">
        <f t="shared" si="30"/>
        <v>46248</v>
      </c>
      <c r="AV192" s="74">
        <v>46254</v>
      </c>
      <c r="AW192" s="16" cm="1">
        <f t="array" aca="1" ref="AW192"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7</v>
      </c>
      <c r="AX192" s="21">
        <f t="shared" ref="AX192:AX193" si="38">IF(AU192="","",IF(AV192="",WORKDAY(AU192,AX$1,),WORKDAY(AV192,AX$1,)))</f>
        <v>46255</v>
      </c>
      <c r="AY192" s="74">
        <v>46255</v>
      </c>
      <c r="AZ192" s="16" cm="1">
        <f t="array" aca="1" ref="AZ192"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1</v>
      </c>
      <c r="BA192" s="81" t="s">
        <v>1169</v>
      </c>
    </row>
    <row r="193" spans="2:53" ht="18" hidden="1" customHeight="1" x14ac:dyDescent="0.35">
      <c r="B193" s="14" t="s">
        <v>79</v>
      </c>
      <c r="C193" s="16" t="s">
        <v>136</v>
      </c>
      <c r="D193" s="16" t="s">
        <v>108</v>
      </c>
      <c r="E193" s="16" t="s">
        <v>781</v>
      </c>
      <c r="F193" s="16" cm="1">
        <f t="array" ref="F193">_xlfn.IFS(Tabela18[[#This Row],[STATUS]]="Finalizado",1,Tabela18[[#This Row],[STATUS]]="Cancelado",2,Tabela18[[#This Row],[STATUS]]="Em andamento",3)</f>
        <v>1</v>
      </c>
      <c r="G193" s="16" cm="1">
        <f t="array" aca="1" ref="G193"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-EMAIL]]="",$AH193&gt;$AF$1),2,
AND(Tabela18[[#This Row],[STATUS]]="Em andamento",Tabela18[[#This Row],[DATA REAL -EMAIL]]="",$AH193&lt;=$AF$1),3,
AND(Tabela18[[#This Row],[STATUS]]="Em andamento",Tabela18[[#This Row],[DATA REAL -EMAIL]]&lt;&gt;""),1)</f>
        <v>1</v>
      </c>
      <c r="H193" s="16" cm="1">
        <f t="array" aca="1" ref="H193"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CLIENTE]]="",$AK193&gt;$AI$1),2,
AND(Tabela18[[#This Row],[STATUS]]="Em andamento",Tabela18[[#This Row],[DATA REAL - DOC CLIENTE]]="",$AK193&lt;=$AI$1),3,
AND(Tabela18[[#This Row],[STATUS]]="Em andamento",Tabela18[[#This Row],[DATA REAL - DOC CLIENTE]]&lt;&gt;""),1)</f>
        <v>1</v>
      </c>
      <c r="I193" s="16" cm="1">
        <f t="array" aca="1" ref="I193"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06]]="",$AN193&gt;$AL$1),2,
AND(Tabela18[[#This Row],[STATUS]]="Em andamento",Tabela18[[#This Row],[DATA REAL - ANEXO 06]]="",$AN193&lt;=$AL$1),3,
AND(Tabela18[[#This Row],[STATUS]]="Em andamento",Tabela18[[#This Row],[DATA REAL - ANEXO 06]]&lt;&gt;""),1)</f>
        <v>1</v>
      </c>
      <c r="J193" s="16" cm="1">
        <f t="array" aca="1" ref="J193"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LEGAIS]]="",$AQ193&gt;$AO$1),2,
AND(Tabela18[[#This Row],[STATUS]]="Em andamento",Tabela18[[#This Row],[DATA REAL - SOLIC. PROG LEGAIS]]="",$AQ193&lt;=$AO$1),3,
AND(Tabela18[[#This Row],[STATUS]]="Em andamento",Tabela18[[#This Row],[DATA REAL - SOLIC. PROG LEGAIS]]&lt;&gt;""),1)</f>
        <v>1</v>
      </c>
      <c r="K193" s="16" cm="1">
        <f t="array" aca="1" ref="K193"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ENVIO]]="",$AT193&gt;$AR$1),2,
AND(Tabela18[[#This Row],[STATUS]]="Em andamento",Tabela18[[#This Row],[DATA REAL - ENVIO]]="",$AT193&lt;=$AR$1),3,
AND(Tabela18[[#This Row],[STATUS]]="Em andamento",Tabela18[[#This Row],[DATA REAL - ENVIO]]&lt;&gt;""),1)</f>
        <v>1</v>
      </c>
      <c r="L193" s="16" cm="1">
        <f t="array" aca="1" ref="L193"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POSTAGEM]]="",$AW193&gt;$AU$1),2,
AND(Tabela18[[#This Row],[STATUS]]="Em andamento",Tabela18[[#This Row],[DATA REAL - POSTAGEM]]="",$AW193&lt;=$AU$1),3,
AND(Tabela18[[#This Row],[STATUS]]="Em andamento",Tabela18[[#This Row],[DATA REAL - POSTAGEM]]&lt;&gt;""),1)</f>
        <v>1</v>
      </c>
      <c r="M193" s="16" cm="1">
        <f t="array" aca="1" ref="M193"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APROVAÇÃO]]="",$AZ193&gt;$AX$1),2,
AND(Tabela18[[#This Row],[STATUS]]="Em andamento",Tabela18[[#This Row],[DATA REAL - APROVAÇÃO]]="",$AZ193&lt;=$AX$1),3,
AND(Tabela18[[#This Row],[STATUS]]="Em andamento",Tabela18[[#This Row],[DATA REAL - APROVAÇÃO]]&lt;&gt;""),1)</f>
        <v>1</v>
      </c>
      <c r="N193" s="21">
        <f>IF(Tabela18[[#This Row],[DATA REAL -EMAIL]]&lt;&gt;"",Tabela18[[#This Row],[DATA REAL -EMAIL]]+30,Tabela18[[#This Row],[DATA PREV - EMAIL]]+30)</f>
        <v>46270</v>
      </c>
      <c r="O193"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46254</v>
      </c>
      <c r="P193"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14</v>
      </c>
      <c r="Q193"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12</v>
      </c>
      <c r="R193" s="49">
        <f>MAX(Tabela18[[#This Row],[DATA REAL - POSTAGEM]],Tabela18[[#This Row],[DATA REAL - APROVAÇÃO]])-MIN(Tabela18[[#This Row],[DATA REAL - POSTAGEM]],Tabela18[[#This Row],[DATA REAL - APROVAÇÃO]])+1</f>
        <v>3</v>
      </c>
      <c r="S193" s="16" t="s">
        <v>707</v>
      </c>
      <c r="T193" s="26" t="s">
        <v>122</v>
      </c>
      <c r="U193" s="18" t="s">
        <v>1011</v>
      </c>
      <c r="V193" s="96" t="s">
        <v>124</v>
      </c>
      <c r="W193" s="16" t="s">
        <v>97</v>
      </c>
      <c r="X193" s="16" t="s">
        <v>781</v>
      </c>
      <c r="Y193" s="16" t="s">
        <v>1170</v>
      </c>
      <c r="Z193" s="77" t="s">
        <v>1171</v>
      </c>
      <c r="AA193" s="16"/>
      <c r="AB193" s="16"/>
      <c r="AC193" s="21">
        <v>46240</v>
      </c>
      <c r="AD193"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93" s="16" cm="1">
        <f t="array" aca="1" ref="AE193"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3" s="21">
        <v>46240</v>
      </c>
      <c r="AG193" s="74">
        <v>46240</v>
      </c>
      <c r="AH193" s="16" cm="1">
        <f t="array" aca="1" ref="AH19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3" s="21">
        <f>Tabela18[[#This Row],[DATA PREV - EMAIL]]+$AI$1</f>
        <v>46241</v>
      </c>
      <c r="AJ193" s="74">
        <v>46240</v>
      </c>
      <c r="AK193" s="16" cm="1">
        <f t="array" aca="1" ref="AK193"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3" s="20">
        <f t="shared" si="36"/>
        <v>46247</v>
      </c>
      <c r="AM193" s="74">
        <v>46241</v>
      </c>
      <c r="AN193" s="16" cm="1">
        <f t="array" aca="1" ref="AN193"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93" s="20">
        <f t="shared" si="37"/>
        <v>46244</v>
      </c>
      <c r="AP193" s="74">
        <v>46241</v>
      </c>
      <c r="AQ193" s="16" cm="1">
        <f t="array" aca="1" ref="AQ193"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-2</v>
      </c>
      <c r="AR193" s="20">
        <f t="shared" si="34"/>
        <v>46255</v>
      </c>
      <c r="AS193" s="74">
        <v>46252</v>
      </c>
      <c r="AT193" s="16" cm="1">
        <f t="array" aca="1" ref="AT193"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-2</v>
      </c>
      <c r="AU193" s="20">
        <f t="shared" si="30"/>
        <v>46259</v>
      </c>
      <c r="AV193" s="74">
        <v>46252</v>
      </c>
      <c r="AW193" s="16" cm="1">
        <f t="array" aca="1" ref="AW193"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93" s="21">
        <f t="shared" si="38"/>
        <v>46253</v>
      </c>
      <c r="AY193" s="74">
        <v>46254</v>
      </c>
      <c r="AZ193" s="16" cm="1">
        <f t="array" aca="1" ref="AZ193"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2</v>
      </c>
      <c r="BA193" s="81" t="s">
        <v>1172</v>
      </c>
    </row>
    <row r="194" spans="2:53" ht="18" customHeight="1" x14ac:dyDescent="0.35">
      <c r="B194" s="14" t="s">
        <v>778</v>
      </c>
      <c r="C194" s="16" t="s">
        <v>136</v>
      </c>
      <c r="D194" s="16"/>
      <c r="E194" s="16" t="s">
        <v>795</v>
      </c>
      <c r="F194" s="16" cm="1">
        <f t="array" ref="F194">_xlfn.IFS(Tabela18[[#This Row],[STATUS]]="Finalizado",1,Tabela18[[#This Row],[STATUS]]="Cancelado",2,Tabela18[[#This Row],[STATUS]]="Em andamento",3)</f>
        <v>3</v>
      </c>
      <c r="G194" s="16" cm="1">
        <f t="array" aca="1" ref="G194"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-EMAIL]]="",$AH194&gt;$AF$1),2,
AND(Tabela18[[#This Row],[STATUS]]="Em andamento",Tabela18[[#This Row],[DATA REAL -EMAIL]]="",$AH194&lt;=$AF$1),3,
AND(Tabela18[[#This Row],[STATUS]]="Em andamento",Tabela18[[#This Row],[DATA REAL -EMAIL]]&lt;&gt;""),1)</f>
        <v>1</v>
      </c>
      <c r="H194" s="16" cm="1">
        <f t="array" aca="1" ref="H194"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CLIENTE]]="",$AK194&gt;$AI$1),2,
AND(Tabela18[[#This Row],[STATUS]]="Em andamento",Tabela18[[#This Row],[DATA REAL - DOC CLIENTE]]="",$AK194&lt;=$AI$1),3,
AND(Tabela18[[#This Row],[STATUS]]="Em andamento",Tabela18[[#This Row],[DATA REAL - DOC CLIENTE]]&lt;&gt;""),1)</f>
        <v>1</v>
      </c>
      <c r="I194" s="16" cm="1">
        <f t="array" aca="1" ref="I194"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06]]="",$AN194&gt;$AL$1),2,
AND(Tabela18[[#This Row],[STATUS]]="Em andamento",Tabela18[[#This Row],[DATA REAL - ANEXO 06]]="",$AN194&lt;=$AL$1),3,
AND(Tabela18[[#This Row],[STATUS]]="Em andamento",Tabela18[[#This Row],[DATA REAL - ANEXO 06]]&lt;&gt;""),1)</f>
        <v>1</v>
      </c>
      <c r="J194" s="16" cm="1">
        <f t="array" aca="1" ref="J194"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LEGAIS]]="",$AQ194&gt;$AO$1),2,
AND(Tabela18[[#This Row],[STATUS]]="Em andamento",Tabela18[[#This Row],[DATA REAL - SOLIC. PROG LEGAIS]]="",$AQ194&lt;=$AO$1),3,
AND(Tabela18[[#This Row],[STATUS]]="Em andamento",Tabela18[[#This Row],[DATA REAL - SOLIC. PROG LEGAIS]]&lt;&gt;""),1)</f>
        <v>1</v>
      </c>
      <c r="K194" s="16" cm="1">
        <f t="array" aca="1" ref="K194"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ENVIO]]="",$AT194&gt;$AR$1),2,
AND(Tabela18[[#This Row],[STATUS]]="Em andamento",Tabela18[[#This Row],[DATA REAL - ENVIO]]="",$AT194&lt;=$AR$1),3,
AND(Tabela18[[#This Row],[STATUS]]="Em andamento",Tabela18[[#This Row],[DATA REAL - ENVIO]]&lt;&gt;""),1)</f>
        <v>1</v>
      </c>
      <c r="L194" s="16" cm="1">
        <f t="array" aca="1" ref="L194"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POSTAGEM]]="",$AW194&gt;$AU$1),2,
AND(Tabela18[[#This Row],[STATUS]]="Em andamento",Tabela18[[#This Row],[DATA REAL - POSTAGEM]]="",$AW194&lt;=$AU$1),3,
AND(Tabela18[[#This Row],[STATUS]]="Em andamento",Tabela18[[#This Row],[DATA REAL - POSTAGEM]]&lt;&gt;""),1)</f>
        <v>2</v>
      </c>
      <c r="M194" s="16" cm="1">
        <f t="array" aca="1" ref="M194"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APROVAÇÃO]]="",$AZ194&gt;$AX$1),2,
AND(Tabela18[[#This Row],[STATUS]]="Em andamento",Tabela18[[#This Row],[DATA REAL - APROVAÇÃO]]="",$AZ194&lt;=$AX$1),3,
AND(Tabela18[[#This Row],[STATUS]]="Em andamento",Tabela18[[#This Row],[DATA REAL - APROVAÇÃO]]&lt;&gt;""),1)</f>
        <v>2</v>
      </c>
      <c r="N194" s="21">
        <f>IF(Tabela18[[#This Row],[DATA REAL -EMAIL]]&lt;&gt;"",Tabela18[[#This Row],[DATA REAL -EMAIL]]+30,Tabela18[[#This Row],[DATA PREV - EMAIL]]+30)</f>
        <v>46281</v>
      </c>
      <c r="O194" s="21" t="str">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
      </c>
      <c r="P194"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23</v>
      </c>
      <c r="Q194"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23</v>
      </c>
      <c r="R194" s="49">
        <f>MAX(Tabela18[[#This Row],[DATA REAL - POSTAGEM]],Tabela18[[#This Row],[DATA REAL - APROVAÇÃO]])-MIN(Tabela18[[#This Row],[DATA REAL - POSTAGEM]],Tabela18[[#This Row],[DATA REAL - APROVAÇÃO]])+1</f>
        <v>1</v>
      </c>
      <c r="S194" s="16" t="s">
        <v>110</v>
      </c>
      <c r="T194" s="26" t="s">
        <v>84</v>
      </c>
      <c r="U194" s="18" t="s">
        <v>1168</v>
      </c>
      <c r="V194" s="96" t="s">
        <v>86</v>
      </c>
      <c r="W194" s="16" t="s">
        <v>97</v>
      </c>
      <c r="X194" s="16" t="s">
        <v>89</v>
      </c>
      <c r="Y194" s="16" t="s">
        <v>1163</v>
      </c>
      <c r="Z194" s="15" t="s">
        <v>796</v>
      </c>
      <c r="AA194" s="16"/>
      <c r="AB194" s="16"/>
      <c r="AC194" s="21">
        <v>46251</v>
      </c>
      <c r="AD194" s="74">
        <v>46267</v>
      </c>
      <c r="AE194" s="16" cm="1">
        <f t="array" aca="1" ref="AE194"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17</v>
      </c>
      <c r="AF194" s="21">
        <v>46251</v>
      </c>
      <c r="AG194" s="74">
        <v>46251</v>
      </c>
      <c r="AH194" s="16" cm="1">
        <f t="array" aca="1" ref="AH19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4" s="21">
        <f>Tabela18[[#This Row],[DATA PREV - EMAIL]]+$AI$1</f>
        <v>46252</v>
      </c>
      <c r="AJ194" s="74">
        <v>46251</v>
      </c>
      <c r="AK194" s="16" cm="1">
        <f t="array" aca="1" ref="AK194"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4" s="20">
        <f t="shared" si="36"/>
        <v>46258</v>
      </c>
      <c r="AM194" s="74">
        <v>46252</v>
      </c>
      <c r="AN194" s="16" cm="1">
        <f t="array" aca="1" ref="AN194"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94" s="20">
        <f t="shared" si="37"/>
        <v>46253</v>
      </c>
      <c r="AP194" s="74">
        <v>46253</v>
      </c>
      <c r="AQ194" s="16" cm="1">
        <f t="array" aca="1" ref="AQ194"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1</v>
      </c>
      <c r="AR194" s="20">
        <f t="shared" si="34"/>
        <v>46267</v>
      </c>
      <c r="AS194" s="74">
        <v>46259</v>
      </c>
      <c r="AT194" s="16" cm="1">
        <f t="array" aca="1" ref="AT194"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v>
      </c>
      <c r="AU194" s="20">
        <f t="shared" si="30"/>
        <v>46266</v>
      </c>
      <c r="AV194" s="74"/>
      <c r="AW194" s="16" cm="1">
        <f t="array" aca="1" ref="AW194"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9</v>
      </c>
      <c r="AX194" s="21">
        <f>IF(AU194="","",IF(AV194="",WORKDAY(AU194,AX$1,),WORKDAY(AV194,AX$1,)))</f>
        <v>46267</v>
      </c>
      <c r="AY194" s="74"/>
      <c r="AZ194" s="16" cm="1">
        <f t="array" aca="1" ref="AZ194"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8</v>
      </c>
      <c r="BA194" s="81" t="s">
        <v>1173</v>
      </c>
    </row>
    <row r="195" spans="2:53" ht="18" customHeight="1" x14ac:dyDescent="0.35">
      <c r="B195" s="14" t="s">
        <v>778</v>
      </c>
      <c r="C195" s="16" t="s">
        <v>136</v>
      </c>
      <c r="D195" s="16" t="s">
        <v>108</v>
      </c>
      <c r="E195" s="16" t="s">
        <v>153</v>
      </c>
      <c r="F195" s="16" cm="1">
        <f t="array" ref="F195">_xlfn.IFS(Tabela18[[#This Row],[STATUS]]="Finalizado",1,Tabela18[[#This Row],[STATUS]]="Cancelado",2,Tabela18[[#This Row],[STATUS]]="Em andamento",3)</f>
        <v>3</v>
      </c>
      <c r="G195" s="16" cm="1">
        <f t="array" aca="1" ref="G195"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-EMAIL]]="",$AH195&gt;$AF$1),2,
AND(Tabela18[[#This Row],[STATUS]]="Em andamento",Tabela18[[#This Row],[DATA REAL -EMAIL]]="",$AH195&lt;=$AF$1),3,
AND(Tabela18[[#This Row],[STATUS]]="Em andamento",Tabela18[[#This Row],[DATA REAL -EMAIL]]&lt;&gt;""),1)</f>
        <v>1</v>
      </c>
      <c r="H195" s="16" cm="1">
        <f t="array" aca="1" ref="H195"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CLIENTE]]="",$AK195&gt;$AI$1),2,
AND(Tabela18[[#This Row],[STATUS]]="Em andamento",Tabela18[[#This Row],[DATA REAL - DOC CLIENTE]]="",$AK195&lt;=$AI$1),3,
AND(Tabela18[[#This Row],[STATUS]]="Em andamento",Tabela18[[#This Row],[DATA REAL - DOC CLIENTE]]&lt;&gt;""),1)</f>
        <v>1</v>
      </c>
      <c r="I195" s="16" cm="1">
        <f t="array" aca="1" ref="I195"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06]]="",$AN195&gt;$AL$1),2,
AND(Tabela18[[#This Row],[STATUS]]="Em andamento",Tabela18[[#This Row],[DATA REAL - ANEXO 06]]="",$AN195&lt;=$AL$1),3,
AND(Tabela18[[#This Row],[STATUS]]="Em andamento",Tabela18[[#This Row],[DATA REAL - ANEXO 06]]&lt;&gt;""),1)</f>
        <v>1</v>
      </c>
      <c r="J195" s="16" cm="1">
        <f t="array" aca="1" ref="J195"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LEGAIS]]="",$AQ195&gt;$AO$1),2,
AND(Tabela18[[#This Row],[STATUS]]="Em andamento",Tabela18[[#This Row],[DATA REAL - SOLIC. PROG LEGAIS]]="",$AQ195&lt;=$AO$1),3,
AND(Tabela18[[#This Row],[STATUS]]="Em andamento",Tabela18[[#This Row],[DATA REAL - SOLIC. PROG LEGAIS]]&lt;&gt;""),1)</f>
        <v>1</v>
      </c>
      <c r="K195" s="16" cm="1">
        <f t="array" aca="1" ref="K195"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ENVIO]]="",$AT195&gt;$AR$1),2,
AND(Tabela18[[#This Row],[STATUS]]="Em andamento",Tabela18[[#This Row],[DATA REAL - ENVIO]]="",$AT195&lt;=$AR$1),3,
AND(Tabela18[[#This Row],[STATUS]]="Em andamento",Tabela18[[#This Row],[DATA REAL - ENVIO]]&lt;&gt;""),1)</f>
        <v>1</v>
      </c>
      <c r="L195" s="16" cm="1">
        <f t="array" aca="1" ref="L195"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POSTAGEM]]="",$AW195&gt;$AU$1),2,
AND(Tabela18[[#This Row],[STATUS]]="Em andamento",Tabela18[[#This Row],[DATA REAL - POSTAGEM]]="",$AW195&lt;=$AU$1),3,
AND(Tabela18[[#This Row],[STATUS]]="Em andamento",Tabela18[[#This Row],[DATA REAL - POSTAGEM]]&lt;&gt;""),1)</f>
        <v>1</v>
      </c>
      <c r="M195" s="16" cm="1">
        <f t="array" aca="1" ref="M195"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APROVAÇÃO]]="",$AZ195&gt;$AX$1),2,
AND(Tabela18[[#This Row],[STATUS]]="Em andamento",Tabela18[[#This Row],[DATA REAL - APROVAÇÃO]]="",$AZ195&lt;=$AX$1),3,
AND(Tabela18[[#This Row],[STATUS]]="Em andamento",Tabela18[[#This Row],[DATA REAL - APROVAÇÃO]]&lt;&gt;""),1)</f>
        <v>1</v>
      </c>
      <c r="N195" s="21">
        <f>IF(Tabela18[[#This Row],[DATA REAL -EMAIL]]&lt;&gt;"",Tabela18[[#This Row],[DATA REAL -EMAIL]]+30,Tabela18[[#This Row],[DATA PREV - EMAIL]]+30)</f>
        <v>46282</v>
      </c>
      <c r="O195" s="21" t="str">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
      </c>
      <c r="P195"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80</v>
      </c>
      <c r="Q195"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80</v>
      </c>
      <c r="R195" s="49">
        <f>MAX(Tabela18[[#This Row],[DATA REAL - POSTAGEM]],Tabela18[[#This Row],[DATA REAL - APROVAÇÃO]])-MIN(Tabela18[[#This Row],[DATA REAL - POSTAGEM]],Tabela18[[#This Row],[DATA REAL - APROVAÇÃO]])+1</f>
        <v>1</v>
      </c>
      <c r="S195" s="16"/>
      <c r="T195" s="26" t="s">
        <v>122</v>
      </c>
      <c r="U195" s="118"/>
      <c r="V195" s="96" t="s">
        <v>124</v>
      </c>
      <c r="W195" s="16" t="s">
        <v>97</v>
      </c>
      <c r="X195" s="16" t="s">
        <v>153</v>
      </c>
      <c r="Y195" s="16" t="s">
        <v>1174</v>
      </c>
      <c r="Z195" s="98" t="s">
        <v>1175</v>
      </c>
      <c r="AA195" s="16"/>
      <c r="AB195" s="16"/>
      <c r="AC195" s="21">
        <v>46252</v>
      </c>
      <c r="AD195" s="74">
        <v>46252</v>
      </c>
      <c r="AE195" s="16" cm="1">
        <f t="array" aca="1" ref="AE195"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5" s="21">
        <v>46252</v>
      </c>
      <c r="AG195" s="74">
        <v>46252</v>
      </c>
      <c r="AH195" s="16" cm="1">
        <f t="array" aca="1" ref="AH19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5" s="21">
        <f>Tabela18[[#This Row],[DATA PREV - EMAIL]]+$AI$1</f>
        <v>46253</v>
      </c>
      <c r="AJ195" s="74">
        <v>46252</v>
      </c>
      <c r="AK195" s="16" cm="1">
        <f t="array" aca="1" ref="AK195"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5" s="20">
        <f t="shared" si="36"/>
        <v>46259</v>
      </c>
      <c r="AM195" s="74">
        <v>46252</v>
      </c>
      <c r="AN195" s="16" cm="1">
        <f t="array" aca="1" ref="AN195"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95" s="20">
        <f t="shared" si="37"/>
        <v>46253</v>
      </c>
      <c r="AP195" s="74">
        <v>46252</v>
      </c>
      <c r="AQ195" s="16" cm="1">
        <f t="array" aca="1" ref="AQ195"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5" s="20">
        <f t="shared" si="34"/>
        <v>46266</v>
      </c>
      <c r="AS195" s="74">
        <v>46194</v>
      </c>
      <c r="AT195" s="16" cm="1">
        <f t="array" aca="1" ref="AT195"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-71</v>
      </c>
      <c r="AU195" s="20">
        <f t="shared" si="30"/>
        <v>46199</v>
      </c>
      <c r="AV195" s="74">
        <v>46229</v>
      </c>
      <c r="AW195" s="16" cm="1">
        <f t="array" aca="1" ref="AW195"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31</v>
      </c>
      <c r="AX195" s="21">
        <f t="shared" ref="AX195:AX196" si="39">IF(AU195="","",IF(AV195="",WORKDAY(AU195,AX$1,),WORKDAY(AV195,AX$1,)))</f>
        <v>46230</v>
      </c>
      <c r="AY195" s="74">
        <v>46229</v>
      </c>
      <c r="AZ195" s="16" cm="1">
        <f t="array" aca="1" ref="AZ195"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95" s="81" t="s">
        <v>1176</v>
      </c>
    </row>
    <row r="196" spans="2:53" ht="18" hidden="1" customHeight="1" x14ac:dyDescent="0.35">
      <c r="B196" s="14" t="s">
        <v>79</v>
      </c>
      <c r="C196" s="16" t="s">
        <v>136</v>
      </c>
      <c r="D196" s="16" t="s">
        <v>108</v>
      </c>
      <c r="E196" s="16" t="s">
        <v>153</v>
      </c>
      <c r="F196" s="16" cm="1">
        <f t="array" ref="F196">_xlfn.IFS(Tabela18[[#This Row],[STATUS]]="Finalizado",1,Tabela18[[#This Row],[STATUS]]="Cancelado",2,Tabela18[[#This Row],[STATUS]]="Em andamento",3)</f>
        <v>1</v>
      </c>
      <c r="G196" s="16" cm="1">
        <f t="array" aca="1" ref="G196"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-EMAIL]]="",$AH196&gt;$AF$1),2,
AND(Tabela18[[#This Row],[STATUS]]="Em andamento",Tabela18[[#This Row],[DATA REAL -EMAIL]]="",$AH196&lt;=$AF$1),3,
AND(Tabela18[[#This Row],[STATUS]]="Em andamento",Tabela18[[#This Row],[DATA REAL -EMAIL]]&lt;&gt;""),1)</f>
        <v>1</v>
      </c>
      <c r="H196" s="16" cm="1">
        <f t="array" aca="1" ref="H196"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CLIENTE]]="",$AK196&gt;$AI$1),2,
AND(Tabela18[[#This Row],[STATUS]]="Em andamento",Tabela18[[#This Row],[DATA REAL - DOC CLIENTE]]="",$AK196&lt;=$AI$1),3,
AND(Tabela18[[#This Row],[STATUS]]="Em andamento",Tabela18[[#This Row],[DATA REAL - DOC CLIENTE]]&lt;&gt;""),1)</f>
        <v>1</v>
      </c>
      <c r="I196" s="16" cm="1">
        <f t="array" aca="1" ref="I196"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06]]="",$AN196&gt;$AL$1),2,
AND(Tabela18[[#This Row],[STATUS]]="Em andamento",Tabela18[[#This Row],[DATA REAL - ANEXO 06]]="",$AN196&lt;=$AL$1),3,
AND(Tabela18[[#This Row],[STATUS]]="Em andamento",Tabela18[[#This Row],[DATA REAL - ANEXO 06]]&lt;&gt;""),1)</f>
        <v>1</v>
      </c>
      <c r="J196" s="16" cm="1">
        <f t="array" aca="1" ref="J196"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LEGAIS]]="",$AQ196&gt;$AO$1),2,
AND(Tabela18[[#This Row],[STATUS]]="Em andamento",Tabela18[[#This Row],[DATA REAL - SOLIC. PROG LEGAIS]]="",$AQ196&lt;=$AO$1),3,
AND(Tabela18[[#This Row],[STATUS]]="Em andamento",Tabela18[[#This Row],[DATA REAL - SOLIC. PROG LEGAIS]]&lt;&gt;""),1)</f>
        <v>1</v>
      </c>
      <c r="K196" s="16" cm="1">
        <f t="array" aca="1" ref="K196"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ENVIO]]="",$AT196&gt;$AR$1),2,
AND(Tabela18[[#This Row],[STATUS]]="Em andamento",Tabela18[[#This Row],[DATA REAL - ENVIO]]="",$AT196&lt;=$AR$1),3,
AND(Tabela18[[#This Row],[STATUS]]="Em andamento",Tabela18[[#This Row],[DATA REAL - ENVIO]]&lt;&gt;""),1)</f>
        <v>1</v>
      </c>
      <c r="L196" s="16" cm="1">
        <f t="array" aca="1" ref="L196"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POSTAGEM]]="",$AW196&gt;$AU$1),2,
AND(Tabela18[[#This Row],[STATUS]]="Em andamento",Tabela18[[#This Row],[DATA REAL - POSTAGEM]]="",$AW196&lt;=$AU$1),3,
AND(Tabela18[[#This Row],[STATUS]]="Em andamento",Tabela18[[#This Row],[DATA REAL - POSTAGEM]]&lt;&gt;""),1)</f>
        <v>1</v>
      </c>
      <c r="M196" s="16" cm="1">
        <f t="array" aca="1" ref="M196"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APROVAÇÃO]]="",$AZ196&gt;$AX$1),2,
AND(Tabela18[[#This Row],[STATUS]]="Em andamento",Tabela18[[#This Row],[DATA REAL - APROVAÇÃO]]="",$AZ196&lt;=$AX$1),3,
AND(Tabela18[[#This Row],[STATUS]]="Em andamento",Tabela18[[#This Row],[DATA REAL - APROVAÇÃO]]&lt;&gt;""),1)</f>
        <v>1</v>
      </c>
      <c r="N196" s="21">
        <f>IF(Tabela18[[#This Row],[DATA REAL -EMAIL]]&lt;&gt;"",Tabela18[[#This Row],[DATA REAL -EMAIL]]+30,Tabela18[[#This Row],[DATA PREV - EMAIL]]+30)</f>
        <v>46282</v>
      </c>
      <c r="O196"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46252</v>
      </c>
      <c r="P196"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58</v>
      </c>
      <c r="Q196"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58</v>
      </c>
      <c r="R196" s="49">
        <f>MAX(Tabela18[[#This Row],[DATA REAL - POSTAGEM]],Tabela18[[#This Row],[DATA REAL - APROVAÇÃO]])-MIN(Tabela18[[#This Row],[DATA REAL - POSTAGEM]],Tabela18[[#This Row],[DATA REAL - APROVAÇÃO]])+1</f>
        <v>1</v>
      </c>
      <c r="S196" s="16"/>
      <c r="T196" s="26" t="s">
        <v>122</v>
      </c>
      <c r="U196" s="118"/>
      <c r="V196" s="96" t="s">
        <v>124</v>
      </c>
      <c r="W196" s="16" t="s">
        <v>97</v>
      </c>
      <c r="X196" s="16" t="s">
        <v>153</v>
      </c>
      <c r="Y196" s="16" t="s">
        <v>1177</v>
      </c>
      <c r="Z196" s="77" t="s">
        <v>1178</v>
      </c>
      <c r="AA196" s="16"/>
      <c r="AB196" s="16"/>
      <c r="AC196" s="21">
        <v>46252</v>
      </c>
      <c r="AD196" s="74">
        <v>46252</v>
      </c>
      <c r="AE196" s="16" cm="1">
        <f t="array" aca="1" ref="AE196"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1</v>
      </c>
      <c r="AF196" s="21">
        <v>46252</v>
      </c>
      <c r="AG196" s="74">
        <v>46252</v>
      </c>
      <c r="AH196" s="16" cm="1">
        <f t="array" aca="1" ref="AH19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I196" s="21">
        <f>Tabela18[[#This Row],[DATA PREV - EMAIL]]+$AI$1</f>
        <v>46253</v>
      </c>
      <c r="AJ196" s="74">
        <v>46252</v>
      </c>
      <c r="AK196" s="16" cm="1">
        <f t="array" aca="1" ref="AK196"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1</v>
      </c>
      <c r="AL196" s="20">
        <f t="shared" si="36"/>
        <v>46259</v>
      </c>
      <c r="AM196" s="74">
        <v>46252</v>
      </c>
      <c r="AN196" s="16" cm="1">
        <f t="array" aca="1" ref="AN196"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-6</v>
      </c>
      <c r="AO196" s="20">
        <f t="shared" si="37"/>
        <v>46253</v>
      </c>
      <c r="AP196" s="74">
        <v>46252</v>
      </c>
      <c r="AQ196" s="16" cm="1">
        <f t="array" aca="1" ref="AQ196"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6" s="20">
        <f t="shared" si="34"/>
        <v>46266</v>
      </c>
      <c r="AS196" s="74">
        <v>46194</v>
      </c>
      <c r="AT196" s="16" cm="1">
        <f t="array" aca="1" ref="AT196"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-71</v>
      </c>
      <c r="AU196" s="20">
        <f t="shared" si="30"/>
        <v>46199</v>
      </c>
      <c r="AV196" s="74">
        <v>46194</v>
      </c>
      <c r="AW196" s="16" cm="1">
        <f t="array" aca="1" ref="AW196"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-4</v>
      </c>
      <c r="AX196" s="21">
        <f t="shared" si="39"/>
        <v>46195</v>
      </c>
      <c r="AY196" s="74">
        <v>46194</v>
      </c>
      <c r="AZ196" s="16" cm="1">
        <f t="array" aca="1" ref="AZ196"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0</v>
      </c>
      <c r="BA196" s="81" t="s">
        <v>1179</v>
      </c>
    </row>
    <row r="197" spans="2:53" ht="18" customHeight="1" x14ac:dyDescent="0.35">
      <c r="B197" s="14" t="s">
        <v>778</v>
      </c>
      <c r="C197" s="16" t="s">
        <v>136</v>
      </c>
      <c r="D197" s="16"/>
      <c r="E197" s="16" t="s">
        <v>153</v>
      </c>
      <c r="F197" s="16" cm="1">
        <f t="array" ref="F197">_xlfn.IFS(Tabela18[[#This Row],[STATUS]]="Finalizado",1,Tabela18[[#This Row],[STATUS]]="Cancelado",2,Tabela18[[#This Row],[STATUS]]="Em andamento",3)</f>
        <v>3</v>
      </c>
      <c r="G197" s="16" cm="1">
        <f t="array" aca="1" ref="G197"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-EMAIL]]="",$AH197&gt;$AF$1),2,
AND(Tabela18[[#This Row],[STATUS]]="Em andamento",Tabela18[[#This Row],[DATA REAL -EMAIL]]="",$AH197&lt;=$AF$1),3,
AND(Tabela18[[#This Row],[STATUS]]="Em andamento",Tabela18[[#This Row],[DATA REAL -EMAIL]]&lt;&gt;""),1)</f>
        <v>1</v>
      </c>
      <c r="H197" s="16" cm="1">
        <f t="array" aca="1" ref="H197"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CLIENTE]]="",$AK197&gt;$AI$1),2,
AND(Tabela18[[#This Row],[STATUS]]="Em andamento",Tabela18[[#This Row],[DATA REAL - DOC CLIENTE]]="",$AK197&lt;=$AI$1),3,
AND(Tabela18[[#This Row],[STATUS]]="Em andamento",Tabela18[[#This Row],[DATA REAL - DOC CLIENTE]]&lt;&gt;""),1)</f>
        <v>1</v>
      </c>
      <c r="I197" s="16" cm="1">
        <f t="array" aca="1" ref="I197"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06]]="",$AN197&gt;$AL$1),2,
AND(Tabela18[[#This Row],[STATUS]]="Em andamento",Tabela18[[#This Row],[DATA REAL - ANEXO 06]]="",$AN197&lt;=$AL$1),3,
AND(Tabela18[[#This Row],[STATUS]]="Em andamento",Tabela18[[#This Row],[DATA REAL - ANEXO 06]]&lt;&gt;""),1)</f>
        <v>1</v>
      </c>
      <c r="J197" s="16" cm="1">
        <f t="array" aca="1" ref="J197"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LEGAIS]]="",$AQ197&gt;$AO$1),2,
AND(Tabela18[[#This Row],[STATUS]]="Em andamento",Tabela18[[#This Row],[DATA REAL - SOLIC. PROG LEGAIS]]="",$AQ197&lt;=$AO$1),3,
AND(Tabela18[[#This Row],[STATUS]]="Em andamento",Tabela18[[#This Row],[DATA REAL - SOLIC. PROG LEGAIS]]&lt;&gt;""),1)</f>
        <v>1</v>
      </c>
      <c r="K197" s="16" cm="1">
        <f t="array" aca="1" ref="K197"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ENVIO]]="",$AT197&gt;$AR$1),2,
AND(Tabela18[[#This Row],[STATUS]]="Em andamento",Tabela18[[#This Row],[DATA REAL - ENVIO]]="",$AT197&lt;=$AR$1),3,
AND(Tabela18[[#This Row],[STATUS]]="Em andamento",Tabela18[[#This Row],[DATA REAL - ENVIO]]&lt;&gt;""),1)</f>
        <v>3</v>
      </c>
      <c r="L197" s="16" cm="1">
        <f t="array" aca="1" ref="L197"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POSTAGEM]]="",$AW197&gt;$AU$1),2,
AND(Tabela18[[#This Row],[STATUS]]="Em andamento",Tabela18[[#This Row],[DATA REAL - POSTAGEM]]="",$AW197&lt;=$AU$1),3,
AND(Tabela18[[#This Row],[STATUS]]="Em andamento",Tabela18[[#This Row],[DATA REAL - POSTAGEM]]&lt;&gt;""),1)</f>
        <v>3</v>
      </c>
      <c r="M197" s="16" cm="1">
        <f t="array" aca="1" ref="M197"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APROVAÇÃO]]="",$AZ197&gt;$AX$1),2,
AND(Tabela18[[#This Row],[STATUS]]="Em andamento",Tabela18[[#This Row],[DATA REAL - APROVAÇÃO]]="",$AZ197&lt;=$AX$1),3,
AND(Tabela18[[#This Row],[STATUS]]="Em andamento",Tabela18[[#This Row],[DATA REAL - APROVAÇÃO]]&lt;&gt;""),1)</f>
        <v>3</v>
      </c>
      <c r="N197" s="21">
        <f>IF(Tabela18[[#This Row],[DATA REAL -EMAIL]]&lt;&gt;"",Tabela18[[#This Row],[DATA REAL -EMAIL]]+30,Tabela18[[#This Row],[DATA PREV - EMAIL]]+30)</f>
        <v>46289</v>
      </c>
      <c r="O197" s="21" t="str">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
      </c>
      <c r="P197"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15</v>
      </c>
      <c r="Q197"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15</v>
      </c>
      <c r="R197" s="49">
        <f>MAX(Tabela18[[#This Row],[DATA REAL - POSTAGEM]],Tabela18[[#This Row],[DATA REAL - APROVAÇÃO]])-MIN(Tabela18[[#This Row],[DATA REAL - POSTAGEM]],Tabela18[[#This Row],[DATA REAL - APROVAÇÃO]])+1</f>
        <v>1</v>
      </c>
      <c r="S197" s="16"/>
      <c r="T197" s="26" t="s">
        <v>122</v>
      </c>
      <c r="U197" s="118"/>
      <c r="V197" s="96" t="s">
        <v>124</v>
      </c>
      <c r="W197" s="16" t="s">
        <v>97</v>
      </c>
      <c r="X197" s="16" t="s">
        <v>153</v>
      </c>
      <c r="Y197" s="16" t="s">
        <v>1180</v>
      </c>
      <c r="Z197" s="77" t="s">
        <v>1181</v>
      </c>
      <c r="AA197" s="16"/>
      <c r="AB197" s="16"/>
      <c r="AC197" s="21">
        <v>46252</v>
      </c>
      <c r="AD197"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97" s="16" cm="1">
        <f t="array" aca="1" ref="AE197"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23</v>
      </c>
      <c r="AF197" s="21">
        <v>46252</v>
      </c>
      <c r="AG197" s="74">
        <v>46259</v>
      </c>
      <c r="AH197" s="16" cm="1">
        <f t="array" aca="1" ref="AH19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8</v>
      </c>
      <c r="AI197" s="21">
        <f>Tabela18[[#This Row],[DATA PREV - EMAIL]]+$AI$1</f>
        <v>46253</v>
      </c>
      <c r="AJ197" s="74">
        <v>46259</v>
      </c>
      <c r="AK197" s="16" cm="1">
        <f t="array" aca="1" ref="AK197"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8</v>
      </c>
      <c r="AL197" s="20">
        <f t="shared" si="36"/>
        <v>46266</v>
      </c>
      <c r="AM197" s="74">
        <v>46260</v>
      </c>
      <c r="AN197" s="16" cm="1">
        <f t="array" aca="1" ref="AN197"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-5</v>
      </c>
      <c r="AO197" s="20">
        <f t="shared" si="37"/>
        <v>46261</v>
      </c>
      <c r="AP197" s="74">
        <v>46260</v>
      </c>
      <c r="AQ197" s="16" cm="1">
        <f t="array" aca="1" ref="AQ197"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0</v>
      </c>
      <c r="AR197" s="20">
        <f t="shared" si="34"/>
        <v>46274</v>
      </c>
      <c r="AS197" s="74"/>
      <c r="AT197" s="16" cm="1">
        <f t="array" aca="1" ref="AT197"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1</v>
      </c>
      <c r="AU197" s="20">
        <f t="shared" si="30"/>
        <v>46281</v>
      </c>
      <c r="AV197" s="101"/>
      <c r="AW197" s="16" cm="1">
        <f t="array" aca="1" ref="AW197"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-6</v>
      </c>
      <c r="AX197" s="21">
        <f t="shared" ref="AX197:AX198" si="40">IF(AU197="","",IF(AV197="",WORKDAY(AU197,AX$1,),WORKDAY(AV197,AX$1,)))</f>
        <v>46282</v>
      </c>
      <c r="AY197" s="74"/>
      <c r="AZ197" s="16" cm="1">
        <f t="array" aca="1" ref="AZ197"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-7</v>
      </c>
      <c r="BA197" s="81" t="s">
        <v>1182</v>
      </c>
    </row>
    <row r="198" spans="2:53" hidden="1" x14ac:dyDescent="0.35">
      <c r="B198" s="14"/>
      <c r="C198" s="16"/>
      <c r="D198" s="16"/>
      <c r="E198" s="16"/>
      <c r="F198" s="16" t="e" cm="1">
        <f t="array" ref="F198">_xlfn.IFS(Tabela18[[#This Row],[STATUS]]="Finalizado",1,Tabela18[[#This Row],[STATUS]]="Cancelado",2,Tabela18[[#This Row],[STATUS]]="Em andamento",3)</f>
        <v>#N/A</v>
      </c>
      <c r="G198" s="16" t="e" cm="1">
        <f t="array" aca="1" ref="G198" ca="1">_xlfn.IFS(
AND(Tabela18[[#This Row],[STATUS]]="Cancelado",Tabela18[[#This Row],[DATA REAL -EMAIL]]=""),0,
AND(Tabela18[[#This Row],[STATUS]]="Cancelado",Tabela18[[#This Row],[DATA REAL -EMAIL]]&lt;&gt;""),1,
AND(Tabela18[[#This Row],[STATUS]]="Finalizado",Tabela18[[#This Row],[DATA REAL -EMAIL]]=""),0,
AND(Tabela18[[#This Row],[STATUS]]="Finalizado",Tabela18[[#This Row],[DATA REAL -EMAIL]]&lt;&gt;""),1,
AND(Tabela18[[#This Row],[STATUS]]="Em andamento",Tabela18[[#This Row],[DATA REAL -EMAIL]]="",$AH198&gt;$AF$1),2,
AND(Tabela18[[#This Row],[STATUS]]="Em andamento",Tabela18[[#This Row],[DATA REAL -EMAIL]]="",$AH198&lt;=$AF$1),3,
AND(Tabela18[[#This Row],[STATUS]]="Em andamento",Tabela18[[#This Row],[DATA REAL -EMAIL]]&lt;&gt;""),1)</f>
        <v>#N/A</v>
      </c>
      <c r="H198" s="16" t="e" cm="1">
        <f t="array" aca="1" ref="H198" ca="1">_xlfn.IFS(
AND(Tabela18[[#This Row],[STATUS]]="Cancelado",Tabela18[[#This Row],[DATA REAL - DOC CLIENTE]]=""),0,
AND(Tabela18[[#This Row],[STATUS]]="Cancelado",Tabela18[[#This Row],[DATA REAL - DOC CLIENTE]]&lt;&gt;""),1,
AND(Tabela18[[#This Row],[STATUS]]="Finalizado",Tabela18[[#This Row],[DATA REAL - DOC CLIENTE]]=""),0,
AND(Tabela18[[#This Row],[STATUS]]="Finalizado",Tabela18[[#This Row],[DATA REAL - DOC CLIENTE]]&lt;&gt;""),1,
AND(Tabela18[[#This Row],[STATUS]]="Em andamento",Tabela18[[#This Row],[DATA REAL - DOC CLIENTE]]="",$AK198&gt;$AI$1),2,
AND(Tabela18[[#This Row],[STATUS]]="Em andamento",Tabela18[[#This Row],[DATA REAL - DOC CLIENTE]]="",$AK198&lt;=$AI$1),3,
AND(Tabela18[[#This Row],[STATUS]]="Em andamento",Tabela18[[#This Row],[DATA REAL - DOC CLIENTE]]&lt;&gt;""),1)</f>
        <v>#N/A</v>
      </c>
      <c r="I198" s="16" t="e" cm="1">
        <f t="array" aca="1" ref="I198" ca="1">_xlfn.IFS(
AND(Tabela18[[#This Row],[STATUS]]="Cancelado",Tabela18[[#This Row],[DATA REAL - ANEXO 06]]=""),0,
AND(Tabela18[[#This Row],[STATUS]]="Cancelado",Tabela18[[#This Row],[DATA REAL - ANEXO 06]]&lt;&gt;""),1,
AND(Tabela18[[#This Row],[STATUS]]="Finalizado",Tabela18[[#This Row],[DATA REAL - ANEXO 06]]=""),0,
AND(Tabela18[[#This Row],[STATUS]]="Finalizado",Tabela18[[#This Row],[DATA REAL - ANEXO 06]]&lt;&gt;""),1,
AND(Tabela18[[#This Row],[STATUS]]="Em andamento",Tabela18[[#This Row],[DATA REAL - ANEXO 06]]="",$AN198&gt;$AL$1),2,
AND(Tabela18[[#This Row],[STATUS]]="Em andamento",Tabela18[[#This Row],[DATA REAL - ANEXO 06]]="",$AN198&lt;=$AL$1),3,
AND(Tabela18[[#This Row],[STATUS]]="Em andamento",Tabela18[[#This Row],[DATA REAL - ANEXO 06]]&lt;&gt;""),1)</f>
        <v>#N/A</v>
      </c>
      <c r="J198" s="16" t="e" cm="1">
        <f t="array" aca="1" ref="J198" ca="1">_xlfn.IFS(
AND(Tabela18[[#This Row],[STATUS]]="Cancelado",Tabela18[[#This Row],[DATA REAL - SOLIC. PROG LEGAIS]]=""),0,
AND(Tabela18[[#This Row],[STATUS]]="Cancelado",Tabela18[[#This Row],[DATA REAL - SOLIC. PROG LEGAIS]]&lt;&gt;""),1,
AND(Tabela18[[#This Row],[STATUS]]="Finalizado",Tabela18[[#This Row],[DATA REAL - SOLIC. PROG LEGAIS]]=""),0,
AND(Tabela18[[#This Row],[STATUS]]="Finalizado",Tabela18[[#This Row],[DATA REAL - SOLIC. PROG LEGAIS]]&lt;&gt;""),1,
AND(Tabela18[[#This Row],[STATUS]]="Em andamento",Tabela18[[#This Row],[DATA REAL - SOLIC. PROG LEGAIS]]="",$AQ198&gt;$AO$1),2,
AND(Tabela18[[#This Row],[STATUS]]="Em andamento",Tabela18[[#This Row],[DATA REAL - SOLIC. PROG LEGAIS]]="",$AQ198&lt;=$AO$1),3,
AND(Tabela18[[#This Row],[STATUS]]="Em andamento",Tabela18[[#This Row],[DATA REAL - SOLIC. PROG LEGAIS]]&lt;&gt;""),1)</f>
        <v>#N/A</v>
      </c>
      <c r="K198" s="16" t="e" cm="1">
        <f t="array" aca="1" ref="K198" ca="1">_xlfn.IFS(
AND(Tabela18[[#This Row],[STATUS]]="Cancelado",Tabela18[[#This Row],[DATA REAL - ENVIO]]=""),0,
AND(Tabela18[[#This Row],[STATUS]]="Cancelado",Tabela18[[#This Row],[DATA REAL - ENVIO]]&lt;&gt;""),1,
AND(Tabela18[[#This Row],[STATUS]]="Finalizado",Tabela18[[#This Row],[DATA REAL - ENVIO]]=""),0,
AND(Tabela18[[#This Row],[STATUS]]="Finalizado",Tabela18[[#This Row],[DATA REAL - ENVIO]]&lt;&gt;""),1,
AND(Tabela18[[#This Row],[STATUS]]="Em andamento",Tabela18[[#This Row],[DATA REAL - ENVIO]]="",$AT198&gt;$AR$1),2,
AND(Tabela18[[#This Row],[STATUS]]="Em andamento",Tabela18[[#This Row],[DATA REAL - ENVIO]]="",$AT198&lt;=$AR$1),3,
AND(Tabela18[[#This Row],[STATUS]]="Em andamento",Tabela18[[#This Row],[DATA REAL - ENVIO]]&lt;&gt;""),1)</f>
        <v>#N/A</v>
      </c>
      <c r="L198" s="16" t="e" cm="1">
        <f t="array" aca="1" ref="L198" ca="1">_xlfn.IFS(
AND(Tabela18[[#This Row],[STATUS]]="Cancelado",Tabela18[[#This Row],[DATA REAL - POSTAGEM]]=""),0,
AND(Tabela18[[#This Row],[STATUS]]="Cancelado",Tabela18[[#This Row],[DATA REAL - POSTAGEM]]&lt;&gt;""),1,
AND(Tabela18[[#This Row],[STATUS]]="Finalizado",Tabela18[[#This Row],[DATA REAL - POSTAGEM]]=""),0,
AND(Tabela18[[#This Row],[STATUS]]="Finalizado",Tabela18[[#This Row],[DATA REAL - POSTAGEM]]&lt;&gt;""),1,
AND(Tabela18[[#This Row],[STATUS]]="Em andamento",Tabela18[[#This Row],[DATA REAL - POSTAGEM]]="",$AW198&gt;$AU$1),2,
AND(Tabela18[[#This Row],[STATUS]]="Em andamento",Tabela18[[#This Row],[DATA REAL - POSTAGEM]]="",$AW198&lt;=$AU$1),3,
AND(Tabela18[[#This Row],[STATUS]]="Em andamento",Tabela18[[#This Row],[DATA REAL - POSTAGEM]]&lt;&gt;""),1)</f>
        <v>#N/A</v>
      </c>
      <c r="M198" s="16" t="e" cm="1">
        <f t="array" aca="1" ref="M198" ca="1">_xlfn.IFS(
AND(Tabela18[[#This Row],[STATUS]]="Cancelado",Tabela18[[#This Row],[DATA REAL - APROVAÇÃO]]=""),0,
AND(Tabela18[[#This Row],[STATUS]]="Cancelado",Tabela18[[#This Row],[DATA REAL - APROVAÇÃO]]&lt;&gt;""),1,
AND(Tabela18[[#This Row],[STATUS]]="Finalizado",Tabela18[[#This Row],[DATA REAL - APROVAÇÃO]]=""),0,
AND(Tabela18[[#This Row],[STATUS]]="Finalizado",Tabela18[[#This Row],[DATA REAL - APROVAÇÃO]]&lt;&gt;""),1,
AND(Tabela18[[#This Row],[STATUS]]="Em andamento",Tabela18[[#This Row],[DATA REAL - APROVAÇÃO]]="",$AZ198&gt;$AX$1),2,
AND(Tabela18[[#This Row],[STATUS]]="Em andamento",Tabela18[[#This Row],[DATA REAL - APROVAÇÃO]]="",$AZ198&lt;=$AX$1),3,
AND(Tabela18[[#This Row],[STATUS]]="Em andamento",Tabela18[[#This Row],[DATA REAL - APROVAÇÃO]]&lt;&gt;""),1)</f>
        <v>#N/A</v>
      </c>
      <c r="N198" s="21">
        <f>IF(Tabela18[[#This Row],[DATA REAL -EMAIL]]&lt;&gt;"",Tabela18[[#This Row],[DATA REAL -EMAIL]]+30,Tabela18[[#This Row],[DATA PREV - EMAIL]]+30)</f>
        <v>30</v>
      </c>
      <c r="O198" s="21">
        <f>IF(Tabela18[[#This Row],[STATUS]]&lt;&gt;"Em andamento",MAX(Tabela18[[#This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P198" s="49">
        <f ca="1">IF(Tabela18[[#This Row],[DATA REAL FINALIZAÇÃO]]&lt;&gt;"",Tabela18[[#This Row],[DATA REAL FINALIZAÇÃO]]-MIN(Tabela18[[#This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APROVAÇÃO]]),TODAY()-MIN(Tabela18[[#This Row],[DATA REAL - CONTR]],Tabela18[[#This Row],[DATA REAL -EMAIL]],Tabela18[[#This Row],[DATA REAL - DOC CLIENTE]],Tabela18[[#This Row],[DATA REAL - ANEXO 06]],Tabela18[[#This Row],[DATA REAL - SOLIC. PROG LEGAIS]],Tabela18[[#This Row],[DATA REAL - ENVIO]],Tabela18[[#This Row],[DATA REAL - POSTAGEM]],Tabela18[[#This Row],[DATA REAL - APROVAÇÃO]]))</f>
        <v>0</v>
      </c>
      <c r="Q198" s="49">
        <f ca="1">IF(Tabela18[[#This Row],[DATA REAL FINALIZAÇÃO]]&lt;&gt;"",MAX(Tabela18[[#This Row],[DATA REAL - CONTR]],Tabela18[[#This Row],[DATA REAL -EMAIL]],Tabela18[[#This Row],[DATA REAL - DOC CLIENTE]],Tabela18[[#This Row],[DATA REAL - ANEXO 06]],Tabela18[[#This Row],[DATA REAL - SOLIC. PROG LEGAIS]],Tabela18[[#This Row],[DATA REAL - ENVIO]],)-MIN(Tabela18[[#This Row],[DATA REAL - CONTR]],Tabela18[[#This Row],[DATA REAL -EMAIL]],Tabela18[[#This Row],[DATA REAL - DOC CLIENTE]],Tabela18[[#This Row],[DATA REAL - ANEXO 06]],Tabela18[[#This Row],[DATA REAL - SOLIC. PROG LEGAIS]],Tabela18[[#This Row],[DATA REAL - ENVIO]]),TODAY()-MIN(Tabela18[[#This Row],[DATA REAL - CONTR]],Tabela18[[#This Row],[DATA REAL -EMAIL]],Tabela18[[#This Row],[DATA REAL - DOC CLIENTE]],Tabela18[[#This Row],[DATA REAL - ANEXO 06]],Tabela18[[#This Row],[DATA REAL - SOLIC. PROG LEGAIS]],Tabela18[[#This Row],[DATA REAL - ENVIO]]))</f>
        <v>0</v>
      </c>
      <c r="R198" s="49">
        <f>MAX(Tabela18[[#This Row],[DATA REAL - POSTAGEM]],Tabela18[[#This Row],[DATA REAL - APROVAÇÃO]])-MIN(Tabela18[[#This Row],[DATA REAL - POSTAGEM]],Tabela18[[#This Row],[DATA REAL - APROVAÇÃO]])+1</f>
        <v>1</v>
      </c>
      <c r="S198" s="16"/>
      <c r="T198" s="26"/>
      <c r="U198" s="118"/>
      <c r="V198" s="16"/>
      <c r="W198" s="16"/>
      <c r="X198" s="16"/>
      <c r="Y198" s="16"/>
      <c r="Z198" s="77"/>
      <c r="AA198" s="16"/>
      <c r="AB198" s="16"/>
      <c r="AC198" s="21"/>
      <c r="AD198" s="74" t="str">
        <f>IF(_xlfn.MAXIFS(GERAL_CONTRATOS[DATA INÍCIO CONTRATO],GERAL_CONTRATOS[COD PHD],Tabela18[[#This Row],[CÓD. PHD]],GERAL_CONTRATOS[DATA FECHAMENTO],"&lt;="&amp;Tabela18[[#This Row],[DATA PREV - EMAIL]])&lt;&gt;0/1/1900,_xlfn.MAXIFS(GERAL_CONTRATOS[DATA INÍCIO CONTRATO],GERAL_CONTRATOS[COD PHD],Tabela18[[#This Row],[CÓD. PHD]],GERAL_CONTRATOS[DATA FECHAMENTO],"&lt;="&amp;Tabela18[[#This Row],[DATA PREV - EMAIL]]),"")</f>
        <v/>
      </c>
      <c r="AE198" s="16" t="str" cm="1">
        <f t="array" aca="1" ref="AE198" ca="1">IF(_xlfn.IFS(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CONTR]]+1)&lt;0,"",_xlfn.IFS(
Tabela18[[#This Row],[DATA PREV - CONTR]]="","",
AND(Tabela18[[#This Row],[DATA REAL - CONTR]]&lt;&gt;"",OR(Tabela18[[#This Row],[STATUS]]="Finalizado",Tabela18[[#This Row],[STATUS]]="Cancelado")),(Tabela18[[#This Row],[DATA REAL - CONTR]]-Tabela18[[#This Row],[DATA PREV - CONTR]]+1),
AND(Tabela18[[#This Row],[DATA REAL - CONTR]]="",OR(Tabela18[[#This Row],[STATUS]]="Finalizado",Tabela18[[#This Row],[STATUS]]="Cancelado")),(Tabela18[[#This Row],[DATA PREV - CONTR]]-Tabela18[[#This Row],[DATA PREV - CONTR]]+1),
AND(Tabela18[[#This Row],[DATA REAL - CONTR]]&lt;&gt;"",Tabela18[[#This Row],[STATUS]]="Em andamento"),(Tabela18[[#This Row],[DATA REAL - CONTR]]-Tabela18[[#This Row],[DATA PREV - CONTR]]+1),
AND(Tabela18[[#This Row],[DATA REAL - CONTR]]="",Tabela18[[#This Row],[STATUS]]="Em andamento"),TODAY()-Tabela18[[#This Row],[DATA PREV - CONTR]]+1))</f>
        <v/>
      </c>
      <c r="AF198" s="21"/>
      <c r="AG198" s="74"/>
      <c r="AH198" s="16" t="str" cm="1">
        <f t="array" aca="1" ref="AH19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I198" s="21">
        <f>Tabela18[[#This Row],[DATA PREV - EMAIL]]+$AI$1</f>
        <v>1</v>
      </c>
      <c r="AJ198" s="74"/>
      <c r="AK198" s="16" t="str" cm="1">
        <f t="array" aca="1" ref="AK198" ca="1">_xlfn.IFS(
Tabela18[[#This Row],[DATA PREV - EMAIL]]="","",
AND(Tabela18[[#This Row],[DATA REAL -EMAIL]]&lt;&gt;"",OR(Tabela18[[#This Row],[STATUS]]="Finalizado",Tabela18[[#This Row],[STATUS]]="Cancelado")),Tabela18[[#This Row],[DATA REAL -EMAIL]]-Tabela18[[#This Row],[DATA PREV - EMAIL]]+1,
AND(Tabela18[[#This Row],[DATA REAL -EMAIL]]="",OR(Tabela18[[#This Row],[STATUS]]="Finalizado",Tabela18[[#This Row],[STATUS]]="Cancelado")),Tabela18[[#This Row],[DATA PREV - EMAIL]]-Tabela18[[#This Row],[DATA PREV - EMAIL]]+1,
AND(Tabela18[[#This Row],[DATA REAL -EMAIL]]&lt;&gt;"",Tabela18[[#This Row],[STATUS]]="Em andamento"),Tabela18[[#This Row],[DATA REAL -EMAIL]]-Tabela18[[#This Row],[DATA PREV - EMAIL]]+1,
AND(Tabela18[[#This Row],[DATA REAL -EMAIL]]="",Tabela18[[#This Row],[STATUS]]="Em andamento"),TODAY()-Tabela18[[#This Row],[DATA PREV - EMAIL]]+1)</f>
        <v/>
      </c>
      <c r="AL198" s="21"/>
      <c r="AM198" s="74"/>
      <c r="AN198" s="16" t="str" cm="1">
        <f t="array" aca="1" ref="AN198" ca="1">_xlfn.IFS(
Tabela18[[#This Row],[DATA PREV - ANEXO 06]]="","",
AND(Tabela18[[#This Row],[DATA REAL - ANEXO 06]]&lt;&gt;"",OR(Tabela18[[#This Row],[STATUS]]="Finalizado",Tabela18[[#This Row],[STATUS]]="Cancelado")),Tabela18[[#This Row],[DATA REAL - ANEXO 06]]-Tabela18[[#This Row],[DATA PREV - ANEXO 06]]+1,
AND(Tabela18[[#This Row],[DATA REAL - ANEXO 06]]="",OR(Tabela18[[#This Row],[STATUS]]="Finalizado",Tabela18[[#This Row],[STATUS]]="Cancelado")),Tabela18[[#This Row],[DATA PREV - ANEXO 06]]-Tabela18[[#This Row],[DATA PREV - ANEXO 06]]+1,
AND(Tabela18[[#This Row],[DATA REAL - ANEXO 06]]&lt;&gt;"",Tabela18[[#This Row],[STATUS]]="Em andamento"),Tabela18[[#This Row],[DATA REAL - ANEXO 06]]-Tabela18[[#This Row],[DATA PREV - ANEXO 06]]+1,
AND(Tabela18[[#This Row],[DATA REAL - ANEXO 06]]="",Tabela18[[#This Row],[STATUS]]="Em andamento"),TODAY()-Tabela18[[#This Row],[DATA PREV - ANEXO 06]]+1)</f>
        <v/>
      </c>
      <c r="AO198" s="21"/>
      <c r="AP198" s="74"/>
      <c r="AQ198" s="16" t="str" cm="1">
        <f t="array" aca="1" ref="AQ198" ca="1">_xlfn.IFS(
Tabela18[[#This Row],[DATA PREV - SOLIC. PROG LEGAIS]]="","",
AND(Tabela18[[#This Row],[DATA REAL - SOLIC. PROG LEGAIS]]&lt;&gt;"",OR(Tabela18[[#This Row],[STATUS]]="Finalizado",Tabela18[[#This Row],[STATUS]]="Cancelado")),Tabela18[[#This Row],[DATA REAL - SOLIC. PROG LEGAIS]]-Tabela18[[#This Row],[DATA PREV - SOLIC. PROG LEGAIS]]+1,
AND(Tabela18[[#This Row],[DATA REAL - SOLIC. PROG LEGAIS]]="",OR(Tabela18[[#This Row],[STATUS]]="Finalizado",Tabela18[[#This Row],[STATUS]]="Cancelado")),Tabela18[[#This Row],[DATA PREV - SOLIC. PROG LEGAIS]]-Tabela18[[#This Row],[DATA PREV - SOLIC. PROG LEGAIS]]+1,
AND(Tabela18[[#This Row],[DATA REAL - SOLIC. PROG LEGAIS]]&lt;&gt;"",Tabela18[[#This Row],[STATUS]]="Em andamento"),Tabela18[[#This Row],[DATA REAL - SOLIC. PROG LEGAIS]]-Tabela18[[#This Row],[DATA PREV - SOLIC. PROG LEGAIS]]+1,
AND(Tabela18[[#This Row],[DATA REAL - SOLIC. PROG LEGAIS]]="",Tabela18[[#This Row],[STATUS]]="Em andamento"),TODAY()-Tabela18[[#This Row],[DATA PREV - SOLIC. PROG LEGAIS]]+1)</f>
        <v/>
      </c>
      <c r="AR198" s="21"/>
      <c r="AS198" s="74"/>
      <c r="AT198" s="16" t="str" cm="1">
        <f t="array" aca="1" ref="AT198" ca="1">_xlfn.IFS(
Tabela18[[#This Row],[DATA PREV - ENVIO]]="","",
AND(Tabela18[[#This Row],[DATA REAL - ENVIO]]&lt;&gt;"",OR(Tabela18[[#This Row],[STATUS]]="Finalizado",Tabela18[[#This Row],[STATUS]]="Cancelado")),Tabela18[[#This Row],[DATA REAL - ENVIO]]-Tabela18[[#This Row],[DATA PREV - ENVIO]]+1,
AND(Tabela18[[#This Row],[DATA REAL - ENVIO]]="",OR(Tabela18[[#This Row],[STATUS]]="Finalizado",Tabela18[[#This Row],[STATUS]]="Cancelado")),Tabela18[[#This Row],[DATA PREV - ENVIO]]-Tabela18[[#This Row],[DATA PREV - ENVIO]]+1,
AND(Tabela18[[#This Row],[DATA REAL - ENVIO]]&lt;&gt;"",Tabela18[[#This Row],[STATUS]]="Em andamento"),Tabela18[[#This Row],[DATA REAL - ENVIO]]-Tabela18[[#This Row],[DATA PREV - ENVIO]]+1,
AND(Tabela18[[#This Row],[DATA REAL - ENVIO]]="",Tabela18[[#This Row],[STATUS]]="Em andamento"),TODAY()-Tabela18[[#This Row],[DATA PREV - ENVIO]]+1)</f>
        <v/>
      </c>
      <c r="AU198" s="128" t="str">
        <f t="shared" ref="AU198" si="41">IF(AR198="","",IF(AS198="",WORKDAY(AR198,AU$1,),WORKDAY(AS198,AU$1,)))</f>
        <v/>
      </c>
      <c r="AV198" s="101"/>
      <c r="AW198" s="16" t="str" cm="1">
        <f t="array" aca="1" ref="AW198" ca="1">_xlfn.IFS(
Tabela18[[#This Row],[DATA PREV - POSTAGEM]]="","",
AND(Tabela18[[#This Row],[DATA REAL - POSTAGEM]]&lt;&gt;"",OR(Tabela18[[#This Row],[STATUS]]="Finalizado",Tabela18[[#This Row],[STATUS]]="Cancelado")),Tabela18[[#This Row],[DATA REAL - POSTAGEM]]-Tabela18[[#This Row],[DATA PREV - POSTAGEM]]+1,
AND(Tabela18[[#This Row],[DATA REAL - POSTAGEM]]="",OR(Tabela18[[#This Row],[STATUS]]="Finalizado",Tabela18[[#This Row],[STATUS]]="Cancelado")),Tabela18[[#This Row],[DATA PREV - POSTAGEM]]-Tabela18[[#This Row],[DATA PREV - POSTAGEM]]+1,
AND(Tabela18[[#This Row],[DATA REAL - POSTAGEM]]&lt;&gt;"",Tabela18[[#This Row],[STATUS]]="Em andamento"),Tabela18[[#This Row],[DATA REAL - POSTAGEM]]-Tabela18[[#This Row],[DATA PREV - POSTAGEM]]+1,
AND(Tabela18[[#This Row],[DATA REAL - POSTAGEM]]="",Tabela18[[#This Row],[STATUS]]="Em andamento"),TODAY()-Tabela18[[#This Row],[DATA PREV - POSTAGEM]]+1)</f>
        <v/>
      </c>
      <c r="AX198" s="21" t="str">
        <f t="shared" si="40"/>
        <v/>
      </c>
      <c r="AY198" s="74"/>
      <c r="AZ198" s="16" t="str" cm="1">
        <f t="array" aca="1" ref="AZ198" ca="1">_xlfn.IFS(
Tabela18[[#This Row],[DATA PREV - APROVAÇÃO]]="","",
AND(Tabela18[[#This Row],[DATA REAL - APROVAÇÃO]]&lt;&gt;"",OR(Tabela18[[#This Row],[STATUS]]="Finalizado",Tabela18[[#This Row],[STATUS]]="Cancelado")),Tabela18[[#This Row],[DATA REAL - APROVAÇÃO]]-Tabela18[[#This Row],[DATA PREV - APROVAÇÃO]]+1,
AND(Tabela18[[#This Row],[DATA REAL - APROVAÇÃO]]="",OR(Tabela18[[#This Row],[STATUS]]="Finalizado",Tabela18[[#This Row],[STATUS]]="Cancelado")),Tabela18[[#This Row],[DATA PREV - APROVAÇÃO]]-Tabela18[[#This Row],[DATA PREV - APROVAÇÃO]]+1,
AND(Tabela18[[#This Row],[DATA REAL - APROVAÇÃO]]&lt;&gt;"",Tabela18[[#This Row],[STATUS]]="Em andamento"),Tabela18[[#This Row],[DATA REAL - APROVAÇÃO]]-Tabela18[[#This Row],[DATA PREV - APROVAÇÃO]]+1,
AND(Tabela18[[#This Row],[DATA REAL - APROVAÇÃO]]="",Tabela18[[#This Row],[STATUS]]="Em andamento"),TODAY()-Tabela18[[#This Row],[DATA PREV - APROVAÇÃO]]+1)</f>
        <v/>
      </c>
      <c r="BA198" s="16"/>
    </row>
    <row r="202" spans="2:53" x14ac:dyDescent="0.35">
      <c r="K202" s="116"/>
      <c r="L202" s="116"/>
    </row>
  </sheetData>
  <mergeCells count="8">
    <mergeCell ref="AU2:AW2"/>
    <mergeCell ref="AX2:AZ2"/>
    <mergeCell ref="AC2:AE2"/>
    <mergeCell ref="AF2:AH2"/>
    <mergeCell ref="AI2:AK2"/>
    <mergeCell ref="AL2:AN2"/>
    <mergeCell ref="AO2:AQ2"/>
    <mergeCell ref="AR2:AT2"/>
  </mergeCells>
  <phoneticPr fontId="16" type="noConversion"/>
  <conditionalFormatting sqref="B1 N3:AB3 BA3 U4:V185 B4:B198 V186 U187:V187">
    <cfRule type="expression" dxfId="34" priority="28">
      <formula>_xlfn.ISFORMULA(B1)</formula>
    </cfRule>
  </conditionalFormatting>
  <conditionalFormatting sqref="B3:D3">
    <cfRule type="expression" dxfId="33" priority="27">
      <formula>_xlfn.ISFORMULA(B3)</formula>
    </cfRule>
  </conditionalFormatting>
  <conditionalFormatting sqref="D4:D198">
    <cfRule type="containsText" dxfId="32" priority="5" operator="containsText" text="Cancelado">
      <formula>NOT(ISERROR(SEARCH("Cancelado",D4)))</formula>
    </cfRule>
    <cfRule type="containsText" dxfId="31" priority="10" operator="containsText" text="Desmobilizado">
      <formula>NOT(ISERROR(SEARCH("Desmobilizado",D4)))</formula>
    </cfRule>
    <cfRule type="containsText" dxfId="30" priority="11" operator="containsText" text="Mobilizado">
      <formula>NOT(ISERROR(SEARCH("Mobilizado",D4)))</formula>
    </cfRule>
  </conditionalFormatting>
  <conditionalFormatting sqref="E3:M3">
    <cfRule type="expression" dxfId="29" priority="26">
      <formula>_xlfn.ISFORMULA(E3)</formula>
    </cfRule>
  </conditionalFormatting>
  <conditionalFormatting sqref="U189:V191">
    <cfRule type="expression" dxfId="28" priority="2">
      <formula>_xlfn.ISFORMULA(U189)</formula>
    </cfRule>
  </conditionalFormatting>
  <conditionalFormatting sqref="V193">
    <cfRule type="expression" dxfId="27" priority="1">
      <formula>_xlfn.ISFORMULA(V193)</formula>
    </cfRule>
  </conditionalFormatting>
  <conditionalFormatting sqref="AC2:AZ3">
    <cfRule type="expression" dxfId="26" priority="9">
      <formula>_xlfn.ISFORMULA(AC2)</formula>
    </cfRule>
  </conditionalFormatting>
  <conditionalFormatting sqref="AF1">
    <cfRule type="expression" dxfId="25" priority="22">
      <formula>_xlfn.ISFORMULA(AF1)</formula>
    </cfRule>
  </conditionalFormatting>
  <conditionalFormatting sqref="AI1">
    <cfRule type="expression" dxfId="24" priority="6">
      <formula>_xlfn.ISFORMULA(AI1)</formula>
    </cfRule>
  </conditionalFormatting>
  <conditionalFormatting sqref="AL1">
    <cfRule type="expression" dxfId="23" priority="20">
      <formula>_xlfn.ISFORMULA(AL1)</formula>
    </cfRule>
  </conditionalFormatting>
  <conditionalFormatting sqref="AO1">
    <cfRule type="expression" dxfId="22" priority="19">
      <formula>_xlfn.ISFORMULA(AO1)</formula>
    </cfRule>
  </conditionalFormatting>
  <conditionalFormatting sqref="AR1">
    <cfRule type="expression" dxfId="21" priority="18">
      <formula>_xlfn.ISFORMULA(AR1)</formula>
    </cfRule>
  </conditionalFormatting>
  <conditionalFormatting sqref="AU1">
    <cfRule type="expression" dxfId="20" priority="17">
      <formula>_xlfn.ISFORMULA(AU1)</formula>
    </cfRule>
  </conditionalFormatting>
  <conditionalFormatting sqref="AX1">
    <cfRule type="expression" dxfId="19" priority="16">
      <formula>_xlfn.ISFORMULA(AX1)</formula>
    </cfRule>
  </conditionalFormatting>
  <dataValidations count="1">
    <dataValidation type="list" allowBlank="1" showInputMessage="1" showErrorMessage="1" sqref="B4:B198" xr:uid="{EB7BC382-DA2E-4552-984F-65D46CD129A4}">
      <formula1>"Finalizado, Cancelado, Pendente, Em andamento"</formula1>
    </dataValidation>
  </dataValidations>
  <hyperlinks>
    <hyperlink ref="V4:V91" r:id="rId1" display="lennonmms7@gmail.com" xr:uid="{2731A282-8543-4F4C-A2E9-2485413C33A1}"/>
    <hyperlink ref="V96" r:id="rId2" display="paulo.paiva@phdengenharia.eng.br" xr:uid="{5102079C-4CCB-484C-A0F1-77BED5588380}"/>
    <hyperlink ref="V90" r:id="rId3" display="lennonmms7@gmail.com" xr:uid="{0CD680F4-D585-42D9-B4F3-F0E4285D8482}"/>
    <hyperlink ref="V67" r:id="rId4" display="lennonmms7@gmail.com" xr:uid="{665CEE52-8F59-4638-BA8B-D246DF1186C0}"/>
    <hyperlink ref="V68" r:id="rId5" display="lennonmms7@gmail.com" xr:uid="{98F09087-B559-43FB-8BE1-37BB88E9E11F}"/>
    <hyperlink ref="V27" r:id="rId6" display="paulo.paiva@phdengenharia.eng.br" xr:uid="{472ACE05-BF43-4F84-8CB2-624A9E777EA8}"/>
    <hyperlink ref="V23" r:id="rId7" display="paulo.paiva@phdengenharia.eng.br" xr:uid="{752E7160-3375-4930-B7AA-2438E6E08BB3}"/>
    <hyperlink ref="V78" r:id="rId8" display="paulo.paiva@phdengenharia.eng.br" xr:uid="{5B7C17FE-79EA-40C7-8D07-80E262AF6734}"/>
    <hyperlink ref="V42" r:id="rId9" display="leonardo.drumond@phdengenharia.eng.br" xr:uid="{7052B73E-6778-4D58-8672-0B85251315A8}"/>
    <hyperlink ref="V43" r:id="rId10" display="leonardo.drumond@phdengenharia.eng.br" xr:uid="{13753D26-83B8-49BF-B99A-DE4CBFEC760E}"/>
    <hyperlink ref="V44" r:id="rId11" display="leonardo.drumond@phdengenharia.eng.br" xr:uid="{2D1783F0-320E-463A-AB7C-E6DFB14429BF}"/>
    <hyperlink ref="V45" r:id="rId12" display="leonardo.drumond@phdengenharia.eng.br" xr:uid="{654467B4-96D3-4CCD-A990-4C0C07F208A5}"/>
    <hyperlink ref="V69" r:id="rId13" display="leonardo.drumond@phdengenharia.eng.br" xr:uid="{416ED52B-9B30-4C65-8982-C5FD20AB5702}"/>
    <hyperlink ref="V33" r:id="rId14" display="lennonmms7@gmail.com" xr:uid="{9FA35E63-BB64-4E8A-92E3-F25CB4C4D99C}"/>
    <hyperlink ref="V91" r:id="rId15" display="lennonmms7@gmail.com" xr:uid="{C7727475-599B-4F0A-8EBC-762F3167BFDD}"/>
    <hyperlink ref="V97" r:id="rId16" display="paulo.paiva@phdengenharia.eng.br" xr:uid="{B1E77708-87C7-4A12-AF7E-9C36405E0774}"/>
    <hyperlink ref="V86" r:id="rId17" display="paulo.paiva@phdengenharia.eng.br" xr:uid="{4AB633EE-FCE4-4DFD-9ACD-6D4584DEF7C4}"/>
    <hyperlink ref="V28" r:id="rId18" display="paulo.paiva@phdengenharia.eng.br" xr:uid="{9B237298-708E-45C8-BACD-B170F8C290B3}"/>
    <hyperlink ref="V104" r:id="rId19" display="eduardo.eler@phdengenharia.eng.br" xr:uid="{F9CEA5DC-D32F-4E7C-B733-5BAA02FBD7E7}"/>
    <hyperlink ref="V98" r:id="rId20" display="paulo.paiva@phdengenharia.eng.br" xr:uid="{9A459495-1CCE-45BF-A900-9E49C7D673A7}"/>
    <hyperlink ref="V59" r:id="rId21" display="bruno.azevedo@phdengenharia.eng.br" xr:uid="{CDA3CE58-1FFB-43E7-AC6A-B17A49E22D89}"/>
    <hyperlink ref="V99" r:id="rId22" xr:uid="{2944B60B-F27C-471C-8506-EB9754B7C093}"/>
    <hyperlink ref="V57" r:id="rId23" display="bruno.azevedo@phdengenharia.eng.br" xr:uid="{83922C79-33D0-4D88-87A3-96DC93BD4B6D}"/>
    <hyperlink ref="V58" r:id="rId24" display="bruno.azevedo@phdengenharia.eng.br" xr:uid="{DE8A3418-8523-458B-AD82-12FACD4E1B25}"/>
    <hyperlink ref="V15" r:id="rId25" display="leonardo.drumond@phdengenharia.eng.br" xr:uid="{9778F6B4-EBDA-4C55-8C56-B3F0F5814C27}"/>
    <hyperlink ref="V16" r:id="rId26" display="leonardo.drumond@phdengenharia.eng.br" xr:uid="{3FC78FDD-2888-4A02-A5A7-F44DF0E28472}"/>
    <hyperlink ref="V17" r:id="rId27" display="leonardo.drumond@phdengenharia.eng.br" xr:uid="{90ABD0D3-D21F-4387-BA44-FF86DC0A45E6}"/>
    <hyperlink ref="V18" r:id="rId28" display="leonardo.drumond@phdengenharia.eng.br" xr:uid="{CFB23F39-B1B2-4467-83F6-01B05F4E311C}"/>
    <hyperlink ref="V37" r:id="rId29" display="lennonmms7@gmail.com" xr:uid="{F89E0E68-B2DE-4E4A-9A5B-D546D91EBD46}"/>
    <hyperlink ref="V49" r:id="rId30" display="lennonmms7@gmail.com" xr:uid="{7BAF3308-BE9D-43C3-BBEB-40B77A18219B}"/>
    <hyperlink ref="V38" r:id="rId31" display="lennonmms7@gmail.com" xr:uid="{E4E3997A-5FA9-42B3-9243-5EE196810F81}"/>
    <hyperlink ref="V39" r:id="rId32" display="lennonmms7@gmail.com" xr:uid="{9AFCA5BD-FBD3-4579-A88D-1A69A3A354CE}"/>
    <hyperlink ref="V75" r:id="rId33" display="lennonmms7@gmail.com" xr:uid="{4366273A-017A-4D08-8FA7-FB1CACE152E0}"/>
    <hyperlink ref="V100" r:id="rId34" display="lennonmms7@gmail.com" xr:uid="{D863EF78-5ABD-48E2-B880-1C53E5BCF4AD}"/>
    <hyperlink ref="V111" r:id="rId35" display="eduardo.eler@phdengenharia.eng.br" xr:uid="{452CF3FF-7812-4EA3-B063-A6814E6E9F4B}"/>
    <hyperlink ref="V60" r:id="rId36" display="leonardo.drumond@phdengenharia.eng.br" xr:uid="{3534188C-9DFE-45DD-BE38-26F37553D389}"/>
    <hyperlink ref="V26" r:id="rId37" display="paulo.paiva@phdengenharia.eng.br" xr:uid="{FA3314B8-645E-4BB8-9074-665995B26BBD}"/>
    <hyperlink ref="V61" r:id="rId38" display="leonardo.drumond@phdengenharia.eng.br" xr:uid="{7699C2D4-BBE5-4339-BCAF-11296D5E6A7F}"/>
    <hyperlink ref="V62" r:id="rId39" display="leonardo.drumond@phdengenharia.eng.br" xr:uid="{56526BCE-DF06-43EA-8230-4C0444955A66}"/>
    <hyperlink ref="V63" r:id="rId40" display="leonardo.drumond@phdengenharia.eng.br" xr:uid="{D9EA9ED5-02F6-4D43-84FB-ACDDF3BE1C50}"/>
    <hyperlink ref="V10" r:id="rId41" display="eduardo.eler@phdengenharia.eng.br" xr:uid="{111C879A-35C3-482B-BEE3-AEB02C2F388B}"/>
    <hyperlink ref="V40" r:id="rId42" display="paulo.paiva@phdengenharia.eng.br" xr:uid="{80D49961-16C6-45A6-9F90-375E558F4F0A}"/>
    <hyperlink ref="V52" r:id="rId43" display="paulo.paiva@phdengenharia.eng.br" xr:uid="{8ADF3067-FB33-4138-AB7F-3CCE7EB64A6A}"/>
    <hyperlink ref="V64" r:id="rId44" display="leonardo.drumond@phdengenharia.eng.br" xr:uid="{B46673F8-0400-430D-B3B7-5E07CB99EB59}"/>
    <hyperlink ref="V46" r:id="rId45" display="paulo.paiva@phdengenharia.eng.br" xr:uid="{875C1DA1-9729-491E-ADA2-2C92C3A8D4B1}"/>
    <hyperlink ref="V108" r:id="rId46" display="bruno.azevedo@phdengenharia.eng.br" xr:uid="{54F53252-8897-4E88-BAE9-A7F622F8B52A}"/>
    <hyperlink ref="V107" r:id="rId47" display="bruno.azevedo@phdengenharia.eng.br" xr:uid="{C3493A58-006A-4CE2-8769-33BE2E6DC0A3}"/>
    <hyperlink ref="V79" r:id="rId48" display="paulo.paiva@phdengenharia.eng.br" xr:uid="{88D7CB36-7B58-4C3A-9EF2-E5A2CF13FF13}"/>
    <hyperlink ref="V80" r:id="rId49" display="paulo.paiva@phdengenharia.eng.br" xr:uid="{8407BFF0-05A9-4681-A097-5491019A98D4}"/>
    <hyperlink ref="V65" r:id="rId50" display="leonardo.drumond@phdengenharia.eng.br" xr:uid="{31F8E5DC-4CBC-4ACD-B471-E0F8E3AD4619}"/>
    <hyperlink ref="V81" r:id="rId51" display="leonardo.drumond@phdengenharia.eng.br" xr:uid="{75EF28E8-DEE4-4DCA-BE8B-2D6EF3ED340F}"/>
    <hyperlink ref="V70" r:id="rId52" display="leonardo.drumond@phdengenharia.eng.br" xr:uid="{70562654-1EA6-417F-849F-015A8F71698A}"/>
    <hyperlink ref="V101" r:id="rId53" display="paulo.paiva@phdengenharia.eng.br" xr:uid="{3F28A050-7324-4FB6-B8BB-ACF2FF37A716}"/>
    <hyperlink ref="V6" r:id="rId54" display="eduardo.eler@phdengenharia.eng.br" xr:uid="{0F42EAF5-D315-46ED-ACAC-A4BFEBF30724}"/>
    <hyperlink ref="V102" r:id="rId55" display="paulo.paiva@phdengenharia.eng.br" xr:uid="{1E6A5949-F104-4265-B5EE-B3AC27FED63D}"/>
    <hyperlink ref="V103" r:id="rId56" xr:uid="{5139FFE8-2466-402B-AC06-BC626473830D}"/>
    <hyperlink ref="V19" r:id="rId57" display="leonardo.drumond@phdengenharia.eng.br" xr:uid="{4E53A962-5A63-4255-8834-E753AE874CB6}"/>
    <hyperlink ref="V50" r:id="rId58" display="paulo.paiva@phdengenharia.eng.br" xr:uid="{572A8FE2-DC5F-4911-94E0-FD4C7E6D5D2F}"/>
    <hyperlink ref="V30" r:id="rId59" display="eduardo.eler@phdengenharia.eng.br" xr:uid="{E10DB62C-0D7F-41C3-803C-F06EAE9EFC55}"/>
    <hyperlink ref="V13" r:id="rId60" display="leonardo.drumond@phdengenharia.eng.br" xr:uid="{BE236F7B-3A91-4A89-A42A-94786A4138F8}"/>
    <hyperlink ref="V14" r:id="rId61" display="leonardo.drumond@phdengenharia.eng.br" xr:uid="{A60E0DA7-D197-4B86-93AC-474978A0FFE8}"/>
    <hyperlink ref="V112" r:id="rId62" xr:uid="{8EBE8E4D-CBC9-4688-BA92-BFCCE62FD9EF}"/>
    <hyperlink ref="V113" r:id="rId63" xr:uid="{5BF79F28-E227-4CB9-B720-F50D6D823C29}"/>
    <hyperlink ref="V51" r:id="rId64" display="paulo.paiva@phdengenharia.eng.br" xr:uid="{AF67E234-A91D-440C-957A-BA4FCCD6E905}"/>
    <hyperlink ref="V109" r:id="rId65" display="bruno.azevedo@phdengenharia.eng.br" xr:uid="{2C253990-6612-4FFD-B64C-9D65F1E85F8B}"/>
    <hyperlink ref="V115" r:id="rId66" xr:uid="{A29F1471-1076-4CEC-9FD0-B93DC4A60036}"/>
    <hyperlink ref="V116" r:id="rId67" display="leonardo.drumond@phdengenharia.eng.br" xr:uid="{92970396-33B7-4E2E-8525-510D57489B67}"/>
    <hyperlink ref="V117" r:id="rId68" display="eduardo.eler@phdengenharia.eng.br" xr:uid="{DE6926FD-28C4-46E5-8BBB-9BE3F2B597DE}"/>
    <hyperlink ref="V118" r:id="rId69" display="paulo.paiva@phdengenharia.eng.br" xr:uid="{C079DD9F-FAF0-47C0-8E1D-54BB5D2A2AB2}"/>
    <hyperlink ref="V114" r:id="rId70" xr:uid="{3A20BACB-0796-4BAF-92F5-4F5D6FA47B20}"/>
    <hyperlink ref="V119" r:id="rId71" display="bruno.azevedo@phdengenharia.eng.br" xr:uid="{5DBE1A83-9D37-4F82-8060-EB7CD0B12143}"/>
    <hyperlink ref="V120" r:id="rId72" display="bruno.azevedo@phdengenharia.eng.br" xr:uid="{38852B83-4DAF-40C7-BAC6-5973FB303E48}"/>
    <hyperlink ref="V121" r:id="rId73" display="bruno.azevedo@phdengenharia.eng.br" xr:uid="{9DA80352-B9E7-4704-A200-39E057801AD9}"/>
    <hyperlink ref="V122" r:id="rId74" display="bruno.azevedo@phdengenharia.eng.br" xr:uid="{9B5853BD-213C-434D-B25C-C8C138225048}"/>
    <hyperlink ref="V123" r:id="rId75" display="bruno.azevedo@phdengenharia.eng.br" xr:uid="{1C09F290-ABEC-404C-91D3-2C683FE215D2}"/>
    <hyperlink ref="V124" r:id="rId76" display="bruno.azevedo@phdengenharia.eng.br" xr:uid="{F59ED297-6530-4A67-8760-4FF05C2711B0}"/>
    <hyperlink ref="V125" r:id="rId77" display="bruno.azevedo@phdengenharia.eng.br" xr:uid="{8489BCB2-C607-4D34-BEC9-4C5B5FB4AACE}"/>
    <hyperlink ref="V126" r:id="rId78" display="bruno.azevedo@phdengenharia.eng.br" xr:uid="{1E82932A-3A7A-4DE5-957B-890EA8B2C8E7}"/>
    <hyperlink ref="V127" r:id="rId79" display="bruno.azevedo@phdengenharia.eng.br" xr:uid="{A5E59903-0B92-48F9-8F22-FE86D523AE4C}"/>
    <hyperlink ref="V128" r:id="rId80" xr:uid="{05900D8F-E45B-496F-960E-46C066A2840B}"/>
    <hyperlink ref="V131" r:id="rId81" xr:uid="{AEB5E592-115C-4EF8-A364-DA20A9120DD3}"/>
    <hyperlink ref="V132" r:id="rId82" display="eduardo.eler@phdengenharia.eng.br" xr:uid="{FB9DB05C-A3E7-4EBE-A1F6-0655BC98EF4E}"/>
    <hyperlink ref="V133" r:id="rId83" display="eduardo.eler@phdengenharia.eng.br" xr:uid="{B37817A0-B40D-42F3-B7DF-2108477AA09B}"/>
    <hyperlink ref="V134" r:id="rId84" display="paulo.paiva@phdengenharia.eng.br" xr:uid="{426B0632-0201-48F8-A93D-70595983855E}"/>
    <hyperlink ref="V135" r:id="rId85" display="paulo.paiva@phdengenharia.eng.br" xr:uid="{B131D4BB-9541-4500-9B05-DBC57F4B4B3E}"/>
    <hyperlink ref="V136" r:id="rId86" display="bruno.azevedo@phdengenharia.eng.br" xr:uid="{6D7F6821-C0BB-4516-B92A-9DF2D23D05BF}"/>
    <hyperlink ref="V137" r:id="rId87" display="bruno.azevedo@phdengenharia.eng.br" xr:uid="{2D626202-704F-4031-960A-F0A7AAD663C4}"/>
    <hyperlink ref="V138" r:id="rId88" display="bruno.azevedo@phdengenharia.eng.br" xr:uid="{555221EE-3B22-4AA2-898D-239692280E48}"/>
    <hyperlink ref="V139" r:id="rId89" xr:uid="{744C0448-34B8-4C01-883C-82737B549D87}"/>
    <hyperlink ref="V140" r:id="rId90" display="paulo.paiva@phdengenharia.eng.br" xr:uid="{58095D40-AECF-476E-9EBC-DC0ADFDAEE43}"/>
    <hyperlink ref="V141" r:id="rId91" xr:uid="{A96BBB09-11C7-4EA0-AE7A-AD10201284F3}"/>
    <hyperlink ref="V142" r:id="rId92" xr:uid="{257D4C72-51AF-45E5-8410-0E6956D7BF57}"/>
    <hyperlink ref="V143" r:id="rId93" xr:uid="{A9684776-9159-48E6-8483-F960CFFE3713}"/>
    <hyperlink ref="V144" r:id="rId94" xr:uid="{881A9266-D752-4AC1-AECC-75FA7138E35E}"/>
    <hyperlink ref="V145" r:id="rId95" display="paulo.paiva@phdengenharia.eng.br" xr:uid="{78247BCB-CBB0-4AC0-81E0-37A9302B3551}"/>
    <hyperlink ref="V147" r:id="rId96" display="bruno.azevedo@phdengenharia.eng.br" xr:uid="{D77D2369-075C-4FB1-84AB-5AB9CE4B2B59}"/>
    <hyperlink ref="V148" r:id="rId97" display="bruno.azevedo@phdengenharia.eng.br" xr:uid="{3F83C7E8-A9CD-4B58-87E6-69F195129AC1}"/>
    <hyperlink ref="V150" r:id="rId98" xr:uid="{9207343C-7CD7-44C0-9FC5-43F42E93B067}"/>
    <hyperlink ref="V149" r:id="rId99" display="bruno.azevedo@phdengenharia.eng.br" xr:uid="{139FA14C-7DB1-4568-A437-BE36F5574B1B}"/>
    <hyperlink ref="V151" r:id="rId100" xr:uid="{7676C08B-661C-4CB4-B40A-FC84BA3EE8DE}"/>
    <hyperlink ref="V152" r:id="rId101" xr:uid="{5402BF9F-6AD9-4167-BDD6-1113E3BF65A1}"/>
    <hyperlink ref="V156" r:id="rId102" xr:uid="{B25F8099-CE03-4CF4-8229-3FFCB6FA8410}"/>
    <hyperlink ref="V158" r:id="rId103" display="leonardo.drumond@phdengenharia.eng.br" xr:uid="{DC8F06E4-4E3C-43D8-A4CB-521C55133567}"/>
    <hyperlink ref="V157" r:id="rId104" display="leonardo.drumond@phdengenharia.eng.br" xr:uid="{539400C7-C736-4024-947C-2B4D604F2217}"/>
    <hyperlink ref="U175" r:id="rId105" xr:uid="{979CD034-8C25-4812-B171-4A730EC0570B}"/>
    <hyperlink ref="V175" r:id="rId106" xr:uid="{D84E78F1-BCFB-4AEF-9B25-5DED953D8353}"/>
    <hyperlink ref="V176" r:id="rId107" xr:uid="{63CAE22D-5D3F-4AE2-B575-1E0403871344}"/>
    <hyperlink ref="V177" r:id="rId108" xr:uid="{7BB70FAD-36AD-43F6-8779-AEC5AC6EB3E7}"/>
    <hyperlink ref="V178" r:id="rId109" xr:uid="{E30E13D1-C9F9-432E-81E2-FBF4A2B3C497}"/>
    <hyperlink ref="V174" r:id="rId110" xr:uid="{D01699BC-5942-49D9-8814-C50B86A31D57}"/>
    <hyperlink ref="U174" r:id="rId111" xr:uid="{D5643A4F-258F-409C-8AEB-2CD388FB80CA}"/>
    <hyperlink ref="U178" r:id="rId112" xr:uid="{398551D7-1BEA-45DB-B23F-B872E830C924}"/>
    <hyperlink ref="U177" r:id="rId113" xr:uid="{4B4612CD-91A5-44CE-88A5-85B2CD6EF2F8}"/>
    <hyperlink ref="U179" r:id="rId114" xr:uid="{A2FD3FD2-CAD5-4D58-B080-89C63A74A06D}"/>
    <hyperlink ref="V179" r:id="rId115" xr:uid="{8BF8E5A2-8FD0-409C-8E8C-34BAE653CEA8}"/>
    <hyperlink ref="V180" r:id="rId116" xr:uid="{F1ADA80E-0ED1-42D2-9506-7AE85F1DFE0D}"/>
    <hyperlink ref="V181" r:id="rId117" xr:uid="{1D99C0B7-42B8-4ECE-957F-4ED8304B37E9}"/>
    <hyperlink ref="V183" r:id="rId118" xr:uid="{F360ED27-7C09-462B-A7DD-98890A3AE6A3}"/>
    <hyperlink ref="U180" r:id="rId119" xr:uid="{8FE35094-C002-46BC-A0AE-FEB9B74AC128}"/>
    <hyperlink ref="U183" r:id="rId120" xr:uid="{14E4F2AB-FE40-404E-B986-D1C066CAB9C6}"/>
    <hyperlink ref="U182" r:id="rId121" xr:uid="{28DE1D8F-F46D-43A6-9C90-B7EA0148615F}"/>
    <hyperlink ref="U181" r:id="rId122" xr:uid="{5AF0A009-1B3F-4A49-B96D-9E2AA8D092E2}"/>
    <hyperlink ref="V182" r:id="rId123" xr:uid="{E0A23B5F-CC12-4EF7-A639-831A1D69297E}"/>
    <hyperlink ref="U187" r:id="rId124" xr:uid="{13A695EF-EEE5-439A-BC26-2A4C02A95C7E}"/>
    <hyperlink ref="V187" r:id="rId125" xr:uid="{53B3F91C-6980-463F-A95D-EE68AFB1C458}"/>
    <hyperlink ref="V184" r:id="rId126" xr:uid="{300722B1-0A59-4E7B-BBBF-30960BFACACD}"/>
    <hyperlink ref="V189" r:id="rId127" xr:uid="{CEDE8B6E-E5B0-4D98-8082-3B2D98803D01}"/>
    <hyperlink ref="V190" r:id="rId128" xr:uid="{77AC0FCA-FC06-42F9-B27F-35099F7B963F}"/>
    <hyperlink ref="V191" r:id="rId129" xr:uid="{7F0447D9-46D3-4800-B7D0-B1786010F948}"/>
    <hyperlink ref="U192" r:id="rId130" xr:uid="{104F7DE4-C25B-4189-9789-D6A4FF07D5B3}"/>
    <hyperlink ref="V192" r:id="rId131" xr:uid="{987605B6-9034-4D66-BB7F-9668A593D005}"/>
    <hyperlink ref="V193" r:id="rId132" xr:uid="{6E44AFC0-4E52-481F-A005-9A076AFAF369}"/>
    <hyperlink ref="U193" r:id="rId133" xr:uid="{86531DD6-F67F-4CEA-9D92-E3582B24ACB2}"/>
    <hyperlink ref="U194" r:id="rId134" xr:uid="{9D73484C-6C30-4C61-B05E-4C937F33D57D}"/>
    <hyperlink ref="V194" r:id="rId135" xr:uid="{763CE957-95FE-422B-B8D4-D236D2847F0E}"/>
    <hyperlink ref="V195" r:id="rId136" xr:uid="{69A43123-7DE4-4EC6-B2AB-7FEB269CCF4D}"/>
    <hyperlink ref="V196" r:id="rId137" xr:uid="{8267F98F-4169-44D1-A0C7-F313EB1EEAA5}"/>
    <hyperlink ref="V197" r:id="rId138" xr:uid="{64D8F862-5EA9-4402-85B6-693172E57F90}"/>
  </hyperlinks>
  <pageMargins left="0.511811024" right="0.511811024" top="0.78740157499999996" bottom="0.78740157499999996" header="0.31496062000000002" footer="0.31496062000000002"/>
  <pageSetup paperSize="9" orientation="portrait" r:id="rId139"/>
  <ignoredErrors>
    <ignoredError sqref="AD164 AD169:AD175 AD178:AD181" calculatedColumn="1"/>
  </ignoredErrors>
  <tableParts count="1">
    <tablePart r:id="rId140"/>
  </tableParts>
  <extLst>
    <ext xmlns:x14="http://schemas.microsoft.com/office/spreadsheetml/2009/9/main" uri="{78C0D931-6437-407d-A8EE-F0AAD7539E65}">
      <x14:conditionalFormattings>
        <x14:conditionalFormatting xmlns:xm="http://schemas.microsoft.com/office/excel/2006/main">
          <x14:cfRule type="iconSet" priority="608" id="{1FABE93C-658F-416D-979B-277A48F655FE}">
            <x14:iconSet showValue="0" custom="1">
              <x14:cfvo type="percent">
                <xm:f>0</xm:f>
              </x14:cfvo>
              <x14:cfvo type="num">
                <xm:f>2</xm:f>
              </x14:cfvo>
              <x14:cfvo type="num">
                <xm:f>3</xm:f>
              </x14:cfvo>
              <x14:cfIcon iconSet="3Symbols2" iconId="2"/>
              <x14:cfIcon iconSet="3Symbols2" iconId="0"/>
              <x14:cfIcon iconSet="3Symbols2" iconId="1"/>
            </x14:iconSet>
          </x14:cfRule>
          <xm:sqref>F4:F198</xm:sqref>
        </x14:conditionalFormatting>
        <x14:conditionalFormatting xmlns:xm="http://schemas.microsoft.com/office/excel/2006/main">
          <x14:cfRule type="iconSet" priority="609" id="{FB797498-0B73-4E3C-AACC-BADC328BE144}">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G4:G198</xm:sqref>
        </x14:conditionalFormatting>
        <x14:conditionalFormatting xmlns:xm="http://schemas.microsoft.com/office/excel/2006/main">
          <x14:cfRule type="iconSet" priority="610" id="{38FDF97A-EB29-49AA-B404-A12BB2B10EA0}">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H4:H198</xm:sqref>
        </x14:conditionalFormatting>
        <x14:conditionalFormatting xmlns:xm="http://schemas.microsoft.com/office/excel/2006/main">
          <x14:cfRule type="iconSet" priority="611" id="{79982592-4E5E-4BF9-A386-F7BC2E67CC05}">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I4:I198</xm:sqref>
        </x14:conditionalFormatting>
        <x14:conditionalFormatting xmlns:xm="http://schemas.microsoft.com/office/excel/2006/main">
          <x14:cfRule type="iconSet" priority="612" id="{93FAE8D6-1B8F-4149-AF6C-636EA66F3EC9}">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J4:J198</xm:sqref>
        </x14:conditionalFormatting>
        <x14:conditionalFormatting xmlns:xm="http://schemas.microsoft.com/office/excel/2006/main">
          <x14:cfRule type="iconSet" priority="613" id="{C7F9C52D-28F9-4C1C-8778-73365D3DD719}">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K4:K198</xm:sqref>
        </x14:conditionalFormatting>
        <x14:conditionalFormatting xmlns:xm="http://schemas.microsoft.com/office/excel/2006/main">
          <x14:cfRule type="iconSet" priority="614" id="{52A2531F-9BF7-4869-8E77-CB14A6B5DC6C}">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L4:L198</xm:sqref>
        </x14:conditionalFormatting>
        <x14:conditionalFormatting xmlns:xm="http://schemas.microsoft.com/office/excel/2006/main">
          <x14:cfRule type="iconSet" priority="615" id="{F8B62597-892A-4061-A773-A2D7901514BC}">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M4:M198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6B6C91B-9B76-4E23-A7BC-78788C7A5E36}">
          <x14:formula1>
            <xm:f>LIDERANÇA2!$B:$B</xm:f>
          </x14:formula1>
          <xm:sqref>S4:T198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92CC8-73F3-40B6-BDDD-580DB38C53AA}">
  <dimension ref="B1:AL72"/>
  <sheetViews>
    <sheetView showGridLines="0" zoomScale="70" zoomScaleNormal="70" workbookViewId="0">
      <pane xSplit="6" ySplit="3" topLeftCell="G71" activePane="bottomRight" state="frozen"/>
      <selection pane="topRight" activeCell="G1" sqref="G1"/>
      <selection pane="bottomLeft" activeCell="A4" sqref="A4"/>
      <selection pane="bottomRight" activeCell="J80" sqref="J80"/>
    </sheetView>
  </sheetViews>
  <sheetFormatPr defaultRowHeight="14.5" x14ac:dyDescent="0.35"/>
  <cols>
    <col min="2" max="2" width="34.26953125" customWidth="1"/>
    <col min="3" max="3" width="20" customWidth="1"/>
    <col min="4" max="4" width="21" customWidth="1"/>
    <col min="5" max="5" width="15.81640625" bestFit="1" customWidth="1"/>
    <col min="6" max="6" width="45.81640625" bestFit="1" customWidth="1"/>
    <col min="12" max="12" width="30.7265625" customWidth="1"/>
    <col min="13" max="13" width="25.453125" bestFit="1" customWidth="1"/>
    <col min="14" max="14" width="26.453125" bestFit="1" customWidth="1"/>
    <col min="15" max="15" width="24.1796875" customWidth="1"/>
    <col min="16" max="16" width="31.81640625" customWidth="1"/>
    <col min="17" max="17" width="25.26953125" bestFit="1" customWidth="1"/>
    <col min="18" max="18" width="13.81640625" customWidth="1"/>
    <col min="19" max="19" width="13.7265625" customWidth="1"/>
    <col min="20" max="20" width="33.453125" bestFit="1" customWidth="1"/>
    <col min="21" max="21" width="20.1796875" customWidth="1"/>
    <col min="22" max="22" width="20.1796875" bestFit="1" customWidth="1"/>
    <col min="23" max="23" width="32" bestFit="1" customWidth="1"/>
    <col min="24" max="24" width="26.7265625" customWidth="1"/>
    <col min="25" max="25" width="26.54296875" customWidth="1"/>
    <col min="26" max="26" width="28.453125" customWidth="1"/>
    <col min="27" max="27" width="28" customWidth="1"/>
    <col min="28" max="28" width="27.7265625" customWidth="1"/>
    <col min="29" max="29" width="30.1796875" customWidth="1"/>
    <col min="30" max="30" width="23.26953125" customWidth="1"/>
    <col min="31" max="31" width="23" customWidth="1"/>
    <col min="32" max="32" width="25.54296875" customWidth="1"/>
    <col min="33" max="33" width="36.54296875" customWidth="1"/>
    <col min="34" max="34" width="36.26953125" customWidth="1"/>
    <col min="35" max="35" width="38.7265625" customWidth="1"/>
    <col min="36" max="36" width="34.81640625" customWidth="1"/>
    <col min="37" max="37" width="34.7265625" customWidth="1"/>
    <col min="38" max="38" width="30.54296875" customWidth="1"/>
    <col min="39" max="39" width="20.1796875" customWidth="1"/>
  </cols>
  <sheetData>
    <row r="1" spans="2:38" ht="31" x14ac:dyDescent="0.7">
      <c r="B1" s="1" t="s">
        <v>0</v>
      </c>
      <c r="W1" s="22">
        <v>1</v>
      </c>
      <c r="Z1" s="22">
        <v>1</v>
      </c>
      <c r="AC1" s="22">
        <v>2</v>
      </c>
      <c r="AF1" s="22">
        <v>1</v>
      </c>
      <c r="AI1" s="22">
        <v>4</v>
      </c>
    </row>
    <row r="2" spans="2:38" x14ac:dyDescent="0.35">
      <c r="W2" s="129" t="s">
        <v>3</v>
      </c>
      <c r="X2" s="129"/>
      <c r="Y2" s="129"/>
      <c r="Z2" s="129" t="s">
        <v>1183</v>
      </c>
      <c r="AA2" s="129"/>
      <c r="AB2" s="129"/>
      <c r="AC2" s="129" t="s">
        <v>1184</v>
      </c>
      <c r="AD2" s="129"/>
      <c r="AE2" s="129"/>
      <c r="AF2" s="129" t="s">
        <v>1185</v>
      </c>
      <c r="AG2" s="129"/>
      <c r="AH2" s="129"/>
      <c r="AI2" s="130" t="s">
        <v>1186</v>
      </c>
      <c r="AJ2" s="131"/>
      <c r="AK2" s="132"/>
    </row>
    <row r="3" spans="2:38" ht="108.75" customHeight="1" x14ac:dyDescent="0.35">
      <c r="B3" s="27" t="s">
        <v>1187</v>
      </c>
      <c r="C3" s="28" t="s">
        <v>1188</v>
      </c>
      <c r="D3" s="29" t="s">
        <v>1189</v>
      </c>
      <c r="E3" s="29" t="s">
        <v>15</v>
      </c>
      <c r="F3" s="29" t="s">
        <v>1190</v>
      </c>
      <c r="G3" s="30" t="s">
        <v>1191</v>
      </c>
      <c r="H3" s="30" t="s">
        <v>1192</v>
      </c>
      <c r="I3" s="30" t="s">
        <v>1193</v>
      </c>
      <c r="J3" s="30" t="s">
        <v>1194</v>
      </c>
      <c r="K3" s="30" t="s">
        <v>1195</v>
      </c>
      <c r="L3" s="29" t="s">
        <v>29</v>
      </c>
      <c r="M3" s="29" t="s">
        <v>31</v>
      </c>
      <c r="N3" s="29" t="s">
        <v>1196</v>
      </c>
      <c r="O3" s="29" t="s">
        <v>33</v>
      </c>
      <c r="P3" s="29" t="s">
        <v>35</v>
      </c>
      <c r="Q3" s="29" t="s">
        <v>39</v>
      </c>
      <c r="R3" s="29" t="s">
        <v>40</v>
      </c>
      <c r="S3" s="29" t="s">
        <v>41</v>
      </c>
      <c r="T3" s="29" t="s">
        <v>1197</v>
      </c>
      <c r="U3" s="29" t="s">
        <v>1198</v>
      </c>
      <c r="V3" s="29" t="s">
        <v>1199</v>
      </c>
      <c r="W3" s="31" t="s">
        <v>48</v>
      </c>
      <c r="X3" s="31" t="s">
        <v>49</v>
      </c>
      <c r="Y3" s="31" t="s">
        <v>1200</v>
      </c>
      <c r="Z3" s="31" t="s">
        <v>75</v>
      </c>
      <c r="AA3" s="31" t="s">
        <v>76</v>
      </c>
      <c r="AB3" s="31" t="s">
        <v>53</v>
      </c>
      <c r="AC3" s="31" t="s">
        <v>1201</v>
      </c>
      <c r="AD3" s="31" t="s">
        <v>1202</v>
      </c>
      <c r="AE3" s="31" t="s">
        <v>56</v>
      </c>
      <c r="AF3" s="31" t="s">
        <v>1203</v>
      </c>
      <c r="AG3" s="31" t="s">
        <v>1204</v>
      </c>
      <c r="AH3" s="31" t="s">
        <v>1205</v>
      </c>
      <c r="AI3" s="29" t="s">
        <v>1206</v>
      </c>
      <c r="AJ3" s="29" t="s">
        <v>1207</v>
      </c>
      <c r="AK3" s="29" t="s">
        <v>1208</v>
      </c>
      <c r="AL3" s="32" t="s">
        <v>78</v>
      </c>
    </row>
    <row r="4" spans="2:38" hidden="1" x14ac:dyDescent="0.35">
      <c r="B4" s="33" t="s">
        <v>79</v>
      </c>
      <c r="C4" s="34"/>
      <c r="D4" s="34"/>
      <c r="E4" s="33" t="s">
        <v>81</v>
      </c>
      <c r="F4" s="34" t="s">
        <v>653</v>
      </c>
      <c r="G4" s="34" cm="1">
        <f t="array" aca="1" ref="G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FORMS]]="",$Y4&gt;$W$1),2,
AND(Tabela6[[#This Row],[STATUS PROCESSO DESMOBILIZAÇÃO]]="Em andamento",Tabela6[[#This Row],[DATA REAL - FORMS]]="",$Y4&lt;=$W$1),3,
AND(Tabela6[[#This Row],[STATUS PROCESSO DESMOBILIZAÇÃO]]="Em andamento",Tabela6[[#This Row],[DATA REAL - FORMS]]&lt;&gt;""),1)</f>
        <v>1</v>
      </c>
      <c r="H4" s="34" cm="1">
        <f t="array" aca="1" ref="H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CRACHÁ]]="",$AB4&gt;$Z$1),2,
AND(Tabela6[[#This Row],[STATUS PROCESSO DESMOBILIZAÇÃO]]="Em andamento",Tabela6[[#This Row],[DATA REAL - CRACHÁ]]="",$AB4&lt;=$Z$1),3,
AND(Tabela6[[#This Row],[STATUS PROCESSO DESMOBILIZAÇÃO]]="Em andamento",Tabela6[[#This Row],[DATA REAL - CRACHÁ]]&lt;&gt;""),1)</f>
        <v>1</v>
      </c>
      <c r="I4" s="34" cm="1">
        <f t="array" aca="1" ref="I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CRACHÁ]]="",$AE4&gt;$AC$1),2,
AND(Tabela6[[#This Row],[STATUS PROCESSO DESMOBILIZAÇÃO]]="Em andamento",Tabela6[[#This Row],[DATA REAL - ENTR. CRACHÁ]]="",$AE4&lt;=$AC$1),3,
AND(Tabela6[[#This Row],[STATUS PROCESSO DESMOBILIZAÇÃO]]="Em andamento",Tabela6[[#This Row],[DATA REAL - ENTR. CRACHÁ]]&lt;&gt;""),1)</f>
        <v>1</v>
      </c>
      <c r="J4" s="34" cm="1">
        <f t="array" aca="1" ref="J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CRACHÁ]]="",$AE4&gt;$AC$1),2,
AND(Tabela6[[#This Row],[STATUS PROCESSO DESMOBILIZAÇÃO]]="Em andamento",Tabela6[[#This Row],[DATA REAL - ENTR. CRACHÁ]]="",$AE4&lt;=$AC$1),3,
AND(Tabela6[[#This Row],[STATUS PROCESSO DESMOBILIZAÇÃO]]="Em andamento",Tabela6[[#This Row],[DATA REAL - ENTR. CRACHÁ]]&lt;&gt;""),1)</f>
        <v>1</v>
      </c>
      <c r="K4" s="34" cm="1">
        <f t="array" aca="1" ref="K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protocolo]]="",$AH4&gt;$AF$1),2,
AND(Tabela6[[#This Row],[STATUS PROCESSO DESMOBILIZAÇÃO]]="Em andamento",Tabela6[[#This Row],[DATA REAL - Envio do protocolo]]="",$AH4&lt;=$AF$1),3,
AND(Tabela6[[#This Row],[STATUS PROCESSO DESMOBILIZAÇÃO]]="Em andamento",Tabela6[[#This Row],[DATA REAL - Envio do protocolo]]&lt;&gt;""),1)</f>
        <v>1</v>
      </c>
      <c r="L4" s="35">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45309</v>
      </c>
      <c r="M4" s="34">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 s="34">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 s="34">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 s="34" t="s">
        <v>103</v>
      </c>
      <c r="Q4" s="34" t="s">
        <v>97</v>
      </c>
      <c r="R4" s="34" t="s">
        <v>1043</v>
      </c>
      <c r="S4" s="34" t="s">
        <v>89</v>
      </c>
      <c r="T4" s="34" t="s">
        <v>1209</v>
      </c>
      <c r="U4" s="34" t="s">
        <v>249</v>
      </c>
      <c r="V4" s="34" t="str">
        <f>_xlfn.XLOOKUP(Tabela6[[#This Row],[COD. CT]],Controle_Projetos[COD CT],Controle_Projetos[COD PHD],"")</f>
        <v/>
      </c>
      <c r="W4" s="35">
        <v>45303</v>
      </c>
      <c r="X4" s="36">
        <v>45303</v>
      </c>
      <c r="Y4" s="34" cm="1">
        <f t="array" aca="1" ref="Y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4" s="35">
        <v>45303</v>
      </c>
      <c r="AA4" s="36">
        <v>45303</v>
      </c>
      <c r="AB4" s="34" cm="1">
        <f t="array" aca="1" ref="AB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4" s="35">
        <f>IF(Tabela6[[#This Row],[DATA PREV - CRACHÁ]]="","",IF(Tabela6[[#This Row],[DATA REAL - CRACHÁ]]="",WORKDAY(Tabela6[[#This Row],[DATA PREV - CRACHÁ]],AC$1,),WORKDAY(Tabela6[[#This Row],[DATA REAL - CRACHÁ]],AC$1,)))</f>
        <v>45307</v>
      </c>
      <c r="AD4" s="36">
        <v>45303</v>
      </c>
      <c r="AE4" s="34" cm="1">
        <f t="array" aca="1" ref="AE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4" s="35">
        <f>IF(Tabela6[[#This Row],[DATA PREV - ENTR. CRACHÁ]]="","",IF(Tabela6[[#This Row],[DATA REAL - ENTR. CRACHÁ]]="",WORKDAY(Tabela6[[#This Row],[DATA PREV - ENTR. CRACHÁ]],AF$1,),WORKDAY(Tabela6[[#This Row],[DATA REAL - ENTR. CRACHÁ]],AF$1,)))</f>
        <v>45306</v>
      </c>
      <c r="AG4" s="36">
        <v>45303</v>
      </c>
      <c r="AH4" s="34" cm="1">
        <f t="array" aca="1" ref="AH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4" s="35">
        <f>IF(Tabela6[[#This Row],[DATA PREV - envio do protocolo]]="","",IF(Tabela6[[#This Row],[DATA REAL - Envio do protocolo]]="",WORKDAY(Tabela6[[#This Row],[DATA PREV - envio do protocolo]],AI$1,),WORKDAY(Tabela6[[#This Row],[DATA REAL - Envio do protocolo]],AI$1,)))</f>
        <v>45309</v>
      </c>
      <c r="AJ4" s="36">
        <v>45303</v>
      </c>
      <c r="AK4" s="34" cm="1">
        <f t="array" aca="1" ref="AK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4" s="34"/>
    </row>
    <row r="5" spans="2:38" hidden="1" x14ac:dyDescent="0.35">
      <c r="B5" s="37" t="s">
        <v>79</v>
      </c>
      <c r="C5" s="38"/>
      <c r="D5" s="38"/>
      <c r="E5" s="37" t="s">
        <v>81</v>
      </c>
      <c r="F5" s="38" t="s">
        <v>561</v>
      </c>
      <c r="G5" s="38" cm="1">
        <f t="array" aca="1" ref="G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FORMS]]="",$Y5&gt;$W$1),2,
AND(Tabela6[[#This Row],[STATUS PROCESSO DESMOBILIZAÇÃO]]="Em andamento",Tabela6[[#This Row],[DATA REAL - FORMS]]="",$Y5&lt;=$W$1),3,
AND(Tabela6[[#This Row],[STATUS PROCESSO DESMOBILIZAÇÃO]]="Em andamento",Tabela6[[#This Row],[DATA REAL - FORMS]]&lt;&gt;""),1)</f>
        <v>1</v>
      </c>
      <c r="H5" s="38" cm="1">
        <f t="array" aca="1" ref="H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CRACHÁ]]="",$AB5&gt;$Z$1),2,
AND(Tabela6[[#This Row],[STATUS PROCESSO DESMOBILIZAÇÃO]]="Em andamento",Tabela6[[#This Row],[DATA REAL - CRACHÁ]]="",$AB5&lt;=$Z$1),3,
AND(Tabela6[[#This Row],[STATUS PROCESSO DESMOBILIZAÇÃO]]="Em andamento",Tabela6[[#This Row],[DATA REAL - CRACHÁ]]&lt;&gt;""),1)</f>
        <v>1</v>
      </c>
      <c r="I5" s="38" cm="1">
        <f t="array" aca="1" ref="I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CRACHÁ]]="",$AE5&gt;$AC$1),2,
AND(Tabela6[[#This Row],[STATUS PROCESSO DESMOBILIZAÇÃO]]="Em andamento",Tabela6[[#This Row],[DATA REAL - ENTR. CRACHÁ]]="",$AE5&lt;=$AC$1),3,
AND(Tabela6[[#This Row],[STATUS PROCESSO DESMOBILIZAÇÃO]]="Em andamento",Tabela6[[#This Row],[DATA REAL - ENTR. CRACHÁ]]&lt;&gt;""),1)</f>
        <v>1</v>
      </c>
      <c r="J5" s="38" cm="1">
        <f t="array" aca="1" ref="J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CRACHÁ]]="",$AE5&gt;$AC$1),2,
AND(Tabela6[[#This Row],[STATUS PROCESSO DESMOBILIZAÇÃO]]="Em andamento",Tabela6[[#This Row],[DATA REAL - ENTR. CRACHÁ]]="",$AE5&lt;=$AC$1),3,
AND(Tabela6[[#This Row],[STATUS PROCESSO DESMOBILIZAÇÃO]]="Em andamento",Tabela6[[#This Row],[DATA REAL - ENTR. CRACHÁ]]&lt;&gt;""),1)</f>
        <v>1</v>
      </c>
      <c r="K5" s="38" cm="1">
        <f t="array" aca="1" ref="K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protocolo]]="",$AH5&gt;$AF$1),2,
AND(Tabela6[[#This Row],[STATUS PROCESSO DESMOBILIZAÇÃO]]="Em andamento",Tabela6[[#This Row],[DATA REAL - Envio do protocolo]]="",$AH5&lt;=$AF$1),3,
AND(Tabela6[[#This Row],[STATUS PROCESSO DESMOBILIZAÇÃO]]="Em andamento",Tabela6[[#This Row],[DATA REAL - Envio do protocolo]]&lt;&gt;""),1)</f>
        <v>1</v>
      </c>
      <c r="L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45308</v>
      </c>
      <c r="M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6</v>
      </c>
      <c r="N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v>
      </c>
      <c r="P5" s="38" t="s">
        <v>103</v>
      </c>
      <c r="Q5" s="38" t="s">
        <v>97</v>
      </c>
      <c r="R5" s="38" t="s">
        <v>395</v>
      </c>
      <c r="S5" s="38" t="s">
        <v>89</v>
      </c>
      <c r="T5" s="38" t="s">
        <v>1210</v>
      </c>
      <c r="U5" s="38" t="s">
        <v>249</v>
      </c>
      <c r="V5" s="38" t="str">
        <f>_xlfn.XLOOKUP(Tabela6[[#This Row],[COD. CT]],Controle_Projetos[COD CT],Controle_Projetos[COD PHD],"")</f>
        <v/>
      </c>
      <c r="W5" s="39">
        <v>45302</v>
      </c>
      <c r="X5" s="40">
        <v>45302</v>
      </c>
      <c r="Y5" s="38" cm="1">
        <f t="array" aca="1" ref="Y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 s="39">
        <v>45302</v>
      </c>
      <c r="AA5" s="40">
        <v>45302</v>
      </c>
      <c r="AB5" s="38" cm="1">
        <f t="array" aca="1" ref="AB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 s="39">
        <f>IF(Tabela6[[#This Row],[DATA PREV - CRACHÁ]]="","",IF(Tabela6[[#This Row],[DATA REAL - CRACHÁ]]="",WORKDAY(Tabela6[[#This Row],[DATA PREV - CRACHÁ]],AC$1,),WORKDAY(Tabela6[[#This Row],[DATA REAL - CRACHÁ]],AC$1,)))</f>
        <v>45306</v>
      </c>
      <c r="AD5" s="40">
        <v>45302</v>
      </c>
      <c r="AE5" s="38" cm="1">
        <f t="array" aca="1" ref="AE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5" s="39">
        <f>IF(Tabela6[[#This Row],[DATA PREV - ENTR. CRACHÁ]]="","",IF(Tabela6[[#This Row],[DATA REAL - ENTR. CRACHÁ]]="",WORKDAY(Tabela6[[#This Row],[DATA PREV - ENTR. CRACHÁ]],AF$1,),WORKDAY(Tabela6[[#This Row],[DATA REAL - ENTR. CRACHÁ]],AF$1,)))</f>
        <v>45303</v>
      </c>
      <c r="AG5" s="40">
        <v>45302</v>
      </c>
      <c r="AH5" s="38" cm="1">
        <f t="array" aca="1" ref="AH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5" s="39">
        <f>IF(Tabela6[[#This Row],[DATA PREV - envio do protocolo]]="","",IF(Tabela6[[#This Row],[DATA REAL - Envio do protocolo]]="",WORKDAY(Tabela6[[#This Row],[DATA PREV - envio do protocolo]],AI$1,),WORKDAY(Tabela6[[#This Row],[DATA REAL - Envio do protocolo]],AI$1,)))</f>
        <v>45308</v>
      </c>
      <c r="AJ5" s="40">
        <v>45308</v>
      </c>
      <c r="AK5" s="38" cm="1">
        <f t="array" aca="1" ref="AK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 s="38" t="s">
        <v>1211</v>
      </c>
    </row>
    <row r="6" spans="2:38" hidden="1" x14ac:dyDescent="0.35">
      <c r="B6" s="37" t="s">
        <v>79</v>
      </c>
      <c r="C6" s="38"/>
      <c r="D6" s="38"/>
      <c r="E6" s="37" t="s">
        <v>81</v>
      </c>
      <c r="F6" s="38" t="s">
        <v>1212</v>
      </c>
      <c r="G6" s="38" cm="1">
        <f t="array" aca="1" ref="G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FORMS]]="",$Y6&gt;$W$1),2,
AND(Tabela6[[#This Row],[STATUS PROCESSO DESMOBILIZAÇÃO]]="Em andamento",Tabela6[[#This Row],[DATA REAL - FORMS]]="",$Y6&lt;=$W$1),3,
AND(Tabela6[[#This Row],[STATUS PROCESSO DESMOBILIZAÇÃO]]="Em andamento",Tabela6[[#This Row],[DATA REAL - FORMS]]&lt;&gt;""),1)</f>
        <v>1</v>
      </c>
      <c r="H6" s="38" cm="1">
        <f t="array" aca="1" ref="H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CRACHÁ]]="",$AB6&gt;$Z$1),2,
AND(Tabela6[[#This Row],[STATUS PROCESSO DESMOBILIZAÇÃO]]="Em andamento",Tabela6[[#This Row],[DATA REAL - CRACHÁ]]="",$AB6&lt;=$Z$1),3,
AND(Tabela6[[#This Row],[STATUS PROCESSO DESMOBILIZAÇÃO]]="Em andamento",Tabela6[[#This Row],[DATA REAL - CRACHÁ]]&lt;&gt;""),1)</f>
        <v>1</v>
      </c>
      <c r="I6" s="38" cm="1">
        <f t="array" aca="1" ref="I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CRACHÁ]]="",$AE6&gt;$AC$1),2,
AND(Tabela6[[#This Row],[STATUS PROCESSO DESMOBILIZAÇÃO]]="Em andamento",Tabela6[[#This Row],[DATA REAL - ENTR. CRACHÁ]]="",$AE6&lt;=$AC$1),3,
AND(Tabela6[[#This Row],[STATUS PROCESSO DESMOBILIZAÇÃO]]="Em andamento",Tabela6[[#This Row],[DATA REAL - ENTR. CRACHÁ]]&lt;&gt;""),1)</f>
        <v>1</v>
      </c>
      <c r="J6" s="38" cm="1">
        <f t="array" aca="1" ref="J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CRACHÁ]]="",$AE6&gt;$AC$1),2,
AND(Tabela6[[#This Row],[STATUS PROCESSO DESMOBILIZAÇÃO]]="Em andamento",Tabela6[[#This Row],[DATA REAL - ENTR. CRACHÁ]]="",$AE6&lt;=$AC$1),3,
AND(Tabela6[[#This Row],[STATUS PROCESSO DESMOBILIZAÇÃO]]="Em andamento",Tabela6[[#This Row],[DATA REAL - ENTR. CRACHÁ]]&lt;&gt;""),1)</f>
        <v>1</v>
      </c>
      <c r="K6" s="38" cm="1">
        <f t="array" aca="1" ref="K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protocolo]]="",$AH6&gt;$AF$1),2,
AND(Tabela6[[#This Row],[STATUS PROCESSO DESMOBILIZAÇÃO]]="Em andamento",Tabela6[[#This Row],[DATA REAL - Envio do protocolo]]="",$AH6&lt;=$AF$1),3,
AND(Tabela6[[#This Row],[STATUS PROCESSO DESMOBILIZAÇÃO]]="Em andamento",Tabela6[[#This Row],[DATA REAL - Envio do protocolo]]&lt;&gt;""),1)</f>
        <v>1</v>
      </c>
      <c r="L6"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45330</v>
      </c>
      <c r="M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21</v>
      </c>
      <c r="N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5</v>
      </c>
      <c r="O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15</v>
      </c>
      <c r="P6" s="38" t="s">
        <v>515</v>
      </c>
      <c r="Q6" s="38" t="s">
        <v>87</v>
      </c>
      <c r="R6" s="38" t="s">
        <v>261</v>
      </c>
      <c r="S6" s="38" t="s">
        <v>89</v>
      </c>
      <c r="T6" s="38" t="s">
        <v>383</v>
      </c>
      <c r="U6" s="38" t="s">
        <v>249</v>
      </c>
      <c r="V6" s="38" t="str">
        <f>_xlfn.XLOOKUP(Tabela6[[#This Row],[COD. CT]],Controle_Projetos[COD CT],Controle_Projetos[COD PHD],"")</f>
        <v/>
      </c>
      <c r="W6" s="39">
        <v>45309</v>
      </c>
      <c r="X6" s="40">
        <v>45309</v>
      </c>
      <c r="Y6" s="38" cm="1">
        <f t="array" aca="1" ref="Y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6" s="39">
        <v>45309</v>
      </c>
      <c r="AA6" s="40">
        <v>45309</v>
      </c>
      <c r="AB6" s="38" cm="1">
        <f t="array" aca="1" ref="AB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6" s="39">
        <f>IF(Tabela6[[#This Row],[DATA PREV - CRACHÁ]]="","",IF(Tabela6[[#This Row],[DATA REAL - CRACHÁ]]="",WORKDAY(Tabela6[[#This Row],[DATA PREV - CRACHÁ]],AC$1,),WORKDAY(Tabela6[[#This Row],[DATA REAL - CRACHÁ]],AC$1,)))</f>
        <v>45313</v>
      </c>
      <c r="AD6" s="40">
        <v>45314</v>
      </c>
      <c r="AE6" s="38" cm="1">
        <f t="array" aca="1" ref="AE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1</v>
      </c>
      <c r="AF6" s="39">
        <f>IF(Tabela6[[#This Row],[DATA PREV - ENTR. CRACHÁ]]="","",IF(Tabela6[[#This Row],[DATA REAL - ENTR. CRACHÁ]]="",WORKDAY(Tabela6[[#This Row],[DATA PREV - ENTR. CRACHÁ]],AF$1,),WORKDAY(Tabela6[[#This Row],[DATA REAL - ENTR. CRACHÁ]],AF$1,)))</f>
        <v>45315</v>
      </c>
      <c r="AG6" s="40">
        <v>45315</v>
      </c>
      <c r="AH6" s="38" cm="1">
        <f t="array" aca="1" ref="AH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 s="39">
        <f>IF(Tabela6[[#This Row],[DATA PREV - envio do protocolo]]="","",IF(Tabela6[[#This Row],[DATA REAL - Envio do protocolo]]="",WORKDAY(Tabela6[[#This Row],[DATA PREV - envio do protocolo]],AI$1,),WORKDAY(Tabela6[[#This Row],[DATA REAL - Envio do protocolo]],AI$1,)))</f>
        <v>45321</v>
      </c>
      <c r="AJ6" s="40">
        <v>45330</v>
      </c>
      <c r="AK6" s="38" cm="1">
        <f t="array" aca="1" ref="AK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9</v>
      </c>
      <c r="AL6" s="38" t="s">
        <v>1213</v>
      </c>
    </row>
    <row r="7" spans="2:38" hidden="1" x14ac:dyDescent="0.35">
      <c r="B7" s="37" t="s">
        <v>79</v>
      </c>
      <c r="C7" s="38" t="s">
        <v>1214</v>
      </c>
      <c r="D7" s="38"/>
      <c r="E7" s="37" t="s">
        <v>81</v>
      </c>
      <c r="F7" s="38" t="s">
        <v>1215</v>
      </c>
      <c r="G7" s="38" cm="1">
        <f t="array" aca="1" ref="G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FORMS]]="",$Y7&gt;$W$1),2,
AND(Tabela6[[#This Row],[STATUS PROCESSO DESMOBILIZAÇÃO]]="Em andamento",Tabela6[[#This Row],[DATA REAL - FORMS]]="",$Y7&lt;=$W$1),3,
AND(Tabela6[[#This Row],[STATUS PROCESSO DESMOBILIZAÇÃO]]="Em andamento",Tabela6[[#This Row],[DATA REAL - FORMS]]&lt;&gt;""),1)</f>
        <v>0</v>
      </c>
      <c r="H7" s="38" cm="1">
        <f t="array" aca="1" ref="H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CRACHÁ]]="",$AB7&gt;$Z$1),2,
AND(Tabela6[[#This Row],[STATUS PROCESSO DESMOBILIZAÇÃO]]="Em andamento",Tabela6[[#This Row],[DATA REAL - CRACHÁ]]="",$AB7&lt;=$Z$1),3,
AND(Tabela6[[#This Row],[STATUS PROCESSO DESMOBILIZAÇÃO]]="Em andamento",Tabela6[[#This Row],[DATA REAL - CRACHÁ]]&lt;&gt;""),1)</f>
        <v>0</v>
      </c>
      <c r="I7" s="38" cm="1">
        <f t="array" aca="1" ref="I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CRACHÁ]]="",$AE7&gt;$AC$1),2,
AND(Tabela6[[#This Row],[STATUS PROCESSO DESMOBILIZAÇÃO]]="Em andamento",Tabela6[[#This Row],[DATA REAL - ENTR. CRACHÁ]]="",$AE7&lt;=$AC$1),3,
AND(Tabela6[[#This Row],[STATUS PROCESSO DESMOBILIZAÇÃO]]="Em andamento",Tabela6[[#This Row],[DATA REAL - ENTR. CRACHÁ]]&lt;&gt;""),1)</f>
        <v>0</v>
      </c>
      <c r="J7" s="38" cm="1">
        <f t="array" aca="1" ref="J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CRACHÁ]]="",$AE7&gt;$AC$1),2,
AND(Tabela6[[#This Row],[STATUS PROCESSO DESMOBILIZAÇÃO]]="Em andamento",Tabela6[[#This Row],[DATA REAL - ENTR. CRACHÁ]]="",$AE7&lt;=$AC$1),3,
AND(Tabela6[[#This Row],[STATUS PROCESSO DESMOBILIZAÇÃO]]="Em andamento",Tabela6[[#This Row],[DATA REAL - ENTR. CRACHÁ]]&lt;&gt;""),1)</f>
        <v>0</v>
      </c>
      <c r="K7" s="38" cm="1">
        <f t="array" aca="1" ref="K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protocolo]]="",$AH7&gt;$AF$1),2,
AND(Tabela6[[#This Row],[STATUS PROCESSO DESMOBILIZAÇÃO]]="Em andamento",Tabela6[[#This Row],[DATA REAL - Envio do protocolo]]="",$AH7&lt;=$AF$1),3,
AND(Tabela6[[#This Row],[STATUS PROCESSO DESMOBILIZAÇÃO]]="Em andamento",Tabela6[[#This Row],[DATA REAL - Envio do protocolo]]&lt;&gt;""),1)</f>
        <v>0</v>
      </c>
      <c r="L7"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7" s="38" t="s">
        <v>515</v>
      </c>
      <c r="Q7" s="38" t="s">
        <v>97</v>
      </c>
      <c r="R7" s="38" t="s">
        <v>1216</v>
      </c>
      <c r="S7" s="38" t="s">
        <v>89</v>
      </c>
      <c r="T7" s="38" t="s">
        <v>383</v>
      </c>
      <c r="U7" s="38" t="s">
        <v>249</v>
      </c>
      <c r="V7" s="38" t="str">
        <f>_xlfn.XLOOKUP(Tabela6[[#This Row],[COD. CT]],Controle_Projetos[COD CT],Controle_Projetos[COD PHD],"")</f>
        <v/>
      </c>
      <c r="W7" s="39"/>
      <c r="X7" s="40"/>
      <c r="Y7" s="38" t="str" cm="1">
        <f t="array" aca="1" ref="Y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7" s="39" t="s">
        <v>249</v>
      </c>
      <c r="AA7" s="40"/>
      <c r="AB7" s="38" t="str" cm="1">
        <f t="array" aca="1" ref="AB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7" s="39" t="str">
        <f>IF(Tabela6[[#This Row],[DATA PREV - CRACHÁ]]="","",IF(Tabela6[[#This Row],[DATA REAL - CRACHÁ]]="",WORKDAY(Tabela6[[#This Row],[DATA PREV - CRACHÁ]],AC$1,),WORKDAY(Tabela6[[#This Row],[DATA REAL - CRACHÁ]],AC$1,)))</f>
        <v/>
      </c>
      <c r="AD7" s="40"/>
      <c r="AE7" s="38" t="str" cm="1">
        <f t="array" aca="1" ref="AE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7" s="39" t="str">
        <f>IF(Tabela6[[#This Row],[DATA PREV - ENTR. CRACHÁ]]="","",IF(Tabela6[[#This Row],[DATA REAL - ENTR. CRACHÁ]]="",WORKDAY(Tabela6[[#This Row],[DATA PREV - ENTR. CRACHÁ]],AF$1,),WORKDAY(Tabela6[[#This Row],[DATA REAL - ENTR. CRACHÁ]],AF$1,)))</f>
        <v/>
      </c>
      <c r="AG7" s="40"/>
      <c r="AH7" s="38" t="str" cm="1">
        <f t="array" aca="1" ref="AH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7" s="39" t="str">
        <f>IF(Tabela6[[#This Row],[DATA PREV - envio do protocolo]]="","",IF(Tabela6[[#This Row],[DATA REAL - Envio do protocolo]]="",WORKDAY(Tabela6[[#This Row],[DATA PREV - envio do protocolo]],AI$1,),WORKDAY(Tabela6[[#This Row],[DATA REAL - Envio do protocolo]],AI$1,)))</f>
        <v/>
      </c>
      <c r="AJ7" s="40"/>
      <c r="AK7" s="38" t="str" cm="1">
        <f t="array" aca="1" ref="AK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7" s="38" t="s">
        <v>1217</v>
      </c>
    </row>
    <row r="8" spans="2:38" hidden="1" x14ac:dyDescent="0.35">
      <c r="B8" s="37" t="s">
        <v>79</v>
      </c>
      <c r="C8" s="38"/>
      <c r="D8" s="38"/>
      <c r="E8" s="37" t="s">
        <v>81</v>
      </c>
      <c r="F8" s="38" t="s">
        <v>560</v>
      </c>
      <c r="G8" s="38" cm="1">
        <f t="array" aca="1" ref="G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FORMS]]="",$Y8&gt;$W$1),2,
AND(Tabela6[[#This Row],[STATUS PROCESSO DESMOBILIZAÇÃO]]="Em andamento",Tabela6[[#This Row],[DATA REAL - FORMS]]="",$Y8&lt;=$W$1),3,
AND(Tabela6[[#This Row],[STATUS PROCESSO DESMOBILIZAÇÃO]]="Em andamento",Tabela6[[#This Row],[DATA REAL - FORMS]]&lt;&gt;""),1)</f>
        <v>1</v>
      </c>
      <c r="H8" s="38" cm="1">
        <f t="array" aca="1" ref="H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CRACHÁ]]="",$AB8&gt;$Z$1),2,
AND(Tabela6[[#This Row],[STATUS PROCESSO DESMOBILIZAÇÃO]]="Em andamento",Tabela6[[#This Row],[DATA REAL - CRACHÁ]]="",$AB8&lt;=$Z$1),3,
AND(Tabela6[[#This Row],[STATUS PROCESSO DESMOBILIZAÇÃO]]="Em andamento",Tabela6[[#This Row],[DATA REAL - CRACHÁ]]&lt;&gt;""),1)</f>
        <v>1</v>
      </c>
      <c r="I8" s="38" cm="1">
        <f t="array" aca="1" ref="I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CRACHÁ]]="",$AE8&gt;$AC$1),2,
AND(Tabela6[[#This Row],[STATUS PROCESSO DESMOBILIZAÇÃO]]="Em andamento",Tabela6[[#This Row],[DATA REAL - ENTR. CRACHÁ]]="",$AE8&lt;=$AC$1),3,
AND(Tabela6[[#This Row],[STATUS PROCESSO DESMOBILIZAÇÃO]]="Em andamento",Tabela6[[#This Row],[DATA REAL - ENTR. CRACHÁ]]&lt;&gt;""),1)</f>
        <v>1</v>
      </c>
      <c r="J8" s="38" cm="1">
        <f t="array" aca="1" ref="J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CRACHÁ]]="",$AE8&gt;$AC$1),2,
AND(Tabela6[[#This Row],[STATUS PROCESSO DESMOBILIZAÇÃO]]="Em andamento",Tabela6[[#This Row],[DATA REAL - ENTR. CRACHÁ]]="",$AE8&lt;=$AC$1),3,
AND(Tabela6[[#This Row],[STATUS PROCESSO DESMOBILIZAÇÃO]]="Em andamento",Tabela6[[#This Row],[DATA REAL - ENTR. CRACHÁ]]&lt;&gt;""),1)</f>
        <v>1</v>
      </c>
      <c r="K8" s="38" cm="1">
        <f t="array" aca="1" ref="K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protocolo]]="",$AH8&gt;$AF$1),2,
AND(Tabela6[[#This Row],[STATUS PROCESSO DESMOBILIZAÇÃO]]="Em andamento",Tabela6[[#This Row],[DATA REAL - Envio do protocolo]]="",$AH8&lt;=$AF$1),3,
AND(Tabela6[[#This Row],[STATUS PROCESSO DESMOBILIZAÇÃO]]="Em andamento",Tabela6[[#This Row],[DATA REAL - Envio do protocolo]]&lt;&gt;""),1)</f>
        <v>1</v>
      </c>
      <c r="L8"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45407</v>
      </c>
      <c r="M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45</v>
      </c>
      <c r="N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4</v>
      </c>
      <c r="O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38</v>
      </c>
      <c r="P8" s="38" t="s">
        <v>83</v>
      </c>
      <c r="Q8" s="38" t="s">
        <v>97</v>
      </c>
      <c r="R8" s="38" t="s">
        <v>88</v>
      </c>
      <c r="S8" s="38" t="s">
        <v>89</v>
      </c>
      <c r="T8" s="38" t="s">
        <v>1218</v>
      </c>
      <c r="U8" s="38" t="s">
        <v>249</v>
      </c>
      <c r="V8" s="38" t="str">
        <f>_xlfn.XLOOKUP(Tabela6[[#This Row],[COD. CT]],Controle_Projetos[COD CT],Controle_Projetos[COD PHD],"")</f>
        <v/>
      </c>
      <c r="W8" s="39">
        <v>45362</v>
      </c>
      <c r="X8" s="40">
        <v>45362</v>
      </c>
      <c r="Y8" s="38" cm="1">
        <f t="array" aca="1" ref="Y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8" s="39">
        <v>45362</v>
      </c>
      <c r="AA8" s="40">
        <v>45362</v>
      </c>
      <c r="AB8" s="38" cm="1">
        <f t="array" aca="1" ref="AB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8" s="39">
        <f>IF(Tabela6[[#This Row],[DATA PREV - CRACHÁ]]="","",IF(Tabela6[[#This Row],[DATA REAL - CRACHÁ]]="",WORKDAY(Tabela6[[#This Row],[DATA PREV - CRACHÁ]],AC$1,),WORKDAY(Tabela6[[#This Row],[DATA REAL - CRACHÁ]],AC$1,)))</f>
        <v>45364</v>
      </c>
      <c r="AD8" s="40">
        <v>45366</v>
      </c>
      <c r="AE8" s="38" cm="1">
        <f t="array" aca="1" ref="AE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8" s="39">
        <f>IF(Tabela6[[#This Row],[DATA PREV - ENTR. CRACHÁ]]="","",IF(Tabela6[[#This Row],[DATA REAL - ENTR. CRACHÁ]]="",WORKDAY(Tabela6[[#This Row],[DATA PREV - ENTR. CRACHÁ]],AF$1,),WORKDAY(Tabela6[[#This Row],[DATA REAL - ENTR. CRACHÁ]],AF$1,)))</f>
        <v>45369</v>
      </c>
      <c r="AG8" s="40">
        <v>45369</v>
      </c>
      <c r="AH8" s="38" cm="1">
        <f t="array" aca="1" ref="AH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8" s="39">
        <f>IF(Tabela6[[#This Row],[DATA PREV - envio do protocolo]]="","",IF(Tabela6[[#This Row],[DATA REAL - Envio do protocolo]]="",WORKDAY(Tabela6[[#This Row],[DATA PREV - envio do protocolo]],AI$1,),WORKDAY(Tabela6[[#This Row],[DATA REAL - Envio do protocolo]],AI$1,)))</f>
        <v>45373</v>
      </c>
      <c r="AJ8" s="40">
        <v>45407</v>
      </c>
      <c r="AK8" s="38" cm="1">
        <f t="array" aca="1" ref="AK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34</v>
      </c>
      <c r="AL8" s="38" t="s">
        <v>1219</v>
      </c>
    </row>
    <row r="9" spans="2:38" hidden="1" x14ac:dyDescent="0.35">
      <c r="B9" s="37" t="s">
        <v>79</v>
      </c>
      <c r="C9" s="38"/>
      <c r="D9" s="38"/>
      <c r="E9" s="37" t="s">
        <v>81</v>
      </c>
      <c r="F9" s="38" t="s">
        <v>1220</v>
      </c>
      <c r="G9" s="38" cm="1">
        <f t="array" aca="1" ref="G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FORMS]]="",$Y9&gt;$W$1),2,
AND(Tabela6[[#This Row],[STATUS PROCESSO DESMOBILIZAÇÃO]]="Em andamento",Tabela6[[#This Row],[DATA REAL - FORMS]]="",$Y9&lt;=$W$1),3,
AND(Tabela6[[#This Row],[STATUS PROCESSO DESMOBILIZAÇÃO]]="Em andamento",Tabela6[[#This Row],[DATA REAL - FORMS]]&lt;&gt;""),1)</f>
        <v>1</v>
      </c>
      <c r="H9" s="38" cm="1">
        <f t="array" aca="1" ref="H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CRACHÁ]]="",$AB9&gt;$Z$1),2,
AND(Tabela6[[#This Row],[STATUS PROCESSO DESMOBILIZAÇÃO]]="Em andamento",Tabela6[[#This Row],[DATA REAL - CRACHÁ]]="",$AB9&lt;=$Z$1),3,
AND(Tabela6[[#This Row],[STATUS PROCESSO DESMOBILIZAÇÃO]]="Em andamento",Tabela6[[#This Row],[DATA REAL - CRACHÁ]]&lt;&gt;""),1)</f>
        <v>1</v>
      </c>
      <c r="I9" s="38" cm="1">
        <f t="array" aca="1" ref="I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CRACHÁ]]="",$AE9&gt;$AC$1),2,
AND(Tabela6[[#This Row],[STATUS PROCESSO DESMOBILIZAÇÃO]]="Em andamento",Tabela6[[#This Row],[DATA REAL - ENTR. CRACHÁ]]="",$AE9&lt;=$AC$1),3,
AND(Tabela6[[#This Row],[STATUS PROCESSO DESMOBILIZAÇÃO]]="Em andamento",Tabela6[[#This Row],[DATA REAL - ENTR. CRACHÁ]]&lt;&gt;""),1)</f>
        <v>1</v>
      </c>
      <c r="J9" s="38" cm="1">
        <f t="array" aca="1" ref="J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CRACHÁ]]="",$AE9&gt;$AC$1),2,
AND(Tabela6[[#This Row],[STATUS PROCESSO DESMOBILIZAÇÃO]]="Em andamento",Tabela6[[#This Row],[DATA REAL - ENTR. CRACHÁ]]="",$AE9&lt;=$AC$1),3,
AND(Tabela6[[#This Row],[STATUS PROCESSO DESMOBILIZAÇÃO]]="Em andamento",Tabela6[[#This Row],[DATA REAL - ENTR. CRACHÁ]]&lt;&gt;""),1)</f>
        <v>1</v>
      </c>
      <c r="K9" s="38" cm="1">
        <f t="array" aca="1" ref="K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protocolo]]="",$AH9&gt;$AF$1),2,
AND(Tabela6[[#This Row],[STATUS PROCESSO DESMOBILIZAÇÃO]]="Em andamento",Tabela6[[#This Row],[DATA REAL - Envio do protocolo]]="",$AH9&lt;=$AF$1),3,
AND(Tabela6[[#This Row],[STATUS PROCESSO DESMOBILIZAÇÃO]]="Em andamento",Tabela6[[#This Row],[DATA REAL - Envio do protocolo]]&lt;&gt;""),1)</f>
        <v>1</v>
      </c>
      <c r="L9"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45358</v>
      </c>
      <c r="M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8</v>
      </c>
      <c r="N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9" s="38" t="s">
        <v>515</v>
      </c>
      <c r="Q9" s="38" t="s">
        <v>97</v>
      </c>
      <c r="R9" s="38" t="s">
        <v>235</v>
      </c>
      <c r="S9" s="38" t="s">
        <v>89</v>
      </c>
      <c r="T9" s="38" t="s">
        <v>383</v>
      </c>
      <c r="U9" s="38" t="s">
        <v>249</v>
      </c>
      <c r="V9" s="38" t="str">
        <f>_xlfn.XLOOKUP(Tabela6[[#This Row],[COD. CT]],Controle_Projetos[COD CT],Controle_Projetos[COD PHD],"")</f>
        <v/>
      </c>
      <c r="W9" s="39">
        <v>45344</v>
      </c>
      <c r="X9" s="40">
        <v>45344</v>
      </c>
      <c r="Y9" s="38" cm="1">
        <f t="array" aca="1" ref="Y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9" s="39">
        <v>45344</v>
      </c>
      <c r="AA9" s="40">
        <v>45344</v>
      </c>
      <c r="AB9" s="38" cm="1">
        <f t="array" aca="1" ref="AB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9" s="39">
        <f>IF(Tabela6[[#This Row],[DATA PREV - CRACHÁ]]="","",IF(Tabela6[[#This Row],[DATA REAL - CRACHÁ]]="",WORKDAY(Tabela6[[#This Row],[DATA PREV - CRACHÁ]],AC$1,),WORKDAY(Tabela6[[#This Row],[DATA REAL - CRACHÁ]],AC$1,)))</f>
        <v>45348</v>
      </c>
      <c r="AD9" s="40">
        <v>45344</v>
      </c>
      <c r="AE9" s="38" cm="1">
        <f t="array" aca="1" ref="AE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9" s="39">
        <f>IF(Tabela6[[#This Row],[DATA PREV - ENTR. CRACHÁ]]="","",IF(Tabela6[[#This Row],[DATA REAL - ENTR. CRACHÁ]]="",WORKDAY(Tabela6[[#This Row],[DATA PREV - ENTR. CRACHÁ]],AF$1,),WORKDAY(Tabela6[[#This Row],[DATA REAL - ENTR. CRACHÁ]],AF$1,)))</f>
        <v>45345</v>
      </c>
      <c r="AG9" s="40">
        <v>45352</v>
      </c>
      <c r="AH9" s="38" cm="1">
        <f t="array" aca="1" ref="AH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7</v>
      </c>
      <c r="AI9" s="39">
        <f>IF(Tabela6[[#This Row],[DATA PREV - envio do protocolo]]="","",IF(Tabela6[[#This Row],[DATA REAL - Envio do protocolo]]="",WORKDAY(Tabela6[[#This Row],[DATA PREV - envio do protocolo]],AI$1,),WORKDAY(Tabela6[[#This Row],[DATA REAL - Envio do protocolo]],AI$1,)))</f>
        <v>45358</v>
      </c>
      <c r="AJ9" s="40">
        <v>45352</v>
      </c>
      <c r="AK9" s="38" cm="1">
        <f t="array" aca="1" ref="AK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9" s="38" t="s">
        <v>1221</v>
      </c>
    </row>
    <row r="10" spans="2:38" hidden="1" x14ac:dyDescent="0.35">
      <c r="B10" s="37" t="s">
        <v>79</v>
      </c>
      <c r="C10" s="38"/>
      <c r="D10" s="38"/>
      <c r="E10" s="37" t="s">
        <v>81</v>
      </c>
      <c r="F10" s="38" t="s">
        <v>1220</v>
      </c>
      <c r="G10" s="38" cm="1">
        <f t="array" aca="1" ref="G1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FORMS]]="",$Y10&gt;$W$1),2,
AND(Tabela6[[#This Row],[STATUS PROCESSO DESMOBILIZAÇÃO]]="Em andamento",Tabela6[[#This Row],[DATA REAL - FORMS]]="",$Y10&lt;=$W$1),3,
AND(Tabela6[[#This Row],[STATUS PROCESSO DESMOBILIZAÇÃO]]="Em andamento",Tabela6[[#This Row],[DATA REAL - FORMS]]&lt;&gt;""),1)</f>
        <v>1</v>
      </c>
      <c r="H10" s="38" cm="1">
        <f t="array" aca="1" ref="H1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CRACHÁ]]="",$AB10&gt;$Z$1),2,
AND(Tabela6[[#This Row],[STATUS PROCESSO DESMOBILIZAÇÃO]]="Em andamento",Tabela6[[#This Row],[DATA REAL - CRACHÁ]]="",$AB10&lt;=$Z$1),3,
AND(Tabela6[[#This Row],[STATUS PROCESSO DESMOBILIZAÇÃO]]="Em andamento",Tabela6[[#This Row],[DATA REAL - CRACHÁ]]&lt;&gt;""),1)</f>
        <v>1</v>
      </c>
      <c r="I10" s="38" cm="1">
        <f t="array" aca="1" ref="I1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CRACHÁ]]="",$AE10&gt;$AC$1),2,
AND(Tabela6[[#This Row],[STATUS PROCESSO DESMOBILIZAÇÃO]]="Em andamento",Tabela6[[#This Row],[DATA REAL - ENTR. CRACHÁ]]="",$AE10&lt;=$AC$1),3,
AND(Tabela6[[#This Row],[STATUS PROCESSO DESMOBILIZAÇÃO]]="Em andamento",Tabela6[[#This Row],[DATA REAL - ENTR. CRACHÁ]]&lt;&gt;""),1)</f>
        <v>1</v>
      </c>
      <c r="J10" s="38" cm="1">
        <f t="array" aca="1" ref="J1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CRACHÁ]]="",$AE10&gt;$AC$1),2,
AND(Tabela6[[#This Row],[STATUS PROCESSO DESMOBILIZAÇÃO]]="Em andamento",Tabela6[[#This Row],[DATA REAL - ENTR. CRACHÁ]]="",$AE10&lt;=$AC$1),3,
AND(Tabela6[[#This Row],[STATUS PROCESSO DESMOBILIZAÇÃO]]="Em andamento",Tabela6[[#This Row],[DATA REAL - ENTR. CRACHÁ]]&lt;&gt;""),1)</f>
        <v>1</v>
      </c>
      <c r="K10" s="38" cm="1">
        <f t="array" aca="1" ref="K1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protocolo]]="",$AH10&gt;$AF$1),2,
AND(Tabela6[[#This Row],[STATUS PROCESSO DESMOBILIZAÇÃO]]="Em andamento",Tabela6[[#This Row],[DATA REAL - Envio do protocolo]]="",$AH10&lt;=$AF$1),3,
AND(Tabela6[[#This Row],[STATUS PROCESSO DESMOBILIZAÇÃO]]="Em andamento",Tabela6[[#This Row],[DATA REAL - Envio do protocolo]]&lt;&gt;""),1)</f>
        <v>1</v>
      </c>
      <c r="L10"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45334</v>
      </c>
      <c r="M1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v>
      </c>
      <c r="N1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v>
      </c>
      <c r="P10" s="38" t="s">
        <v>122</v>
      </c>
      <c r="Q10" s="38" t="s">
        <v>97</v>
      </c>
      <c r="R10" s="38" t="s">
        <v>153</v>
      </c>
      <c r="S10" s="38" t="s">
        <v>153</v>
      </c>
      <c r="T10" s="38" t="s">
        <v>1222</v>
      </c>
      <c r="U10" s="38" t="s">
        <v>249</v>
      </c>
      <c r="V10" s="38" t="str">
        <f>_xlfn.XLOOKUP(Tabela6[[#This Row],[COD. CT]],Controle_Projetos[COD CT],Controle_Projetos[COD PHD],"")</f>
        <v/>
      </c>
      <c r="W10" s="39">
        <v>45328</v>
      </c>
      <c r="X10" s="40">
        <v>45328</v>
      </c>
      <c r="Y10" s="38" cm="1">
        <f t="array" aca="1" ref="Y1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10" s="39">
        <v>45328</v>
      </c>
      <c r="AA10" s="40">
        <v>45328</v>
      </c>
      <c r="AB10" s="38" cm="1">
        <f t="array" aca="1" ref="AB1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0" s="39">
        <f>IF(Tabela6[[#This Row],[DATA PREV - CRACHÁ]]="","",IF(Tabela6[[#This Row],[DATA REAL - CRACHÁ]]="",WORKDAY(Tabela6[[#This Row],[DATA PREV - CRACHÁ]],AC$1,),WORKDAY(Tabela6[[#This Row],[DATA REAL - CRACHÁ]],AC$1,)))</f>
        <v>45330</v>
      </c>
      <c r="AD10" s="40">
        <v>45328</v>
      </c>
      <c r="AE10" s="38" cm="1">
        <f t="array" aca="1" ref="AE1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10" s="39">
        <f>IF(Tabela6[[#This Row],[DATA PREV - ENTR. CRACHÁ]]="","",IF(Tabela6[[#This Row],[DATA REAL - ENTR. CRACHÁ]]="",WORKDAY(Tabela6[[#This Row],[DATA PREV - ENTR. CRACHÁ]],AF$1,),WORKDAY(Tabela6[[#This Row],[DATA REAL - ENTR. CRACHÁ]],AF$1,)))</f>
        <v>45329</v>
      </c>
      <c r="AG10" s="40">
        <v>45328</v>
      </c>
      <c r="AH10" s="38" cm="1">
        <f t="array" aca="1" ref="AH1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0" s="39">
        <f>IF(Tabela6[[#This Row],[DATA PREV - envio do protocolo]]="","",IF(Tabela6[[#This Row],[DATA REAL - Envio do protocolo]]="",WORKDAY(Tabela6[[#This Row],[DATA PREV - envio do protocolo]],AI$1,),WORKDAY(Tabela6[[#This Row],[DATA REAL - Envio do protocolo]],AI$1,)))</f>
        <v>45334</v>
      </c>
      <c r="AJ10" s="40">
        <v>45329</v>
      </c>
      <c r="AK10" s="38" cm="1">
        <f t="array" aca="1" ref="AK1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-5</v>
      </c>
      <c r="AL10" s="38"/>
    </row>
    <row r="11" spans="2:38" hidden="1" x14ac:dyDescent="0.35">
      <c r="B11" s="37" t="s">
        <v>79</v>
      </c>
      <c r="C11" s="38"/>
      <c r="D11" s="38"/>
      <c r="E11" s="37" t="s">
        <v>81</v>
      </c>
      <c r="F11" s="38" t="s">
        <v>1223</v>
      </c>
      <c r="G11" s="38" cm="1">
        <f t="array" aca="1" ref="G1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FORMS]]="",$Y11&gt;$W$1),2,
AND(Tabela6[[#This Row],[STATUS PROCESSO DESMOBILIZAÇÃO]]="Em andamento",Tabela6[[#This Row],[DATA REAL - FORMS]]="",$Y11&lt;=$W$1),3,
AND(Tabela6[[#This Row],[STATUS PROCESSO DESMOBILIZAÇÃO]]="Em andamento",Tabela6[[#This Row],[DATA REAL - FORMS]]&lt;&gt;""),1)</f>
        <v>1</v>
      </c>
      <c r="H11" s="38" cm="1">
        <f t="array" aca="1" ref="H1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CRACHÁ]]="",$AB11&gt;$Z$1),2,
AND(Tabela6[[#This Row],[STATUS PROCESSO DESMOBILIZAÇÃO]]="Em andamento",Tabela6[[#This Row],[DATA REAL - CRACHÁ]]="",$AB11&lt;=$Z$1),3,
AND(Tabela6[[#This Row],[STATUS PROCESSO DESMOBILIZAÇÃO]]="Em andamento",Tabela6[[#This Row],[DATA REAL - CRACHÁ]]&lt;&gt;""),1)</f>
        <v>1</v>
      </c>
      <c r="I11" s="38" cm="1">
        <f t="array" aca="1" ref="I1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CRACHÁ]]="",$AE11&gt;$AC$1),2,
AND(Tabela6[[#This Row],[STATUS PROCESSO DESMOBILIZAÇÃO]]="Em andamento",Tabela6[[#This Row],[DATA REAL - ENTR. CRACHÁ]]="",$AE11&lt;=$AC$1),3,
AND(Tabela6[[#This Row],[STATUS PROCESSO DESMOBILIZAÇÃO]]="Em andamento",Tabela6[[#This Row],[DATA REAL - ENTR. CRACHÁ]]&lt;&gt;""),1)</f>
        <v>1</v>
      </c>
      <c r="J11" s="38" cm="1">
        <f t="array" aca="1" ref="J1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CRACHÁ]]="",$AE11&gt;$AC$1),2,
AND(Tabela6[[#This Row],[STATUS PROCESSO DESMOBILIZAÇÃO]]="Em andamento",Tabela6[[#This Row],[DATA REAL - ENTR. CRACHÁ]]="",$AE11&lt;=$AC$1),3,
AND(Tabela6[[#This Row],[STATUS PROCESSO DESMOBILIZAÇÃO]]="Em andamento",Tabela6[[#This Row],[DATA REAL - ENTR. CRACHÁ]]&lt;&gt;""),1)</f>
        <v>1</v>
      </c>
      <c r="K11" s="38" cm="1">
        <f t="array" aca="1" ref="K1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protocolo]]="",$AH11&gt;$AF$1),2,
AND(Tabela6[[#This Row],[STATUS PROCESSO DESMOBILIZAÇÃO]]="Em andamento",Tabela6[[#This Row],[DATA REAL - Envio do protocolo]]="",$AH11&lt;=$AF$1),3,
AND(Tabela6[[#This Row],[STATUS PROCESSO DESMOBILIZAÇÃO]]="Em andamento",Tabela6[[#This Row],[DATA REAL - Envio do protocolo]]&lt;&gt;""),1)</f>
        <v>1</v>
      </c>
      <c r="L1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45334</v>
      </c>
      <c r="M1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v>
      </c>
      <c r="N1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v>
      </c>
      <c r="P11" s="38" t="s">
        <v>122</v>
      </c>
      <c r="Q11" s="38" t="s">
        <v>97</v>
      </c>
      <c r="R11" s="38" t="s">
        <v>153</v>
      </c>
      <c r="S11" s="38" t="s">
        <v>153</v>
      </c>
      <c r="T11" s="38" t="s">
        <v>1222</v>
      </c>
      <c r="U11" s="38" t="s">
        <v>249</v>
      </c>
      <c r="V11" s="38" t="str">
        <f>_xlfn.XLOOKUP(Tabela6[[#This Row],[COD. CT]],Controle_Projetos[COD CT],Controle_Projetos[COD PHD],"")</f>
        <v/>
      </c>
      <c r="W11" s="39">
        <v>45328</v>
      </c>
      <c r="X11" s="40">
        <v>45328</v>
      </c>
      <c r="Y11" s="38" cm="1">
        <f t="array" aca="1" ref="Y1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11" s="39">
        <v>45328</v>
      </c>
      <c r="AA11" s="40">
        <v>45328</v>
      </c>
      <c r="AB11" s="38" cm="1">
        <f t="array" aca="1" ref="AB1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1" s="39">
        <f>IF(Tabela6[[#This Row],[DATA PREV - CRACHÁ]]="","",IF(Tabela6[[#This Row],[DATA REAL - CRACHÁ]]="",WORKDAY(Tabela6[[#This Row],[DATA PREV - CRACHÁ]],AC$1,),WORKDAY(Tabela6[[#This Row],[DATA REAL - CRACHÁ]],AC$1,)))</f>
        <v>45330</v>
      </c>
      <c r="AD11" s="40">
        <v>45328</v>
      </c>
      <c r="AE11" s="38" cm="1">
        <f t="array" aca="1" ref="AE1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11" s="39">
        <f>IF(Tabela6[[#This Row],[DATA PREV - ENTR. CRACHÁ]]="","",IF(Tabela6[[#This Row],[DATA REAL - ENTR. CRACHÁ]]="",WORKDAY(Tabela6[[#This Row],[DATA PREV - ENTR. CRACHÁ]],AF$1,),WORKDAY(Tabela6[[#This Row],[DATA REAL - ENTR. CRACHÁ]],AF$1,)))</f>
        <v>45329</v>
      </c>
      <c r="AG11" s="40">
        <v>45328</v>
      </c>
      <c r="AH11" s="38" cm="1">
        <f t="array" aca="1" ref="AH1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1" s="39">
        <f>IF(Tabela6[[#This Row],[DATA PREV - envio do protocolo]]="","",IF(Tabela6[[#This Row],[DATA REAL - Envio do protocolo]]="",WORKDAY(Tabela6[[#This Row],[DATA PREV - envio do protocolo]],AI$1,),WORKDAY(Tabela6[[#This Row],[DATA REAL - Envio do protocolo]],AI$1,)))</f>
        <v>45334</v>
      </c>
      <c r="AJ11" s="40">
        <v>45329</v>
      </c>
      <c r="AK11" s="38" cm="1">
        <f t="array" aca="1" ref="AK1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-5</v>
      </c>
      <c r="AL11" s="38" t="s">
        <v>1224</v>
      </c>
    </row>
    <row r="12" spans="2:38" hidden="1" x14ac:dyDescent="0.35">
      <c r="B12" s="37" t="s">
        <v>79</v>
      </c>
      <c r="C12" s="38"/>
      <c r="D12" s="38"/>
      <c r="E12" s="37" t="s">
        <v>81</v>
      </c>
      <c r="F12" s="38" t="s">
        <v>1223</v>
      </c>
      <c r="G12" s="38" cm="1">
        <f t="array" aca="1" ref="G1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FORMS]]="",$Y12&gt;$W$1),2,
AND(Tabela6[[#This Row],[STATUS PROCESSO DESMOBILIZAÇÃO]]="Em andamento",Tabela6[[#This Row],[DATA REAL - FORMS]]="",$Y12&lt;=$W$1),3,
AND(Tabela6[[#This Row],[STATUS PROCESSO DESMOBILIZAÇÃO]]="Em andamento",Tabela6[[#This Row],[DATA REAL - FORMS]]&lt;&gt;""),1)</f>
        <v>0</v>
      </c>
      <c r="H12" s="38" cm="1">
        <f t="array" aca="1" ref="H1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CRACHÁ]]="",$AB12&gt;$Z$1),2,
AND(Tabela6[[#This Row],[STATUS PROCESSO DESMOBILIZAÇÃO]]="Em andamento",Tabela6[[#This Row],[DATA REAL - CRACHÁ]]="",$AB12&lt;=$Z$1),3,
AND(Tabela6[[#This Row],[STATUS PROCESSO DESMOBILIZAÇÃO]]="Em andamento",Tabela6[[#This Row],[DATA REAL - CRACHÁ]]&lt;&gt;""),1)</f>
        <v>0</v>
      </c>
      <c r="I12" s="38" cm="1">
        <f t="array" aca="1" ref="I1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CRACHÁ]]="",$AE12&gt;$AC$1),2,
AND(Tabela6[[#This Row],[STATUS PROCESSO DESMOBILIZAÇÃO]]="Em andamento",Tabela6[[#This Row],[DATA REAL - ENTR. CRACHÁ]]="",$AE12&lt;=$AC$1),3,
AND(Tabela6[[#This Row],[STATUS PROCESSO DESMOBILIZAÇÃO]]="Em andamento",Tabela6[[#This Row],[DATA REAL - ENTR. CRACHÁ]]&lt;&gt;""),1)</f>
        <v>0</v>
      </c>
      <c r="J12" s="38" cm="1">
        <f t="array" aca="1" ref="J1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CRACHÁ]]="",$AE12&gt;$AC$1),2,
AND(Tabela6[[#This Row],[STATUS PROCESSO DESMOBILIZAÇÃO]]="Em andamento",Tabela6[[#This Row],[DATA REAL - ENTR. CRACHÁ]]="",$AE12&lt;=$AC$1),3,
AND(Tabela6[[#This Row],[STATUS PROCESSO DESMOBILIZAÇÃO]]="Em andamento",Tabela6[[#This Row],[DATA REAL - ENTR. CRACHÁ]]&lt;&gt;""),1)</f>
        <v>0</v>
      </c>
      <c r="K12" s="38" cm="1">
        <f t="array" aca="1" ref="K1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protocolo]]="",$AH12&gt;$AF$1),2,
AND(Tabela6[[#This Row],[STATUS PROCESSO DESMOBILIZAÇÃO]]="Em andamento",Tabela6[[#This Row],[DATA REAL - Envio do protocolo]]="",$AH12&lt;=$AF$1),3,
AND(Tabela6[[#This Row],[STATUS PROCESSO DESMOBILIZAÇÃO]]="Em andamento",Tabela6[[#This Row],[DATA REAL - Envio do protocolo]]&lt;&gt;""),1)</f>
        <v>0</v>
      </c>
      <c r="L12"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1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1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12" s="38" t="s">
        <v>515</v>
      </c>
      <c r="Q12" s="38" t="s">
        <v>97</v>
      </c>
      <c r="R12" s="38" t="s">
        <v>235</v>
      </c>
      <c r="S12" s="38" t="s">
        <v>227</v>
      </c>
      <c r="T12" s="38" t="s">
        <v>1225</v>
      </c>
      <c r="U12" s="38" t="s">
        <v>249</v>
      </c>
      <c r="V12" s="38" t="str">
        <f>_xlfn.XLOOKUP(Tabela6[[#This Row],[COD. CT]],Controle_Projetos[COD CT],Controle_Projetos[COD PHD],"")</f>
        <v/>
      </c>
      <c r="W12" s="39" t="s">
        <v>249</v>
      </c>
      <c r="X12" s="40"/>
      <c r="Y12" s="38" t="str" cm="1">
        <f t="array" aca="1" ref="Y1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2" s="39" t="s">
        <v>249</v>
      </c>
      <c r="AA12" s="40"/>
      <c r="AB12" s="38" t="str" cm="1">
        <f t="array" aca="1" ref="AB1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12" s="39" t="str">
        <f>IF(Tabela6[[#This Row],[DATA PREV - CRACHÁ]]="","",IF(Tabela6[[#This Row],[DATA REAL - CRACHÁ]]="",WORKDAY(Tabela6[[#This Row],[DATA PREV - CRACHÁ]],AC$1,),WORKDAY(Tabela6[[#This Row],[DATA REAL - CRACHÁ]],AC$1,)))</f>
        <v/>
      </c>
      <c r="AD12" s="40"/>
      <c r="AE12" s="38" t="str" cm="1">
        <f t="array" aca="1" ref="AE1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12" s="39" t="str">
        <f>IF(Tabela6[[#This Row],[DATA PREV - ENTR. CRACHÁ]]="","",IF(Tabela6[[#This Row],[DATA REAL - ENTR. CRACHÁ]]="",WORKDAY(Tabela6[[#This Row],[DATA PREV - ENTR. CRACHÁ]],AF$1,),WORKDAY(Tabela6[[#This Row],[DATA REAL - ENTR. CRACHÁ]],AF$1,)))</f>
        <v/>
      </c>
      <c r="AG12" s="40"/>
      <c r="AH12" s="38" t="str" cm="1">
        <f t="array" aca="1" ref="AH1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12" s="39" t="str">
        <f>IF(Tabela6[[#This Row],[DATA PREV - envio do protocolo]]="","",IF(Tabela6[[#This Row],[DATA REAL - Envio do protocolo]]="",WORKDAY(Tabela6[[#This Row],[DATA PREV - envio do protocolo]],AI$1,),WORKDAY(Tabela6[[#This Row],[DATA REAL - Envio do protocolo]],AI$1,)))</f>
        <v/>
      </c>
      <c r="AJ12" s="40"/>
      <c r="AK12" s="38" t="str" cm="1">
        <f t="array" aca="1" ref="AK1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12" s="38" t="s">
        <v>1226</v>
      </c>
    </row>
    <row r="13" spans="2:38" hidden="1" x14ac:dyDescent="0.35">
      <c r="B13" s="37" t="s">
        <v>79</v>
      </c>
      <c r="C13" s="38"/>
      <c r="D13" s="38"/>
      <c r="E13" s="37" t="s">
        <v>81</v>
      </c>
      <c r="F13" s="38" t="s">
        <v>1227</v>
      </c>
      <c r="G13" s="38" cm="1">
        <f t="array" aca="1" ref="G1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FORMS]]="",$Y13&gt;$W$1),2,
AND(Tabela6[[#This Row],[STATUS PROCESSO DESMOBILIZAÇÃO]]="Em andamento",Tabela6[[#This Row],[DATA REAL - FORMS]]="",$Y13&lt;=$W$1),3,
AND(Tabela6[[#This Row],[STATUS PROCESSO DESMOBILIZAÇÃO]]="Em andamento",Tabela6[[#This Row],[DATA REAL - FORMS]]&lt;&gt;""),1)</f>
        <v>1</v>
      </c>
      <c r="H13" s="38" cm="1">
        <f t="array" aca="1" ref="H1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CRACHÁ]]="",$AB13&gt;$Z$1),2,
AND(Tabela6[[#This Row],[STATUS PROCESSO DESMOBILIZAÇÃO]]="Em andamento",Tabela6[[#This Row],[DATA REAL - CRACHÁ]]="",$AB13&lt;=$Z$1),3,
AND(Tabela6[[#This Row],[STATUS PROCESSO DESMOBILIZAÇÃO]]="Em andamento",Tabela6[[#This Row],[DATA REAL - CRACHÁ]]&lt;&gt;""),1)</f>
        <v>1</v>
      </c>
      <c r="I13" s="38" cm="1">
        <f t="array" aca="1" ref="I1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CRACHÁ]]="",$AE13&gt;$AC$1),2,
AND(Tabela6[[#This Row],[STATUS PROCESSO DESMOBILIZAÇÃO]]="Em andamento",Tabela6[[#This Row],[DATA REAL - ENTR. CRACHÁ]]="",$AE13&lt;=$AC$1),3,
AND(Tabela6[[#This Row],[STATUS PROCESSO DESMOBILIZAÇÃO]]="Em andamento",Tabela6[[#This Row],[DATA REAL - ENTR. CRACHÁ]]&lt;&gt;""),1)</f>
        <v>1</v>
      </c>
      <c r="J13" s="38" cm="1">
        <f t="array" aca="1" ref="J1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CRACHÁ]]="",$AE13&gt;$AC$1),2,
AND(Tabela6[[#This Row],[STATUS PROCESSO DESMOBILIZAÇÃO]]="Em andamento",Tabela6[[#This Row],[DATA REAL - ENTR. CRACHÁ]]="",$AE13&lt;=$AC$1),3,
AND(Tabela6[[#This Row],[STATUS PROCESSO DESMOBILIZAÇÃO]]="Em andamento",Tabela6[[#This Row],[DATA REAL - ENTR. CRACHÁ]]&lt;&gt;""),1)</f>
        <v>1</v>
      </c>
      <c r="K13" s="38" cm="1">
        <f t="array" aca="1" ref="K1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protocolo]]="",$AH13&gt;$AF$1),2,
AND(Tabela6[[#This Row],[STATUS PROCESSO DESMOBILIZAÇÃO]]="Em andamento",Tabela6[[#This Row],[DATA REAL - Envio do protocolo]]="",$AH13&lt;=$AF$1),3,
AND(Tabela6[[#This Row],[STATUS PROCESSO DESMOBILIZAÇÃO]]="Em andamento",Tabela6[[#This Row],[DATA REAL - Envio do protocolo]]&lt;&gt;""),1)</f>
        <v>1</v>
      </c>
      <c r="L13"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45351</v>
      </c>
      <c r="M1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14</v>
      </c>
      <c r="N1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7</v>
      </c>
      <c r="O1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7</v>
      </c>
      <c r="P13" s="38" t="s">
        <v>103</v>
      </c>
      <c r="Q13" s="38" t="s">
        <v>87</v>
      </c>
      <c r="R13" s="38" t="s">
        <v>897</v>
      </c>
      <c r="S13" s="38" t="s">
        <v>89</v>
      </c>
      <c r="T13" s="38" t="s">
        <v>105</v>
      </c>
      <c r="U13" s="38" t="s">
        <v>249</v>
      </c>
      <c r="V13" s="38" t="str">
        <f>_xlfn.XLOOKUP(Tabela6[[#This Row],[COD. CT]],Controle_Projetos[COD CT],Controle_Projetos[COD PHD],"")</f>
        <v/>
      </c>
      <c r="W13" s="39">
        <v>45337</v>
      </c>
      <c r="X13" s="40">
        <v>45337</v>
      </c>
      <c r="Y13" s="38" cm="1">
        <f t="array" aca="1" ref="Y1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13" s="39">
        <v>45337</v>
      </c>
      <c r="AA13" s="40">
        <v>45337</v>
      </c>
      <c r="AB13" s="38" cm="1">
        <f t="array" aca="1" ref="AB1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3" s="39">
        <f>IF(Tabela6[[#This Row],[DATA PREV - CRACHÁ]]="","",IF(Tabela6[[#This Row],[DATA REAL - CRACHÁ]]="",WORKDAY(Tabela6[[#This Row],[DATA PREV - CRACHÁ]],AC$1,),WORKDAY(Tabela6[[#This Row],[DATA REAL - CRACHÁ]],AC$1,)))</f>
        <v>45341</v>
      </c>
      <c r="AD13" s="40">
        <v>45344</v>
      </c>
      <c r="AE13" s="38" cm="1">
        <f t="array" aca="1" ref="AE1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3</v>
      </c>
      <c r="AF13" s="39">
        <f>IF(Tabela6[[#This Row],[DATA PREV - ENTR. CRACHÁ]]="","",IF(Tabela6[[#This Row],[DATA REAL - ENTR. CRACHÁ]]="",WORKDAY(Tabela6[[#This Row],[DATA PREV - ENTR. CRACHÁ]],AF$1,),WORKDAY(Tabela6[[#This Row],[DATA REAL - ENTR. CRACHÁ]],AF$1,)))</f>
        <v>45345</v>
      </c>
      <c r="AG13" s="40">
        <v>45344</v>
      </c>
      <c r="AH13" s="38" cm="1">
        <f t="array" aca="1" ref="AH1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3" s="39">
        <f>IF(Tabela6[[#This Row],[DATA PREV - envio do protocolo]]="","",IF(Tabela6[[#This Row],[DATA REAL - Envio do protocolo]]="",WORKDAY(Tabela6[[#This Row],[DATA PREV - envio do protocolo]],AI$1,),WORKDAY(Tabela6[[#This Row],[DATA REAL - Envio do protocolo]],AI$1,)))</f>
        <v>45350</v>
      </c>
      <c r="AJ13" s="40">
        <v>45351</v>
      </c>
      <c r="AK13" s="38" cm="1">
        <f t="array" aca="1" ref="AK1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1</v>
      </c>
      <c r="AL13" s="38"/>
    </row>
    <row r="14" spans="2:38" hidden="1" x14ac:dyDescent="0.35">
      <c r="B14" s="37" t="s">
        <v>79</v>
      </c>
      <c r="C14" s="38" t="s">
        <v>1228</v>
      </c>
      <c r="D14" s="38"/>
      <c r="E14" s="37" t="s">
        <v>81</v>
      </c>
      <c r="F14" s="38" t="s">
        <v>563</v>
      </c>
      <c r="G14" s="38" cm="1">
        <f t="array" aca="1" ref="G1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FORMS]]="",$Y14&gt;$W$1),2,
AND(Tabela6[[#This Row],[STATUS PROCESSO DESMOBILIZAÇÃO]]="Em andamento",Tabela6[[#This Row],[DATA REAL - FORMS]]="",$Y14&lt;=$W$1),3,
AND(Tabela6[[#This Row],[STATUS PROCESSO DESMOBILIZAÇÃO]]="Em andamento",Tabela6[[#This Row],[DATA REAL - FORMS]]&lt;&gt;""),1)</f>
        <v>0</v>
      </c>
      <c r="H14" s="38" cm="1">
        <f t="array" aca="1" ref="H1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CRACHÁ]]="",$AB14&gt;$Z$1),2,
AND(Tabela6[[#This Row],[STATUS PROCESSO DESMOBILIZAÇÃO]]="Em andamento",Tabela6[[#This Row],[DATA REAL - CRACHÁ]]="",$AB14&lt;=$Z$1),3,
AND(Tabela6[[#This Row],[STATUS PROCESSO DESMOBILIZAÇÃO]]="Em andamento",Tabela6[[#This Row],[DATA REAL - CRACHÁ]]&lt;&gt;""),1)</f>
        <v>1</v>
      </c>
      <c r="I14" s="38" cm="1">
        <f t="array" aca="1" ref="I1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CRACHÁ]]="",$AE14&gt;$AC$1),2,
AND(Tabela6[[#This Row],[STATUS PROCESSO DESMOBILIZAÇÃO]]="Em andamento",Tabela6[[#This Row],[DATA REAL - ENTR. CRACHÁ]]="",$AE14&lt;=$AC$1),3,
AND(Tabela6[[#This Row],[STATUS PROCESSO DESMOBILIZAÇÃO]]="Em andamento",Tabela6[[#This Row],[DATA REAL - ENTR. CRACHÁ]]&lt;&gt;""),1)</f>
        <v>1</v>
      </c>
      <c r="J14" s="38" cm="1">
        <f t="array" aca="1" ref="J1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CRACHÁ]]="",$AE14&gt;$AC$1),2,
AND(Tabela6[[#This Row],[STATUS PROCESSO DESMOBILIZAÇÃO]]="Em andamento",Tabela6[[#This Row],[DATA REAL - ENTR. CRACHÁ]]="",$AE14&lt;=$AC$1),3,
AND(Tabela6[[#This Row],[STATUS PROCESSO DESMOBILIZAÇÃO]]="Em andamento",Tabela6[[#This Row],[DATA REAL - ENTR. CRACHÁ]]&lt;&gt;""),1)</f>
        <v>1</v>
      </c>
      <c r="K14" s="38" cm="1">
        <f t="array" aca="1" ref="K1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protocolo]]="",$AH14&gt;$AF$1),2,
AND(Tabela6[[#This Row],[STATUS PROCESSO DESMOBILIZAÇÃO]]="Em andamento",Tabela6[[#This Row],[DATA REAL - Envio do protocolo]]="",$AH14&lt;=$AF$1),3,
AND(Tabela6[[#This Row],[STATUS PROCESSO DESMOBILIZAÇÃO]]="Em andamento",Tabela6[[#This Row],[DATA REAL - Envio do protocolo]]&lt;&gt;""),1)</f>
        <v>1</v>
      </c>
      <c r="L14"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45370</v>
      </c>
      <c r="M1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5</v>
      </c>
      <c r="N1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5</v>
      </c>
      <c r="P14" s="38" t="s">
        <v>158</v>
      </c>
      <c r="Q14" s="38" t="s">
        <v>97</v>
      </c>
      <c r="R14" s="38" t="s">
        <v>901</v>
      </c>
      <c r="S14" s="38" t="s">
        <v>89</v>
      </c>
      <c r="T14" s="38" t="s">
        <v>99</v>
      </c>
      <c r="U14" s="38" t="s">
        <v>249</v>
      </c>
      <c r="V14" s="38" t="str">
        <f>_xlfn.XLOOKUP(Tabela6[[#This Row],[COD. CT]],Controle_Projetos[COD CT],Controle_Projetos[COD PHD],"")</f>
        <v/>
      </c>
      <c r="W14" s="39"/>
      <c r="X14" s="40"/>
      <c r="Y14" s="38" t="str" cm="1">
        <f t="array" aca="1" ref="Y1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4" s="39">
        <v>45364</v>
      </c>
      <c r="AA14" s="40">
        <v>45364</v>
      </c>
      <c r="AB14" s="38" cm="1">
        <f t="array" aca="1" ref="AB1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4" s="39">
        <f>IF(Tabela6[[#This Row],[DATA PREV - CRACHÁ]]="","",IF(Tabela6[[#This Row],[DATA REAL - CRACHÁ]]="",WORKDAY(Tabela6[[#This Row],[DATA PREV - CRACHÁ]],AC$1,),WORKDAY(Tabela6[[#This Row],[DATA REAL - CRACHÁ]],AC$1,)))</f>
        <v>45366</v>
      </c>
      <c r="AD14" s="40">
        <v>45364</v>
      </c>
      <c r="AE14" s="38" cm="1">
        <f t="array" aca="1" ref="AE1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14" s="39">
        <f>IF(Tabela6[[#This Row],[DATA PREV - ENTR. CRACHÁ]]="","",IF(Tabela6[[#This Row],[DATA REAL - ENTR. CRACHÁ]]="",WORKDAY(Tabela6[[#This Row],[DATA PREV - ENTR. CRACHÁ]],AF$1,),WORKDAY(Tabela6[[#This Row],[DATA REAL - ENTR. CRACHÁ]],AF$1,)))</f>
        <v>45365</v>
      </c>
      <c r="AG14" s="40">
        <v>45364</v>
      </c>
      <c r="AH14" s="38" cm="1">
        <f t="array" aca="1" ref="AH1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4" s="39">
        <f>IF(Tabela6[[#This Row],[DATA PREV - envio do protocolo]]="","",IF(Tabela6[[#This Row],[DATA REAL - Envio do protocolo]]="",WORKDAY(Tabela6[[#This Row],[DATA PREV - envio do protocolo]],AI$1,),WORKDAY(Tabela6[[#This Row],[DATA REAL - Envio do protocolo]],AI$1,)))</f>
        <v>45370</v>
      </c>
      <c r="AJ14" s="40">
        <v>45369</v>
      </c>
      <c r="AK14" s="38" cm="1">
        <f t="array" aca="1" ref="AK1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-1</v>
      </c>
      <c r="AL14" s="38" t="s">
        <v>1229</v>
      </c>
    </row>
    <row r="15" spans="2:38" hidden="1" x14ac:dyDescent="0.35">
      <c r="B15" s="37" t="s">
        <v>79</v>
      </c>
      <c r="C15" s="38"/>
      <c r="D15" s="38"/>
      <c r="E15" s="37" t="s">
        <v>81</v>
      </c>
      <c r="F15" s="38" t="s">
        <v>94</v>
      </c>
      <c r="G15" s="38" cm="1">
        <f t="array" aca="1" ref="G1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FORMS]]="",$Y15&gt;$W$1),2,
AND(Tabela6[[#This Row],[STATUS PROCESSO DESMOBILIZAÇÃO]]="Em andamento",Tabela6[[#This Row],[DATA REAL - FORMS]]="",$Y15&lt;=$W$1),3,
AND(Tabela6[[#This Row],[STATUS PROCESSO DESMOBILIZAÇÃO]]="Em andamento",Tabela6[[#This Row],[DATA REAL - FORMS]]&lt;&gt;""),1)</f>
        <v>0</v>
      </c>
      <c r="H15" s="38" cm="1">
        <f t="array" aca="1" ref="H1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CRACHÁ]]="",$AB15&gt;$Z$1),2,
AND(Tabela6[[#This Row],[STATUS PROCESSO DESMOBILIZAÇÃO]]="Em andamento",Tabela6[[#This Row],[DATA REAL - CRACHÁ]]="",$AB15&lt;=$Z$1),3,
AND(Tabela6[[#This Row],[STATUS PROCESSO DESMOBILIZAÇÃO]]="Em andamento",Tabela6[[#This Row],[DATA REAL - CRACHÁ]]&lt;&gt;""),1)</f>
        <v>0</v>
      </c>
      <c r="I15" s="38" cm="1">
        <f t="array" aca="1" ref="I1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CRACHÁ]]="",$AE15&gt;$AC$1),2,
AND(Tabela6[[#This Row],[STATUS PROCESSO DESMOBILIZAÇÃO]]="Em andamento",Tabela6[[#This Row],[DATA REAL - ENTR. CRACHÁ]]="",$AE15&lt;=$AC$1),3,
AND(Tabela6[[#This Row],[STATUS PROCESSO DESMOBILIZAÇÃO]]="Em andamento",Tabela6[[#This Row],[DATA REAL - ENTR. CRACHÁ]]&lt;&gt;""),1)</f>
        <v>0</v>
      </c>
      <c r="J15" s="38" cm="1">
        <f t="array" aca="1" ref="J1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CRACHÁ]]="",$AE15&gt;$AC$1),2,
AND(Tabela6[[#This Row],[STATUS PROCESSO DESMOBILIZAÇÃO]]="Em andamento",Tabela6[[#This Row],[DATA REAL - ENTR. CRACHÁ]]="",$AE15&lt;=$AC$1),3,
AND(Tabela6[[#This Row],[STATUS PROCESSO DESMOBILIZAÇÃO]]="Em andamento",Tabela6[[#This Row],[DATA REAL - ENTR. CRACHÁ]]&lt;&gt;""),1)</f>
        <v>0</v>
      </c>
      <c r="K15" s="38" cm="1">
        <f t="array" aca="1" ref="K1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protocolo]]="",$AH15&gt;$AF$1),2,
AND(Tabela6[[#This Row],[STATUS PROCESSO DESMOBILIZAÇÃO]]="Em andamento",Tabela6[[#This Row],[DATA REAL - Envio do protocolo]]="",$AH15&lt;=$AF$1),3,
AND(Tabela6[[#This Row],[STATUS PROCESSO DESMOBILIZAÇÃO]]="Em andamento",Tabela6[[#This Row],[DATA REAL - Envio do protocolo]]&lt;&gt;""),1)</f>
        <v>0</v>
      </c>
      <c r="L15"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1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1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15" s="38" t="s">
        <v>103</v>
      </c>
      <c r="Q15" s="38" t="s">
        <v>87</v>
      </c>
      <c r="R15" s="38" t="s">
        <v>897</v>
      </c>
      <c r="S15" s="38" t="s">
        <v>89</v>
      </c>
      <c r="T15" s="38" t="s">
        <v>1218</v>
      </c>
      <c r="U15" s="38" t="s">
        <v>249</v>
      </c>
      <c r="V15" s="38" t="str">
        <f>_xlfn.XLOOKUP(Tabela6[[#This Row],[COD. CT]],Controle_Projetos[COD CT],Controle_Projetos[COD PHD],"")</f>
        <v/>
      </c>
      <c r="W15" s="39"/>
      <c r="X15" s="40"/>
      <c r="Y15" s="38" t="str" cm="1">
        <f t="array" aca="1" ref="Y1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5" s="39"/>
      <c r="AA15" s="40"/>
      <c r="AB15" s="38" t="str" cm="1">
        <f t="array" aca="1" ref="AB1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15" s="39" t="str">
        <f>IF(Tabela6[[#This Row],[DATA PREV - CRACHÁ]]="","",IF(Tabela6[[#This Row],[DATA REAL - CRACHÁ]]="",WORKDAY(Tabela6[[#This Row],[DATA PREV - CRACHÁ]],AC$1,),WORKDAY(Tabela6[[#This Row],[DATA REAL - CRACHÁ]],AC$1,)))</f>
        <v/>
      </c>
      <c r="AD15" s="40"/>
      <c r="AE15" s="38" t="str" cm="1">
        <f t="array" aca="1" ref="AE1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15" s="39" t="str">
        <f>IF(Tabela6[[#This Row],[DATA PREV - ENTR. CRACHÁ]]="","",IF(Tabela6[[#This Row],[DATA REAL - ENTR. CRACHÁ]]="",WORKDAY(Tabela6[[#This Row],[DATA PREV - ENTR. CRACHÁ]],AF$1,),WORKDAY(Tabela6[[#This Row],[DATA REAL - ENTR. CRACHÁ]],AF$1,)))</f>
        <v/>
      </c>
      <c r="AG15" s="40"/>
      <c r="AH15" s="38" t="str" cm="1">
        <f t="array" aca="1" ref="AH1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15" s="39" t="str">
        <f>IF(Tabela6[[#This Row],[DATA PREV - envio do protocolo]]="","",IF(Tabela6[[#This Row],[DATA REAL - Envio do protocolo]]="",WORKDAY(Tabela6[[#This Row],[DATA PREV - envio do protocolo]],AI$1,),WORKDAY(Tabela6[[#This Row],[DATA REAL - Envio do protocolo]],AI$1,)))</f>
        <v/>
      </c>
      <c r="AJ15" s="40"/>
      <c r="AK15" s="38" t="str" cm="1">
        <f t="array" aca="1" ref="AK1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15" s="38"/>
    </row>
    <row r="16" spans="2:38" hidden="1" x14ac:dyDescent="0.35">
      <c r="B16" s="37" t="s">
        <v>79</v>
      </c>
      <c r="C16" s="38" t="s">
        <v>1214</v>
      </c>
      <c r="D16" s="38"/>
      <c r="E16" s="37" t="s">
        <v>81</v>
      </c>
      <c r="F16" s="38" t="s">
        <v>342</v>
      </c>
      <c r="G16" s="38" cm="1">
        <f t="array" aca="1" ref="G1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FORMS]]="",$Y16&gt;$W$1),2,
AND(Tabela6[[#This Row],[STATUS PROCESSO DESMOBILIZAÇÃO]]="Em andamento",Tabela6[[#This Row],[DATA REAL - FORMS]]="",$Y16&lt;=$W$1),3,
AND(Tabela6[[#This Row],[STATUS PROCESSO DESMOBILIZAÇÃO]]="Em andamento",Tabela6[[#This Row],[DATA REAL - FORMS]]&lt;&gt;""),1)</f>
        <v>0</v>
      </c>
      <c r="H16" s="38" cm="1">
        <f t="array" aca="1" ref="H1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CRACHÁ]]="",$AB16&gt;$Z$1),2,
AND(Tabela6[[#This Row],[STATUS PROCESSO DESMOBILIZAÇÃO]]="Em andamento",Tabela6[[#This Row],[DATA REAL - CRACHÁ]]="",$AB16&lt;=$Z$1),3,
AND(Tabela6[[#This Row],[STATUS PROCESSO DESMOBILIZAÇÃO]]="Em andamento",Tabela6[[#This Row],[DATA REAL - CRACHÁ]]&lt;&gt;""),1)</f>
        <v>1</v>
      </c>
      <c r="I16" s="38" cm="1">
        <f t="array" aca="1" ref="I1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CRACHÁ]]="",$AE16&gt;$AC$1),2,
AND(Tabela6[[#This Row],[STATUS PROCESSO DESMOBILIZAÇÃO]]="Em andamento",Tabela6[[#This Row],[DATA REAL - ENTR. CRACHÁ]]="",$AE16&lt;=$AC$1),3,
AND(Tabela6[[#This Row],[STATUS PROCESSO DESMOBILIZAÇÃO]]="Em andamento",Tabela6[[#This Row],[DATA REAL - ENTR. CRACHÁ]]&lt;&gt;""),1)</f>
        <v>1</v>
      </c>
      <c r="J16" s="38" cm="1">
        <f t="array" aca="1" ref="J1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CRACHÁ]]="",$AE16&gt;$AC$1),2,
AND(Tabela6[[#This Row],[STATUS PROCESSO DESMOBILIZAÇÃO]]="Em andamento",Tabela6[[#This Row],[DATA REAL - ENTR. CRACHÁ]]="",$AE16&lt;=$AC$1),3,
AND(Tabela6[[#This Row],[STATUS PROCESSO DESMOBILIZAÇÃO]]="Em andamento",Tabela6[[#This Row],[DATA REAL - ENTR. CRACHÁ]]&lt;&gt;""),1)</f>
        <v>1</v>
      </c>
      <c r="K16" s="38" cm="1">
        <f t="array" aca="1" ref="K1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protocolo]]="",$AH16&gt;$AF$1),2,
AND(Tabela6[[#This Row],[STATUS PROCESSO DESMOBILIZAÇÃO]]="Em andamento",Tabela6[[#This Row],[DATA REAL - Envio do protocolo]]="",$AH16&lt;=$AF$1),3,
AND(Tabela6[[#This Row],[STATUS PROCESSO DESMOBILIZAÇÃO]]="Em andamento",Tabela6[[#This Row],[DATA REAL - Envio do protocolo]]&lt;&gt;""),1)</f>
        <v>1</v>
      </c>
      <c r="L16"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45376</v>
      </c>
      <c r="M1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1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16" s="38" t="s">
        <v>130</v>
      </c>
      <c r="Q16" s="38" t="s">
        <v>97</v>
      </c>
      <c r="R16" s="38" t="s">
        <v>235</v>
      </c>
      <c r="S16" s="38" t="s">
        <v>89</v>
      </c>
      <c r="T16" s="38" t="s">
        <v>383</v>
      </c>
      <c r="U16" s="38" t="s">
        <v>249</v>
      </c>
      <c r="V16" s="38" t="str">
        <f>_xlfn.XLOOKUP(Tabela6[[#This Row],[COD. CT]],Controle_Projetos[COD CT],Controle_Projetos[COD PHD],"")</f>
        <v/>
      </c>
      <c r="W16" s="39"/>
      <c r="X16" s="40"/>
      <c r="Y16" s="38" t="str" cm="1">
        <f t="array" aca="1" ref="Y1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6" s="39">
        <v>45370</v>
      </c>
      <c r="AA16" s="40">
        <v>45370</v>
      </c>
      <c r="AB16" s="38" cm="1">
        <f t="array" aca="1" ref="AB1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6" s="39">
        <f>IF(Tabela6[[#This Row],[DATA PREV - CRACHÁ]]="","",IF(Tabela6[[#This Row],[DATA REAL - CRACHÁ]]="",WORKDAY(Tabela6[[#This Row],[DATA PREV - CRACHÁ]],AC$1,),WORKDAY(Tabela6[[#This Row],[DATA REAL - CRACHÁ]],AC$1,)))</f>
        <v>45372</v>
      </c>
      <c r="AD16" s="40">
        <v>45370</v>
      </c>
      <c r="AE16" s="38" cm="1">
        <f t="array" aca="1" ref="AE1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16" s="39">
        <f>IF(Tabela6[[#This Row],[DATA PREV - ENTR. CRACHÁ]]="","",IF(Tabela6[[#This Row],[DATA REAL - ENTR. CRACHÁ]]="",WORKDAY(Tabela6[[#This Row],[DATA PREV - ENTR. CRACHÁ]],AF$1,),WORKDAY(Tabela6[[#This Row],[DATA REAL - ENTR. CRACHÁ]],AF$1,)))</f>
        <v>45371</v>
      </c>
      <c r="AG16" s="40">
        <v>45370</v>
      </c>
      <c r="AH16" s="38" cm="1">
        <f t="array" aca="1" ref="AH1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6" s="39">
        <f>IF(Tabela6[[#This Row],[DATA PREV - envio do protocolo]]="","",IF(Tabela6[[#This Row],[DATA REAL - Envio do protocolo]]="",WORKDAY(Tabela6[[#This Row],[DATA PREV - envio do protocolo]],AI$1,),WORKDAY(Tabela6[[#This Row],[DATA REAL - Envio do protocolo]],AI$1,)))</f>
        <v>45376</v>
      </c>
      <c r="AJ16" s="40"/>
      <c r="AK16" s="38" cm="1">
        <f t="array" aca="1" ref="AK1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16" s="38" t="s">
        <v>1230</v>
      </c>
    </row>
    <row r="17" spans="2:38" hidden="1" x14ac:dyDescent="0.35">
      <c r="B17" s="37" t="s">
        <v>79</v>
      </c>
      <c r="C17" s="38" t="s">
        <v>1214</v>
      </c>
      <c r="D17" s="38"/>
      <c r="E17" s="37" t="s">
        <v>81</v>
      </c>
      <c r="F17" s="38" t="s">
        <v>342</v>
      </c>
      <c r="G17" s="38" cm="1">
        <f t="array" aca="1" ref="G1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FORMS]]="",$Y17&gt;$W$1),2,
AND(Tabela6[[#This Row],[STATUS PROCESSO DESMOBILIZAÇÃO]]="Em andamento",Tabela6[[#This Row],[DATA REAL - FORMS]]="",$Y17&lt;=$W$1),3,
AND(Tabela6[[#This Row],[STATUS PROCESSO DESMOBILIZAÇÃO]]="Em andamento",Tabela6[[#This Row],[DATA REAL - FORMS]]&lt;&gt;""),1)</f>
        <v>0</v>
      </c>
      <c r="H17" s="38" cm="1">
        <f t="array" aca="1" ref="H1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CRACHÁ]]="",$AB17&gt;$Z$1),2,
AND(Tabela6[[#This Row],[STATUS PROCESSO DESMOBILIZAÇÃO]]="Em andamento",Tabela6[[#This Row],[DATA REAL - CRACHÁ]]="",$AB17&lt;=$Z$1),3,
AND(Tabela6[[#This Row],[STATUS PROCESSO DESMOBILIZAÇÃO]]="Em andamento",Tabela6[[#This Row],[DATA REAL - CRACHÁ]]&lt;&gt;""),1)</f>
        <v>1</v>
      </c>
      <c r="I17" s="38" cm="1">
        <f t="array" aca="1" ref="I1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CRACHÁ]]="",$AE17&gt;$AC$1),2,
AND(Tabela6[[#This Row],[STATUS PROCESSO DESMOBILIZAÇÃO]]="Em andamento",Tabela6[[#This Row],[DATA REAL - ENTR. CRACHÁ]]="",$AE17&lt;=$AC$1),3,
AND(Tabela6[[#This Row],[STATUS PROCESSO DESMOBILIZAÇÃO]]="Em andamento",Tabela6[[#This Row],[DATA REAL - ENTR. CRACHÁ]]&lt;&gt;""),1)</f>
        <v>1</v>
      </c>
      <c r="J17" s="38" cm="1">
        <f t="array" aca="1" ref="J1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CRACHÁ]]="",$AE17&gt;$AC$1),2,
AND(Tabela6[[#This Row],[STATUS PROCESSO DESMOBILIZAÇÃO]]="Em andamento",Tabela6[[#This Row],[DATA REAL - ENTR. CRACHÁ]]="",$AE17&lt;=$AC$1),3,
AND(Tabela6[[#This Row],[STATUS PROCESSO DESMOBILIZAÇÃO]]="Em andamento",Tabela6[[#This Row],[DATA REAL - ENTR. CRACHÁ]]&lt;&gt;""),1)</f>
        <v>1</v>
      </c>
      <c r="K17" s="38" cm="1">
        <f t="array" aca="1" ref="K1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protocolo]]="",$AH17&gt;$AF$1),2,
AND(Tabela6[[#This Row],[STATUS PROCESSO DESMOBILIZAÇÃO]]="Em andamento",Tabela6[[#This Row],[DATA REAL - Envio do protocolo]]="",$AH17&lt;=$AF$1),3,
AND(Tabela6[[#This Row],[STATUS PROCESSO DESMOBILIZAÇÃO]]="Em andamento",Tabela6[[#This Row],[DATA REAL - Envio do protocolo]]&lt;&gt;""),1)</f>
        <v>1</v>
      </c>
      <c r="L17"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45376</v>
      </c>
      <c r="M1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v>
      </c>
      <c r="N1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2</v>
      </c>
      <c r="P17" s="38" t="s">
        <v>158</v>
      </c>
      <c r="Q17" s="38" t="s">
        <v>97</v>
      </c>
      <c r="R17" s="38" t="s">
        <v>901</v>
      </c>
      <c r="S17" s="38" t="s">
        <v>89</v>
      </c>
      <c r="T17" s="38" t="s">
        <v>99</v>
      </c>
      <c r="U17" s="38" t="s">
        <v>249</v>
      </c>
      <c r="V17" s="38" t="str">
        <f>_xlfn.XLOOKUP(Tabela6[[#This Row],[COD. CT]],Controle_Projetos[COD CT],Controle_Projetos[COD PHD],"")</f>
        <v/>
      </c>
      <c r="W17" s="39"/>
      <c r="X17" s="40"/>
      <c r="Y17" s="38" t="str" cm="1">
        <f t="array" aca="1" ref="Y1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7" s="39">
        <v>45370</v>
      </c>
      <c r="AA17" s="40">
        <v>45370</v>
      </c>
      <c r="AB17" s="38" cm="1">
        <f t="array" aca="1" ref="AB1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17" s="39">
        <f>IF(Tabela6[[#This Row],[DATA PREV - CRACHÁ]]="","",IF(Tabela6[[#This Row],[DATA REAL - CRACHÁ]]="",WORKDAY(Tabela6[[#This Row],[DATA PREV - CRACHÁ]],AC$1,),WORKDAY(Tabela6[[#This Row],[DATA REAL - CRACHÁ]],AC$1,)))</f>
        <v>45372</v>
      </c>
      <c r="AD17" s="40">
        <v>45370</v>
      </c>
      <c r="AE17" s="38" cm="1">
        <f t="array" aca="1" ref="AE1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17" s="39">
        <f>IF(Tabela6[[#This Row],[DATA PREV - ENTR. CRACHÁ]]="","",IF(Tabela6[[#This Row],[DATA REAL - ENTR. CRACHÁ]]="",WORKDAY(Tabela6[[#This Row],[DATA PREV - ENTR. CRACHÁ]],AF$1,),WORKDAY(Tabela6[[#This Row],[DATA REAL - ENTR. CRACHÁ]],AF$1,)))</f>
        <v>45371</v>
      </c>
      <c r="AG17" s="40">
        <v>45370</v>
      </c>
      <c r="AH17" s="38" cm="1">
        <f t="array" aca="1" ref="AH1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17" s="39">
        <f>IF(Tabela6[[#This Row],[DATA PREV - envio do protocolo]]="","",IF(Tabela6[[#This Row],[DATA REAL - Envio do protocolo]]="",WORKDAY(Tabela6[[#This Row],[DATA PREV - envio do protocolo]],AI$1,),WORKDAY(Tabela6[[#This Row],[DATA REAL - Envio do protocolo]],AI$1,)))</f>
        <v>45376</v>
      </c>
      <c r="AJ17" s="40">
        <v>45372</v>
      </c>
      <c r="AK17" s="38" cm="1">
        <f t="array" aca="1" ref="AK1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-4</v>
      </c>
      <c r="AL17" s="38" t="s">
        <v>1230</v>
      </c>
    </row>
    <row r="18" spans="2:38" hidden="1" x14ac:dyDescent="0.35">
      <c r="B18" s="37" t="s">
        <v>79</v>
      </c>
      <c r="C18" s="38"/>
      <c r="D18" s="38"/>
      <c r="E18" s="37" t="s">
        <v>81</v>
      </c>
      <c r="F18" s="38" t="s">
        <v>1231</v>
      </c>
      <c r="G18" s="38" cm="1">
        <f t="array" aca="1" ref="G1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FORMS]]="",$Y18&gt;$W$1),2,
AND(Tabela6[[#This Row],[STATUS PROCESSO DESMOBILIZAÇÃO]]="Em andamento",Tabela6[[#This Row],[DATA REAL - FORMS]]="",$Y18&lt;=$W$1),3,
AND(Tabela6[[#This Row],[STATUS PROCESSO DESMOBILIZAÇÃO]]="Em andamento",Tabela6[[#This Row],[DATA REAL - FORMS]]&lt;&gt;""),1)</f>
        <v>0</v>
      </c>
      <c r="H18" s="38" cm="1">
        <f t="array" aca="1" ref="H1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CRACHÁ]]="",$AB18&gt;$Z$1),2,
AND(Tabela6[[#This Row],[STATUS PROCESSO DESMOBILIZAÇÃO]]="Em andamento",Tabela6[[#This Row],[DATA REAL - CRACHÁ]]="",$AB18&lt;=$Z$1),3,
AND(Tabela6[[#This Row],[STATUS PROCESSO DESMOBILIZAÇÃO]]="Em andamento",Tabela6[[#This Row],[DATA REAL - CRACHÁ]]&lt;&gt;""),1)</f>
        <v>0</v>
      </c>
      <c r="I18" s="38" cm="1">
        <f t="array" aca="1" ref="I1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CRACHÁ]]="",$AE18&gt;$AC$1),2,
AND(Tabela6[[#This Row],[STATUS PROCESSO DESMOBILIZAÇÃO]]="Em andamento",Tabela6[[#This Row],[DATA REAL - ENTR. CRACHÁ]]="",$AE18&lt;=$AC$1),3,
AND(Tabela6[[#This Row],[STATUS PROCESSO DESMOBILIZAÇÃO]]="Em andamento",Tabela6[[#This Row],[DATA REAL - ENTR. CRACHÁ]]&lt;&gt;""),1)</f>
        <v>0</v>
      </c>
      <c r="J18" s="38" cm="1">
        <f t="array" aca="1" ref="J1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CRACHÁ]]="",$AE18&gt;$AC$1),2,
AND(Tabela6[[#This Row],[STATUS PROCESSO DESMOBILIZAÇÃO]]="Em andamento",Tabela6[[#This Row],[DATA REAL - ENTR. CRACHÁ]]="",$AE18&lt;=$AC$1),3,
AND(Tabela6[[#This Row],[STATUS PROCESSO DESMOBILIZAÇÃO]]="Em andamento",Tabela6[[#This Row],[DATA REAL - ENTR. CRACHÁ]]&lt;&gt;""),1)</f>
        <v>0</v>
      </c>
      <c r="K18" s="38" cm="1">
        <f t="array" aca="1" ref="K1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protocolo]]="",$AH18&gt;$AF$1),2,
AND(Tabela6[[#This Row],[STATUS PROCESSO DESMOBILIZAÇÃO]]="Em andamento",Tabela6[[#This Row],[DATA REAL - Envio do protocolo]]="",$AH18&lt;=$AF$1),3,
AND(Tabela6[[#This Row],[STATUS PROCESSO DESMOBILIZAÇÃO]]="Em andamento",Tabela6[[#This Row],[DATA REAL - Envio do protocolo]]&lt;&gt;""),1)</f>
        <v>0</v>
      </c>
      <c r="L18"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1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1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18" s="38"/>
      <c r="Q18" s="38"/>
      <c r="R18" s="38"/>
      <c r="S18" s="38"/>
      <c r="T18" s="38"/>
      <c r="U18" s="38" t="s">
        <v>249</v>
      </c>
      <c r="V18" s="38" t="str">
        <f>_xlfn.XLOOKUP(Tabela6[[#This Row],[COD. CT]],Controle_Projetos[COD CT],Controle_Projetos[COD PHD],"")</f>
        <v/>
      </c>
      <c r="W18" s="39"/>
      <c r="X18" s="40"/>
      <c r="Y18" s="38" t="str" cm="1">
        <f t="array" aca="1" ref="Y1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8" s="39" t="s">
        <v>249</v>
      </c>
      <c r="AA18" s="40"/>
      <c r="AB18" s="38" t="str" cm="1">
        <f t="array" aca="1" ref="AB1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18" s="39" t="str">
        <f>IF(Tabela6[[#This Row],[DATA PREV - CRACHÁ]]="","",IF(Tabela6[[#This Row],[DATA REAL - CRACHÁ]]="",WORKDAY(Tabela6[[#This Row],[DATA PREV - CRACHÁ]],AC$1,),WORKDAY(Tabela6[[#This Row],[DATA REAL - CRACHÁ]],AC$1,)))</f>
        <v/>
      </c>
      <c r="AD18" s="40"/>
      <c r="AE18" s="38" t="str" cm="1">
        <f t="array" aca="1" ref="AE1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18" s="39" t="str">
        <f>IF(Tabela6[[#This Row],[DATA PREV - ENTR. CRACHÁ]]="","",IF(Tabela6[[#This Row],[DATA REAL - ENTR. CRACHÁ]]="",WORKDAY(Tabela6[[#This Row],[DATA PREV - ENTR. CRACHÁ]],AF$1,),WORKDAY(Tabela6[[#This Row],[DATA REAL - ENTR. CRACHÁ]],AF$1,)))</f>
        <v/>
      </c>
      <c r="AG18" s="40"/>
      <c r="AH18" s="38" t="str" cm="1">
        <f t="array" aca="1" ref="AH1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18" s="39" t="str">
        <f>IF(Tabela6[[#This Row],[DATA PREV - envio do protocolo]]="","",IF(Tabela6[[#This Row],[DATA REAL - Envio do protocolo]]="",WORKDAY(Tabela6[[#This Row],[DATA PREV - envio do protocolo]],AI$1,),WORKDAY(Tabela6[[#This Row],[DATA REAL - Envio do protocolo]],AI$1,)))</f>
        <v/>
      </c>
      <c r="AJ18" s="40"/>
      <c r="AK18" s="38" t="str" cm="1">
        <f t="array" aca="1" ref="AK1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18" s="38"/>
    </row>
    <row r="19" spans="2:38" hidden="1" x14ac:dyDescent="0.35">
      <c r="B19" s="37" t="s">
        <v>79</v>
      </c>
      <c r="C19" s="38"/>
      <c r="D19" s="38"/>
      <c r="E19" s="37" t="s">
        <v>81</v>
      </c>
      <c r="F19" s="38" t="s">
        <v>325</v>
      </c>
      <c r="G19" s="38" cm="1">
        <f t="array" aca="1" ref="G1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FORMS]]="",$Y19&gt;$W$1),2,
AND(Tabela6[[#This Row],[STATUS PROCESSO DESMOBILIZAÇÃO]]="Em andamento",Tabela6[[#This Row],[DATA REAL - FORMS]]="",$Y19&lt;=$W$1),3,
AND(Tabela6[[#This Row],[STATUS PROCESSO DESMOBILIZAÇÃO]]="Em andamento",Tabela6[[#This Row],[DATA REAL - FORMS]]&lt;&gt;""),1)</f>
        <v>0</v>
      </c>
      <c r="H19" s="38" cm="1">
        <f t="array" aca="1" ref="H1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CRACHÁ]]="",$AB19&gt;$Z$1),2,
AND(Tabela6[[#This Row],[STATUS PROCESSO DESMOBILIZAÇÃO]]="Em andamento",Tabela6[[#This Row],[DATA REAL - CRACHÁ]]="",$AB19&lt;=$Z$1),3,
AND(Tabela6[[#This Row],[STATUS PROCESSO DESMOBILIZAÇÃO]]="Em andamento",Tabela6[[#This Row],[DATA REAL - CRACHÁ]]&lt;&gt;""),1)</f>
        <v>0</v>
      </c>
      <c r="I19" s="38" cm="1">
        <f t="array" aca="1" ref="I1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CRACHÁ]]="",$AE19&gt;$AC$1),2,
AND(Tabela6[[#This Row],[STATUS PROCESSO DESMOBILIZAÇÃO]]="Em andamento",Tabela6[[#This Row],[DATA REAL - ENTR. CRACHÁ]]="",$AE19&lt;=$AC$1),3,
AND(Tabela6[[#This Row],[STATUS PROCESSO DESMOBILIZAÇÃO]]="Em andamento",Tabela6[[#This Row],[DATA REAL - ENTR. CRACHÁ]]&lt;&gt;""),1)</f>
        <v>0</v>
      </c>
      <c r="J19" s="38" cm="1">
        <f t="array" aca="1" ref="J1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CRACHÁ]]="",$AE19&gt;$AC$1),2,
AND(Tabela6[[#This Row],[STATUS PROCESSO DESMOBILIZAÇÃO]]="Em andamento",Tabela6[[#This Row],[DATA REAL - ENTR. CRACHÁ]]="",$AE19&lt;=$AC$1),3,
AND(Tabela6[[#This Row],[STATUS PROCESSO DESMOBILIZAÇÃO]]="Em andamento",Tabela6[[#This Row],[DATA REAL - ENTR. CRACHÁ]]&lt;&gt;""),1)</f>
        <v>0</v>
      </c>
      <c r="K19" s="38" cm="1">
        <f t="array" aca="1" ref="K1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protocolo]]="",$AH19&gt;$AF$1),2,
AND(Tabela6[[#This Row],[STATUS PROCESSO DESMOBILIZAÇÃO]]="Em andamento",Tabela6[[#This Row],[DATA REAL - Envio do protocolo]]="",$AH19&lt;=$AF$1),3,
AND(Tabela6[[#This Row],[STATUS PROCESSO DESMOBILIZAÇÃO]]="Em andamento",Tabela6[[#This Row],[DATA REAL - Envio do protocolo]]&lt;&gt;""),1)</f>
        <v>0</v>
      </c>
      <c r="L19"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1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1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1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19" s="38"/>
      <c r="Q19" s="38"/>
      <c r="R19" s="38"/>
      <c r="S19" s="38"/>
      <c r="T19" s="38"/>
      <c r="U19" s="38" t="s">
        <v>249</v>
      </c>
      <c r="V19" s="38" t="str">
        <f>_xlfn.XLOOKUP(Tabela6[[#This Row],[COD. CT]],Controle_Projetos[COD CT],Controle_Projetos[COD PHD],"")</f>
        <v/>
      </c>
      <c r="W19" s="39"/>
      <c r="X19" s="40"/>
      <c r="Y19" s="38" t="str" cm="1">
        <f t="array" aca="1" ref="Y1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19" s="39" t="s">
        <v>249</v>
      </c>
      <c r="AA19" s="40"/>
      <c r="AB19" s="38" t="str" cm="1">
        <f t="array" aca="1" ref="AB1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19" s="39" t="str">
        <f>IF(Tabela6[[#This Row],[DATA PREV - CRACHÁ]]="","",IF(Tabela6[[#This Row],[DATA REAL - CRACHÁ]]="",WORKDAY(Tabela6[[#This Row],[DATA PREV - CRACHÁ]],AC$1,),WORKDAY(Tabela6[[#This Row],[DATA REAL - CRACHÁ]],AC$1,)))</f>
        <v/>
      </c>
      <c r="AD19" s="40"/>
      <c r="AE19" s="38" t="str" cm="1">
        <f t="array" aca="1" ref="AE1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19" s="39" t="str">
        <f>IF(Tabela6[[#This Row],[DATA PREV - ENTR. CRACHÁ]]="","",IF(Tabela6[[#This Row],[DATA REAL - ENTR. CRACHÁ]]="",WORKDAY(Tabela6[[#This Row],[DATA PREV - ENTR. CRACHÁ]],AF$1,),WORKDAY(Tabela6[[#This Row],[DATA REAL - ENTR. CRACHÁ]],AF$1,)))</f>
        <v/>
      </c>
      <c r="AG19" s="40"/>
      <c r="AH19" s="38" t="str" cm="1">
        <f t="array" aca="1" ref="AH1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19" s="39" t="str">
        <f>IF(Tabela6[[#This Row],[DATA PREV - envio do protocolo]]="","",IF(Tabela6[[#This Row],[DATA REAL - Envio do protocolo]]="",WORKDAY(Tabela6[[#This Row],[DATA PREV - envio do protocolo]],AI$1,),WORKDAY(Tabela6[[#This Row],[DATA REAL - Envio do protocolo]],AI$1,)))</f>
        <v/>
      </c>
      <c r="AJ19" s="40"/>
      <c r="AK19" s="38" t="str" cm="1">
        <f t="array" aca="1" ref="AK1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19" s="38"/>
    </row>
    <row r="20" spans="2:38" hidden="1" x14ac:dyDescent="0.35">
      <c r="B20" s="37" t="s">
        <v>79</v>
      </c>
      <c r="C20" s="38" t="s">
        <v>1214</v>
      </c>
      <c r="D20" s="38"/>
      <c r="E20" s="37" t="s">
        <v>81</v>
      </c>
      <c r="F20" s="38" t="s">
        <v>82</v>
      </c>
      <c r="G20" s="38" cm="1">
        <f t="array" aca="1" ref="G2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FORMS]]="",$Y20&gt;$W$1),2,
AND(Tabela6[[#This Row],[STATUS PROCESSO DESMOBILIZAÇÃO]]="Em andamento",Tabela6[[#This Row],[DATA REAL - FORMS]]="",$Y20&lt;=$W$1),3,
AND(Tabela6[[#This Row],[STATUS PROCESSO DESMOBILIZAÇÃO]]="Em andamento",Tabela6[[#This Row],[DATA REAL - FORMS]]&lt;&gt;""),1)</f>
        <v>1</v>
      </c>
      <c r="H20" s="38" cm="1">
        <f t="array" aca="1" ref="H2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CRACHÁ]]="",$AB20&gt;$Z$1),2,
AND(Tabela6[[#This Row],[STATUS PROCESSO DESMOBILIZAÇÃO]]="Em andamento",Tabela6[[#This Row],[DATA REAL - CRACHÁ]]="",$AB20&lt;=$Z$1),3,
AND(Tabela6[[#This Row],[STATUS PROCESSO DESMOBILIZAÇÃO]]="Em andamento",Tabela6[[#This Row],[DATA REAL - CRACHÁ]]&lt;&gt;""),1)</f>
        <v>1</v>
      </c>
      <c r="I20" s="38" cm="1">
        <f t="array" aca="1" ref="I2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CRACHÁ]]="",$AE20&gt;$AC$1),2,
AND(Tabela6[[#This Row],[STATUS PROCESSO DESMOBILIZAÇÃO]]="Em andamento",Tabela6[[#This Row],[DATA REAL - ENTR. CRACHÁ]]="",$AE20&lt;=$AC$1),3,
AND(Tabela6[[#This Row],[STATUS PROCESSO DESMOBILIZAÇÃO]]="Em andamento",Tabela6[[#This Row],[DATA REAL - ENTR. CRACHÁ]]&lt;&gt;""),1)</f>
        <v>1</v>
      </c>
      <c r="J20" s="38" cm="1">
        <f t="array" aca="1" ref="J2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CRACHÁ]]="",$AE20&gt;$AC$1),2,
AND(Tabela6[[#This Row],[STATUS PROCESSO DESMOBILIZAÇÃO]]="Em andamento",Tabela6[[#This Row],[DATA REAL - ENTR. CRACHÁ]]="",$AE20&lt;=$AC$1),3,
AND(Tabela6[[#This Row],[STATUS PROCESSO DESMOBILIZAÇÃO]]="Em andamento",Tabela6[[#This Row],[DATA REAL - ENTR. CRACHÁ]]&lt;&gt;""),1)</f>
        <v>1</v>
      </c>
      <c r="K20" s="38" cm="1">
        <f t="array" aca="1" ref="K2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protocolo]]="",$AH20&gt;$AF$1),2,
AND(Tabela6[[#This Row],[STATUS PROCESSO DESMOBILIZAÇÃO]]="Em andamento",Tabela6[[#This Row],[DATA REAL - Envio do protocolo]]="",$AH20&lt;=$AF$1),3,
AND(Tabela6[[#This Row],[STATUS PROCESSO DESMOBILIZAÇÃO]]="Em andamento",Tabela6[[#This Row],[DATA REAL - Envio do protocolo]]&lt;&gt;""),1)</f>
        <v>1</v>
      </c>
      <c r="L20"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45439</v>
      </c>
      <c r="M2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0" s="38" t="s">
        <v>103</v>
      </c>
      <c r="Q20" s="38" t="s">
        <v>87</v>
      </c>
      <c r="R20" s="38" t="s">
        <v>897</v>
      </c>
      <c r="S20" s="38" t="s">
        <v>89</v>
      </c>
      <c r="T20" s="38" t="s">
        <v>1218</v>
      </c>
      <c r="U20" s="38" t="s">
        <v>1232</v>
      </c>
      <c r="V20" s="38" t="str">
        <f>_xlfn.XLOOKUP(Tabela6[[#This Row],[COD. CT]],Controle_Projetos[COD CT],Controle_Projetos[COD PHD],"")</f>
        <v>TERR-CT02-CIAN</v>
      </c>
      <c r="W20" s="39">
        <v>45433</v>
      </c>
      <c r="X20" s="40">
        <v>45433</v>
      </c>
      <c r="Y20" s="38" cm="1">
        <f t="array" aca="1" ref="Y2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20" s="39">
        <v>45434</v>
      </c>
      <c r="AA20" s="40">
        <v>45433</v>
      </c>
      <c r="AB20" s="38" cm="1">
        <f t="array" aca="1" ref="AB2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20" s="39">
        <f>IF(Tabela6[[#This Row],[DATA PREV - CRACHÁ]]="","",IF(Tabela6[[#This Row],[DATA REAL - CRACHÁ]]="",WORKDAY(Tabela6[[#This Row],[DATA PREV - CRACHÁ]],AC$1,),WORKDAY(Tabela6[[#This Row],[DATA REAL - CRACHÁ]],AC$1,)))</f>
        <v>45435</v>
      </c>
      <c r="AD20" s="40">
        <v>45433</v>
      </c>
      <c r="AE20" s="38" cm="1">
        <f t="array" aca="1" ref="AE2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20" s="39">
        <f>IF(Tabela6[[#This Row],[DATA PREV - ENTR. CRACHÁ]]="","",IF(Tabela6[[#This Row],[DATA REAL - ENTR. CRACHÁ]]="",WORKDAY(Tabela6[[#This Row],[DATA PREV - ENTR. CRACHÁ]],AF$1,),WORKDAY(Tabela6[[#This Row],[DATA REAL - ENTR. CRACHÁ]],AF$1,)))</f>
        <v>45434</v>
      </c>
      <c r="AG20" s="40">
        <v>45433</v>
      </c>
      <c r="AH20" s="38" cm="1">
        <f t="array" aca="1" ref="AH2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0" s="39">
        <f>IF(Tabela6[[#This Row],[DATA PREV - envio do protocolo]]="","",IF(Tabela6[[#This Row],[DATA REAL - Envio do protocolo]]="",WORKDAY(Tabela6[[#This Row],[DATA PREV - envio do protocolo]],AI$1,),WORKDAY(Tabela6[[#This Row],[DATA REAL - Envio do protocolo]],AI$1,)))</f>
        <v>45439</v>
      </c>
      <c r="AJ20" s="40">
        <v>45433</v>
      </c>
      <c r="AK20" s="38" cm="1">
        <f t="array" aca="1" ref="AK2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20" s="38" t="s">
        <v>1233</v>
      </c>
    </row>
    <row r="21" spans="2:38" hidden="1" x14ac:dyDescent="0.35">
      <c r="B21" s="37" t="s">
        <v>79</v>
      </c>
      <c r="C21" s="38"/>
      <c r="D21" s="38"/>
      <c r="E21" s="37" t="s">
        <v>81</v>
      </c>
      <c r="F21" s="38" t="s">
        <v>350</v>
      </c>
      <c r="G21" s="38" cm="1">
        <f t="array" aca="1" ref="G2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FORMS]]="",$Y21&gt;$W$1),2,
AND(Tabela6[[#This Row],[STATUS PROCESSO DESMOBILIZAÇÃO]]="Em andamento",Tabela6[[#This Row],[DATA REAL - FORMS]]="",$Y21&lt;=$W$1),3,
AND(Tabela6[[#This Row],[STATUS PROCESSO DESMOBILIZAÇÃO]]="Em andamento",Tabela6[[#This Row],[DATA REAL - FORMS]]&lt;&gt;""),1)</f>
        <v>0</v>
      </c>
      <c r="H21" s="38" cm="1">
        <f t="array" aca="1" ref="H2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CRACHÁ]]="",$AB21&gt;$Z$1),2,
AND(Tabela6[[#This Row],[STATUS PROCESSO DESMOBILIZAÇÃO]]="Em andamento",Tabela6[[#This Row],[DATA REAL - CRACHÁ]]="",$AB21&lt;=$Z$1),3,
AND(Tabela6[[#This Row],[STATUS PROCESSO DESMOBILIZAÇÃO]]="Em andamento",Tabela6[[#This Row],[DATA REAL - CRACHÁ]]&lt;&gt;""),1)</f>
        <v>0</v>
      </c>
      <c r="I21" s="38" cm="1">
        <f t="array" aca="1" ref="I2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CRACHÁ]]="",$AE21&gt;$AC$1),2,
AND(Tabela6[[#This Row],[STATUS PROCESSO DESMOBILIZAÇÃO]]="Em andamento",Tabela6[[#This Row],[DATA REAL - ENTR. CRACHÁ]]="",$AE21&lt;=$AC$1),3,
AND(Tabela6[[#This Row],[STATUS PROCESSO DESMOBILIZAÇÃO]]="Em andamento",Tabela6[[#This Row],[DATA REAL - ENTR. CRACHÁ]]&lt;&gt;""),1)</f>
        <v>1</v>
      </c>
      <c r="J21" s="38" cm="1">
        <f t="array" aca="1" ref="J2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CRACHÁ]]="",$AE21&gt;$AC$1),2,
AND(Tabela6[[#This Row],[STATUS PROCESSO DESMOBILIZAÇÃO]]="Em andamento",Tabela6[[#This Row],[DATA REAL - ENTR. CRACHÁ]]="",$AE21&lt;=$AC$1),3,
AND(Tabela6[[#This Row],[STATUS PROCESSO DESMOBILIZAÇÃO]]="Em andamento",Tabela6[[#This Row],[DATA REAL - ENTR. CRACHÁ]]&lt;&gt;""),1)</f>
        <v>1</v>
      </c>
      <c r="K21" s="38" cm="1">
        <f t="array" aca="1" ref="K2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protocolo]]="",$AH21&gt;$AF$1),2,
AND(Tabela6[[#This Row],[STATUS PROCESSO DESMOBILIZAÇÃO]]="Em andamento",Tabela6[[#This Row],[DATA REAL - Envio do protocolo]]="",$AH21&lt;=$AF$1),3,
AND(Tabela6[[#This Row],[STATUS PROCESSO DESMOBILIZAÇÃO]]="Em andamento",Tabela6[[#This Row],[DATA REAL - Envio do protocolo]]&lt;&gt;""),1)</f>
        <v>1</v>
      </c>
      <c r="L2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45432</v>
      </c>
      <c r="M2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11</v>
      </c>
      <c r="N2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11</v>
      </c>
      <c r="P21" s="38" t="s">
        <v>172</v>
      </c>
      <c r="Q21" s="38" t="s">
        <v>97</v>
      </c>
      <c r="R21" s="38" t="s">
        <v>88</v>
      </c>
      <c r="S21" s="38"/>
      <c r="T21" s="38" t="s">
        <v>894</v>
      </c>
      <c r="U21" s="38" t="s">
        <v>249</v>
      </c>
      <c r="V21" s="38" t="str">
        <f>_xlfn.XLOOKUP(Tabela6[[#This Row],[COD. CT]],Controle_Projetos[COD CT],Controle_Projetos[COD PHD],"")</f>
        <v/>
      </c>
      <c r="W21" s="39"/>
      <c r="X21" s="40"/>
      <c r="Y21" s="38" t="str" cm="1">
        <f t="array" aca="1" ref="Y2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1" s="39" t="s">
        <v>249</v>
      </c>
      <c r="AA21" s="40"/>
      <c r="AB21" s="38" t="str" cm="1">
        <f t="array" aca="1" ref="AB2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21" s="39" t="str">
        <f>IF(Tabela6[[#This Row],[DATA PREV - CRACHÁ]]="","",IF(Tabela6[[#This Row],[DATA REAL - CRACHÁ]]="",WORKDAY(Tabela6[[#This Row],[DATA PREV - CRACHÁ]],AC$1,),WORKDAY(Tabela6[[#This Row],[DATA REAL - CRACHÁ]],AC$1,)))</f>
        <v/>
      </c>
      <c r="AD21" s="40">
        <v>45421</v>
      </c>
      <c r="AE21" s="38" cm="1">
        <f t="array" aca="1" ref="AE2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21" s="39" t="str">
        <f>IF(Tabela6[[#This Row],[DATA PREV - ENTR. CRACHÁ]]="","",IF(Tabela6[[#This Row],[DATA REAL - ENTR. CRACHÁ]]="",WORKDAY(Tabela6[[#This Row],[DATA PREV - ENTR. CRACHÁ]],AF$1,),WORKDAY(Tabela6[[#This Row],[DATA REAL - ENTR. CRACHÁ]],AF$1,)))</f>
        <v/>
      </c>
      <c r="AG21" s="40">
        <v>45421</v>
      </c>
      <c r="AH21" s="38" cm="1">
        <f t="array" aca="1" ref="AH2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21" s="39" t="str">
        <f>IF(Tabela6[[#This Row],[DATA PREV - envio do protocolo]]="","",IF(Tabela6[[#This Row],[DATA REAL - Envio do protocolo]]="",WORKDAY(Tabela6[[#This Row],[DATA PREV - envio do protocolo]],AI$1,),WORKDAY(Tabela6[[#This Row],[DATA REAL - Envio do protocolo]],AI$1,)))</f>
        <v/>
      </c>
      <c r="AJ21" s="40">
        <v>45432</v>
      </c>
      <c r="AK21" s="38" cm="1">
        <f t="array" aca="1" ref="AK2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21" s="38" t="s">
        <v>1234</v>
      </c>
    </row>
    <row r="22" spans="2:38" hidden="1" x14ac:dyDescent="0.35">
      <c r="B22" s="37" t="s">
        <v>79</v>
      </c>
      <c r="C22" s="38"/>
      <c r="D22" s="38"/>
      <c r="E22" s="37" t="s">
        <v>81</v>
      </c>
      <c r="F22" s="38" t="s">
        <v>331</v>
      </c>
      <c r="G22" s="38" cm="1">
        <f t="array" aca="1" ref="G2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FORMS]]="",$Y22&gt;$W$1),2,
AND(Tabela6[[#This Row],[STATUS PROCESSO DESMOBILIZAÇÃO]]="Em andamento",Tabela6[[#This Row],[DATA REAL - FORMS]]="",$Y22&lt;=$W$1),3,
AND(Tabela6[[#This Row],[STATUS PROCESSO DESMOBILIZAÇÃO]]="Em andamento",Tabela6[[#This Row],[DATA REAL - FORMS]]&lt;&gt;""),1)</f>
        <v>0</v>
      </c>
      <c r="H22" s="38" cm="1">
        <f t="array" aca="1" ref="H2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CRACHÁ]]="",$AB22&gt;$Z$1),2,
AND(Tabela6[[#This Row],[STATUS PROCESSO DESMOBILIZAÇÃO]]="Em andamento",Tabela6[[#This Row],[DATA REAL - CRACHÁ]]="",$AB22&lt;=$Z$1),3,
AND(Tabela6[[#This Row],[STATUS PROCESSO DESMOBILIZAÇÃO]]="Em andamento",Tabela6[[#This Row],[DATA REAL - CRACHÁ]]&lt;&gt;""),1)</f>
        <v>1</v>
      </c>
      <c r="I22" s="38" cm="1">
        <f t="array" aca="1" ref="I2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CRACHÁ]]="",$AE22&gt;$AC$1),2,
AND(Tabela6[[#This Row],[STATUS PROCESSO DESMOBILIZAÇÃO]]="Em andamento",Tabela6[[#This Row],[DATA REAL - ENTR. CRACHÁ]]="",$AE22&lt;=$AC$1),3,
AND(Tabela6[[#This Row],[STATUS PROCESSO DESMOBILIZAÇÃO]]="Em andamento",Tabela6[[#This Row],[DATA REAL - ENTR. CRACHÁ]]&lt;&gt;""),1)</f>
        <v>1</v>
      </c>
      <c r="J22" s="38" cm="1">
        <f t="array" aca="1" ref="J2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CRACHÁ]]="",$AE22&gt;$AC$1),2,
AND(Tabela6[[#This Row],[STATUS PROCESSO DESMOBILIZAÇÃO]]="Em andamento",Tabela6[[#This Row],[DATA REAL - ENTR. CRACHÁ]]="",$AE22&lt;=$AC$1),3,
AND(Tabela6[[#This Row],[STATUS PROCESSO DESMOBILIZAÇÃO]]="Em andamento",Tabela6[[#This Row],[DATA REAL - ENTR. CRACHÁ]]&lt;&gt;""),1)</f>
        <v>1</v>
      </c>
      <c r="K22" s="38" cm="1">
        <f t="array" aca="1" ref="K2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protocolo]]="",$AH22&gt;$AF$1),2,
AND(Tabela6[[#This Row],[STATUS PROCESSO DESMOBILIZAÇÃO]]="Em andamento",Tabela6[[#This Row],[DATA REAL - Envio do protocolo]]="",$AH22&lt;=$AF$1),3,
AND(Tabela6[[#This Row],[STATUS PROCESSO DESMOBILIZAÇÃO]]="Em andamento",Tabela6[[#This Row],[DATA REAL - Envio do protocolo]]&lt;&gt;""),1)</f>
        <v>1</v>
      </c>
      <c r="L22"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45434</v>
      </c>
      <c r="M2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7</v>
      </c>
      <c r="N2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v>
      </c>
      <c r="P22" s="38" t="s">
        <v>172</v>
      </c>
      <c r="Q22" s="38" t="s">
        <v>97</v>
      </c>
      <c r="R22" s="38" t="s">
        <v>88</v>
      </c>
      <c r="S22" s="38" t="s">
        <v>89</v>
      </c>
      <c r="T22" s="38" t="s">
        <v>893</v>
      </c>
      <c r="U22" s="38" t="s">
        <v>249</v>
      </c>
      <c r="V22" s="38" t="str">
        <f>_xlfn.XLOOKUP(Tabela6[[#This Row],[COD. CT]],Controle_Projetos[COD CT],Controle_Projetos[COD PHD],"")</f>
        <v/>
      </c>
      <c r="W22" s="39"/>
      <c r="X22" s="40"/>
      <c r="Y22" s="38" t="str" cm="1">
        <f t="array" aca="1" ref="Y2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2" s="39">
        <v>45427</v>
      </c>
      <c r="AA22" s="40">
        <v>45427</v>
      </c>
      <c r="AB22" s="38" cm="1">
        <f t="array" aca="1" ref="AB2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22" s="39">
        <f>IF(Tabela6[[#This Row],[DATA PREV - CRACHÁ]]="","",IF(Tabela6[[#This Row],[DATA REAL - CRACHÁ]]="",WORKDAY(Tabela6[[#This Row],[DATA PREV - CRACHÁ]],AC$1,),WORKDAY(Tabela6[[#This Row],[DATA REAL - CRACHÁ]],AC$1,)))</f>
        <v>45429</v>
      </c>
      <c r="AD22" s="40">
        <v>45427</v>
      </c>
      <c r="AE22" s="38" cm="1">
        <f t="array" aca="1" ref="AE2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22" s="39">
        <f>IF(Tabela6[[#This Row],[DATA PREV - ENTR. CRACHÁ]]="","",IF(Tabela6[[#This Row],[DATA REAL - ENTR. CRACHÁ]]="",WORKDAY(Tabela6[[#This Row],[DATA PREV - ENTR. CRACHÁ]],AF$1,),WORKDAY(Tabela6[[#This Row],[DATA REAL - ENTR. CRACHÁ]],AF$1,)))</f>
        <v>45428</v>
      </c>
      <c r="AG22" s="40">
        <v>45428</v>
      </c>
      <c r="AH22" s="38" cm="1">
        <f t="array" aca="1" ref="AH2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22" s="39">
        <f>IF(Tabela6[[#This Row],[DATA PREV - envio do protocolo]]="","",IF(Tabela6[[#This Row],[DATA REAL - Envio do protocolo]]="",WORKDAY(Tabela6[[#This Row],[DATA PREV - envio do protocolo]],AI$1,),WORKDAY(Tabela6[[#This Row],[DATA REAL - Envio do protocolo]],AI$1,)))</f>
        <v>45434</v>
      </c>
      <c r="AJ22" s="40">
        <v>45434</v>
      </c>
      <c r="AK22" s="38" cm="1">
        <f t="array" aca="1" ref="AK2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22" s="38" t="s">
        <v>1235</v>
      </c>
    </row>
    <row r="23" spans="2:38" hidden="1" x14ac:dyDescent="0.35">
      <c r="B23" s="37" t="s">
        <v>79</v>
      </c>
      <c r="C23" s="38"/>
      <c r="D23" s="38"/>
      <c r="E23" s="37" t="s">
        <v>81</v>
      </c>
      <c r="F23" s="38" t="s">
        <v>1236</v>
      </c>
      <c r="G23" s="38" cm="1">
        <f t="array" aca="1" ref="G2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FORMS]]="",$Y23&gt;$W$1),2,
AND(Tabela6[[#This Row],[STATUS PROCESSO DESMOBILIZAÇÃO]]="Em andamento",Tabela6[[#This Row],[DATA REAL - FORMS]]="",$Y23&lt;=$W$1),3,
AND(Tabela6[[#This Row],[STATUS PROCESSO DESMOBILIZAÇÃO]]="Em andamento",Tabela6[[#This Row],[DATA REAL - FORMS]]&lt;&gt;""),1)</f>
        <v>0</v>
      </c>
      <c r="H23" s="38" cm="1">
        <f t="array" aca="1" ref="H2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CRACHÁ]]="",$AB23&gt;$Z$1),2,
AND(Tabela6[[#This Row],[STATUS PROCESSO DESMOBILIZAÇÃO]]="Em andamento",Tabela6[[#This Row],[DATA REAL - CRACHÁ]]="",$AB23&lt;=$Z$1),3,
AND(Tabela6[[#This Row],[STATUS PROCESSO DESMOBILIZAÇÃO]]="Em andamento",Tabela6[[#This Row],[DATA REAL - CRACHÁ]]&lt;&gt;""),1)</f>
        <v>1</v>
      </c>
      <c r="I23" s="38" cm="1">
        <f t="array" aca="1" ref="I2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CRACHÁ]]="",$AE23&gt;$AC$1),2,
AND(Tabela6[[#This Row],[STATUS PROCESSO DESMOBILIZAÇÃO]]="Em andamento",Tabela6[[#This Row],[DATA REAL - ENTR. CRACHÁ]]="",$AE23&lt;=$AC$1),3,
AND(Tabela6[[#This Row],[STATUS PROCESSO DESMOBILIZAÇÃO]]="Em andamento",Tabela6[[#This Row],[DATA REAL - ENTR. CRACHÁ]]&lt;&gt;""),1)</f>
        <v>1</v>
      </c>
      <c r="J23" s="38" cm="1">
        <f t="array" aca="1" ref="J2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CRACHÁ]]="",$AE23&gt;$AC$1),2,
AND(Tabela6[[#This Row],[STATUS PROCESSO DESMOBILIZAÇÃO]]="Em andamento",Tabela6[[#This Row],[DATA REAL - ENTR. CRACHÁ]]="",$AE23&lt;=$AC$1),3,
AND(Tabela6[[#This Row],[STATUS PROCESSO DESMOBILIZAÇÃO]]="Em andamento",Tabela6[[#This Row],[DATA REAL - ENTR. CRACHÁ]]&lt;&gt;""),1)</f>
        <v>1</v>
      </c>
      <c r="K23" s="38" cm="1">
        <f t="array" aca="1" ref="K2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protocolo]]="",$AH23&gt;$AF$1),2,
AND(Tabela6[[#This Row],[STATUS PROCESSO DESMOBILIZAÇÃO]]="Em andamento",Tabela6[[#This Row],[DATA REAL - Envio do protocolo]]="",$AH23&lt;=$AF$1),3,
AND(Tabela6[[#This Row],[STATUS PROCESSO DESMOBILIZAÇÃO]]="Em andamento",Tabela6[[#This Row],[DATA REAL - Envio do protocolo]]&lt;&gt;""),1)</f>
        <v>1</v>
      </c>
      <c r="L23"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45427</v>
      </c>
      <c r="M2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3" s="38" t="s">
        <v>515</v>
      </c>
      <c r="Q23" s="38" t="s">
        <v>97</v>
      </c>
      <c r="R23" s="38" t="s">
        <v>235</v>
      </c>
      <c r="S23" s="38" t="s">
        <v>227</v>
      </c>
      <c r="T23" s="38" t="s">
        <v>925</v>
      </c>
      <c r="U23" s="38" t="s">
        <v>249</v>
      </c>
      <c r="V23" s="38" t="str">
        <f>_xlfn.XLOOKUP(Tabela6[[#This Row],[COD. CT]],Controle_Projetos[COD CT],Controle_Projetos[COD PHD],"")</f>
        <v/>
      </c>
      <c r="W23" s="39"/>
      <c r="X23" s="40"/>
      <c r="Y23" s="38" t="str" cm="1">
        <f t="array" aca="1" ref="Y2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3" s="39">
        <v>45421</v>
      </c>
      <c r="AA23" s="40">
        <v>45421</v>
      </c>
      <c r="AB23" s="38" cm="1">
        <f t="array" aca="1" ref="AB2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23" s="39">
        <f>IF(Tabela6[[#This Row],[DATA PREV - CRACHÁ]]="","",IF(Tabela6[[#This Row],[DATA REAL - CRACHÁ]]="",WORKDAY(Tabela6[[#This Row],[DATA PREV - CRACHÁ]],AC$1,),WORKDAY(Tabela6[[#This Row],[DATA REAL - CRACHÁ]],AC$1,)))</f>
        <v>45425</v>
      </c>
      <c r="AD23" s="40">
        <v>45421</v>
      </c>
      <c r="AE23" s="38" cm="1">
        <f t="array" aca="1" ref="AE2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23" s="39">
        <f>IF(Tabela6[[#This Row],[DATA PREV - ENTR. CRACHÁ]]="","",IF(Tabela6[[#This Row],[DATA REAL - ENTR. CRACHÁ]]="",WORKDAY(Tabela6[[#This Row],[DATA PREV - ENTR. CRACHÁ]],AF$1,),WORKDAY(Tabela6[[#This Row],[DATA REAL - ENTR. CRACHÁ]],AF$1,)))</f>
        <v>45422</v>
      </c>
      <c r="AG23" s="40">
        <v>45421</v>
      </c>
      <c r="AH23" s="38" cm="1">
        <f t="array" aca="1" ref="AH2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3" s="39">
        <f>IF(Tabela6[[#This Row],[DATA PREV - envio do protocolo]]="","",IF(Tabela6[[#This Row],[DATA REAL - Envio do protocolo]]="",WORKDAY(Tabela6[[#This Row],[DATA PREV - envio do protocolo]],AI$1,),WORKDAY(Tabela6[[#This Row],[DATA REAL - Envio do protocolo]],AI$1,)))</f>
        <v>45427</v>
      </c>
      <c r="AJ23" s="40">
        <v>45421</v>
      </c>
      <c r="AK23" s="38" cm="1">
        <f t="array" aca="1" ref="AK2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23" s="38" t="s">
        <v>1237</v>
      </c>
    </row>
    <row r="24" spans="2:38" hidden="1" x14ac:dyDescent="0.35">
      <c r="B24" s="37" t="s">
        <v>79</v>
      </c>
      <c r="C24" s="38" t="s">
        <v>1214</v>
      </c>
      <c r="D24" s="38"/>
      <c r="E24" s="37" t="s">
        <v>81</v>
      </c>
      <c r="F24" s="38" t="s">
        <v>320</v>
      </c>
      <c r="G24" s="38" cm="1">
        <f t="array" aca="1" ref="G2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FORMS]]="",$Y24&gt;$W$1),2,
AND(Tabela6[[#This Row],[STATUS PROCESSO DESMOBILIZAÇÃO]]="Em andamento",Tabela6[[#This Row],[DATA REAL - FORMS]]="",$Y24&lt;=$W$1),3,
AND(Tabela6[[#This Row],[STATUS PROCESSO DESMOBILIZAÇÃO]]="Em andamento",Tabela6[[#This Row],[DATA REAL - FORMS]]&lt;&gt;""),1)</f>
        <v>0</v>
      </c>
      <c r="H24" s="38" cm="1">
        <f t="array" aca="1" ref="H2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CRACHÁ]]="",$AB24&gt;$Z$1),2,
AND(Tabela6[[#This Row],[STATUS PROCESSO DESMOBILIZAÇÃO]]="Em andamento",Tabela6[[#This Row],[DATA REAL - CRACHÁ]]="",$AB24&lt;=$Z$1),3,
AND(Tabela6[[#This Row],[STATUS PROCESSO DESMOBILIZAÇÃO]]="Em andamento",Tabela6[[#This Row],[DATA REAL - CRACHÁ]]&lt;&gt;""),1)</f>
        <v>1</v>
      </c>
      <c r="I24" s="38" cm="1">
        <f t="array" aca="1" ref="I2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CRACHÁ]]="",$AE24&gt;$AC$1),2,
AND(Tabela6[[#This Row],[STATUS PROCESSO DESMOBILIZAÇÃO]]="Em andamento",Tabela6[[#This Row],[DATA REAL - ENTR. CRACHÁ]]="",$AE24&lt;=$AC$1),3,
AND(Tabela6[[#This Row],[STATUS PROCESSO DESMOBILIZAÇÃO]]="Em andamento",Tabela6[[#This Row],[DATA REAL - ENTR. CRACHÁ]]&lt;&gt;""),1)</f>
        <v>1</v>
      </c>
      <c r="J24" s="38" cm="1">
        <f t="array" aca="1" ref="J2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CRACHÁ]]="",$AE24&gt;$AC$1),2,
AND(Tabela6[[#This Row],[STATUS PROCESSO DESMOBILIZAÇÃO]]="Em andamento",Tabela6[[#This Row],[DATA REAL - ENTR. CRACHÁ]]="",$AE24&lt;=$AC$1),3,
AND(Tabela6[[#This Row],[STATUS PROCESSO DESMOBILIZAÇÃO]]="Em andamento",Tabela6[[#This Row],[DATA REAL - ENTR. CRACHÁ]]&lt;&gt;""),1)</f>
        <v>1</v>
      </c>
      <c r="K24" s="38" cm="1">
        <f t="array" aca="1" ref="K2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protocolo]]="",$AH24&gt;$AF$1),2,
AND(Tabela6[[#This Row],[STATUS PROCESSO DESMOBILIZAÇÃO]]="Em andamento",Tabela6[[#This Row],[DATA REAL - Envio do protocolo]]="",$AH24&lt;=$AF$1),3,
AND(Tabela6[[#This Row],[STATUS PROCESSO DESMOBILIZAÇÃO]]="Em andamento",Tabela6[[#This Row],[DATA REAL - Envio do protocolo]]&lt;&gt;""),1)</f>
        <v>1</v>
      </c>
      <c r="L24"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45427</v>
      </c>
      <c r="M2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4" s="38" t="s">
        <v>515</v>
      </c>
      <c r="Q24" s="38" t="s">
        <v>97</v>
      </c>
      <c r="R24" s="38" t="s">
        <v>235</v>
      </c>
      <c r="S24" s="38" t="s">
        <v>227</v>
      </c>
      <c r="T24" s="38" t="s">
        <v>925</v>
      </c>
      <c r="U24" s="38" t="s">
        <v>249</v>
      </c>
      <c r="V24" s="38" t="str">
        <f>_xlfn.XLOOKUP(Tabela6[[#This Row],[COD. CT]],Controle_Projetos[COD CT],Controle_Projetos[COD PHD],"")</f>
        <v/>
      </c>
      <c r="W24" s="39"/>
      <c r="X24" s="40"/>
      <c r="Y24" s="38" t="str" cm="1">
        <f t="array" aca="1" ref="Y2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4" s="39">
        <v>45421</v>
      </c>
      <c r="AA24" s="40">
        <v>45421</v>
      </c>
      <c r="AB24" s="38" cm="1">
        <f t="array" aca="1" ref="AB2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24" s="39">
        <f>IF(Tabela6[[#This Row],[DATA PREV - CRACHÁ]]="","",IF(Tabela6[[#This Row],[DATA REAL - CRACHÁ]]="",WORKDAY(Tabela6[[#This Row],[DATA PREV - CRACHÁ]],AC$1,),WORKDAY(Tabela6[[#This Row],[DATA REAL - CRACHÁ]],AC$1,)))</f>
        <v>45425</v>
      </c>
      <c r="AD24" s="40">
        <v>45421</v>
      </c>
      <c r="AE24" s="38" cm="1">
        <f t="array" aca="1" ref="AE2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24" s="39">
        <f>IF(Tabela6[[#This Row],[DATA PREV - ENTR. CRACHÁ]]="","",IF(Tabela6[[#This Row],[DATA REAL - ENTR. CRACHÁ]]="",WORKDAY(Tabela6[[#This Row],[DATA PREV - ENTR. CRACHÁ]],AF$1,),WORKDAY(Tabela6[[#This Row],[DATA REAL - ENTR. CRACHÁ]],AF$1,)))</f>
        <v>45422</v>
      </c>
      <c r="AG24" s="40">
        <v>45421</v>
      </c>
      <c r="AH24" s="38" cm="1">
        <f t="array" aca="1" ref="AH2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4" s="39">
        <f>IF(Tabela6[[#This Row],[DATA PREV - envio do protocolo]]="","",IF(Tabela6[[#This Row],[DATA REAL - Envio do protocolo]]="",WORKDAY(Tabela6[[#This Row],[DATA PREV - envio do protocolo]],AI$1,),WORKDAY(Tabela6[[#This Row],[DATA REAL - Envio do protocolo]],AI$1,)))</f>
        <v>45427</v>
      </c>
      <c r="AJ24" s="40">
        <v>45421</v>
      </c>
      <c r="AK24" s="38" cm="1">
        <f t="array" aca="1" ref="AK2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24" s="38" t="s">
        <v>1237</v>
      </c>
    </row>
    <row r="25" spans="2:38" hidden="1" x14ac:dyDescent="0.35">
      <c r="B25" s="37" t="s">
        <v>79</v>
      </c>
      <c r="C25" s="38" t="s">
        <v>1214</v>
      </c>
      <c r="D25" s="38"/>
      <c r="E25" s="37" t="s">
        <v>81</v>
      </c>
      <c r="F25" s="38" t="s">
        <v>1238</v>
      </c>
      <c r="G25" s="38" cm="1">
        <f t="array" aca="1" ref="G2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FORMS]]="",$Y25&gt;$W$1),2,
AND(Tabela6[[#This Row],[STATUS PROCESSO DESMOBILIZAÇÃO]]="Em andamento",Tabela6[[#This Row],[DATA REAL - FORMS]]="",$Y25&lt;=$W$1),3,
AND(Tabela6[[#This Row],[STATUS PROCESSO DESMOBILIZAÇÃO]]="Em andamento",Tabela6[[#This Row],[DATA REAL - FORMS]]&lt;&gt;""),1)</f>
        <v>1</v>
      </c>
      <c r="H25" s="38" cm="1">
        <f t="array" aca="1" ref="H2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CRACHÁ]]="",$AB25&gt;$Z$1),2,
AND(Tabela6[[#This Row],[STATUS PROCESSO DESMOBILIZAÇÃO]]="Em andamento",Tabela6[[#This Row],[DATA REAL - CRACHÁ]]="",$AB25&lt;=$Z$1),3,
AND(Tabela6[[#This Row],[STATUS PROCESSO DESMOBILIZAÇÃO]]="Em andamento",Tabela6[[#This Row],[DATA REAL - CRACHÁ]]&lt;&gt;""),1)</f>
        <v>1</v>
      </c>
      <c r="I25" s="38" cm="1">
        <f t="array" aca="1" ref="I2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CRACHÁ]]="",$AE25&gt;$AC$1),2,
AND(Tabela6[[#This Row],[STATUS PROCESSO DESMOBILIZAÇÃO]]="Em andamento",Tabela6[[#This Row],[DATA REAL - ENTR. CRACHÁ]]="",$AE25&lt;=$AC$1),3,
AND(Tabela6[[#This Row],[STATUS PROCESSO DESMOBILIZAÇÃO]]="Em andamento",Tabela6[[#This Row],[DATA REAL - ENTR. CRACHÁ]]&lt;&gt;""),1)</f>
        <v>1</v>
      </c>
      <c r="J25" s="38" cm="1">
        <f t="array" aca="1" ref="J2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CRACHÁ]]="",$AE25&gt;$AC$1),2,
AND(Tabela6[[#This Row],[STATUS PROCESSO DESMOBILIZAÇÃO]]="Em andamento",Tabela6[[#This Row],[DATA REAL - ENTR. CRACHÁ]]="",$AE25&lt;=$AC$1),3,
AND(Tabela6[[#This Row],[STATUS PROCESSO DESMOBILIZAÇÃO]]="Em andamento",Tabela6[[#This Row],[DATA REAL - ENTR. CRACHÁ]]&lt;&gt;""),1)</f>
        <v>1</v>
      </c>
      <c r="K25" s="38" cm="1">
        <f t="array" aca="1" ref="K2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protocolo]]="",$AH25&gt;$AF$1),2,
AND(Tabela6[[#This Row],[STATUS PROCESSO DESMOBILIZAÇÃO]]="Em andamento",Tabela6[[#This Row],[DATA REAL - Envio do protocolo]]="",$AH25&lt;=$AF$1),3,
AND(Tabela6[[#This Row],[STATUS PROCESSO DESMOBILIZAÇÃO]]="Em andamento",Tabela6[[#This Row],[DATA REAL - Envio do protocolo]]&lt;&gt;""),1)</f>
        <v>1</v>
      </c>
      <c r="L2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45449</v>
      </c>
      <c r="M2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16</v>
      </c>
      <c r="N2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2</v>
      </c>
      <c r="O2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14</v>
      </c>
      <c r="P25" s="38" t="s">
        <v>172</v>
      </c>
      <c r="Q25" s="38" t="s">
        <v>97</v>
      </c>
      <c r="R25" s="38" t="s">
        <v>179</v>
      </c>
      <c r="S25" s="38" t="s">
        <v>89</v>
      </c>
      <c r="T25" s="38" t="s">
        <v>893</v>
      </c>
      <c r="U25" s="38" t="s">
        <v>249</v>
      </c>
      <c r="V25" s="38" t="str">
        <f>_xlfn.XLOOKUP(Tabela6[[#This Row],[COD. CT]],Controle_Projetos[COD CT],Controle_Projetos[COD PHD],"")</f>
        <v/>
      </c>
      <c r="W25" s="39">
        <v>45433</v>
      </c>
      <c r="X25" s="40">
        <v>45433</v>
      </c>
      <c r="Y25" s="38" cm="1">
        <f t="array" aca="1" ref="Y2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25" s="39">
        <v>45434</v>
      </c>
      <c r="AA25" s="40">
        <v>45435</v>
      </c>
      <c r="AB25" s="38" cm="1">
        <f t="array" aca="1" ref="AB2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25" s="39">
        <f>IF(Tabela6[[#This Row],[DATA PREV - CRACHÁ]]="","",IF(Tabela6[[#This Row],[DATA REAL - CRACHÁ]]="",WORKDAY(Tabela6[[#This Row],[DATA PREV - CRACHÁ]],AC$1,),WORKDAY(Tabela6[[#This Row],[DATA REAL - CRACHÁ]],AC$1,)))</f>
        <v>45439</v>
      </c>
      <c r="AD25" s="40">
        <v>45435</v>
      </c>
      <c r="AE25" s="38" cm="1">
        <f t="array" aca="1" ref="AE2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25" s="39">
        <f>IF(Tabela6[[#This Row],[DATA PREV - ENTR. CRACHÁ]]="","",IF(Tabela6[[#This Row],[DATA REAL - ENTR. CRACHÁ]]="",WORKDAY(Tabela6[[#This Row],[DATA PREV - ENTR. CRACHÁ]],AF$1,),WORKDAY(Tabela6[[#This Row],[DATA REAL - ENTR. CRACHÁ]],AF$1,)))</f>
        <v>45436</v>
      </c>
      <c r="AG25" s="40">
        <v>45435</v>
      </c>
      <c r="AH25" s="38" cm="1">
        <f t="array" aca="1" ref="AH2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5" s="39">
        <f>IF(Tabela6[[#This Row],[DATA PREV - envio do protocolo]]="","",IF(Tabela6[[#This Row],[DATA REAL - Envio do protocolo]]="",WORKDAY(Tabela6[[#This Row],[DATA PREV - envio do protocolo]],AI$1,),WORKDAY(Tabela6[[#This Row],[DATA REAL - Envio do protocolo]],AI$1,)))</f>
        <v>45441</v>
      </c>
      <c r="AJ25" s="40">
        <v>45449</v>
      </c>
      <c r="AK25" s="38" cm="1">
        <f t="array" aca="1" ref="AK2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8</v>
      </c>
      <c r="AL25" s="38" t="s">
        <v>1239</v>
      </c>
    </row>
    <row r="26" spans="2:38" hidden="1" x14ac:dyDescent="0.35">
      <c r="B26" s="37" t="s">
        <v>79</v>
      </c>
      <c r="C26" s="38"/>
      <c r="D26" s="38"/>
      <c r="E26" s="37" t="s">
        <v>81</v>
      </c>
      <c r="F26" s="38" t="s">
        <v>306</v>
      </c>
      <c r="G26" s="38" cm="1">
        <f t="array" aca="1" ref="G2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FORMS]]="",$Y26&gt;$W$1),2,
AND(Tabela6[[#This Row],[STATUS PROCESSO DESMOBILIZAÇÃO]]="Em andamento",Tabela6[[#This Row],[DATA REAL - FORMS]]="",$Y26&lt;=$W$1),3,
AND(Tabela6[[#This Row],[STATUS PROCESSO DESMOBILIZAÇÃO]]="Em andamento",Tabela6[[#This Row],[DATA REAL - FORMS]]&lt;&gt;""),1)</f>
        <v>0</v>
      </c>
      <c r="H26" s="38" cm="1">
        <f t="array" aca="1" ref="H2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CRACHÁ]]="",$AB26&gt;$Z$1),2,
AND(Tabela6[[#This Row],[STATUS PROCESSO DESMOBILIZAÇÃO]]="Em andamento",Tabela6[[#This Row],[DATA REAL - CRACHÁ]]="",$AB26&lt;=$Z$1),3,
AND(Tabela6[[#This Row],[STATUS PROCESSO DESMOBILIZAÇÃO]]="Em andamento",Tabela6[[#This Row],[DATA REAL - CRACHÁ]]&lt;&gt;""),1)</f>
        <v>1</v>
      </c>
      <c r="I26" s="38" cm="1">
        <f t="array" aca="1" ref="I2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CRACHÁ]]="",$AE26&gt;$AC$1),2,
AND(Tabela6[[#This Row],[STATUS PROCESSO DESMOBILIZAÇÃO]]="Em andamento",Tabela6[[#This Row],[DATA REAL - ENTR. CRACHÁ]]="",$AE26&lt;=$AC$1),3,
AND(Tabela6[[#This Row],[STATUS PROCESSO DESMOBILIZAÇÃO]]="Em andamento",Tabela6[[#This Row],[DATA REAL - ENTR. CRACHÁ]]&lt;&gt;""),1)</f>
        <v>1</v>
      </c>
      <c r="J26" s="38" cm="1">
        <f t="array" aca="1" ref="J2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CRACHÁ]]="",$AE26&gt;$AC$1),2,
AND(Tabela6[[#This Row],[STATUS PROCESSO DESMOBILIZAÇÃO]]="Em andamento",Tabela6[[#This Row],[DATA REAL - ENTR. CRACHÁ]]="",$AE26&lt;=$AC$1),3,
AND(Tabela6[[#This Row],[STATUS PROCESSO DESMOBILIZAÇÃO]]="Em andamento",Tabela6[[#This Row],[DATA REAL - ENTR. CRACHÁ]]&lt;&gt;""),1)</f>
        <v>1</v>
      </c>
      <c r="K26" s="38" cm="1">
        <f t="array" aca="1" ref="K2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protocolo]]="",$AH26&gt;$AF$1),2,
AND(Tabela6[[#This Row],[STATUS PROCESSO DESMOBILIZAÇÃO]]="Em andamento",Tabela6[[#This Row],[DATA REAL - Envio do protocolo]]="",$AH26&lt;=$AF$1),3,
AND(Tabela6[[#This Row],[STATUS PROCESSO DESMOBILIZAÇÃO]]="Em andamento",Tabela6[[#This Row],[DATA REAL - Envio do protocolo]]&lt;&gt;""),1)</f>
        <v>1</v>
      </c>
      <c r="L26"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45453</v>
      </c>
      <c r="M2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7</v>
      </c>
      <c r="N2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7</v>
      </c>
      <c r="P26" s="38" t="s">
        <v>172</v>
      </c>
      <c r="Q26" s="38" t="s">
        <v>97</v>
      </c>
      <c r="R26" s="38" t="s">
        <v>88</v>
      </c>
      <c r="S26" s="38" t="s">
        <v>89</v>
      </c>
      <c r="T26" s="38" t="s">
        <v>893</v>
      </c>
      <c r="U26" s="38" t="s">
        <v>249</v>
      </c>
      <c r="V26" s="38" t="str">
        <f>_xlfn.XLOOKUP(Tabela6[[#This Row],[COD. CT]],Controle_Projetos[COD CT],Controle_Projetos[COD PHD],"")</f>
        <v/>
      </c>
      <c r="W26" s="39"/>
      <c r="X26" s="40"/>
      <c r="Y26" s="38" t="str" cm="1">
        <f t="array" aca="1" ref="Y2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6" s="39">
        <v>45446</v>
      </c>
      <c r="AA26" s="40">
        <v>45446</v>
      </c>
      <c r="AB26" s="38" cm="1">
        <f t="array" aca="1" ref="AB2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26" s="39">
        <f>IF(Tabela6[[#This Row],[DATA PREV - CRACHÁ]]="","",IF(Tabela6[[#This Row],[DATA REAL - CRACHÁ]]="",WORKDAY(Tabela6[[#This Row],[DATA PREV - CRACHÁ]],AC$1,),WORKDAY(Tabela6[[#This Row],[DATA REAL - CRACHÁ]],AC$1,)))</f>
        <v>45448</v>
      </c>
      <c r="AD26" s="40">
        <v>45446</v>
      </c>
      <c r="AE26" s="38" cm="1">
        <f t="array" aca="1" ref="AE2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26" s="39">
        <f>IF(Tabela6[[#This Row],[DATA PREV - ENTR. CRACHÁ]]="","",IF(Tabela6[[#This Row],[DATA REAL - ENTR. CRACHÁ]]="",WORKDAY(Tabela6[[#This Row],[DATA PREV - ENTR. CRACHÁ]],AF$1,),WORKDAY(Tabela6[[#This Row],[DATA REAL - ENTR. CRACHÁ]],AF$1,)))</f>
        <v>45447</v>
      </c>
      <c r="AG26" s="40">
        <v>45446</v>
      </c>
      <c r="AH26" s="38" cm="1">
        <f t="array" aca="1" ref="AH2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6" s="39">
        <f>IF(Tabela6[[#This Row],[DATA PREV - envio do protocolo]]="","",IF(Tabela6[[#This Row],[DATA REAL - Envio do protocolo]]="",WORKDAY(Tabela6[[#This Row],[DATA PREV - envio do protocolo]],AI$1,),WORKDAY(Tabela6[[#This Row],[DATA REAL - Envio do protocolo]],AI$1,)))</f>
        <v>45450</v>
      </c>
      <c r="AJ26" s="40">
        <v>45453</v>
      </c>
      <c r="AK26" s="38" cm="1">
        <f t="array" aca="1" ref="AK2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3</v>
      </c>
      <c r="AL26" s="38" t="s">
        <v>1240</v>
      </c>
    </row>
    <row r="27" spans="2:38" hidden="1" x14ac:dyDescent="0.35">
      <c r="B27" s="37" t="s">
        <v>79</v>
      </c>
      <c r="C27" s="38" t="s">
        <v>1214</v>
      </c>
      <c r="D27" s="38"/>
      <c r="E27" s="37" t="s">
        <v>81</v>
      </c>
      <c r="F27" s="38" t="s">
        <v>1241</v>
      </c>
      <c r="G27" s="38" cm="1">
        <f t="array" aca="1" ref="G2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FORMS]]="",$Y27&gt;$W$1),2,
AND(Tabela6[[#This Row],[STATUS PROCESSO DESMOBILIZAÇÃO]]="Em andamento",Tabela6[[#This Row],[DATA REAL - FORMS]]="",$Y27&lt;=$W$1),3,
AND(Tabela6[[#This Row],[STATUS PROCESSO DESMOBILIZAÇÃO]]="Em andamento",Tabela6[[#This Row],[DATA REAL - FORMS]]&lt;&gt;""),1)</f>
        <v>1</v>
      </c>
      <c r="H27" s="38" cm="1">
        <f t="array" aca="1" ref="H2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CRACHÁ]]="",$AB27&gt;$Z$1),2,
AND(Tabela6[[#This Row],[STATUS PROCESSO DESMOBILIZAÇÃO]]="Em andamento",Tabela6[[#This Row],[DATA REAL - CRACHÁ]]="",$AB27&lt;=$Z$1),3,
AND(Tabela6[[#This Row],[STATUS PROCESSO DESMOBILIZAÇÃO]]="Em andamento",Tabela6[[#This Row],[DATA REAL - CRACHÁ]]&lt;&gt;""),1)</f>
        <v>1</v>
      </c>
      <c r="I27" s="38" cm="1">
        <f t="array" aca="1" ref="I2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CRACHÁ]]="",$AE27&gt;$AC$1),2,
AND(Tabela6[[#This Row],[STATUS PROCESSO DESMOBILIZAÇÃO]]="Em andamento",Tabela6[[#This Row],[DATA REAL - ENTR. CRACHÁ]]="",$AE27&lt;=$AC$1),3,
AND(Tabela6[[#This Row],[STATUS PROCESSO DESMOBILIZAÇÃO]]="Em andamento",Tabela6[[#This Row],[DATA REAL - ENTR. CRACHÁ]]&lt;&gt;""),1)</f>
        <v>1</v>
      </c>
      <c r="J27" s="38" cm="1">
        <f t="array" aca="1" ref="J2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CRACHÁ]]="",$AE27&gt;$AC$1),2,
AND(Tabela6[[#This Row],[STATUS PROCESSO DESMOBILIZAÇÃO]]="Em andamento",Tabela6[[#This Row],[DATA REAL - ENTR. CRACHÁ]]="",$AE27&lt;=$AC$1),3,
AND(Tabela6[[#This Row],[STATUS PROCESSO DESMOBILIZAÇÃO]]="Em andamento",Tabela6[[#This Row],[DATA REAL - ENTR. CRACHÁ]]&lt;&gt;""),1)</f>
        <v>1</v>
      </c>
      <c r="K27" s="38" cm="1">
        <f t="array" aca="1" ref="K2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protocolo]]="",$AH27&gt;$AF$1),2,
AND(Tabela6[[#This Row],[STATUS PROCESSO DESMOBILIZAÇÃO]]="Em andamento",Tabela6[[#This Row],[DATA REAL - Envio do protocolo]]="",$AH27&lt;=$AF$1),3,
AND(Tabela6[[#This Row],[STATUS PROCESSO DESMOBILIZAÇÃO]]="Em andamento",Tabela6[[#This Row],[DATA REAL - Envio do protocolo]]&lt;&gt;""),1)</f>
        <v>1</v>
      </c>
      <c r="L27"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45463</v>
      </c>
      <c r="M2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7" s="38" t="s">
        <v>83</v>
      </c>
      <c r="Q27" s="38" t="s">
        <v>97</v>
      </c>
      <c r="R27" s="38" t="s">
        <v>88</v>
      </c>
      <c r="S27" s="38" t="s">
        <v>89</v>
      </c>
      <c r="T27" s="38" t="s">
        <v>941</v>
      </c>
      <c r="U27" s="38" t="s">
        <v>161</v>
      </c>
      <c r="V27" s="38" t="str">
        <f>_xlfn.XLOOKUP(Tabela6[[#This Row],[COD. CT]],Controle_Projetos[COD CT],Controle_Projetos[COD PHD],"")</f>
        <v>IMCS-CT06-GCIT</v>
      </c>
      <c r="W27" s="39">
        <v>45463</v>
      </c>
      <c r="X27" s="40">
        <v>45405</v>
      </c>
      <c r="Y27" s="38" cm="1">
        <f t="array" aca="1" ref="Y2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-58</v>
      </c>
      <c r="Z27" s="39">
        <v>45406</v>
      </c>
      <c r="AA27" s="40">
        <v>45405</v>
      </c>
      <c r="AB27" s="38" cm="1">
        <f t="array" aca="1" ref="AB2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27" s="39">
        <f>IF(Tabela6[[#This Row],[DATA PREV - CRACHÁ]]="","",IF(Tabela6[[#This Row],[DATA REAL - CRACHÁ]]="",WORKDAY(Tabela6[[#This Row],[DATA PREV - CRACHÁ]],AC$1,),WORKDAY(Tabela6[[#This Row],[DATA REAL - CRACHÁ]],AC$1,)))</f>
        <v>45407</v>
      </c>
      <c r="AD27" s="40">
        <v>45405</v>
      </c>
      <c r="AE27" s="38" cm="1">
        <f t="array" aca="1" ref="AE2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27" s="39">
        <f>IF(Tabela6[[#This Row],[DATA PREV - ENTR. CRACHÁ]]="","",IF(Tabela6[[#This Row],[DATA REAL - ENTR. CRACHÁ]]="",WORKDAY(Tabela6[[#This Row],[DATA PREV - ENTR. CRACHÁ]],AF$1,),WORKDAY(Tabela6[[#This Row],[DATA REAL - ENTR. CRACHÁ]],AF$1,)))</f>
        <v>45406</v>
      </c>
      <c r="AG27" s="40">
        <v>45405</v>
      </c>
      <c r="AH27" s="38" cm="1">
        <f t="array" aca="1" ref="AH2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7" s="39">
        <f>IF(Tabela6[[#This Row],[DATA PREV - envio do protocolo]]="","",IF(Tabela6[[#This Row],[DATA REAL - Envio do protocolo]]="",WORKDAY(Tabela6[[#This Row],[DATA PREV - envio do protocolo]],AI$1,),WORKDAY(Tabela6[[#This Row],[DATA REAL - Envio do protocolo]],AI$1,)))</f>
        <v>45411</v>
      </c>
      <c r="AJ27" s="40">
        <v>45405</v>
      </c>
      <c r="AK27" s="38" cm="1">
        <f t="array" aca="1" ref="AK2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27" s="38" t="s">
        <v>1242</v>
      </c>
    </row>
    <row r="28" spans="2:38" hidden="1" x14ac:dyDescent="0.35">
      <c r="B28" s="37" t="s">
        <v>79</v>
      </c>
      <c r="C28" s="38" t="s">
        <v>1228</v>
      </c>
      <c r="D28" s="38"/>
      <c r="E28" s="37" t="s">
        <v>81</v>
      </c>
      <c r="F28" s="38" t="s">
        <v>511</v>
      </c>
      <c r="G28" s="38" cm="1">
        <f t="array" aca="1" ref="G2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FORMS]]="",$Y28&gt;$W$1),2,
AND(Tabela6[[#This Row],[STATUS PROCESSO DESMOBILIZAÇÃO]]="Em andamento",Tabela6[[#This Row],[DATA REAL - FORMS]]="",$Y28&lt;=$W$1),3,
AND(Tabela6[[#This Row],[STATUS PROCESSO DESMOBILIZAÇÃO]]="Em andamento",Tabela6[[#This Row],[DATA REAL - FORMS]]&lt;&gt;""),1)</f>
        <v>0</v>
      </c>
      <c r="H28" s="38" cm="1">
        <f t="array" aca="1" ref="H2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CRACHÁ]]="",$AB28&gt;$Z$1),2,
AND(Tabela6[[#This Row],[STATUS PROCESSO DESMOBILIZAÇÃO]]="Em andamento",Tabela6[[#This Row],[DATA REAL - CRACHÁ]]="",$AB28&lt;=$Z$1),3,
AND(Tabela6[[#This Row],[STATUS PROCESSO DESMOBILIZAÇÃO]]="Em andamento",Tabela6[[#This Row],[DATA REAL - CRACHÁ]]&lt;&gt;""),1)</f>
        <v>0</v>
      </c>
      <c r="I28" s="38" cm="1">
        <f t="array" aca="1" ref="I2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CRACHÁ]]="",$AE28&gt;$AC$1),2,
AND(Tabela6[[#This Row],[STATUS PROCESSO DESMOBILIZAÇÃO]]="Em andamento",Tabela6[[#This Row],[DATA REAL - ENTR. CRACHÁ]]="",$AE28&lt;=$AC$1),3,
AND(Tabela6[[#This Row],[STATUS PROCESSO DESMOBILIZAÇÃO]]="Em andamento",Tabela6[[#This Row],[DATA REAL - ENTR. CRACHÁ]]&lt;&gt;""),1)</f>
        <v>0</v>
      </c>
      <c r="J28" s="38" cm="1">
        <f t="array" aca="1" ref="J2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CRACHÁ]]="",$AE28&gt;$AC$1),2,
AND(Tabela6[[#This Row],[STATUS PROCESSO DESMOBILIZAÇÃO]]="Em andamento",Tabela6[[#This Row],[DATA REAL - ENTR. CRACHÁ]]="",$AE28&lt;=$AC$1),3,
AND(Tabela6[[#This Row],[STATUS PROCESSO DESMOBILIZAÇÃO]]="Em andamento",Tabela6[[#This Row],[DATA REAL - ENTR. CRACHÁ]]&lt;&gt;""),1)</f>
        <v>0</v>
      </c>
      <c r="K28" s="38" cm="1">
        <f t="array" aca="1" ref="K2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protocolo]]="",$AH28&gt;$AF$1),2,
AND(Tabela6[[#This Row],[STATUS PROCESSO DESMOBILIZAÇÃO]]="Em andamento",Tabela6[[#This Row],[DATA REAL - Envio do protocolo]]="",$AH28&lt;=$AF$1),3,
AND(Tabela6[[#This Row],[STATUS PROCESSO DESMOBILIZAÇÃO]]="Em andamento",Tabela6[[#This Row],[DATA REAL - Envio do protocolo]]&lt;&gt;""),1)</f>
        <v>0</v>
      </c>
      <c r="L28"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2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8" s="38"/>
      <c r="Q28" s="38"/>
      <c r="R28" s="38"/>
      <c r="S28" s="38"/>
      <c r="T28" s="38"/>
      <c r="U28" s="38" t="s">
        <v>249</v>
      </c>
      <c r="V28" s="38" t="str">
        <f>_xlfn.XLOOKUP(Tabela6[[#This Row],[COD. CT]],Controle_Projetos[COD CT],Controle_Projetos[COD PHD],"")</f>
        <v/>
      </c>
      <c r="W28" s="39"/>
      <c r="X28" s="40"/>
      <c r="Y28" s="38" t="str" cm="1">
        <f t="array" aca="1" ref="Y2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8" s="39" t="s">
        <v>249</v>
      </c>
      <c r="AA28" s="40"/>
      <c r="AB28" s="38" t="str" cm="1">
        <f t="array" aca="1" ref="AB2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28" s="39" t="str">
        <f>IF(Tabela6[[#This Row],[DATA PREV - CRACHÁ]]="","",IF(Tabela6[[#This Row],[DATA REAL - CRACHÁ]]="",WORKDAY(Tabela6[[#This Row],[DATA PREV - CRACHÁ]],AC$1,),WORKDAY(Tabela6[[#This Row],[DATA REAL - CRACHÁ]],AC$1,)))</f>
        <v/>
      </c>
      <c r="AD28" s="40"/>
      <c r="AE28" s="38" t="str" cm="1">
        <f t="array" aca="1" ref="AE2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28" s="39" t="str">
        <f>IF(Tabela6[[#This Row],[DATA PREV - ENTR. CRACHÁ]]="","",IF(Tabela6[[#This Row],[DATA REAL - ENTR. CRACHÁ]]="",WORKDAY(Tabela6[[#This Row],[DATA PREV - ENTR. CRACHÁ]],AF$1,),WORKDAY(Tabela6[[#This Row],[DATA REAL - ENTR. CRACHÁ]],AF$1,)))</f>
        <v/>
      </c>
      <c r="AG28" s="40"/>
      <c r="AH28" s="38" t="str" cm="1">
        <f t="array" aca="1" ref="AH2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28" s="39" t="str">
        <f>IF(Tabela6[[#This Row],[DATA PREV - envio do protocolo]]="","",IF(Tabela6[[#This Row],[DATA REAL - Envio do protocolo]]="",WORKDAY(Tabela6[[#This Row],[DATA PREV - envio do protocolo]],AI$1,),WORKDAY(Tabela6[[#This Row],[DATA REAL - Envio do protocolo]],AI$1,)))</f>
        <v/>
      </c>
      <c r="AJ28" s="40"/>
      <c r="AK28" s="38" t="str" cm="1">
        <f t="array" aca="1" ref="AK2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28" s="38"/>
    </row>
    <row r="29" spans="2:38" hidden="1" x14ac:dyDescent="0.35">
      <c r="B29" s="37" t="s">
        <v>79</v>
      </c>
      <c r="C29" s="38" t="s">
        <v>1214</v>
      </c>
      <c r="D29" s="38"/>
      <c r="E29" s="37" t="s">
        <v>81</v>
      </c>
      <c r="F29" s="38" t="s">
        <v>443</v>
      </c>
      <c r="G29" s="38" cm="1">
        <f t="array" aca="1" ref="G2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FORMS]]="",$Y29&gt;$W$1),2,
AND(Tabela6[[#This Row],[STATUS PROCESSO DESMOBILIZAÇÃO]]="Em andamento",Tabela6[[#This Row],[DATA REAL - FORMS]]="",$Y29&lt;=$W$1),3,
AND(Tabela6[[#This Row],[STATUS PROCESSO DESMOBILIZAÇÃO]]="Em andamento",Tabela6[[#This Row],[DATA REAL - FORMS]]&lt;&gt;""),1)</f>
        <v>0</v>
      </c>
      <c r="H29" s="38" cm="1">
        <f t="array" aca="1" ref="H2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CRACHÁ]]="",$AB29&gt;$Z$1),2,
AND(Tabela6[[#This Row],[STATUS PROCESSO DESMOBILIZAÇÃO]]="Em andamento",Tabela6[[#This Row],[DATA REAL - CRACHÁ]]="",$AB29&lt;=$Z$1),3,
AND(Tabela6[[#This Row],[STATUS PROCESSO DESMOBILIZAÇÃO]]="Em andamento",Tabela6[[#This Row],[DATA REAL - CRACHÁ]]&lt;&gt;""),1)</f>
        <v>1</v>
      </c>
      <c r="I29" s="38" cm="1">
        <f t="array" aca="1" ref="I2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CRACHÁ]]="",$AE29&gt;$AC$1),2,
AND(Tabela6[[#This Row],[STATUS PROCESSO DESMOBILIZAÇÃO]]="Em andamento",Tabela6[[#This Row],[DATA REAL - ENTR. CRACHÁ]]="",$AE29&lt;=$AC$1),3,
AND(Tabela6[[#This Row],[STATUS PROCESSO DESMOBILIZAÇÃO]]="Em andamento",Tabela6[[#This Row],[DATA REAL - ENTR. CRACHÁ]]&lt;&gt;""),1)</f>
        <v>1</v>
      </c>
      <c r="J29" s="38" cm="1">
        <f t="array" aca="1" ref="J2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CRACHÁ]]="",$AE29&gt;$AC$1),2,
AND(Tabela6[[#This Row],[STATUS PROCESSO DESMOBILIZAÇÃO]]="Em andamento",Tabela6[[#This Row],[DATA REAL - ENTR. CRACHÁ]]="",$AE29&lt;=$AC$1),3,
AND(Tabela6[[#This Row],[STATUS PROCESSO DESMOBILIZAÇÃO]]="Em andamento",Tabela6[[#This Row],[DATA REAL - ENTR. CRACHÁ]]&lt;&gt;""),1)</f>
        <v>1</v>
      </c>
      <c r="K29" s="38" cm="1">
        <f t="array" aca="1" ref="K2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protocolo]]="",$AH29&gt;$AF$1),2,
AND(Tabela6[[#This Row],[STATUS PROCESSO DESMOBILIZAÇÃO]]="Em andamento",Tabela6[[#This Row],[DATA REAL - Envio do protocolo]]="",$AH29&lt;=$AF$1),3,
AND(Tabela6[[#This Row],[STATUS PROCESSO DESMOBILIZAÇÃO]]="Em andamento",Tabela6[[#This Row],[DATA REAL - Envio do protocolo]]&lt;&gt;""),1)</f>
        <v>1</v>
      </c>
      <c r="L29"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45490</v>
      </c>
      <c r="M2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2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2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29" s="38" t="s">
        <v>172</v>
      </c>
      <c r="Q29" s="38" t="s">
        <v>97</v>
      </c>
      <c r="R29" s="38" t="s">
        <v>88</v>
      </c>
      <c r="S29" s="38" t="s">
        <v>89</v>
      </c>
      <c r="T29" s="38" t="s">
        <v>893</v>
      </c>
      <c r="U29" s="38" t="s">
        <v>249</v>
      </c>
      <c r="V29" s="38" t="str">
        <f>_xlfn.XLOOKUP(Tabela6[[#This Row],[COD. CT]],Controle_Projetos[COD CT],Controle_Projetos[COD PHD],"")</f>
        <v/>
      </c>
      <c r="W29" s="39"/>
      <c r="X29" s="40"/>
      <c r="Y29" s="38" t="str" cm="1">
        <f t="array" aca="1" ref="Y2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29" s="39">
        <v>45484</v>
      </c>
      <c r="AA29" s="40">
        <v>45484</v>
      </c>
      <c r="AB29" s="38" cm="1">
        <f t="array" aca="1" ref="AB2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29" s="39">
        <f>IF(Tabela6[[#This Row],[DATA PREV - CRACHÁ]]="","",IF(Tabela6[[#This Row],[DATA REAL - CRACHÁ]]="",WORKDAY(Tabela6[[#This Row],[DATA PREV - CRACHÁ]],AC$1,),WORKDAY(Tabela6[[#This Row],[DATA REAL - CRACHÁ]],AC$1,)))</f>
        <v>45488</v>
      </c>
      <c r="AD29" s="40">
        <v>45484</v>
      </c>
      <c r="AE29" s="38" cm="1">
        <f t="array" aca="1" ref="AE2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29" s="39">
        <f>IF(Tabela6[[#This Row],[DATA PREV - ENTR. CRACHÁ]]="","",IF(Tabela6[[#This Row],[DATA REAL - ENTR. CRACHÁ]]="",WORKDAY(Tabela6[[#This Row],[DATA PREV - ENTR. CRACHÁ]],AF$1,),WORKDAY(Tabela6[[#This Row],[DATA REAL - ENTR. CRACHÁ]],AF$1,)))</f>
        <v>45485</v>
      </c>
      <c r="AG29" s="40">
        <v>45484</v>
      </c>
      <c r="AH29" s="38" cm="1">
        <f t="array" aca="1" ref="AH2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29" s="39">
        <f>IF(Tabela6[[#This Row],[DATA PREV - envio do protocolo]]="","",IF(Tabela6[[#This Row],[DATA REAL - Envio do protocolo]]="",WORKDAY(Tabela6[[#This Row],[DATA PREV - envio do protocolo]],AI$1,),WORKDAY(Tabela6[[#This Row],[DATA REAL - Envio do protocolo]],AI$1,)))</f>
        <v>45490</v>
      </c>
      <c r="AJ29" s="40"/>
      <c r="AK29" s="38" cm="1">
        <f t="array" aca="1" ref="AK2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29" s="38" t="s">
        <v>1243</v>
      </c>
    </row>
    <row r="30" spans="2:38" hidden="1" x14ac:dyDescent="0.35">
      <c r="B30" s="37" t="s">
        <v>79</v>
      </c>
      <c r="C30" s="38" t="s">
        <v>1214</v>
      </c>
      <c r="D30" s="38"/>
      <c r="E30" s="37" t="s">
        <v>81</v>
      </c>
      <c r="F30" s="38" t="s">
        <v>526</v>
      </c>
      <c r="G30" s="38" cm="1">
        <f t="array" aca="1" ref="G3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FORMS]]="",$Y30&gt;$W$1),2,
AND(Tabela6[[#This Row],[STATUS PROCESSO DESMOBILIZAÇÃO]]="Em andamento",Tabela6[[#This Row],[DATA REAL - FORMS]]="",$Y30&lt;=$W$1),3,
AND(Tabela6[[#This Row],[STATUS PROCESSO DESMOBILIZAÇÃO]]="Em andamento",Tabela6[[#This Row],[DATA REAL - FORMS]]&lt;&gt;""),1)</f>
        <v>1</v>
      </c>
      <c r="H30" s="38" cm="1">
        <f t="array" aca="1" ref="H3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CRACHÁ]]="",$AB30&gt;$Z$1),2,
AND(Tabela6[[#This Row],[STATUS PROCESSO DESMOBILIZAÇÃO]]="Em andamento",Tabela6[[#This Row],[DATA REAL - CRACHÁ]]="",$AB30&lt;=$Z$1),3,
AND(Tabela6[[#This Row],[STATUS PROCESSO DESMOBILIZAÇÃO]]="Em andamento",Tabela6[[#This Row],[DATA REAL - CRACHÁ]]&lt;&gt;""),1)</f>
        <v>1</v>
      </c>
      <c r="I30" s="38" cm="1">
        <f t="array" aca="1" ref="I3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CRACHÁ]]="",$AE30&gt;$AC$1),2,
AND(Tabela6[[#This Row],[STATUS PROCESSO DESMOBILIZAÇÃO]]="Em andamento",Tabela6[[#This Row],[DATA REAL - ENTR. CRACHÁ]]="",$AE30&lt;=$AC$1),3,
AND(Tabela6[[#This Row],[STATUS PROCESSO DESMOBILIZAÇÃO]]="Em andamento",Tabela6[[#This Row],[DATA REAL - ENTR. CRACHÁ]]&lt;&gt;""),1)</f>
        <v>1</v>
      </c>
      <c r="J30" s="38" cm="1">
        <f t="array" aca="1" ref="J3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CRACHÁ]]="",$AE30&gt;$AC$1),2,
AND(Tabela6[[#This Row],[STATUS PROCESSO DESMOBILIZAÇÃO]]="Em andamento",Tabela6[[#This Row],[DATA REAL - ENTR. CRACHÁ]]="",$AE30&lt;=$AC$1),3,
AND(Tabela6[[#This Row],[STATUS PROCESSO DESMOBILIZAÇÃO]]="Em andamento",Tabela6[[#This Row],[DATA REAL - ENTR. CRACHÁ]]&lt;&gt;""),1)</f>
        <v>1</v>
      </c>
      <c r="K30" s="38" cm="1">
        <f t="array" aca="1" ref="K3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protocolo]]="",$AH30&gt;$AF$1),2,
AND(Tabela6[[#This Row],[STATUS PROCESSO DESMOBILIZAÇÃO]]="Em andamento",Tabela6[[#This Row],[DATA REAL - Envio do protocolo]]="",$AH30&lt;=$AF$1),3,
AND(Tabela6[[#This Row],[STATUS PROCESSO DESMOBILIZAÇÃO]]="Em andamento",Tabela6[[#This Row],[DATA REAL - Envio do protocolo]]&lt;&gt;""),1)</f>
        <v>1</v>
      </c>
      <c r="L30"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45496</v>
      </c>
      <c r="M3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0" s="38" t="s">
        <v>158</v>
      </c>
      <c r="Q30" s="38" t="s">
        <v>97</v>
      </c>
      <c r="R30" s="38" t="s">
        <v>901</v>
      </c>
      <c r="S30" s="38" t="s">
        <v>89</v>
      </c>
      <c r="T30" s="38" t="s">
        <v>99</v>
      </c>
      <c r="U30" s="38" t="s">
        <v>1244</v>
      </c>
      <c r="V30" s="38" t="str">
        <f>_xlfn.XLOOKUP(Tabela6[[#This Row],[COD. CT]],Controle_Projetos[COD CT],Controle_Projetos[COD PHD],"")</f>
        <v>ENGM-CT01-TANQ</v>
      </c>
      <c r="W30" s="39">
        <v>45490</v>
      </c>
      <c r="X30" s="40">
        <v>45490</v>
      </c>
      <c r="Y30" s="38" cm="1">
        <f t="array" aca="1" ref="Y3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30" s="39">
        <v>45491</v>
      </c>
      <c r="AA30" s="40">
        <v>45490</v>
      </c>
      <c r="AB30" s="38" cm="1">
        <f t="array" aca="1" ref="AB3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30" s="39">
        <f>IF(Tabela6[[#This Row],[DATA PREV - CRACHÁ]]="","",IF(Tabela6[[#This Row],[DATA REAL - CRACHÁ]]="",WORKDAY(Tabela6[[#This Row],[DATA PREV - CRACHÁ]],AC$1,),WORKDAY(Tabela6[[#This Row],[DATA REAL - CRACHÁ]],AC$1,)))</f>
        <v>45492</v>
      </c>
      <c r="AD30" s="40">
        <v>45490</v>
      </c>
      <c r="AE30" s="38" cm="1">
        <f t="array" aca="1" ref="AE3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30" s="39">
        <f>IF(Tabela6[[#This Row],[DATA PREV - ENTR. CRACHÁ]]="","",IF(Tabela6[[#This Row],[DATA REAL - ENTR. CRACHÁ]]="",WORKDAY(Tabela6[[#This Row],[DATA PREV - ENTR. CRACHÁ]],AF$1,),WORKDAY(Tabela6[[#This Row],[DATA REAL - ENTR. CRACHÁ]],AF$1,)))</f>
        <v>45491</v>
      </c>
      <c r="AG30" s="40">
        <v>45490</v>
      </c>
      <c r="AH30" s="38" cm="1">
        <f t="array" aca="1" ref="AH3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30" s="39">
        <f>IF(Tabela6[[#This Row],[DATA PREV - envio do protocolo]]="","",IF(Tabela6[[#This Row],[DATA REAL - Envio do protocolo]]="",WORKDAY(Tabela6[[#This Row],[DATA PREV - envio do protocolo]],AI$1,),WORKDAY(Tabela6[[#This Row],[DATA REAL - Envio do protocolo]],AI$1,)))</f>
        <v>45496</v>
      </c>
      <c r="AJ30" s="40"/>
      <c r="AK30" s="38" cm="1">
        <f t="array" aca="1" ref="AK3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30" s="38" t="s">
        <v>1245</v>
      </c>
    </row>
    <row r="31" spans="2:38" hidden="1" x14ac:dyDescent="0.35">
      <c r="B31" s="37" t="s">
        <v>79</v>
      </c>
      <c r="C31" s="38" t="s">
        <v>1214</v>
      </c>
      <c r="D31" s="38"/>
      <c r="E31" s="37" t="s">
        <v>81</v>
      </c>
      <c r="F31" s="38" t="s">
        <v>459</v>
      </c>
      <c r="G31" s="38" cm="1">
        <f t="array" aca="1" ref="G3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FORMS]]="",$Y31&gt;$W$1),2,
AND(Tabela6[[#This Row],[STATUS PROCESSO DESMOBILIZAÇÃO]]="Em andamento",Tabela6[[#This Row],[DATA REAL - FORMS]]="",$Y31&lt;=$W$1),3,
AND(Tabela6[[#This Row],[STATUS PROCESSO DESMOBILIZAÇÃO]]="Em andamento",Tabela6[[#This Row],[DATA REAL - FORMS]]&lt;&gt;""),1)</f>
        <v>0</v>
      </c>
      <c r="H31" s="38" cm="1">
        <f t="array" aca="1" ref="H3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CRACHÁ]]="",$AB31&gt;$Z$1),2,
AND(Tabela6[[#This Row],[STATUS PROCESSO DESMOBILIZAÇÃO]]="Em andamento",Tabela6[[#This Row],[DATA REAL - CRACHÁ]]="",$AB31&lt;=$Z$1),3,
AND(Tabela6[[#This Row],[STATUS PROCESSO DESMOBILIZAÇÃO]]="Em andamento",Tabela6[[#This Row],[DATA REAL - CRACHÁ]]&lt;&gt;""),1)</f>
        <v>1</v>
      </c>
      <c r="I31" s="38" cm="1">
        <f t="array" aca="1" ref="I3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CRACHÁ]]="",$AE31&gt;$AC$1),2,
AND(Tabela6[[#This Row],[STATUS PROCESSO DESMOBILIZAÇÃO]]="Em andamento",Tabela6[[#This Row],[DATA REAL - ENTR. CRACHÁ]]="",$AE31&lt;=$AC$1),3,
AND(Tabela6[[#This Row],[STATUS PROCESSO DESMOBILIZAÇÃO]]="Em andamento",Tabela6[[#This Row],[DATA REAL - ENTR. CRACHÁ]]&lt;&gt;""),1)</f>
        <v>1</v>
      </c>
      <c r="J31" s="38" cm="1">
        <f t="array" aca="1" ref="J3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CRACHÁ]]="",$AE31&gt;$AC$1),2,
AND(Tabela6[[#This Row],[STATUS PROCESSO DESMOBILIZAÇÃO]]="Em andamento",Tabela6[[#This Row],[DATA REAL - ENTR. CRACHÁ]]="",$AE31&lt;=$AC$1),3,
AND(Tabela6[[#This Row],[STATUS PROCESSO DESMOBILIZAÇÃO]]="Em andamento",Tabela6[[#This Row],[DATA REAL - ENTR. CRACHÁ]]&lt;&gt;""),1)</f>
        <v>1</v>
      </c>
      <c r="K31" s="38" cm="1">
        <f t="array" aca="1" ref="K3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protocolo]]="",$AH31&gt;$AF$1),2,
AND(Tabela6[[#This Row],[STATUS PROCESSO DESMOBILIZAÇÃO]]="Em andamento",Tabela6[[#This Row],[DATA REAL - Envio do protocolo]]="",$AH31&lt;=$AF$1),3,
AND(Tabela6[[#This Row],[STATUS PROCESSO DESMOBILIZAÇÃO]]="Em andamento",Tabela6[[#This Row],[DATA REAL - Envio do protocolo]]&lt;&gt;""),1)</f>
        <v>1</v>
      </c>
      <c r="L3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45492</v>
      </c>
      <c r="M3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1" s="38" t="s">
        <v>172</v>
      </c>
      <c r="Q31" s="38" t="s">
        <v>97</v>
      </c>
      <c r="R31" s="38" t="s">
        <v>252</v>
      </c>
      <c r="S31" s="38" t="s">
        <v>89</v>
      </c>
      <c r="T31" s="38" t="s">
        <v>253</v>
      </c>
      <c r="U31" s="38" t="s">
        <v>254</v>
      </c>
      <c r="V31" s="38" t="str">
        <f>_xlfn.XLOOKUP(Tabela6[[#This Row],[COD. CT]],Controle_Projetos[COD CT],Controle_Projetos[COD PHD],"")</f>
        <v>MILP-CT04-TCLD</v>
      </c>
      <c r="W31" s="39"/>
      <c r="X31" s="40"/>
      <c r="Y31" s="38" t="str" cm="1">
        <f t="array" aca="1" ref="Y3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1" s="39">
        <v>45488</v>
      </c>
      <c r="AA31" s="40">
        <v>45488</v>
      </c>
      <c r="AB31" s="38" cm="1">
        <f t="array" aca="1" ref="AB3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31" s="39">
        <f>IF(Tabela6[[#This Row],[DATA PREV - CRACHÁ]]="","",IF(Tabela6[[#This Row],[DATA REAL - CRACHÁ]]="",WORKDAY(Tabela6[[#This Row],[DATA PREV - CRACHÁ]],AC$1,),WORKDAY(Tabela6[[#This Row],[DATA REAL - CRACHÁ]],AC$1,)))</f>
        <v>45490</v>
      </c>
      <c r="AD31" s="40">
        <v>45488</v>
      </c>
      <c r="AE31" s="38" cm="1">
        <f t="array" aca="1" ref="AE3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31" s="39">
        <f>IF(Tabela6[[#This Row],[DATA PREV - ENTR. CRACHÁ]]="","",IF(Tabela6[[#This Row],[DATA REAL - ENTR. CRACHÁ]]="",WORKDAY(Tabela6[[#This Row],[DATA PREV - ENTR. CRACHÁ]],AF$1,),WORKDAY(Tabela6[[#This Row],[DATA REAL - ENTR. CRACHÁ]],AF$1,)))</f>
        <v>45489</v>
      </c>
      <c r="AG31" s="40">
        <v>45488</v>
      </c>
      <c r="AH31" s="38" cm="1">
        <f t="array" aca="1" ref="AH3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31" s="39">
        <f>IF(Tabela6[[#This Row],[DATA PREV - envio do protocolo]]="","",IF(Tabela6[[#This Row],[DATA REAL - Envio do protocolo]]="",WORKDAY(Tabela6[[#This Row],[DATA PREV - envio do protocolo]],AI$1,),WORKDAY(Tabela6[[#This Row],[DATA REAL - Envio do protocolo]],AI$1,)))</f>
        <v>45492</v>
      </c>
      <c r="AJ31" s="40"/>
      <c r="AK31" s="38" cm="1">
        <f t="array" aca="1" ref="AK3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31" s="38" t="s">
        <v>1246</v>
      </c>
    </row>
    <row r="32" spans="2:38" hidden="1" x14ac:dyDescent="0.35">
      <c r="B32" s="37" t="s">
        <v>79</v>
      </c>
      <c r="C32" s="38" t="s">
        <v>1214</v>
      </c>
      <c r="D32" s="38"/>
      <c r="E32" s="37" t="s">
        <v>81</v>
      </c>
      <c r="F32" s="38" t="s">
        <v>367</v>
      </c>
      <c r="G32" s="38" cm="1">
        <f t="array" aca="1" ref="G3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FORMS]]="",$Y32&gt;$W$1),2,
AND(Tabela6[[#This Row],[STATUS PROCESSO DESMOBILIZAÇÃO]]="Em andamento",Tabela6[[#This Row],[DATA REAL - FORMS]]="",$Y32&lt;=$W$1),3,
AND(Tabela6[[#This Row],[STATUS PROCESSO DESMOBILIZAÇÃO]]="Em andamento",Tabela6[[#This Row],[DATA REAL - FORMS]]&lt;&gt;""),1)</f>
        <v>0</v>
      </c>
      <c r="H32" s="38" cm="1">
        <f t="array" aca="1" ref="H3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CRACHÁ]]="",$AB32&gt;$Z$1),2,
AND(Tabela6[[#This Row],[STATUS PROCESSO DESMOBILIZAÇÃO]]="Em andamento",Tabela6[[#This Row],[DATA REAL - CRACHÁ]]="",$AB32&lt;=$Z$1),3,
AND(Tabela6[[#This Row],[STATUS PROCESSO DESMOBILIZAÇÃO]]="Em andamento",Tabela6[[#This Row],[DATA REAL - CRACHÁ]]&lt;&gt;""),1)</f>
        <v>1</v>
      </c>
      <c r="I32" s="38" cm="1">
        <f t="array" aca="1" ref="I3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CRACHÁ]]="",$AE32&gt;$AC$1),2,
AND(Tabela6[[#This Row],[STATUS PROCESSO DESMOBILIZAÇÃO]]="Em andamento",Tabela6[[#This Row],[DATA REAL - ENTR. CRACHÁ]]="",$AE32&lt;=$AC$1),3,
AND(Tabela6[[#This Row],[STATUS PROCESSO DESMOBILIZAÇÃO]]="Em andamento",Tabela6[[#This Row],[DATA REAL - ENTR. CRACHÁ]]&lt;&gt;""),1)</f>
        <v>1</v>
      </c>
      <c r="J32" s="38" cm="1">
        <f t="array" aca="1" ref="J3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CRACHÁ]]="",$AE32&gt;$AC$1),2,
AND(Tabela6[[#This Row],[STATUS PROCESSO DESMOBILIZAÇÃO]]="Em andamento",Tabela6[[#This Row],[DATA REAL - ENTR. CRACHÁ]]="",$AE32&lt;=$AC$1),3,
AND(Tabela6[[#This Row],[STATUS PROCESSO DESMOBILIZAÇÃO]]="Em andamento",Tabela6[[#This Row],[DATA REAL - ENTR. CRACHÁ]]&lt;&gt;""),1)</f>
        <v>1</v>
      </c>
      <c r="K32" s="38" cm="1">
        <f t="array" aca="1" ref="K3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protocolo]]="",$AH32&gt;$AF$1),2,
AND(Tabela6[[#This Row],[STATUS PROCESSO DESMOBILIZAÇÃO]]="Em andamento",Tabela6[[#This Row],[DATA REAL - Envio do protocolo]]="",$AH32&lt;=$AF$1),3,
AND(Tabela6[[#This Row],[STATUS PROCESSO DESMOBILIZAÇÃO]]="Em andamento",Tabela6[[#This Row],[DATA REAL - Envio do protocolo]]&lt;&gt;""),1)</f>
        <v>1</v>
      </c>
      <c r="L32"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45493</v>
      </c>
      <c r="M3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9</v>
      </c>
      <c r="N3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9</v>
      </c>
      <c r="P32" s="38" t="s">
        <v>172</v>
      </c>
      <c r="Q32" s="38" t="s">
        <v>97</v>
      </c>
      <c r="R32" s="38" t="s">
        <v>179</v>
      </c>
      <c r="S32" s="38" t="s">
        <v>89</v>
      </c>
      <c r="T32" s="38" t="s">
        <v>253</v>
      </c>
      <c r="U32" s="38" t="s">
        <v>939</v>
      </c>
      <c r="V32" s="38" t="str">
        <f>_xlfn.XLOOKUP(Tabela6[[#This Row],[COD. CT]],Controle_Projetos[COD CT],Controle_Projetos[COD PHD],"")</f>
        <v>PARE-CT06-OFIC</v>
      </c>
      <c r="W32" s="39"/>
      <c r="X32" s="40"/>
      <c r="Y32" s="38" t="str" cm="1">
        <f t="array" aca="1" ref="Y3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2" s="39">
        <v>45485</v>
      </c>
      <c r="AA32" s="40">
        <v>45485</v>
      </c>
      <c r="AB32" s="38" cm="1">
        <f t="array" aca="1" ref="AB3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32" s="39">
        <f>IF(Tabela6[[#This Row],[DATA PREV - CRACHÁ]]="","",IF(Tabela6[[#This Row],[DATA REAL - CRACHÁ]]="",WORKDAY(Tabela6[[#This Row],[DATA PREV - CRACHÁ]],AC$1,),WORKDAY(Tabela6[[#This Row],[DATA REAL - CRACHÁ]],AC$1,)))</f>
        <v>45489</v>
      </c>
      <c r="AD32" s="40">
        <v>45485</v>
      </c>
      <c r="AE32" s="38" cm="1">
        <f t="array" aca="1" ref="AE3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32" s="39">
        <f>IF(Tabela6[[#This Row],[DATA PREV - ENTR. CRACHÁ]]="","",IF(Tabela6[[#This Row],[DATA REAL - ENTR. CRACHÁ]]="",WORKDAY(Tabela6[[#This Row],[DATA PREV - ENTR. CRACHÁ]],AF$1,),WORKDAY(Tabela6[[#This Row],[DATA REAL - ENTR. CRACHÁ]],AF$1,)))</f>
        <v>45488</v>
      </c>
      <c r="AG32" s="40">
        <v>45484</v>
      </c>
      <c r="AH32" s="38" cm="1">
        <f t="array" aca="1" ref="AH3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-4</v>
      </c>
      <c r="AI32" s="39">
        <f>IF(Tabela6[[#This Row],[DATA PREV - envio do protocolo]]="","",IF(Tabela6[[#This Row],[DATA REAL - Envio do protocolo]]="",WORKDAY(Tabela6[[#This Row],[DATA PREV - envio do protocolo]],AI$1,),WORKDAY(Tabela6[[#This Row],[DATA REAL - Envio do protocolo]],AI$1,)))</f>
        <v>45490</v>
      </c>
      <c r="AJ32" s="40">
        <v>45493</v>
      </c>
      <c r="AK32" s="38" cm="1">
        <f t="array" aca="1" ref="AK3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3</v>
      </c>
      <c r="AL32" s="38" t="s">
        <v>1247</v>
      </c>
    </row>
    <row r="33" spans="2:38" hidden="1" x14ac:dyDescent="0.35">
      <c r="B33" s="37" t="s">
        <v>79</v>
      </c>
      <c r="C33" s="38" t="s">
        <v>1228</v>
      </c>
      <c r="D33" s="38">
        <v>45474</v>
      </c>
      <c r="E33" s="37" t="s">
        <v>81</v>
      </c>
      <c r="F33" s="38" t="s">
        <v>188</v>
      </c>
      <c r="G33" s="38" cm="1">
        <f t="array" aca="1" ref="G3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FORMS]]="",$Y33&gt;$W$1),2,
AND(Tabela6[[#This Row],[STATUS PROCESSO DESMOBILIZAÇÃO]]="Em andamento",Tabela6[[#This Row],[DATA REAL - FORMS]]="",$Y33&lt;=$W$1),3,
AND(Tabela6[[#This Row],[STATUS PROCESSO DESMOBILIZAÇÃO]]="Em andamento",Tabela6[[#This Row],[DATA REAL - FORMS]]&lt;&gt;""),1)</f>
        <v>1</v>
      </c>
      <c r="H33" s="38" cm="1">
        <f t="array" aca="1" ref="H3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CRACHÁ]]="",$AB33&gt;$Z$1),2,
AND(Tabela6[[#This Row],[STATUS PROCESSO DESMOBILIZAÇÃO]]="Em andamento",Tabela6[[#This Row],[DATA REAL - CRACHÁ]]="",$AB33&lt;=$Z$1),3,
AND(Tabela6[[#This Row],[STATUS PROCESSO DESMOBILIZAÇÃO]]="Em andamento",Tabela6[[#This Row],[DATA REAL - CRACHÁ]]&lt;&gt;""),1)</f>
        <v>1</v>
      </c>
      <c r="I33" s="38" cm="1">
        <f t="array" aca="1" ref="I3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CRACHÁ]]="",$AE33&gt;$AC$1),2,
AND(Tabela6[[#This Row],[STATUS PROCESSO DESMOBILIZAÇÃO]]="Em andamento",Tabela6[[#This Row],[DATA REAL - ENTR. CRACHÁ]]="",$AE33&lt;=$AC$1),3,
AND(Tabela6[[#This Row],[STATUS PROCESSO DESMOBILIZAÇÃO]]="Em andamento",Tabela6[[#This Row],[DATA REAL - ENTR. CRACHÁ]]&lt;&gt;""),1)</f>
        <v>1</v>
      </c>
      <c r="J33" s="38" cm="1">
        <f t="array" aca="1" ref="J3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CRACHÁ]]="",$AE33&gt;$AC$1),2,
AND(Tabela6[[#This Row],[STATUS PROCESSO DESMOBILIZAÇÃO]]="Em andamento",Tabela6[[#This Row],[DATA REAL - ENTR. CRACHÁ]]="",$AE33&lt;=$AC$1),3,
AND(Tabela6[[#This Row],[STATUS PROCESSO DESMOBILIZAÇÃO]]="Em andamento",Tabela6[[#This Row],[DATA REAL - ENTR. CRACHÁ]]&lt;&gt;""),1)</f>
        <v>1</v>
      </c>
      <c r="K33" s="38" cm="1">
        <f t="array" aca="1" ref="K3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protocolo]]="",$AH33&gt;$AF$1),2,
AND(Tabela6[[#This Row],[STATUS PROCESSO DESMOBILIZAÇÃO]]="Em andamento",Tabela6[[#This Row],[DATA REAL - Envio do protocolo]]="",$AH33&lt;=$AF$1),3,
AND(Tabela6[[#This Row],[STATUS PROCESSO DESMOBILIZAÇÃO]]="Em andamento",Tabela6[[#This Row],[DATA REAL - Envio do protocolo]]&lt;&gt;""),1)</f>
        <v>1</v>
      </c>
      <c r="L33"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45498</v>
      </c>
      <c r="M3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24</v>
      </c>
      <c r="N3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11</v>
      </c>
      <c r="O3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v>
      </c>
      <c r="P33" s="38" t="s">
        <v>83</v>
      </c>
      <c r="Q33" s="38" t="s">
        <v>87</v>
      </c>
      <c r="R33" s="38" t="s">
        <v>88</v>
      </c>
      <c r="S33" s="38" t="s">
        <v>89</v>
      </c>
      <c r="T33" s="38" t="s">
        <v>872</v>
      </c>
      <c r="U33" s="38" t="s">
        <v>873</v>
      </c>
      <c r="V33" s="38" t="str">
        <f>_xlfn.XLOOKUP(Tabela6[[#This Row],[COD. CT]],Controle_Projetos[COD CT],Controle_Projetos[COD PHD],"")</f>
        <v>IMCS-CT02-AVCB</v>
      </c>
      <c r="W33" s="39">
        <v>45474</v>
      </c>
      <c r="X33" s="40">
        <v>45474</v>
      </c>
      <c r="Y33" s="38" cm="1">
        <f t="array" aca="1" ref="Y3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33" s="39">
        <v>45475</v>
      </c>
      <c r="AA33" s="40">
        <v>45474</v>
      </c>
      <c r="AB33" s="38" cm="1">
        <f t="array" aca="1" ref="AB3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33" s="39">
        <f>IF(Tabela6[[#This Row],[DATA PREV - CRACHÁ]]="","",IF(Tabela6[[#This Row],[DATA REAL - CRACHÁ]]="",WORKDAY(Tabela6[[#This Row],[DATA PREV - CRACHÁ]],AC$1,),WORKDAY(Tabela6[[#This Row],[DATA REAL - CRACHÁ]],AC$1,)))</f>
        <v>45476</v>
      </c>
      <c r="AD33" s="40">
        <v>45485</v>
      </c>
      <c r="AE33" s="38" cm="1">
        <f t="array" aca="1" ref="AE3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9</v>
      </c>
      <c r="AF33" s="39">
        <f>IF(Tabela6[[#This Row],[DATA PREV - ENTR. CRACHÁ]]="","",IF(Tabela6[[#This Row],[DATA REAL - ENTR. CRACHÁ]]="",WORKDAY(Tabela6[[#This Row],[DATA PREV - ENTR. CRACHÁ]],AF$1,),WORKDAY(Tabela6[[#This Row],[DATA REAL - ENTR. CRACHÁ]],AF$1,)))</f>
        <v>45488</v>
      </c>
      <c r="AG33" s="40">
        <v>45492</v>
      </c>
      <c r="AH33" s="38" cm="1">
        <f t="array" aca="1" ref="AH3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4</v>
      </c>
      <c r="AI33" s="39">
        <f>IF(Tabela6[[#This Row],[DATA PREV - envio do protocolo]]="","",IF(Tabela6[[#This Row],[DATA REAL - Envio do protocolo]]="",WORKDAY(Tabela6[[#This Row],[DATA PREV - envio do protocolo]],AI$1,),WORKDAY(Tabela6[[#This Row],[DATA REAL - Envio do protocolo]],AI$1,)))</f>
        <v>45498</v>
      </c>
      <c r="AJ33" s="40">
        <v>45498</v>
      </c>
      <c r="AK33" s="38" cm="1">
        <f t="array" aca="1" ref="AK3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33" s="38" t="s">
        <v>1248</v>
      </c>
    </row>
    <row r="34" spans="2:38" hidden="1" x14ac:dyDescent="0.35">
      <c r="B34" s="37" t="s">
        <v>79</v>
      </c>
      <c r="C34" s="38" t="s">
        <v>1214</v>
      </c>
      <c r="D34" s="38"/>
      <c r="E34" s="37" t="s">
        <v>81</v>
      </c>
      <c r="F34" s="38" t="s">
        <v>285</v>
      </c>
      <c r="G34" s="38" cm="1">
        <f t="array" aca="1" ref="G3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FORMS]]="",$Y34&gt;$W$1),2,
AND(Tabela6[[#This Row],[STATUS PROCESSO DESMOBILIZAÇÃO]]="Em andamento",Tabela6[[#This Row],[DATA REAL - FORMS]]="",$Y34&lt;=$W$1),3,
AND(Tabela6[[#This Row],[STATUS PROCESSO DESMOBILIZAÇÃO]]="Em andamento",Tabela6[[#This Row],[DATA REAL - FORMS]]&lt;&gt;""),1)</f>
        <v>1</v>
      </c>
      <c r="H34" s="38" cm="1">
        <f t="array" aca="1" ref="H3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CRACHÁ]]="",$AB34&gt;$Z$1),2,
AND(Tabela6[[#This Row],[STATUS PROCESSO DESMOBILIZAÇÃO]]="Em andamento",Tabela6[[#This Row],[DATA REAL - CRACHÁ]]="",$AB34&lt;=$Z$1),3,
AND(Tabela6[[#This Row],[STATUS PROCESSO DESMOBILIZAÇÃO]]="Em andamento",Tabela6[[#This Row],[DATA REAL - CRACHÁ]]&lt;&gt;""),1)</f>
        <v>1</v>
      </c>
      <c r="I34" s="38" cm="1">
        <f t="array" aca="1" ref="I3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CRACHÁ]]="",$AE34&gt;$AC$1),2,
AND(Tabela6[[#This Row],[STATUS PROCESSO DESMOBILIZAÇÃO]]="Em andamento",Tabela6[[#This Row],[DATA REAL - ENTR. CRACHÁ]]="",$AE34&lt;=$AC$1),3,
AND(Tabela6[[#This Row],[STATUS PROCESSO DESMOBILIZAÇÃO]]="Em andamento",Tabela6[[#This Row],[DATA REAL - ENTR. CRACHÁ]]&lt;&gt;""),1)</f>
        <v>1</v>
      </c>
      <c r="J34" s="38" cm="1">
        <f t="array" aca="1" ref="J3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CRACHÁ]]="",$AE34&gt;$AC$1),2,
AND(Tabela6[[#This Row],[STATUS PROCESSO DESMOBILIZAÇÃO]]="Em andamento",Tabela6[[#This Row],[DATA REAL - ENTR. CRACHÁ]]="",$AE34&lt;=$AC$1),3,
AND(Tabela6[[#This Row],[STATUS PROCESSO DESMOBILIZAÇÃO]]="Em andamento",Tabela6[[#This Row],[DATA REAL - ENTR. CRACHÁ]]&lt;&gt;""),1)</f>
        <v>1</v>
      </c>
      <c r="K34" s="38" cm="1">
        <f t="array" aca="1" ref="K3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protocolo]]="",$AH34&gt;$AF$1),2,
AND(Tabela6[[#This Row],[STATUS PROCESSO DESMOBILIZAÇÃO]]="Em andamento",Tabela6[[#This Row],[DATA REAL - Envio do protocolo]]="",$AH34&lt;=$AF$1),3,
AND(Tabela6[[#This Row],[STATUS PROCESSO DESMOBILIZAÇÃO]]="Em andamento",Tabela6[[#This Row],[DATA REAL - Envio do protocolo]]&lt;&gt;""),1)</f>
        <v>1</v>
      </c>
      <c r="L34"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45502</v>
      </c>
      <c r="M3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v>
      </c>
      <c r="N3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2</v>
      </c>
      <c r="P34" s="38" t="s">
        <v>122</v>
      </c>
      <c r="Q34" s="38" t="s">
        <v>87</v>
      </c>
      <c r="R34" s="38" t="s">
        <v>395</v>
      </c>
      <c r="S34" s="38" t="s">
        <v>89</v>
      </c>
      <c r="T34" s="38" t="s">
        <v>1249</v>
      </c>
      <c r="U34" s="38" t="s">
        <v>951</v>
      </c>
      <c r="V34" s="38" t="str">
        <f>_xlfn.XLOOKUP(Tabela6[[#This Row],[COD. CT]],Controle_Projetos[COD CT],Controle_Projetos[COD PHD],"")</f>
        <v>EMPA-CT02-FICO</v>
      </c>
      <c r="W34" s="39">
        <v>45496</v>
      </c>
      <c r="X34" s="40">
        <v>45496</v>
      </c>
      <c r="Y34" s="38" cm="1">
        <f t="array" aca="1" ref="Y3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34" s="39">
        <v>45497</v>
      </c>
      <c r="AA34" s="40">
        <v>45496</v>
      </c>
      <c r="AB34" s="38" cm="1">
        <f t="array" aca="1" ref="AB3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34" s="39">
        <f>IF(Tabela6[[#This Row],[DATA PREV - CRACHÁ]]="","",IF(Tabela6[[#This Row],[DATA REAL - CRACHÁ]]="",WORKDAY(Tabela6[[#This Row],[DATA PREV - CRACHÁ]],AC$1,),WORKDAY(Tabela6[[#This Row],[DATA REAL - CRACHÁ]],AC$1,)))</f>
        <v>45498</v>
      </c>
      <c r="AD34" s="40">
        <v>45496</v>
      </c>
      <c r="AE34" s="38" cm="1">
        <f t="array" aca="1" ref="AE3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34" s="39">
        <f>IF(Tabela6[[#This Row],[DATA PREV - ENTR. CRACHÁ]]="","",IF(Tabela6[[#This Row],[DATA REAL - ENTR. CRACHÁ]]="",WORKDAY(Tabela6[[#This Row],[DATA PREV - ENTR. CRACHÁ]],AF$1,),WORKDAY(Tabela6[[#This Row],[DATA REAL - ENTR. CRACHÁ]],AF$1,)))</f>
        <v>45497</v>
      </c>
      <c r="AG34" s="40">
        <v>45496</v>
      </c>
      <c r="AH34" s="38" cm="1">
        <f t="array" aca="1" ref="AH3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34" s="39">
        <f>IF(Tabela6[[#This Row],[DATA PREV - envio do protocolo]]="","",IF(Tabela6[[#This Row],[DATA REAL - Envio do protocolo]]="",WORKDAY(Tabela6[[#This Row],[DATA PREV - envio do protocolo]],AI$1,),WORKDAY(Tabela6[[#This Row],[DATA REAL - Envio do protocolo]],AI$1,)))</f>
        <v>45502</v>
      </c>
      <c r="AJ34" s="40">
        <v>45498</v>
      </c>
      <c r="AK34" s="38" cm="1">
        <f t="array" aca="1" ref="AK3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-4</v>
      </c>
      <c r="AL34" s="38" t="s">
        <v>1250</v>
      </c>
    </row>
    <row r="35" spans="2:38" hidden="1" x14ac:dyDescent="0.35">
      <c r="B35" s="37" t="s">
        <v>79</v>
      </c>
      <c r="C35" s="38" t="s">
        <v>1214</v>
      </c>
      <c r="D35" s="38"/>
      <c r="E35" s="37" t="s">
        <v>81</v>
      </c>
      <c r="F35" s="38" t="s">
        <v>600</v>
      </c>
      <c r="G35" s="38" cm="1">
        <f t="array" aca="1" ref="G3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FORMS]]="",$Y35&gt;$W$1),2,
AND(Tabela6[[#This Row],[STATUS PROCESSO DESMOBILIZAÇÃO]]="Em andamento",Tabela6[[#This Row],[DATA REAL - FORMS]]="",$Y35&lt;=$W$1),3,
AND(Tabela6[[#This Row],[STATUS PROCESSO DESMOBILIZAÇÃO]]="Em andamento",Tabela6[[#This Row],[DATA REAL - FORMS]]&lt;&gt;""),1)</f>
        <v>0</v>
      </c>
      <c r="H35" s="38" cm="1">
        <f t="array" aca="1" ref="H3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CRACHÁ]]="",$AB35&gt;$Z$1),2,
AND(Tabela6[[#This Row],[STATUS PROCESSO DESMOBILIZAÇÃO]]="Em andamento",Tabela6[[#This Row],[DATA REAL - CRACHÁ]]="",$AB35&lt;=$Z$1),3,
AND(Tabela6[[#This Row],[STATUS PROCESSO DESMOBILIZAÇÃO]]="Em andamento",Tabela6[[#This Row],[DATA REAL - CRACHÁ]]&lt;&gt;""),1)</f>
        <v>0</v>
      </c>
      <c r="I35" s="38" cm="1">
        <f t="array" aca="1" ref="I3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CRACHÁ]]="",$AE35&gt;$AC$1),2,
AND(Tabela6[[#This Row],[STATUS PROCESSO DESMOBILIZAÇÃO]]="Em andamento",Tabela6[[#This Row],[DATA REAL - ENTR. CRACHÁ]]="",$AE35&lt;=$AC$1),3,
AND(Tabela6[[#This Row],[STATUS PROCESSO DESMOBILIZAÇÃO]]="Em andamento",Tabela6[[#This Row],[DATA REAL - ENTR. CRACHÁ]]&lt;&gt;""),1)</f>
        <v>0</v>
      </c>
      <c r="J35" s="38" cm="1">
        <f t="array" aca="1" ref="J3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CRACHÁ]]="",$AE35&gt;$AC$1),2,
AND(Tabela6[[#This Row],[STATUS PROCESSO DESMOBILIZAÇÃO]]="Em andamento",Tabela6[[#This Row],[DATA REAL - ENTR. CRACHÁ]]="",$AE35&lt;=$AC$1),3,
AND(Tabela6[[#This Row],[STATUS PROCESSO DESMOBILIZAÇÃO]]="Em andamento",Tabela6[[#This Row],[DATA REAL - ENTR. CRACHÁ]]&lt;&gt;""),1)</f>
        <v>0</v>
      </c>
      <c r="K35" s="38" cm="1">
        <f t="array" aca="1" ref="K3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protocolo]]="",$AH35&gt;$AF$1),2,
AND(Tabela6[[#This Row],[STATUS PROCESSO DESMOBILIZAÇÃO]]="Em andamento",Tabela6[[#This Row],[DATA REAL - Envio do protocolo]]="",$AH35&lt;=$AF$1),3,
AND(Tabela6[[#This Row],[STATUS PROCESSO DESMOBILIZAÇÃO]]="Em andamento",Tabela6[[#This Row],[DATA REAL - Envio do protocolo]]&lt;&gt;""),1)</f>
        <v>1</v>
      </c>
      <c r="L3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45498</v>
      </c>
      <c r="M3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6</v>
      </c>
      <c r="N3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v>
      </c>
      <c r="P35" s="38" t="s">
        <v>84</v>
      </c>
      <c r="Q35" s="38" t="s">
        <v>97</v>
      </c>
      <c r="R35" s="38" t="s">
        <v>88</v>
      </c>
      <c r="S35" s="38" t="s">
        <v>89</v>
      </c>
      <c r="T35" s="38" t="s">
        <v>872</v>
      </c>
      <c r="U35" s="38" t="s">
        <v>873</v>
      </c>
      <c r="V35" s="38" t="str">
        <f>_xlfn.XLOOKUP(Tabela6[[#This Row],[COD. CT]],Controle_Projetos[COD CT],Controle_Projetos[COD PHD],"")</f>
        <v>IMCS-CT02-AVCB</v>
      </c>
      <c r="W35" s="39"/>
      <c r="X35" s="40"/>
      <c r="Y35" s="38" t="str" cm="1">
        <f t="array" aca="1" ref="Y3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5" s="39" t="s">
        <v>249</v>
      </c>
      <c r="AA35" s="40"/>
      <c r="AB35" s="38" t="str" cm="1">
        <f t="array" aca="1" ref="AB3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35" s="39" t="str">
        <f>IF(Tabela6[[#This Row],[DATA PREV - CRACHÁ]]="","",IF(Tabela6[[#This Row],[DATA REAL - CRACHÁ]]="",WORKDAY(Tabela6[[#This Row],[DATA PREV - CRACHÁ]],AC$1,),WORKDAY(Tabela6[[#This Row],[DATA REAL - CRACHÁ]],AC$1,)))</f>
        <v/>
      </c>
      <c r="AD35" s="40"/>
      <c r="AE35" s="38" t="str" cm="1">
        <f t="array" aca="1" ref="AE3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35" s="39" t="str">
        <f>IF(Tabela6[[#This Row],[DATA PREV - ENTR. CRACHÁ]]="","",IF(Tabela6[[#This Row],[DATA REAL - ENTR. CRACHÁ]]="",WORKDAY(Tabela6[[#This Row],[DATA PREV - ENTR. CRACHÁ]],AF$1,),WORKDAY(Tabela6[[#This Row],[DATA REAL - ENTR. CRACHÁ]],AF$1,)))</f>
        <v/>
      </c>
      <c r="AG35" s="40">
        <v>45492</v>
      </c>
      <c r="AH35" s="38" cm="1">
        <f t="array" aca="1" ref="AH3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35" s="39" t="str">
        <f>IF(Tabela6[[#This Row],[DATA PREV - envio do protocolo]]="","",IF(Tabela6[[#This Row],[DATA REAL - Envio do protocolo]]="",WORKDAY(Tabela6[[#This Row],[DATA PREV - envio do protocolo]],AI$1,),WORKDAY(Tabela6[[#This Row],[DATA REAL - Envio do protocolo]],AI$1,)))</f>
        <v/>
      </c>
      <c r="AJ35" s="40">
        <v>45498</v>
      </c>
      <c r="AK35" s="38" cm="1">
        <f t="array" aca="1" ref="AK3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35" s="38" t="s">
        <v>1251</v>
      </c>
    </row>
    <row r="36" spans="2:38" hidden="1" x14ac:dyDescent="0.35">
      <c r="B36" s="37" t="s">
        <v>79</v>
      </c>
      <c r="C36" s="38" t="s">
        <v>1214</v>
      </c>
      <c r="D36" s="38"/>
      <c r="E36" s="37" t="s">
        <v>81</v>
      </c>
      <c r="F36" s="38" t="s">
        <v>1252</v>
      </c>
      <c r="G36" s="38" cm="1">
        <f t="array" aca="1" ref="G3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FORMS]]="",$Y36&gt;$W$1),2,
AND(Tabela6[[#This Row],[STATUS PROCESSO DESMOBILIZAÇÃO]]="Em andamento",Tabela6[[#This Row],[DATA REAL - FORMS]]="",$Y36&lt;=$W$1),3,
AND(Tabela6[[#This Row],[STATUS PROCESSO DESMOBILIZAÇÃO]]="Em andamento",Tabela6[[#This Row],[DATA REAL - FORMS]]&lt;&gt;""),1)</f>
        <v>0</v>
      </c>
      <c r="H36" s="38" cm="1">
        <f t="array" aca="1" ref="H3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CRACHÁ]]="",$AB36&gt;$Z$1),2,
AND(Tabela6[[#This Row],[STATUS PROCESSO DESMOBILIZAÇÃO]]="Em andamento",Tabela6[[#This Row],[DATA REAL - CRACHÁ]]="",$AB36&lt;=$Z$1),3,
AND(Tabela6[[#This Row],[STATUS PROCESSO DESMOBILIZAÇÃO]]="Em andamento",Tabela6[[#This Row],[DATA REAL - CRACHÁ]]&lt;&gt;""),1)</f>
        <v>0</v>
      </c>
      <c r="I36" s="38" cm="1">
        <f t="array" aca="1" ref="I3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CRACHÁ]]="",$AE36&gt;$AC$1),2,
AND(Tabela6[[#This Row],[STATUS PROCESSO DESMOBILIZAÇÃO]]="Em andamento",Tabela6[[#This Row],[DATA REAL - ENTR. CRACHÁ]]="",$AE36&lt;=$AC$1),3,
AND(Tabela6[[#This Row],[STATUS PROCESSO DESMOBILIZAÇÃO]]="Em andamento",Tabela6[[#This Row],[DATA REAL - ENTR. CRACHÁ]]&lt;&gt;""),1)</f>
        <v>0</v>
      </c>
      <c r="J36" s="38" cm="1">
        <f t="array" aca="1" ref="J3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CRACHÁ]]="",$AE36&gt;$AC$1),2,
AND(Tabela6[[#This Row],[STATUS PROCESSO DESMOBILIZAÇÃO]]="Em andamento",Tabela6[[#This Row],[DATA REAL - ENTR. CRACHÁ]]="",$AE36&lt;=$AC$1),3,
AND(Tabela6[[#This Row],[STATUS PROCESSO DESMOBILIZAÇÃO]]="Em andamento",Tabela6[[#This Row],[DATA REAL - ENTR. CRACHÁ]]&lt;&gt;""),1)</f>
        <v>0</v>
      </c>
      <c r="K36" s="38" cm="1">
        <f t="array" aca="1" ref="K3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protocolo]]="",$AH36&gt;$AF$1),2,
AND(Tabela6[[#This Row],[STATUS PROCESSO DESMOBILIZAÇÃO]]="Em andamento",Tabela6[[#This Row],[DATA REAL - Envio do protocolo]]="",$AH36&lt;=$AF$1),3,
AND(Tabela6[[#This Row],[STATUS PROCESSO DESMOBILIZAÇÃO]]="Em andamento",Tabela6[[#This Row],[DATA REAL - Envio do protocolo]]&lt;&gt;""),1)</f>
        <v>0</v>
      </c>
      <c r="L36"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3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6" s="38" t="s">
        <v>150</v>
      </c>
      <c r="Q36" s="38" t="s">
        <v>97</v>
      </c>
      <c r="R36" s="38" t="s">
        <v>901</v>
      </c>
      <c r="S36" s="38" t="s">
        <v>89</v>
      </c>
      <c r="T36" s="38" t="s">
        <v>99</v>
      </c>
      <c r="U36" s="38" t="s">
        <v>1244</v>
      </c>
      <c r="V36" s="38" t="str">
        <f>_xlfn.XLOOKUP(Tabela6[[#This Row],[COD. CT]],Controle_Projetos[COD CT],Controle_Projetos[COD PHD],"")</f>
        <v>ENGM-CT01-TANQ</v>
      </c>
      <c r="W36" s="39"/>
      <c r="X36" s="40"/>
      <c r="Y36" s="38" t="str" cm="1">
        <f t="array" aca="1" ref="Y3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6" s="39" t="s">
        <v>249</v>
      </c>
      <c r="AA36" s="40"/>
      <c r="AB36" s="38" t="str" cm="1">
        <f t="array" aca="1" ref="AB3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36" s="39" t="str">
        <f>IF(Tabela6[[#This Row],[DATA PREV - CRACHÁ]]="","",IF(Tabela6[[#This Row],[DATA REAL - CRACHÁ]]="",WORKDAY(Tabela6[[#This Row],[DATA PREV - CRACHÁ]],AC$1,),WORKDAY(Tabela6[[#This Row],[DATA REAL - CRACHÁ]],AC$1,)))</f>
        <v/>
      </c>
      <c r="AD36" s="40"/>
      <c r="AE36" s="38" t="str" cm="1">
        <f t="array" aca="1" ref="AE3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36" s="39" t="str">
        <f>IF(Tabela6[[#This Row],[DATA PREV - ENTR. CRACHÁ]]="","",IF(Tabela6[[#This Row],[DATA REAL - ENTR. CRACHÁ]]="",WORKDAY(Tabela6[[#This Row],[DATA PREV - ENTR. CRACHÁ]],AF$1,),WORKDAY(Tabela6[[#This Row],[DATA REAL - ENTR. CRACHÁ]],AF$1,)))</f>
        <v/>
      </c>
      <c r="AG36" s="40"/>
      <c r="AH36" s="38" t="str" cm="1">
        <f t="array" aca="1" ref="AH3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36" s="39" t="str">
        <f>IF(Tabela6[[#This Row],[DATA PREV - envio do protocolo]]="","",IF(Tabela6[[#This Row],[DATA REAL - Envio do protocolo]]="",WORKDAY(Tabela6[[#This Row],[DATA PREV - envio do protocolo]],AI$1,),WORKDAY(Tabela6[[#This Row],[DATA REAL - Envio do protocolo]],AI$1,)))</f>
        <v/>
      </c>
      <c r="AJ36" s="40"/>
      <c r="AK36" s="38" t="str" cm="1">
        <f t="array" aca="1" ref="AK3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36" s="38" t="s">
        <v>1253</v>
      </c>
    </row>
    <row r="37" spans="2:38" hidden="1" x14ac:dyDescent="0.35">
      <c r="B37" s="37" t="s">
        <v>79</v>
      </c>
      <c r="C37" s="38" t="s">
        <v>1228</v>
      </c>
      <c r="D37" s="38"/>
      <c r="E37" s="37" t="s">
        <v>81</v>
      </c>
      <c r="F37" s="38" t="s">
        <v>1254</v>
      </c>
      <c r="G37" s="38" cm="1">
        <f t="array" aca="1" ref="G3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FORMS]]="",$Y37&gt;$W$1),2,
AND(Tabela6[[#This Row],[STATUS PROCESSO DESMOBILIZAÇÃO]]="Em andamento",Tabela6[[#This Row],[DATA REAL - FORMS]]="",$Y37&lt;=$W$1),3,
AND(Tabela6[[#This Row],[STATUS PROCESSO DESMOBILIZAÇÃO]]="Em andamento",Tabela6[[#This Row],[DATA REAL - FORMS]]&lt;&gt;""),1)</f>
        <v>0</v>
      </c>
      <c r="H37" s="38" cm="1">
        <f t="array" aca="1" ref="H3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CRACHÁ]]="",$AB37&gt;$Z$1),2,
AND(Tabela6[[#This Row],[STATUS PROCESSO DESMOBILIZAÇÃO]]="Em andamento",Tabela6[[#This Row],[DATA REAL - CRACHÁ]]="",$AB37&lt;=$Z$1),3,
AND(Tabela6[[#This Row],[STATUS PROCESSO DESMOBILIZAÇÃO]]="Em andamento",Tabela6[[#This Row],[DATA REAL - CRACHÁ]]&lt;&gt;""),1)</f>
        <v>0</v>
      </c>
      <c r="I37" s="38" cm="1">
        <f t="array" aca="1" ref="I3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CRACHÁ]]="",$AE37&gt;$AC$1),2,
AND(Tabela6[[#This Row],[STATUS PROCESSO DESMOBILIZAÇÃO]]="Em andamento",Tabela6[[#This Row],[DATA REAL - ENTR. CRACHÁ]]="",$AE37&lt;=$AC$1),3,
AND(Tabela6[[#This Row],[STATUS PROCESSO DESMOBILIZAÇÃO]]="Em andamento",Tabela6[[#This Row],[DATA REAL - ENTR. CRACHÁ]]&lt;&gt;""),1)</f>
        <v>0</v>
      </c>
      <c r="J37" s="38" cm="1">
        <f t="array" aca="1" ref="J3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CRACHÁ]]="",$AE37&gt;$AC$1),2,
AND(Tabela6[[#This Row],[STATUS PROCESSO DESMOBILIZAÇÃO]]="Em andamento",Tabela6[[#This Row],[DATA REAL - ENTR. CRACHÁ]]="",$AE37&lt;=$AC$1),3,
AND(Tabela6[[#This Row],[STATUS PROCESSO DESMOBILIZAÇÃO]]="Em andamento",Tabela6[[#This Row],[DATA REAL - ENTR. CRACHÁ]]&lt;&gt;""),1)</f>
        <v>0</v>
      </c>
      <c r="K37" s="38" cm="1">
        <f t="array" aca="1" ref="K3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protocolo]]="",$AH37&gt;$AF$1),2,
AND(Tabela6[[#This Row],[STATUS PROCESSO DESMOBILIZAÇÃO]]="Em andamento",Tabela6[[#This Row],[DATA REAL - Envio do protocolo]]="",$AH37&lt;=$AF$1),3,
AND(Tabela6[[#This Row],[STATUS PROCESSO DESMOBILIZAÇÃO]]="Em andamento",Tabela6[[#This Row],[DATA REAL - Envio do protocolo]]&lt;&gt;""),1)</f>
        <v>0</v>
      </c>
      <c r="L37"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3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7" s="38" t="s">
        <v>150</v>
      </c>
      <c r="Q37" s="38" t="s">
        <v>97</v>
      </c>
      <c r="R37" s="38" t="s">
        <v>196</v>
      </c>
      <c r="S37" s="38" t="s">
        <v>89</v>
      </c>
      <c r="T37" s="38" t="s">
        <v>99</v>
      </c>
      <c r="U37" s="38" t="s">
        <v>197</v>
      </c>
      <c r="V37" s="38" t="str">
        <f>_xlfn.XLOOKUP(Tabela6[[#This Row],[COD. CT]],Controle_Projetos[COD CT],Controle_Projetos[COD PHD],"")</f>
        <v>VAVE-CT07-PDER</v>
      </c>
      <c r="W37" s="39"/>
      <c r="X37" s="40"/>
      <c r="Y37" s="38" t="str" cm="1">
        <f t="array" aca="1" ref="Y3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7" s="39" t="s">
        <v>249</v>
      </c>
      <c r="AA37" s="40"/>
      <c r="AB37" s="38" t="str" cm="1">
        <f t="array" aca="1" ref="AB3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37" s="39" t="str">
        <f>IF(Tabela6[[#This Row],[DATA PREV - CRACHÁ]]="","",IF(Tabela6[[#This Row],[DATA REAL - CRACHÁ]]="",WORKDAY(Tabela6[[#This Row],[DATA PREV - CRACHÁ]],AC$1,),WORKDAY(Tabela6[[#This Row],[DATA REAL - CRACHÁ]],AC$1,)))</f>
        <v/>
      </c>
      <c r="AD37" s="40"/>
      <c r="AE37" s="38" t="str" cm="1">
        <f t="array" aca="1" ref="AE3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37" s="39" t="str">
        <f>IF(Tabela6[[#This Row],[DATA PREV - ENTR. CRACHÁ]]="","",IF(Tabela6[[#This Row],[DATA REAL - ENTR. CRACHÁ]]="",WORKDAY(Tabela6[[#This Row],[DATA PREV - ENTR. CRACHÁ]],AF$1,),WORKDAY(Tabela6[[#This Row],[DATA REAL - ENTR. CRACHÁ]],AF$1,)))</f>
        <v/>
      </c>
      <c r="AG37" s="40"/>
      <c r="AH37" s="38" t="str" cm="1">
        <f t="array" aca="1" ref="AH3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37" s="39" t="str">
        <f>IF(Tabela6[[#This Row],[DATA PREV - envio do protocolo]]="","",IF(Tabela6[[#This Row],[DATA REAL - Envio do protocolo]]="",WORKDAY(Tabela6[[#This Row],[DATA PREV - envio do protocolo]],AI$1,),WORKDAY(Tabela6[[#This Row],[DATA REAL - Envio do protocolo]],AI$1,)))</f>
        <v/>
      </c>
      <c r="AJ37" s="40"/>
      <c r="AK37" s="38" t="str" cm="1">
        <f t="array" aca="1" ref="AK3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37" s="38"/>
    </row>
    <row r="38" spans="2:38" hidden="1" x14ac:dyDescent="0.35">
      <c r="B38" s="37" t="s">
        <v>79</v>
      </c>
      <c r="C38" s="38" t="s">
        <v>1228</v>
      </c>
      <c r="D38" s="38">
        <v>45512</v>
      </c>
      <c r="E38" s="37" t="s">
        <v>81</v>
      </c>
      <c r="F38" s="38" t="s">
        <v>1252</v>
      </c>
      <c r="G38" s="38" cm="1">
        <f t="array" aca="1" ref="G3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FORMS]]="",$Y38&gt;$W$1),2,
AND(Tabela6[[#This Row],[STATUS PROCESSO DESMOBILIZAÇÃO]]="Em andamento",Tabela6[[#This Row],[DATA REAL - FORMS]]="",$Y38&lt;=$W$1),3,
AND(Tabela6[[#This Row],[STATUS PROCESSO DESMOBILIZAÇÃO]]="Em andamento",Tabela6[[#This Row],[DATA REAL - FORMS]]&lt;&gt;""),1)</f>
        <v>0</v>
      </c>
      <c r="H38" s="38" cm="1">
        <f t="array" aca="1" ref="H3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CRACHÁ]]="",$AB38&gt;$Z$1),2,
AND(Tabela6[[#This Row],[STATUS PROCESSO DESMOBILIZAÇÃO]]="Em andamento",Tabela6[[#This Row],[DATA REAL - CRACHÁ]]="",$AB38&lt;=$Z$1),3,
AND(Tabela6[[#This Row],[STATUS PROCESSO DESMOBILIZAÇÃO]]="Em andamento",Tabela6[[#This Row],[DATA REAL - CRACHÁ]]&lt;&gt;""),1)</f>
        <v>0</v>
      </c>
      <c r="I38" s="38" cm="1">
        <f t="array" aca="1" ref="I3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CRACHÁ]]="",$AE38&gt;$AC$1),2,
AND(Tabela6[[#This Row],[STATUS PROCESSO DESMOBILIZAÇÃO]]="Em andamento",Tabela6[[#This Row],[DATA REAL - ENTR. CRACHÁ]]="",$AE38&lt;=$AC$1),3,
AND(Tabela6[[#This Row],[STATUS PROCESSO DESMOBILIZAÇÃO]]="Em andamento",Tabela6[[#This Row],[DATA REAL - ENTR. CRACHÁ]]&lt;&gt;""),1)</f>
        <v>0</v>
      </c>
      <c r="J38" s="38" cm="1">
        <f t="array" aca="1" ref="J3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CRACHÁ]]="",$AE38&gt;$AC$1),2,
AND(Tabela6[[#This Row],[STATUS PROCESSO DESMOBILIZAÇÃO]]="Em andamento",Tabela6[[#This Row],[DATA REAL - ENTR. CRACHÁ]]="",$AE38&lt;=$AC$1),3,
AND(Tabela6[[#This Row],[STATUS PROCESSO DESMOBILIZAÇÃO]]="Em andamento",Tabela6[[#This Row],[DATA REAL - ENTR. CRACHÁ]]&lt;&gt;""),1)</f>
        <v>0</v>
      </c>
      <c r="K38" s="38" cm="1">
        <f t="array" aca="1" ref="K3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protocolo]]="",$AH38&gt;$AF$1),2,
AND(Tabela6[[#This Row],[STATUS PROCESSO DESMOBILIZAÇÃO]]="Em andamento",Tabela6[[#This Row],[DATA REAL - Envio do protocolo]]="",$AH38&lt;=$AF$1),3,
AND(Tabela6[[#This Row],[STATUS PROCESSO DESMOBILIZAÇÃO]]="Em andamento",Tabela6[[#This Row],[DATA REAL - Envio do protocolo]]&lt;&gt;""),1)</f>
        <v>0</v>
      </c>
      <c r="L38"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3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8" s="38"/>
      <c r="Q38" s="38" t="s">
        <v>97</v>
      </c>
      <c r="R38" s="38" t="s">
        <v>996</v>
      </c>
      <c r="S38" s="38" t="s">
        <v>89</v>
      </c>
      <c r="T38" s="38" t="s">
        <v>99</v>
      </c>
      <c r="U38" s="38" t="s">
        <v>997</v>
      </c>
      <c r="V38" s="38" t="str">
        <f>_xlfn.XLOOKUP(Tabela6[[#This Row],[COD. CT]],Controle_Projetos[COD CT],Controle_Projetos[COD PHD],"")</f>
        <v>TECN-CT02-MODE</v>
      </c>
      <c r="W38" s="39"/>
      <c r="X38" s="40"/>
      <c r="Y38" s="38" t="str" cm="1">
        <f t="array" aca="1" ref="Y3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8" s="39" t="s">
        <v>249</v>
      </c>
      <c r="AA38" s="40"/>
      <c r="AB38" s="38" t="str" cm="1">
        <f t="array" aca="1" ref="AB3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38" s="39" t="str">
        <f>IF(Tabela6[[#This Row],[DATA PREV - CRACHÁ]]="","",IF(Tabela6[[#This Row],[DATA REAL - CRACHÁ]]="",WORKDAY(Tabela6[[#This Row],[DATA PREV - CRACHÁ]],AC$1,),WORKDAY(Tabela6[[#This Row],[DATA REAL - CRACHÁ]],AC$1,)))</f>
        <v/>
      </c>
      <c r="AD38" s="40"/>
      <c r="AE38" s="38" t="str" cm="1">
        <f t="array" aca="1" ref="AE3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38" s="39" t="str">
        <f>IF(Tabela6[[#This Row],[DATA PREV - ENTR. CRACHÁ]]="","",IF(Tabela6[[#This Row],[DATA REAL - ENTR. CRACHÁ]]="",WORKDAY(Tabela6[[#This Row],[DATA PREV - ENTR. CRACHÁ]],AF$1,),WORKDAY(Tabela6[[#This Row],[DATA REAL - ENTR. CRACHÁ]],AF$1,)))</f>
        <v/>
      </c>
      <c r="AG38" s="40"/>
      <c r="AH38" s="38" t="str" cm="1">
        <f t="array" aca="1" ref="AH3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38" s="39" t="str">
        <f>IF(Tabela6[[#This Row],[DATA PREV - envio do protocolo]]="","",IF(Tabela6[[#This Row],[DATA REAL - Envio do protocolo]]="",WORKDAY(Tabela6[[#This Row],[DATA PREV - envio do protocolo]],AI$1,),WORKDAY(Tabela6[[#This Row],[DATA REAL - Envio do protocolo]],AI$1,)))</f>
        <v/>
      </c>
      <c r="AJ38" s="40"/>
      <c r="AK38" s="38" t="str" cm="1">
        <f t="array" aca="1" ref="AK3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38" s="38"/>
    </row>
    <row r="39" spans="2:38" hidden="1" x14ac:dyDescent="0.35">
      <c r="B39" s="37" t="s">
        <v>79</v>
      </c>
      <c r="C39" s="38" t="s">
        <v>1228</v>
      </c>
      <c r="D39" s="38">
        <v>45512</v>
      </c>
      <c r="E39" s="37" t="s">
        <v>81</v>
      </c>
      <c r="F39" s="38" t="s">
        <v>1255</v>
      </c>
      <c r="G39" s="38" cm="1">
        <f t="array" aca="1" ref="G3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FORMS]]="",$Y39&gt;$W$1),2,
AND(Tabela6[[#This Row],[STATUS PROCESSO DESMOBILIZAÇÃO]]="Em andamento",Tabela6[[#This Row],[DATA REAL - FORMS]]="",$Y39&lt;=$W$1),3,
AND(Tabela6[[#This Row],[STATUS PROCESSO DESMOBILIZAÇÃO]]="Em andamento",Tabela6[[#This Row],[DATA REAL - FORMS]]&lt;&gt;""),1)</f>
        <v>0</v>
      </c>
      <c r="H39" s="38" cm="1">
        <f t="array" aca="1" ref="H3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CRACHÁ]]="",$AB39&gt;$Z$1),2,
AND(Tabela6[[#This Row],[STATUS PROCESSO DESMOBILIZAÇÃO]]="Em andamento",Tabela6[[#This Row],[DATA REAL - CRACHÁ]]="",$AB39&lt;=$Z$1),3,
AND(Tabela6[[#This Row],[STATUS PROCESSO DESMOBILIZAÇÃO]]="Em andamento",Tabela6[[#This Row],[DATA REAL - CRACHÁ]]&lt;&gt;""),1)</f>
        <v>0</v>
      </c>
      <c r="I39" s="38" cm="1">
        <f t="array" aca="1" ref="I3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CRACHÁ]]="",$AE39&gt;$AC$1),2,
AND(Tabela6[[#This Row],[STATUS PROCESSO DESMOBILIZAÇÃO]]="Em andamento",Tabela6[[#This Row],[DATA REAL - ENTR. CRACHÁ]]="",$AE39&lt;=$AC$1),3,
AND(Tabela6[[#This Row],[STATUS PROCESSO DESMOBILIZAÇÃO]]="Em andamento",Tabela6[[#This Row],[DATA REAL - ENTR. CRACHÁ]]&lt;&gt;""),1)</f>
        <v>0</v>
      </c>
      <c r="J39" s="38" cm="1">
        <f t="array" aca="1" ref="J3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CRACHÁ]]="",$AE39&gt;$AC$1),2,
AND(Tabela6[[#This Row],[STATUS PROCESSO DESMOBILIZAÇÃO]]="Em andamento",Tabela6[[#This Row],[DATA REAL - ENTR. CRACHÁ]]="",$AE39&lt;=$AC$1),3,
AND(Tabela6[[#This Row],[STATUS PROCESSO DESMOBILIZAÇÃO]]="Em andamento",Tabela6[[#This Row],[DATA REAL - ENTR. CRACHÁ]]&lt;&gt;""),1)</f>
        <v>0</v>
      </c>
      <c r="K39" s="38" cm="1">
        <f t="array" aca="1" ref="K3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protocolo]]="",$AH39&gt;$AF$1),2,
AND(Tabela6[[#This Row],[STATUS PROCESSO DESMOBILIZAÇÃO]]="Em andamento",Tabela6[[#This Row],[DATA REAL - Envio do protocolo]]="",$AH39&lt;=$AF$1),3,
AND(Tabela6[[#This Row],[STATUS PROCESSO DESMOBILIZAÇÃO]]="Em andamento",Tabela6[[#This Row],[DATA REAL - Envio do protocolo]]&lt;&gt;""),1)</f>
        <v>0</v>
      </c>
      <c r="L39"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3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3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3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39" s="38"/>
      <c r="Q39" s="38" t="s">
        <v>87</v>
      </c>
      <c r="R39" s="38" t="s">
        <v>88</v>
      </c>
      <c r="S39" s="38" t="s">
        <v>89</v>
      </c>
      <c r="T39" s="38" t="s">
        <v>105</v>
      </c>
      <c r="U39" s="38" t="s">
        <v>106</v>
      </c>
      <c r="V39" s="38" t="str">
        <f>_xlfn.XLOOKUP(Tabela6[[#This Row],[COD. CT]],Controle_Projetos[COD CT],Controle_Projetos[COD PHD],"")</f>
        <v>IMCS-CT07-SEGR</v>
      </c>
      <c r="W39" s="39"/>
      <c r="X39" s="40"/>
      <c r="Y39" s="38" t="str" cm="1">
        <f t="array" aca="1" ref="Y3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39" s="39" t="s">
        <v>249</v>
      </c>
      <c r="AA39" s="40"/>
      <c r="AB39" s="38" t="str" cm="1">
        <f t="array" aca="1" ref="AB3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39" s="39" t="str">
        <f>IF(Tabela6[[#This Row],[DATA PREV - CRACHÁ]]="","",IF(Tabela6[[#This Row],[DATA REAL - CRACHÁ]]="",WORKDAY(Tabela6[[#This Row],[DATA PREV - CRACHÁ]],AC$1,),WORKDAY(Tabela6[[#This Row],[DATA REAL - CRACHÁ]],AC$1,)))</f>
        <v/>
      </c>
      <c r="AD39" s="40"/>
      <c r="AE39" s="38" t="str" cm="1">
        <f t="array" aca="1" ref="AE3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39" s="39" t="str">
        <f>IF(Tabela6[[#This Row],[DATA PREV - ENTR. CRACHÁ]]="","",IF(Tabela6[[#This Row],[DATA REAL - ENTR. CRACHÁ]]="",WORKDAY(Tabela6[[#This Row],[DATA PREV - ENTR. CRACHÁ]],AF$1,),WORKDAY(Tabela6[[#This Row],[DATA REAL - ENTR. CRACHÁ]],AF$1,)))</f>
        <v/>
      </c>
      <c r="AG39" s="40"/>
      <c r="AH39" s="38" t="str" cm="1">
        <f t="array" aca="1" ref="AH3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39" s="39" t="str">
        <f>IF(Tabela6[[#This Row],[DATA PREV - envio do protocolo]]="","",IF(Tabela6[[#This Row],[DATA REAL - Envio do protocolo]]="",WORKDAY(Tabela6[[#This Row],[DATA PREV - envio do protocolo]],AI$1,),WORKDAY(Tabela6[[#This Row],[DATA REAL - Envio do protocolo]],AI$1,)))</f>
        <v/>
      </c>
      <c r="AJ39" s="40"/>
      <c r="AK39" s="38" t="str" cm="1">
        <f t="array" aca="1" ref="AK3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39" s="38"/>
    </row>
    <row r="40" spans="2:38" hidden="1" x14ac:dyDescent="0.35">
      <c r="B40" s="37" t="s">
        <v>79</v>
      </c>
      <c r="C40" s="38" t="s">
        <v>1214</v>
      </c>
      <c r="D40" s="38"/>
      <c r="E40" s="37" t="s">
        <v>81</v>
      </c>
      <c r="F40" s="38" t="s">
        <v>1256</v>
      </c>
      <c r="G40" s="38" cm="1">
        <f t="array" aca="1" ref="G4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FORMS]]="",$Y40&gt;$W$1),2,
AND(Tabela6[[#This Row],[STATUS PROCESSO DESMOBILIZAÇÃO]]="Em andamento",Tabela6[[#This Row],[DATA REAL - FORMS]]="",$Y40&lt;=$W$1),3,
AND(Tabela6[[#This Row],[STATUS PROCESSO DESMOBILIZAÇÃO]]="Em andamento",Tabela6[[#This Row],[DATA REAL - FORMS]]&lt;&gt;""),1)</f>
        <v>0</v>
      </c>
      <c r="H40" s="38" cm="1">
        <f t="array" aca="1" ref="H4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CRACHÁ]]="",$AB40&gt;$Z$1),2,
AND(Tabela6[[#This Row],[STATUS PROCESSO DESMOBILIZAÇÃO]]="Em andamento",Tabela6[[#This Row],[DATA REAL - CRACHÁ]]="",$AB40&lt;=$Z$1),3,
AND(Tabela6[[#This Row],[STATUS PROCESSO DESMOBILIZAÇÃO]]="Em andamento",Tabela6[[#This Row],[DATA REAL - CRACHÁ]]&lt;&gt;""),1)</f>
        <v>0</v>
      </c>
      <c r="I40" s="38" cm="1">
        <f t="array" aca="1" ref="I4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CRACHÁ]]="",$AE40&gt;$AC$1),2,
AND(Tabela6[[#This Row],[STATUS PROCESSO DESMOBILIZAÇÃO]]="Em andamento",Tabela6[[#This Row],[DATA REAL - ENTR. CRACHÁ]]="",$AE40&lt;=$AC$1),3,
AND(Tabela6[[#This Row],[STATUS PROCESSO DESMOBILIZAÇÃO]]="Em andamento",Tabela6[[#This Row],[DATA REAL - ENTR. CRACHÁ]]&lt;&gt;""),1)</f>
        <v>0</v>
      </c>
      <c r="J40" s="38" cm="1">
        <f t="array" aca="1" ref="J4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CRACHÁ]]="",$AE40&gt;$AC$1),2,
AND(Tabela6[[#This Row],[STATUS PROCESSO DESMOBILIZAÇÃO]]="Em andamento",Tabela6[[#This Row],[DATA REAL - ENTR. CRACHÁ]]="",$AE40&lt;=$AC$1),3,
AND(Tabela6[[#This Row],[STATUS PROCESSO DESMOBILIZAÇÃO]]="Em andamento",Tabela6[[#This Row],[DATA REAL - ENTR. CRACHÁ]]&lt;&gt;""),1)</f>
        <v>0</v>
      </c>
      <c r="K40" s="38" cm="1">
        <f t="array" aca="1" ref="K4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protocolo]]="",$AH40&gt;$AF$1),2,
AND(Tabela6[[#This Row],[STATUS PROCESSO DESMOBILIZAÇÃO]]="Em andamento",Tabela6[[#This Row],[DATA REAL - Envio do protocolo]]="",$AH40&lt;=$AF$1),3,
AND(Tabela6[[#This Row],[STATUS PROCESSO DESMOBILIZAÇÃO]]="Em andamento",Tabela6[[#This Row],[DATA REAL - Envio do protocolo]]&lt;&gt;""),1)</f>
        <v>0</v>
      </c>
      <c r="L40"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4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0" s="38"/>
      <c r="Q40" s="38" t="s">
        <v>97</v>
      </c>
      <c r="R40" s="38" t="s">
        <v>235</v>
      </c>
      <c r="S40" s="38" t="s">
        <v>89</v>
      </c>
      <c r="T40" s="38" t="s">
        <v>1257</v>
      </c>
      <c r="U40" s="38" t="s">
        <v>1258</v>
      </c>
      <c r="V40" s="38" t="str">
        <f>_xlfn.XLOOKUP(Tabela6[[#This Row],[COD. CT]],Controle_Projetos[COD CT],Controle_Projetos[COD PHD],"")</f>
        <v>CCAP-CT02-CAPA</v>
      </c>
      <c r="W40" s="39"/>
      <c r="X40" s="40"/>
      <c r="Y40" s="38" t="str" cm="1">
        <f t="array" aca="1" ref="Y4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40" s="39" t="s">
        <v>249</v>
      </c>
      <c r="AA40" s="40"/>
      <c r="AB40" s="38" t="str" cm="1">
        <f t="array" aca="1" ref="AB4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0" s="39" t="str">
        <f>IF(Tabela6[[#This Row],[DATA PREV - CRACHÁ]]="","",IF(Tabela6[[#This Row],[DATA REAL - CRACHÁ]]="",WORKDAY(Tabela6[[#This Row],[DATA PREV - CRACHÁ]],AC$1,),WORKDAY(Tabela6[[#This Row],[DATA REAL - CRACHÁ]],AC$1,)))</f>
        <v/>
      </c>
      <c r="AD40" s="40"/>
      <c r="AE40" s="38" t="str" cm="1">
        <f t="array" aca="1" ref="AE4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0" s="39" t="str">
        <f>IF(Tabela6[[#This Row],[DATA PREV - ENTR. CRACHÁ]]="","",IF(Tabela6[[#This Row],[DATA REAL - ENTR. CRACHÁ]]="",WORKDAY(Tabela6[[#This Row],[DATA PREV - ENTR. CRACHÁ]],AF$1,),WORKDAY(Tabela6[[#This Row],[DATA REAL - ENTR. CRACHÁ]],AF$1,)))</f>
        <v/>
      </c>
      <c r="AG40" s="40"/>
      <c r="AH40" s="38" t="str" cm="1">
        <f t="array" aca="1" ref="AH4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0" s="39" t="str">
        <f>IF(Tabela6[[#This Row],[DATA PREV - envio do protocolo]]="","",IF(Tabela6[[#This Row],[DATA REAL - Envio do protocolo]]="",WORKDAY(Tabela6[[#This Row],[DATA PREV - envio do protocolo]],AI$1,),WORKDAY(Tabela6[[#This Row],[DATA REAL - Envio do protocolo]],AI$1,)))</f>
        <v/>
      </c>
      <c r="AJ40" s="40"/>
      <c r="AK40" s="38" t="str" cm="1">
        <f t="array" aca="1" ref="AK4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40" s="38" t="s">
        <v>1259</v>
      </c>
    </row>
    <row r="41" spans="2:38" hidden="1" x14ac:dyDescent="0.35">
      <c r="B41" s="37" t="s">
        <v>79</v>
      </c>
      <c r="C41" s="38" t="s">
        <v>1228</v>
      </c>
      <c r="D41" s="38">
        <v>45529</v>
      </c>
      <c r="E41" s="37" t="s">
        <v>81</v>
      </c>
      <c r="F41" s="38" t="s">
        <v>1260</v>
      </c>
      <c r="G41" s="38" cm="1">
        <f t="array" aca="1" ref="G4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FORMS]]="",$Y41&gt;$W$1),2,
AND(Tabela6[[#This Row],[STATUS PROCESSO DESMOBILIZAÇÃO]]="Em andamento",Tabela6[[#This Row],[DATA REAL - FORMS]]="",$Y41&lt;=$W$1),3,
AND(Tabela6[[#This Row],[STATUS PROCESSO DESMOBILIZAÇÃO]]="Em andamento",Tabela6[[#This Row],[DATA REAL - FORMS]]&lt;&gt;""),1)</f>
        <v>0</v>
      </c>
      <c r="H41" s="38" cm="1">
        <f t="array" aca="1" ref="H4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CRACHÁ]]="",$AB41&gt;$Z$1),2,
AND(Tabela6[[#This Row],[STATUS PROCESSO DESMOBILIZAÇÃO]]="Em andamento",Tabela6[[#This Row],[DATA REAL - CRACHÁ]]="",$AB41&lt;=$Z$1),3,
AND(Tabela6[[#This Row],[STATUS PROCESSO DESMOBILIZAÇÃO]]="Em andamento",Tabela6[[#This Row],[DATA REAL - CRACHÁ]]&lt;&gt;""),1)</f>
        <v>0</v>
      </c>
      <c r="I41" s="38" cm="1">
        <f t="array" aca="1" ref="I4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CRACHÁ]]="",$AE41&gt;$AC$1),2,
AND(Tabela6[[#This Row],[STATUS PROCESSO DESMOBILIZAÇÃO]]="Em andamento",Tabela6[[#This Row],[DATA REAL - ENTR. CRACHÁ]]="",$AE41&lt;=$AC$1),3,
AND(Tabela6[[#This Row],[STATUS PROCESSO DESMOBILIZAÇÃO]]="Em andamento",Tabela6[[#This Row],[DATA REAL - ENTR. CRACHÁ]]&lt;&gt;""),1)</f>
        <v>0</v>
      </c>
      <c r="J41" s="38" cm="1">
        <f t="array" aca="1" ref="J4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CRACHÁ]]="",$AE41&gt;$AC$1),2,
AND(Tabela6[[#This Row],[STATUS PROCESSO DESMOBILIZAÇÃO]]="Em andamento",Tabela6[[#This Row],[DATA REAL - ENTR. CRACHÁ]]="",$AE41&lt;=$AC$1),3,
AND(Tabela6[[#This Row],[STATUS PROCESSO DESMOBILIZAÇÃO]]="Em andamento",Tabela6[[#This Row],[DATA REAL - ENTR. CRACHÁ]]&lt;&gt;""),1)</f>
        <v>0</v>
      </c>
      <c r="K41" s="38" cm="1">
        <f t="array" aca="1" ref="K4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protocolo]]="",$AH41&gt;$AF$1),2,
AND(Tabela6[[#This Row],[STATUS PROCESSO DESMOBILIZAÇÃO]]="Em andamento",Tabela6[[#This Row],[DATA REAL - Envio do protocolo]]="",$AH41&lt;=$AF$1),3,
AND(Tabela6[[#This Row],[STATUS PROCESSO DESMOBILIZAÇÃO]]="Em andamento",Tabela6[[#This Row],[DATA REAL - Envio do protocolo]]&lt;&gt;""),1)</f>
        <v>0</v>
      </c>
      <c r="L41"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4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1" s="38"/>
      <c r="Q41" s="38" t="s">
        <v>97</v>
      </c>
      <c r="R41" s="38" t="s">
        <v>235</v>
      </c>
      <c r="S41" s="38" t="s">
        <v>89</v>
      </c>
      <c r="T41" s="38" t="s">
        <v>1257</v>
      </c>
      <c r="U41" s="38" t="s">
        <v>1258</v>
      </c>
      <c r="V41" s="38" t="str">
        <f>_xlfn.XLOOKUP(Tabela6[[#This Row],[COD. CT]],Controle_Projetos[COD CT],Controle_Projetos[COD PHD],"")</f>
        <v>CCAP-CT02-CAPA</v>
      </c>
      <c r="W41" s="39"/>
      <c r="X41" s="40"/>
      <c r="Y41" s="38" t="str" cm="1">
        <f t="array" aca="1" ref="Y4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41" s="39" t="s">
        <v>249</v>
      </c>
      <c r="AA41" s="40"/>
      <c r="AB41" s="38" t="str" cm="1">
        <f t="array" aca="1" ref="AB4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1" s="39" t="str">
        <f>IF(Tabela6[[#This Row],[DATA PREV - CRACHÁ]]="","",IF(Tabela6[[#This Row],[DATA REAL - CRACHÁ]]="",WORKDAY(Tabela6[[#This Row],[DATA PREV - CRACHÁ]],AC$1,),WORKDAY(Tabela6[[#This Row],[DATA REAL - CRACHÁ]],AC$1,)))</f>
        <v/>
      </c>
      <c r="AD41" s="40"/>
      <c r="AE41" s="38" t="str" cm="1">
        <f t="array" aca="1" ref="AE4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1" s="39" t="str">
        <f>IF(Tabela6[[#This Row],[DATA PREV - ENTR. CRACHÁ]]="","",IF(Tabela6[[#This Row],[DATA REAL - ENTR. CRACHÁ]]="",WORKDAY(Tabela6[[#This Row],[DATA PREV - ENTR. CRACHÁ]],AF$1,),WORKDAY(Tabela6[[#This Row],[DATA REAL - ENTR. CRACHÁ]],AF$1,)))</f>
        <v/>
      </c>
      <c r="AG41" s="40"/>
      <c r="AH41" s="38" t="str" cm="1">
        <f t="array" aca="1" ref="AH4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1" s="39" t="str">
        <f>IF(Tabela6[[#This Row],[DATA PREV - envio do protocolo]]="","",IF(Tabela6[[#This Row],[DATA REAL - Envio do protocolo]]="",WORKDAY(Tabela6[[#This Row],[DATA PREV - envio do protocolo]],AI$1,),WORKDAY(Tabela6[[#This Row],[DATA REAL - Envio do protocolo]],AI$1,)))</f>
        <v/>
      </c>
      <c r="AJ41" s="40"/>
      <c r="AK41" s="38" t="str" cm="1">
        <f t="array" aca="1" ref="AK4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41" s="38" t="s">
        <v>1261</v>
      </c>
    </row>
    <row r="42" spans="2:38" hidden="1" x14ac:dyDescent="0.35">
      <c r="B42" s="37" t="s">
        <v>79</v>
      </c>
      <c r="C42" s="38" t="s">
        <v>1214</v>
      </c>
      <c r="D42" s="38"/>
      <c r="E42" s="37" t="s">
        <v>81</v>
      </c>
      <c r="F42" s="38" t="s">
        <v>1262</v>
      </c>
      <c r="G42" s="38" cm="1">
        <f t="array" aca="1" ref="G4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FORMS]]="",$Y42&gt;$W$1),2,
AND(Tabela6[[#This Row],[STATUS PROCESSO DESMOBILIZAÇÃO]]="Em andamento",Tabela6[[#This Row],[DATA REAL - FORMS]]="",$Y42&lt;=$W$1),3,
AND(Tabela6[[#This Row],[STATUS PROCESSO DESMOBILIZAÇÃO]]="Em andamento",Tabela6[[#This Row],[DATA REAL - FORMS]]&lt;&gt;""),1)</f>
        <v>0</v>
      </c>
      <c r="H42" s="38" cm="1">
        <f t="array" aca="1" ref="H4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CRACHÁ]]="",$AB42&gt;$Z$1),2,
AND(Tabela6[[#This Row],[STATUS PROCESSO DESMOBILIZAÇÃO]]="Em andamento",Tabela6[[#This Row],[DATA REAL - CRACHÁ]]="",$AB42&lt;=$Z$1),3,
AND(Tabela6[[#This Row],[STATUS PROCESSO DESMOBILIZAÇÃO]]="Em andamento",Tabela6[[#This Row],[DATA REAL - CRACHÁ]]&lt;&gt;""),1)</f>
        <v>0</v>
      </c>
      <c r="I42" s="38" cm="1">
        <f t="array" aca="1" ref="I4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CRACHÁ]]="",$AE42&gt;$AC$1),2,
AND(Tabela6[[#This Row],[STATUS PROCESSO DESMOBILIZAÇÃO]]="Em andamento",Tabela6[[#This Row],[DATA REAL - ENTR. CRACHÁ]]="",$AE42&lt;=$AC$1),3,
AND(Tabela6[[#This Row],[STATUS PROCESSO DESMOBILIZAÇÃO]]="Em andamento",Tabela6[[#This Row],[DATA REAL - ENTR. CRACHÁ]]&lt;&gt;""),1)</f>
        <v>0</v>
      </c>
      <c r="J42" s="38" cm="1">
        <f t="array" aca="1" ref="J4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CRACHÁ]]="",$AE42&gt;$AC$1),2,
AND(Tabela6[[#This Row],[STATUS PROCESSO DESMOBILIZAÇÃO]]="Em andamento",Tabela6[[#This Row],[DATA REAL - ENTR. CRACHÁ]]="",$AE42&lt;=$AC$1),3,
AND(Tabela6[[#This Row],[STATUS PROCESSO DESMOBILIZAÇÃO]]="Em andamento",Tabela6[[#This Row],[DATA REAL - ENTR. CRACHÁ]]&lt;&gt;""),1)</f>
        <v>0</v>
      </c>
      <c r="K42" s="38" cm="1">
        <f t="array" aca="1" ref="K4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protocolo]]="",$AH42&gt;$AF$1),2,
AND(Tabela6[[#This Row],[STATUS PROCESSO DESMOBILIZAÇÃO]]="Em andamento",Tabela6[[#This Row],[DATA REAL - Envio do protocolo]]="",$AH42&lt;=$AF$1),3,
AND(Tabela6[[#This Row],[STATUS PROCESSO DESMOBILIZAÇÃO]]="Em andamento",Tabela6[[#This Row],[DATA REAL - Envio do protocolo]]&lt;&gt;""),1)</f>
        <v>0</v>
      </c>
      <c r="L42"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4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2" s="38"/>
      <c r="Q42" s="38" t="s">
        <v>97</v>
      </c>
      <c r="R42" s="38" t="s">
        <v>98</v>
      </c>
      <c r="S42" s="38" t="s">
        <v>89</v>
      </c>
      <c r="T42" s="38" t="s">
        <v>144</v>
      </c>
      <c r="U42" s="38" t="s">
        <v>145</v>
      </c>
      <c r="V42" s="38" t="str">
        <f>_xlfn.XLOOKUP(Tabela6[[#This Row],[COD. CT]],Controle_Projetos[COD CT],Controle_Projetos[COD PHD],"")</f>
        <v>SALU-CT06-MARA</v>
      </c>
      <c r="W42" s="39"/>
      <c r="X42" s="40"/>
      <c r="Y42" s="38" t="str" cm="1">
        <f t="array" aca="1" ref="Y4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42" s="39" t="s">
        <v>249</v>
      </c>
      <c r="AA42" s="40"/>
      <c r="AB42" s="38" t="str" cm="1">
        <f t="array" aca="1" ref="AB4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2" s="39" t="str">
        <f>IF(Tabela6[[#This Row],[DATA PREV - CRACHÁ]]="","",IF(Tabela6[[#This Row],[DATA REAL - CRACHÁ]]="",WORKDAY(Tabela6[[#This Row],[DATA PREV - CRACHÁ]],AC$1,),WORKDAY(Tabela6[[#This Row],[DATA REAL - CRACHÁ]],AC$1,)))</f>
        <v/>
      </c>
      <c r="AD42" s="40"/>
      <c r="AE42" s="38" t="str" cm="1">
        <f t="array" aca="1" ref="AE4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2" s="39" t="str">
        <f>IF(Tabela6[[#This Row],[DATA PREV - ENTR. CRACHÁ]]="","",IF(Tabela6[[#This Row],[DATA REAL - ENTR. CRACHÁ]]="",WORKDAY(Tabela6[[#This Row],[DATA PREV - ENTR. CRACHÁ]],AF$1,),WORKDAY(Tabela6[[#This Row],[DATA REAL - ENTR. CRACHÁ]],AF$1,)))</f>
        <v/>
      </c>
      <c r="AG42" s="40"/>
      <c r="AH42" s="38" t="str" cm="1">
        <f t="array" aca="1" ref="AH4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2" s="39" t="str">
        <f>IF(Tabela6[[#This Row],[DATA PREV - envio do protocolo]]="","",IF(Tabela6[[#This Row],[DATA REAL - Envio do protocolo]]="",WORKDAY(Tabela6[[#This Row],[DATA PREV - envio do protocolo]],AI$1,),WORKDAY(Tabela6[[#This Row],[DATA REAL - Envio do protocolo]],AI$1,)))</f>
        <v/>
      </c>
      <c r="AJ42" s="40"/>
      <c r="AK42" s="38" t="str" cm="1">
        <f t="array" aca="1" ref="AK4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42" s="38"/>
    </row>
    <row r="43" spans="2:38" hidden="1" x14ac:dyDescent="0.35">
      <c r="B43" s="37" t="s">
        <v>79</v>
      </c>
      <c r="C43" s="38"/>
      <c r="D43" s="38"/>
      <c r="E43" s="37" t="s">
        <v>81</v>
      </c>
      <c r="F43" s="38" t="s">
        <v>82</v>
      </c>
      <c r="G43" s="38" cm="1">
        <f t="array" aca="1" ref="G4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FORMS]]="",$Y43&gt;$W$1),2,
AND(Tabela6[[#This Row],[STATUS PROCESSO DESMOBILIZAÇÃO]]="Em andamento",Tabela6[[#This Row],[DATA REAL - FORMS]]="",$Y43&lt;=$W$1),3,
AND(Tabela6[[#This Row],[STATUS PROCESSO DESMOBILIZAÇÃO]]="Em andamento",Tabela6[[#This Row],[DATA REAL - FORMS]]&lt;&gt;""),1)</f>
        <v>0</v>
      </c>
      <c r="H43" s="38" cm="1">
        <f t="array" aca="1" ref="H4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CRACHÁ]]="",$AB43&gt;$Z$1),2,
AND(Tabela6[[#This Row],[STATUS PROCESSO DESMOBILIZAÇÃO]]="Em andamento",Tabela6[[#This Row],[DATA REAL - CRACHÁ]]="",$AB43&lt;=$Z$1),3,
AND(Tabela6[[#This Row],[STATUS PROCESSO DESMOBILIZAÇÃO]]="Em andamento",Tabela6[[#This Row],[DATA REAL - CRACHÁ]]&lt;&gt;""),1)</f>
        <v>0</v>
      </c>
      <c r="I43" s="38" cm="1">
        <f t="array" aca="1" ref="I4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CRACHÁ]]="",$AE43&gt;$AC$1),2,
AND(Tabela6[[#This Row],[STATUS PROCESSO DESMOBILIZAÇÃO]]="Em andamento",Tabela6[[#This Row],[DATA REAL - ENTR. CRACHÁ]]="",$AE43&lt;=$AC$1),3,
AND(Tabela6[[#This Row],[STATUS PROCESSO DESMOBILIZAÇÃO]]="Em andamento",Tabela6[[#This Row],[DATA REAL - ENTR. CRACHÁ]]&lt;&gt;""),1)</f>
        <v>0</v>
      </c>
      <c r="J43" s="38" cm="1">
        <f t="array" aca="1" ref="J4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CRACHÁ]]="",$AE43&gt;$AC$1),2,
AND(Tabela6[[#This Row],[STATUS PROCESSO DESMOBILIZAÇÃO]]="Em andamento",Tabela6[[#This Row],[DATA REAL - ENTR. CRACHÁ]]="",$AE43&lt;=$AC$1),3,
AND(Tabela6[[#This Row],[STATUS PROCESSO DESMOBILIZAÇÃO]]="Em andamento",Tabela6[[#This Row],[DATA REAL - ENTR. CRACHÁ]]&lt;&gt;""),1)</f>
        <v>0</v>
      </c>
      <c r="K43" s="38" cm="1">
        <f t="array" aca="1" ref="K4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protocolo]]="",$AH43&gt;$AF$1),2,
AND(Tabela6[[#This Row],[STATUS PROCESSO DESMOBILIZAÇÃO]]="Em andamento",Tabela6[[#This Row],[DATA REAL - Envio do protocolo]]="",$AH43&lt;=$AF$1),3,
AND(Tabela6[[#This Row],[STATUS PROCESSO DESMOBILIZAÇÃO]]="Em andamento",Tabela6[[#This Row],[DATA REAL - Envio do protocolo]]&lt;&gt;""),1)</f>
        <v>0</v>
      </c>
      <c r="L43"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4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3" s="38"/>
      <c r="Q43" s="38"/>
      <c r="R43" s="38"/>
      <c r="S43" s="38"/>
      <c r="T43" s="38"/>
      <c r="U43" s="38" t="s">
        <v>249</v>
      </c>
      <c r="V43" s="38" t="str">
        <f>_xlfn.XLOOKUP(Tabela6[[#This Row],[COD. CT]],Controle_Projetos[COD CT],Controle_Projetos[COD PHD],"")</f>
        <v/>
      </c>
      <c r="W43" s="39"/>
      <c r="X43" s="40"/>
      <c r="Y43" s="38" t="str" cm="1">
        <f t="array" aca="1" ref="Y4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43" s="39" t="s">
        <v>249</v>
      </c>
      <c r="AA43" s="40"/>
      <c r="AB43" s="38" t="str" cm="1">
        <f t="array" aca="1" ref="AB4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3" s="39" t="str">
        <f>IF(Tabela6[[#This Row],[DATA PREV - CRACHÁ]]="","",IF(Tabela6[[#This Row],[DATA REAL - CRACHÁ]]="",WORKDAY(Tabela6[[#This Row],[DATA PREV - CRACHÁ]],AC$1,),WORKDAY(Tabela6[[#This Row],[DATA REAL - CRACHÁ]],AC$1,)))</f>
        <v/>
      </c>
      <c r="AD43" s="40"/>
      <c r="AE43" s="38" t="str" cm="1">
        <f t="array" aca="1" ref="AE4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3" s="39" t="str">
        <f>IF(Tabela6[[#This Row],[DATA PREV - ENTR. CRACHÁ]]="","",IF(Tabela6[[#This Row],[DATA REAL - ENTR. CRACHÁ]]="",WORKDAY(Tabela6[[#This Row],[DATA PREV - ENTR. CRACHÁ]],AF$1,),WORKDAY(Tabela6[[#This Row],[DATA REAL - ENTR. CRACHÁ]],AF$1,)))</f>
        <v/>
      </c>
      <c r="AG43" s="40"/>
      <c r="AH43" s="38" t="str" cm="1">
        <f t="array" aca="1" ref="AH4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3" s="39" t="str">
        <f>IF(Tabela6[[#This Row],[DATA PREV - envio do protocolo]]="","",IF(Tabela6[[#This Row],[DATA REAL - Envio do protocolo]]="",WORKDAY(Tabela6[[#This Row],[DATA PREV - envio do protocolo]],AI$1,),WORKDAY(Tabela6[[#This Row],[DATA REAL - Envio do protocolo]],AI$1,)))</f>
        <v/>
      </c>
      <c r="AJ43" s="40"/>
      <c r="AK43" s="38" t="str" cm="1">
        <f t="array" aca="1" ref="AK4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43" s="38"/>
    </row>
    <row r="44" spans="2:38" hidden="1" x14ac:dyDescent="0.35">
      <c r="B44" s="37" t="s">
        <v>79</v>
      </c>
      <c r="C44" s="38" t="s">
        <v>1214</v>
      </c>
      <c r="D44" s="38"/>
      <c r="E44" s="37" t="s">
        <v>81</v>
      </c>
      <c r="F44" s="38" t="s">
        <v>1263</v>
      </c>
      <c r="G44" s="38" cm="1">
        <f t="array" aca="1" ref="G4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FORMS]]="",$Y44&gt;$W$1),2,
AND(Tabela6[[#This Row],[STATUS PROCESSO DESMOBILIZAÇÃO]]="Em andamento",Tabela6[[#This Row],[DATA REAL - FORMS]]="",$Y44&lt;=$W$1),3,
AND(Tabela6[[#This Row],[STATUS PROCESSO DESMOBILIZAÇÃO]]="Em andamento",Tabela6[[#This Row],[DATA REAL - FORMS]]&lt;&gt;""),1)</f>
        <v>0</v>
      </c>
      <c r="H44" s="38" cm="1">
        <f t="array" aca="1" ref="H4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CRACHÁ]]="",$AB44&gt;$Z$1),2,
AND(Tabela6[[#This Row],[STATUS PROCESSO DESMOBILIZAÇÃO]]="Em andamento",Tabela6[[#This Row],[DATA REAL - CRACHÁ]]="",$AB44&lt;=$Z$1),3,
AND(Tabela6[[#This Row],[STATUS PROCESSO DESMOBILIZAÇÃO]]="Em andamento",Tabela6[[#This Row],[DATA REAL - CRACHÁ]]&lt;&gt;""),1)</f>
        <v>0</v>
      </c>
      <c r="I44" s="38" cm="1">
        <f t="array" aca="1" ref="I4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CRACHÁ]]="",$AE44&gt;$AC$1),2,
AND(Tabela6[[#This Row],[STATUS PROCESSO DESMOBILIZAÇÃO]]="Em andamento",Tabela6[[#This Row],[DATA REAL - ENTR. CRACHÁ]]="",$AE44&lt;=$AC$1),3,
AND(Tabela6[[#This Row],[STATUS PROCESSO DESMOBILIZAÇÃO]]="Em andamento",Tabela6[[#This Row],[DATA REAL - ENTR. CRACHÁ]]&lt;&gt;""),1)</f>
        <v>0</v>
      </c>
      <c r="J44" s="38" cm="1">
        <f t="array" aca="1" ref="J4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CRACHÁ]]="",$AE44&gt;$AC$1),2,
AND(Tabela6[[#This Row],[STATUS PROCESSO DESMOBILIZAÇÃO]]="Em andamento",Tabela6[[#This Row],[DATA REAL - ENTR. CRACHÁ]]="",$AE44&lt;=$AC$1),3,
AND(Tabela6[[#This Row],[STATUS PROCESSO DESMOBILIZAÇÃO]]="Em andamento",Tabela6[[#This Row],[DATA REAL - ENTR. CRACHÁ]]&lt;&gt;""),1)</f>
        <v>0</v>
      </c>
      <c r="K44" s="38" cm="1">
        <f t="array" aca="1" ref="K4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protocolo]]="",$AH44&gt;$AF$1),2,
AND(Tabela6[[#This Row],[STATUS PROCESSO DESMOBILIZAÇÃO]]="Em andamento",Tabela6[[#This Row],[DATA REAL - Envio do protocolo]]="",$AH44&lt;=$AF$1),3,
AND(Tabela6[[#This Row],[STATUS PROCESSO DESMOBILIZAÇÃO]]="Em andamento",Tabela6[[#This Row],[DATA REAL - Envio do protocolo]]&lt;&gt;""),1)</f>
        <v>0</v>
      </c>
      <c r="L44"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4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4" s="38" t="s">
        <v>158</v>
      </c>
      <c r="Q44" s="38" t="s">
        <v>97</v>
      </c>
      <c r="R44" s="38" t="s">
        <v>212</v>
      </c>
      <c r="S44" s="38" t="s">
        <v>213</v>
      </c>
      <c r="T44" s="38" t="s">
        <v>214</v>
      </c>
      <c r="U44" s="38" t="s">
        <v>215</v>
      </c>
      <c r="V44" s="38" t="str">
        <f>_xlfn.XLOOKUP(Tabela6[[#This Row],[COD. CT]],Controle_Projetos[COD CT],Controle_Projetos[COD PHD],"")</f>
        <v>NOBR-CT05-PLAN</v>
      </c>
      <c r="W44" s="39"/>
      <c r="X44" s="40"/>
      <c r="Y44" s="38" t="str" cm="1">
        <f t="array" aca="1" ref="Y4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44" s="39" t="s">
        <v>249</v>
      </c>
      <c r="AA44" s="40"/>
      <c r="AB44" s="38" t="str" cm="1">
        <f t="array" aca="1" ref="AB4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4" s="39" t="str">
        <f>IF(Tabela6[[#This Row],[DATA PREV - CRACHÁ]]="","",IF(Tabela6[[#This Row],[DATA REAL - CRACHÁ]]="",WORKDAY(Tabela6[[#This Row],[DATA PREV - CRACHÁ]],AC$1,),WORKDAY(Tabela6[[#This Row],[DATA REAL - CRACHÁ]],AC$1,)))</f>
        <v/>
      </c>
      <c r="AD44" s="40"/>
      <c r="AE44" s="38" t="str" cm="1">
        <f t="array" aca="1" ref="AE4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4" s="39" t="str">
        <f>IF(Tabela6[[#This Row],[DATA PREV - ENTR. CRACHÁ]]="","",IF(Tabela6[[#This Row],[DATA REAL - ENTR. CRACHÁ]]="",WORKDAY(Tabela6[[#This Row],[DATA PREV - ENTR. CRACHÁ]],AF$1,),WORKDAY(Tabela6[[#This Row],[DATA REAL - ENTR. CRACHÁ]],AF$1,)))</f>
        <v/>
      </c>
      <c r="AG44" s="40"/>
      <c r="AH44" s="38" t="str" cm="1">
        <f t="array" aca="1" ref="AH4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4" s="39" t="str">
        <f>IF(Tabela6[[#This Row],[DATA PREV - envio do protocolo]]="","",IF(Tabela6[[#This Row],[DATA REAL - Envio do protocolo]]="",WORKDAY(Tabela6[[#This Row],[DATA PREV - envio do protocolo]],AI$1,),WORKDAY(Tabela6[[#This Row],[DATA REAL - Envio do protocolo]],AI$1,)))</f>
        <v/>
      </c>
      <c r="AJ44" s="40"/>
      <c r="AK44" s="38" t="str" cm="1">
        <f t="array" aca="1" ref="AK4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44" s="38" t="s">
        <v>1264</v>
      </c>
    </row>
    <row r="45" spans="2:38" hidden="1" x14ac:dyDescent="0.35">
      <c r="B45" s="37" t="s">
        <v>79</v>
      </c>
      <c r="C45" s="38" t="s">
        <v>1228</v>
      </c>
      <c r="D45" s="38">
        <v>45596</v>
      </c>
      <c r="E45" s="37" t="s">
        <v>81</v>
      </c>
      <c r="F45" s="38" t="s">
        <v>1262</v>
      </c>
      <c r="G45" s="38" cm="1">
        <f t="array" aca="1" ref="G4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FORMS]]="",$Y45&gt;$W$1),2,
AND(Tabela6[[#This Row],[STATUS PROCESSO DESMOBILIZAÇÃO]]="Em andamento",Tabela6[[#This Row],[DATA REAL - FORMS]]="",$Y45&lt;=$W$1),3,
AND(Tabela6[[#This Row],[STATUS PROCESSO DESMOBILIZAÇÃO]]="Em andamento",Tabela6[[#This Row],[DATA REAL - FORMS]]&lt;&gt;""),1)</f>
        <v>0</v>
      </c>
      <c r="H45" s="38" cm="1">
        <f t="array" aca="1" ref="H4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CRACHÁ]]="",$AB45&gt;$Z$1),2,
AND(Tabela6[[#This Row],[STATUS PROCESSO DESMOBILIZAÇÃO]]="Em andamento",Tabela6[[#This Row],[DATA REAL - CRACHÁ]]="",$AB45&lt;=$Z$1),3,
AND(Tabela6[[#This Row],[STATUS PROCESSO DESMOBILIZAÇÃO]]="Em andamento",Tabela6[[#This Row],[DATA REAL - CRACHÁ]]&lt;&gt;""),1)</f>
        <v>0</v>
      </c>
      <c r="I45" s="38" cm="1">
        <f t="array" aca="1" ref="I4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CRACHÁ]]="",$AE45&gt;$AC$1),2,
AND(Tabela6[[#This Row],[STATUS PROCESSO DESMOBILIZAÇÃO]]="Em andamento",Tabela6[[#This Row],[DATA REAL - ENTR. CRACHÁ]]="",$AE45&lt;=$AC$1),3,
AND(Tabela6[[#This Row],[STATUS PROCESSO DESMOBILIZAÇÃO]]="Em andamento",Tabela6[[#This Row],[DATA REAL - ENTR. CRACHÁ]]&lt;&gt;""),1)</f>
        <v>0</v>
      </c>
      <c r="J45" s="38" cm="1">
        <f t="array" aca="1" ref="J4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CRACHÁ]]="",$AE45&gt;$AC$1),2,
AND(Tabela6[[#This Row],[STATUS PROCESSO DESMOBILIZAÇÃO]]="Em andamento",Tabela6[[#This Row],[DATA REAL - ENTR. CRACHÁ]]="",$AE45&lt;=$AC$1),3,
AND(Tabela6[[#This Row],[STATUS PROCESSO DESMOBILIZAÇÃO]]="Em andamento",Tabela6[[#This Row],[DATA REAL - ENTR. CRACHÁ]]&lt;&gt;""),1)</f>
        <v>0</v>
      </c>
      <c r="K45" s="38" cm="1">
        <f t="array" aca="1" ref="K4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protocolo]]="",$AH45&gt;$AF$1),2,
AND(Tabela6[[#This Row],[STATUS PROCESSO DESMOBILIZAÇÃO]]="Em andamento",Tabela6[[#This Row],[DATA REAL - Envio do protocolo]]="",$AH45&lt;=$AF$1),3,
AND(Tabela6[[#This Row],[STATUS PROCESSO DESMOBILIZAÇÃO]]="Em andamento",Tabela6[[#This Row],[DATA REAL - Envio do protocolo]]&lt;&gt;""),1)</f>
        <v>0</v>
      </c>
      <c r="L4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45597</v>
      </c>
      <c r="M4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5" s="38"/>
      <c r="Q45" s="38"/>
      <c r="R45" s="38" t="s">
        <v>897</v>
      </c>
      <c r="S45" s="38" t="s">
        <v>89</v>
      </c>
      <c r="T45" s="38" t="s">
        <v>1265</v>
      </c>
      <c r="U45" s="38" t="s">
        <v>965</v>
      </c>
      <c r="V45" s="38" t="str">
        <f>_xlfn.XLOOKUP(Tabela6[[#This Row],[COD. CT]],Controle_Projetos[COD CT],Controle_Projetos[COD PHD],"")</f>
        <v>TERR-CT07-P145</v>
      </c>
      <c r="W45" s="39">
        <v>45596</v>
      </c>
      <c r="X45" s="40"/>
      <c r="Y45" s="38" cm="1">
        <f t="array" aca="1" ref="Y4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45" s="39"/>
      <c r="AA45" s="40"/>
      <c r="AB45" s="38" t="str" cm="1">
        <f t="array" aca="1" ref="AB4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45" s="39" t="str">
        <f>IF(Tabela6[[#This Row],[DATA PREV - CRACHÁ]]="","",IF(Tabela6[[#This Row],[DATA REAL - CRACHÁ]]="",WORKDAY(Tabela6[[#This Row],[DATA PREV - CRACHÁ]],AC$1,),WORKDAY(Tabela6[[#This Row],[DATA REAL - CRACHÁ]],AC$1,)))</f>
        <v/>
      </c>
      <c r="AD45" s="40"/>
      <c r="AE45" s="38" t="str" cm="1">
        <f t="array" aca="1" ref="AE4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45" s="39" t="str">
        <f>IF(Tabela6[[#This Row],[DATA PREV - ENTR. CRACHÁ]]="","",IF(Tabela6[[#This Row],[DATA REAL - ENTR. CRACHÁ]]="",WORKDAY(Tabela6[[#This Row],[DATA PREV - ENTR. CRACHÁ]],AF$1,),WORKDAY(Tabela6[[#This Row],[DATA REAL - ENTR. CRACHÁ]],AF$1,)))</f>
        <v/>
      </c>
      <c r="AG45" s="40"/>
      <c r="AH45" s="38" t="str" cm="1">
        <f t="array" aca="1" ref="AH4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45" s="39" t="str">
        <f>IF(Tabela6[[#This Row],[DATA PREV - envio do protocolo]]="","",IF(Tabela6[[#This Row],[DATA REAL - Envio do protocolo]]="",WORKDAY(Tabela6[[#This Row],[DATA PREV - envio do protocolo]],AI$1,),WORKDAY(Tabela6[[#This Row],[DATA REAL - Envio do protocolo]],AI$1,)))</f>
        <v/>
      </c>
      <c r="AJ45" s="40">
        <v>45597</v>
      </c>
      <c r="AK45" s="38" cm="1">
        <f t="array" aca="1" ref="AK4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45" s="38" t="s">
        <v>1266</v>
      </c>
    </row>
    <row r="46" spans="2:38" hidden="1" x14ac:dyDescent="0.35">
      <c r="B46" s="37" t="s">
        <v>79</v>
      </c>
      <c r="C46" s="38" t="s">
        <v>1228</v>
      </c>
      <c r="D46" s="38">
        <v>45601</v>
      </c>
      <c r="E46" s="37" t="s">
        <v>81</v>
      </c>
      <c r="F46" s="38" t="s">
        <v>404</v>
      </c>
      <c r="G46" s="38" cm="1">
        <f t="array" aca="1" ref="G4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FORMS]]="",$Y46&gt;$W$1),2,
AND(Tabela6[[#This Row],[STATUS PROCESSO DESMOBILIZAÇÃO]]="Em andamento",Tabela6[[#This Row],[DATA REAL - FORMS]]="",$Y46&lt;=$W$1),3,
AND(Tabela6[[#This Row],[STATUS PROCESSO DESMOBILIZAÇÃO]]="Em andamento",Tabela6[[#This Row],[DATA REAL - FORMS]]&lt;&gt;""),1)</f>
        <v>0</v>
      </c>
      <c r="H46" s="38" cm="1">
        <f t="array" aca="1" ref="H4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CRACHÁ]]="",$AB46&gt;$Z$1),2,
AND(Tabela6[[#This Row],[STATUS PROCESSO DESMOBILIZAÇÃO]]="Em andamento",Tabela6[[#This Row],[DATA REAL - CRACHÁ]]="",$AB46&lt;=$Z$1),3,
AND(Tabela6[[#This Row],[STATUS PROCESSO DESMOBILIZAÇÃO]]="Em andamento",Tabela6[[#This Row],[DATA REAL - CRACHÁ]]&lt;&gt;""),1)</f>
        <v>0</v>
      </c>
      <c r="I46" s="38" cm="1">
        <f t="array" aca="1" ref="I4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CRACHÁ]]="",$AE46&gt;$AC$1),2,
AND(Tabela6[[#This Row],[STATUS PROCESSO DESMOBILIZAÇÃO]]="Em andamento",Tabela6[[#This Row],[DATA REAL - ENTR. CRACHÁ]]="",$AE46&lt;=$AC$1),3,
AND(Tabela6[[#This Row],[STATUS PROCESSO DESMOBILIZAÇÃO]]="Em andamento",Tabela6[[#This Row],[DATA REAL - ENTR. CRACHÁ]]&lt;&gt;""),1)</f>
        <v>0</v>
      </c>
      <c r="J46" s="38" cm="1">
        <f t="array" aca="1" ref="J4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CRACHÁ]]="",$AE46&gt;$AC$1),2,
AND(Tabela6[[#This Row],[STATUS PROCESSO DESMOBILIZAÇÃO]]="Em andamento",Tabela6[[#This Row],[DATA REAL - ENTR. CRACHÁ]]="",$AE46&lt;=$AC$1),3,
AND(Tabela6[[#This Row],[STATUS PROCESSO DESMOBILIZAÇÃO]]="Em andamento",Tabela6[[#This Row],[DATA REAL - ENTR. CRACHÁ]]&lt;&gt;""),1)</f>
        <v>0</v>
      </c>
      <c r="K46" s="38" cm="1">
        <f t="array" aca="1" ref="K4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protocolo]]="",$AH46&gt;$AF$1),2,
AND(Tabela6[[#This Row],[STATUS PROCESSO DESMOBILIZAÇÃO]]="Em andamento",Tabela6[[#This Row],[DATA REAL - Envio do protocolo]]="",$AH46&lt;=$AF$1),3,
AND(Tabela6[[#This Row],[STATUS PROCESSO DESMOBILIZAÇÃO]]="Em andamento",Tabela6[[#This Row],[DATA REAL - Envio do protocolo]]&lt;&gt;""),1)</f>
        <v>0</v>
      </c>
      <c r="L46"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45611</v>
      </c>
      <c r="M4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4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46" s="38" t="s">
        <v>150</v>
      </c>
      <c r="Q46" s="38" t="s">
        <v>97</v>
      </c>
      <c r="R46" s="38" t="s">
        <v>1267</v>
      </c>
      <c r="S46" s="38" t="s">
        <v>89</v>
      </c>
      <c r="T46" s="38" t="s">
        <v>1268</v>
      </c>
      <c r="U46" s="38" t="s">
        <v>1258</v>
      </c>
      <c r="V46" s="38" t="str">
        <f>_xlfn.XLOOKUP(Tabela6[[#This Row],[COD. CT]],Controle_Projetos[COD CT],Controle_Projetos[COD PHD],"")</f>
        <v>CCAP-CT02-CAPA</v>
      </c>
      <c r="W46" s="39">
        <v>45601</v>
      </c>
      <c r="X46" s="40"/>
      <c r="Y46" s="38" cm="1">
        <f t="array" aca="1" ref="Y4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46" s="39">
        <v>45602</v>
      </c>
      <c r="AA46" s="40"/>
      <c r="AB46" s="38" cm="1">
        <f t="array" aca="1" ref="AB4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46" s="39">
        <f>IF(Tabela6[[#This Row],[DATA PREV - CRACHÁ]]="","",IF(Tabela6[[#This Row],[DATA REAL - CRACHÁ]]="",WORKDAY(Tabela6[[#This Row],[DATA PREV - CRACHÁ]],AC$1,),WORKDAY(Tabela6[[#This Row],[DATA REAL - CRACHÁ]],AC$1,)))</f>
        <v>45604</v>
      </c>
      <c r="AD46" s="40"/>
      <c r="AE46" s="38" cm="1">
        <f t="array" aca="1" ref="AE4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46" s="39">
        <f>IF(Tabela6[[#This Row],[DATA PREV - ENTR. CRACHÁ]]="","",IF(Tabela6[[#This Row],[DATA REAL - ENTR. CRACHÁ]]="",WORKDAY(Tabela6[[#This Row],[DATA PREV - ENTR. CRACHÁ]],AF$1,),WORKDAY(Tabela6[[#This Row],[DATA REAL - ENTR. CRACHÁ]],AF$1,)))</f>
        <v>45607</v>
      </c>
      <c r="AG46" s="40"/>
      <c r="AH46" s="38" cm="1">
        <f t="array" aca="1" ref="AH4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46" s="39">
        <f>IF(Tabela6[[#This Row],[DATA PREV - envio do protocolo]]="","",IF(Tabela6[[#This Row],[DATA REAL - Envio do protocolo]]="",WORKDAY(Tabela6[[#This Row],[DATA PREV - envio do protocolo]],AI$1,),WORKDAY(Tabela6[[#This Row],[DATA REAL - Envio do protocolo]],AI$1,)))</f>
        <v>45611</v>
      </c>
      <c r="AJ46" s="40"/>
      <c r="AK46" s="38" cm="1">
        <f t="array" aca="1" ref="AK4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46" s="38" t="s">
        <v>1269</v>
      </c>
    </row>
    <row r="47" spans="2:38" hidden="1" x14ac:dyDescent="0.35">
      <c r="B47" s="37" t="s">
        <v>79</v>
      </c>
      <c r="C47" s="38" t="s">
        <v>1228</v>
      </c>
      <c r="D47" s="38">
        <v>45603</v>
      </c>
      <c r="E47" s="37" t="s">
        <v>81</v>
      </c>
      <c r="F47" s="38" t="s">
        <v>94</v>
      </c>
      <c r="G47" s="38" cm="1">
        <f t="array" aca="1" ref="G4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FORMS]]="",$Y47&gt;$W$1),2,
AND(Tabela6[[#This Row],[STATUS PROCESSO DESMOBILIZAÇÃO]]="Em andamento",Tabela6[[#This Row],[DATA REAL - FORMS]]="",$Y47&lt;=$W$1),3,
AND(Tabela6[[#This Row],[STATUS PROCESSO DESMOBILIZAÇÃO]]="Em andamento",Tabela6[[#This Row],[DATA REAL - FORMS]]&lt;&gt;""),1)</f>
        <v>0</v>
      </c>
      <c r="H47" s="38" cm="1">
        <f t="array" aca="1" ref="H4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CRACHÁ]]="",$AB47&gt;$Z$1),2,
AND(Tabela6[[#This Row],[STATUS PROCESSO DESMOBILIZAÇÃO]]="Em andamento",Tabela6[[#This Row],[DATA REAL - CRACHÁ]]="",$AB47&lt;=$Z$1),3,
AND(Tabela6[[#This Row],[STATUS PROCESSO DESMOBILIZAÇÃO]]="Em andamento",Tabela6[[#This Row],[DATA REAL - CRACHÁ]]&lt;&gt;""),1)</f>
        <v>1</v>
      </c>
      <c r="I47" s="38" cm="1">
        <f t="array" aca="1" ref="I4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CRACHÁ]]="",$AE47&gt;$AC$1),2,
AND(Tabela6[[#This Row],[STATUS PROCESSO DESMOBILIZAÇÃO]]="Em andamento",Tabela6[[#This Row],[DATA REAL - ENTR. CRACHÁ]]="",$AE47&lt;=$AC$1),3,
AND(Tabela6[[#This Row],[STATUS PROCESSO DESMOBILIZAÇÃO]]="Em andamento",Tabela6[[#This Row],[DATA REAL - ENTR. CRACHÁ]]&lt;&gt;""),1)</f>
        <v>1</v>
      </c>
      <c r="J47" s="38" cm="1">
        <f t="array" aca="1" ref="J4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CRACHÁ]]="",$AE47&gt;$AC$1),2,
AND(Tabela6[[#This Row],[STATUS PROCESSO DESMOBILIZAÇÃO]]="Em andamento",Tabela6[[#This Row],[DATA REAL - ENTR. CRACHÁ]]="",$AE47&lt;=$AC$1),3,
AND(Tabela6[[#This Row],[STATUS PROCESSO DESMOBILIZAÇÃO]]="Em andamento",Tabela6[[#This Row],[DATA REAL - ENTR. CRACHÁ]]&lt;&gt;""),1)</f>
        <v>1</v>
      </c>
      <c r="K47" s="38" cm="1">
        <f t="array" aca="1" ref="K4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protocolo]]="",$AH47&gt;$AF$1),2,
AND(Tabela6[[#This Row],[STATUS PROCESSO DESMOBILIZAÇÃO]]="Em andamento",Tabela6[[#This Row],[DATA REAL - Envio do protocolo]]="",$AH47&lt;=$AF$1),3,
AND(Tabela6[[#This Row],[STATUS PROCESSO DESMOBILIZAÇÃO]]="Em andamento",Tabela6[[#This Row],[DATA REAL - Envio do protocolo]]&lt;&gt;""),1)</f>
        <v>1</v>
      </c>
      <c r="L47"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45616</v>
      </c>
      <c r="M4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12</v>
      </c>
      <c r="N4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12</v>
      </c>
      <c r="P47" s="38"/>
      <c r="Q47" s="38" t="s">
        <v>97</v>
      </c>
      <c r="R47" s="38" t="s">
        <v>395</v>
      </c>
      <c r="S47" s="38" t="s">
        <v>89</v>
      </c>
      <c r="T47" s="38"/>
      <c r="U47" s="38" t="s">
        <v>951</v>
      </c>
      <c r="V47" s="38" t="str">
        <f>_xlfn.XLOOKUP(Tabela6[[#This Row],[COD. CT]],Controle_Projetos[COD CT],Controle_Projetos[COD PHD],"")</f>
        <v>EMPA-CT02-FICO</v>
      </c>
      <c r="W47" s="39">
        <v>45607</v>
      </c>
      <c r="X47" s="40"/>
      <c r="Y47" s="38" cm="1">
        <f t="array" aca="1" ref="Y4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47" s="39">
        <v>45608</v>
      </c>
      <c r="AA47" s="40">
        <v>45604</v>
      </c>
      <c r="AB47" s="38" cm="1">
        <f t="array" aca="1" ref="AB4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-4</v>
      </c>
      <c r="AC47" s="39">
        <f>IF(Tabela6[[#This Row],[DATA PREV - CRACHÁ]]="","",IF(Tabela6[[#This Row],[DATA REAL - CRACHÁ]]="",WORKDAY(Tabela6[[#This Row],[DATA PREV - CRACHÁ]],AC$1,),WORKDAY(Tabela6[[#This Row],[DATA REAL - CRACHÁ]],AC$1,)))</f>
        <v>45608</v>
      </c>
      <c r="AD47" s="40">
        <v>45604</v>
      </c>
      <c r="AE47" s="38" cm="1">
        <f t="array" aca="1" ref="AE4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47" s="39">
        <f>IF(Tabela6[[#This Row],[DATA PREV - ENTR. CRACHÁ]]="","",IF(Tabela6[[#This Row],[DATA REAL - ENTR. CRACHÁ]]="",WORKDAY(Tabela6[[#This Row],[DATA PREV - ENTR. CRACHÁ]],AF$1,),WORKDAY(Tabela6[[#This Row],[DATA REAL - ENTR. CRACHÁ]],AF$1,)))</f>
        <v>45607</v>
      </c>
      <c r="AG47" s="40">
        <v>45604</v>
      </c>
      <c r="AH47" s="38" cm="1">
        <f t="array" aca="1" ref="AH4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47" s="39">
        <f>IF(Tabela6[[#This Row],[DATA PREV - envio do protocolo]]="","",IF(Tabela6[[#This Row],[DATA REAL - Envio do protocolo]]="",WORKDAY(Tabela6[[#This Row],[DATA PREV - envio do protocolo]],AI$1,),WORKDAY(Tabela6[[#This Row],[DATA REAL - Envio do protocolo]],AI$1,)))</f>
        <v>45610</v>
      </c>
      <c r="AJ47" s="40">
        <v>45616</v>
      </c>
      <c r="AK47" s="38" cm="1">
        <f t="array" aca="1" ref="AK4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47" s="38" t="s">
        <v>1270</v>
      </c>
    </row>
    <row r="48" spans="2:38" hidden="1" x14ac:dyDescent="0.35">
      <c r="B48" s="37" t="s">
        <v>79</v>
      </c>
      <c r="C48" s="38" t="s">
        <v>1228</v>
      </c>
      <c r="D48" s="38">
        <v>45610</v>
      </c>
      <c r="E48" s="37" t="s">
        <v>81</v>
      </c>
      <c r="F48" s="38" t="s">
        <v>410</v>
      </c>
      <c r="G48" s="38" cm="1">
        <f t="array" aca="1" ref="G4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FORMS]]="",$Y48&gt;$W$1),2,
AND(Tabela6[[#This Row],[STATUS PROCESSO DESMOBILIZAÇÃO]]="Em andamento",Tabela6[[#This Row],[DATA REAL - FORMS]]="",$Y48&lt;=$W$1),3,
AND(Tabela6[[#This Row],[STATUS PROCESSO DESMOBILIZAÇÃO]]="Em andamento",Tabela6[[#This Row],[DATA REAL - FORMS]]&lt;&gt;""),1)</f>
        <v>1</v>
      </c>
      <c r="H48" s="38" cm="1">
        <f t="array" aca="1" ref="H4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CRACHÁ]]="",$AB48&gt;$Z$1),2,
AND(Tabela6[[#This Row],[STATUS PROCESSO DESMOBILIZAÇÃO]]="Em andamento",Tabela6[[#This Row],[DATA REAL - CRACHÁ]]="",$AB48&lt;=$Z$1),3,
AND(Tabela6[[#This Row],[STATUS PROCESSO DESMOBILIZAÇÃO]]="Em andamento",Tabela6[[#This Row],[DATA REAL - CRACHÁ]]&lt;&gt;""),1)</f>
        <v>1</v>
      </c>
      <c r="I48" s="38" cm="1">
        <f t="array" aca="1" ref="I4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CRACHÁ]]="",$AE48&gt;$AC$1),2,
AND(Tabela6[[#This Row],[STATUS PROCESSO DESMOBILIZAÇÃO]]="Em andamento",Tabela6[[#This Row],[DATA REAL - ENTR. CRACHÁ]]="",$AE48&lt;=$AC$1),3,
AND(Tabela6[[#This Row],[STATUS PROCESSO DESMOBILIZAÇÃO]]="Em andamento",Tabela6[[#This Row],[DATA REAL - ENTR. CRACHÁ]]&lt;&gt;""),1)</f>
        <v>1</v>
      </c>
      <c r="J48" s="38" cm="1">
        <f t="array" aca="1" ref="J4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CRACHÁ]]="",$AE48&gt;$AC$1),2,
AND(Tabela6[[#This Row],[STATUS PROCESSO DESMOBILIZAÇÃO]]="Em andamento",Tabela6[[#This Row],[DATA REAL - ENTR. CRACHÁ]]="",$AE48&lt;=$AC$1),3,
AND(Tabela6[[#This Row],[STATUS PROCESSO DESMOBILIZAÇÃO]]="Em andamento",Tabela6[[#This Row],[DATA REAL - ENTR. CRACHÁ]]&lt;&gt;""),1)</f>
        <v>1</v>
      </c>
      <c r="K48" s="38" cm="1">
        <f t="array" aca="1" ref="K4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protocolo]]="",$AH48&gt;$AF$1),2,
AND(Tabela6[[#This Row],[STATUS PROCESSO DESMOBILIZAÇÃO]]="Em andamento",Tabela6[[#This Row],[DATA REAL - Envio do protocolo]]="",$AH48&lt;=$AF$1),3,
AND(Tabela6[[#This Row],[STATUS PROCESSO DESMOBILIZAÇÃO]]="Em andamento",Tabela6[[#This Row],[DATA REAL - Envio do protocolo]]&lt;&gt;""),1)</f>
        <v>1</v>
      </c>
      <c r="L48"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45622</v>
      </c>
      <c r="M4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14</v>
      </c>
      <c r="N4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2</v>
      </c>
      <c r="O4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12</v>
      </c>
      <c r="P48" s="38"/>
      <c r="Q48" s="38" t="s">
        <v>97</v>
      </c>
      <c r="R48" s="38" t="s">
        <v>1271</v>
      </c>
      <c r="S48" s="38" t="s">
        <v>89</v>
      </c>
      <c r="T48" s="38" t="s">
        <v>1268</v>
      </c>
      <c r="U48" s="38" t="s">
        <v>1004</v>
      </c>
      <c r="V48" s="38" t="str">
        <f>_xlfn.XLOOKUP(Tabela6[[#This Row],[COD. CT]],Controle_Projetos[COD CT],Controle_Projetos[COD PHD],"")</f>
        <v>SIGD-CT03-BRIT</v>
      </c>
      <c r="W48" s="39">
        <v>45610</v>
      </c>
      <c r="X48" s="40">
        <v>45608</v>
      </c>
      <c r="Y48" s="38" cm="1">
        <f t="array" aca="1" ref="Y4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-2</v>
      </c>
      <c r="Z48" s="39">
        <v>45609</v>
      </c>
      <c r="AA48" s="40">
        <v>45610</v>
      </c>
      <c r="AB48" s="38" cm="1">
        <f t="array" aca="1" ref="AB4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48" s="39">
        <f>IF(Tabela6[[#This Row],[DATA PREV - CRACHÁ]]="","",IF(Tabela6[[#This Row],[DATA REAL - CRACHÁ]]="",WORKDAY(Tabela6[[#This Row],[DATA PREV - CRACHÁ]],AC$1,),WORKDAY(Tabela6[[#This Row],[DATA REAL - CRACHÁ]],AC$1,)))</f>
        <v>45614</v>
      </c>
      <c r="AD48" s="40">
        <v>45610</v>
      </c>
      <c r="AE48" s="38" cm="1">
        <f t="array" aca="1" ref="AE4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48" s="39">
        <f>IF(Tabela6[[#This Row],[DATA PREV - ENTR. CRACHÁ]]="","",IF(Tabela6[[#This Row],[DATA REAL - ENTR. CRACHÁ]]="",WORKDAY(Tabela6[[#This Row],[DATA PREV - ENTR. CRACHÁ]],AF$1,),WORKDAY(Tabela6[[#This Row],[DATA REAL - ENTR. CRACHÁ]],AF$1,)))</f>
        <v>45611</v>
      </c>
      <c r="AG48" s="40">
        <v>45610</v>
      </c>
      <c r="AH48" s="38" cm="1">
        <f t="array" aca="1" ref="AH4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48" s="39">
        <f>IF(Tabela6[[#This Row],[DATA PREV - envio do protocolo]]="","",IF(Tabela6[[#This Row],[DATA REAL - Envio do protocolo]]="",WORKDAY(Tabela6[[#This Row],[DATA PREV - envio do protocolo]],AI$1,),WORKDAY(Tabela6[[#This Row],[DATA REAL - Envio do protocolo]],AI$1,)))</f>
        <v>45616</v>
      </c>
      <c r="AJ48" s="40">
        <v>45622</v>
      </c>
      <c r="AK48" s="38" cm="1">
        <f t="array" aca="1" ref="AK4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48" s="38" t="s">
        <v>1272</v>
      </c>
    </row>
    <row r="49" spans="2:38" hidden="1" x14ac:dyDescent="0.35">
      <c r="B49" s="37" t="s">
        <v>79</v>
      </c>
      <c r="C49" s="38" t="s">
        <v>1228</v>
      </c>
      <c r="D49" s="38">
        <v>45610</v>
      </c>
      <c r="E49" s="37" t="s">
        <v>81</v>
      </c>
      <c r="F49" s="38" t="s">
        <v>600</v>
      </c>
      <c r="G49" s="38" cm="1">
        <f t="array" aca="1" ref="G4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FORMS]]="",$Y49&gt;$W$1),2,
AND(Tabela6[[#This Row],[STATUS PROCESSO DESMOBILIZAÇÃO]]="Em andamento",Tabela6[[#This Row],[DATA REAL - FORMS]]="",$Y49&lt;=$W$1),3,
AND(Tabela6[[#This Row],[STATUS PROCESSO DESMOBILIZAÇÃO]]="Em andamento",Tabela6[[#This Row],[DATA REAL - FORMS]]&lt;&gt;""),1)</f>
        <v>0</v>
      </c>
      <c r="H49" s="38" cm="1">
        <f t="array" aca="1" ref="H4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CRACHÁ]]="",$AB49&gt;$Z$1),2,
AND(Tabela6[[#This Row],[STATUS PROCESSO DESMOBILIZAÇÃO]]="Em andamento",Tabela6[[#This Row],[DATA REAL - CRACHÁ]]="",$AB49&lt;=$Z$1),3,
AND(Tabela6[[#This Row],[STATUS PROCESSO DESMOBILIZAÇÃO]]="Em andamento",Tabela6[[#This Row],[DATA REAL - CRACHÁ]]&lt;&gt;""),1)</f>
        <v>1</v>
      </c>
      <c r="I49" s="38" cm="1">
        <f t="array" aca="1" ref="I4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CRACHÁ]]="",$AE49&gt;$AC$1),2,
AND(Tabela6[[#This Row],[STATUS PROCESSO DESMOBILIZAÇÃO]]="Em andamento",Tabela6[[#This Row],[DATA REAL - ENTR. CRACHÁ]]="",$AE49&lt;=$AC$1),3,
AND(Tabela6[[#This Row],[STATUS PROCESSO DESMOBILIZAÇÃO]]="Em andamento",Tabela6[[#This Row],[DATA REAL - ENTR. CRACHÁ]]&lt;&gt;""),1)</f>
        <v>1</v>
      </c>
      <c r="J49" s="38" cm="1">
        <f t="array" aca="1" ref="J4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CRACHÁ]]="",$AE49&gt;$AC$1),2,
AND(Tabela6[[#This Row],[STATUS PROCESSO DESMOBILIZAÇÃO]]="Em andamento",Tabela6[[#This Row],[DATA REAL - ENTR. CRACHÁ]]="",$AE49&lt;=$AC$1),3,
AND(Tabela6[[#This Row],[STATUS PROCESSO DESMOBILIZAÇÃO]]="Em andamento",Tabela6[[#This Row],[DATA REAL - ENTR. CRACHÁ]]&lt;&gt;""),1)</f>
        <v>1</v>
      </c>
      <c r="K49" s="38" cm="1">
        <f t="array" aca="1" ref="K4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protocolo]]="",$AH49&gt;$AF$1),2,
AND(Tabela6[[#This Row],[STATUS PROCESSO DESMOBILIZAÇÃO]]="Em andamento",Tabela6[[#This Row],[DATA REAL - Envio do protocolo]]="",$AH49&lt;=$AF$1),3,
AND(Tabela6[[#This Row],[STATUS PROCESSO DESMOBILIZAÇÃO]]="Em andamento",Tabela6[[#This Row],[DATA REAL - Envio do protocolo]]&lt;&gt;""),1)</f>
        <v>1</v>
      </c>
      <c r="L49"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45623</v>
      </c>
      <c r="M4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13</v>
      </c>
      <c r="N4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4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13</v>
      </c>
      <c r="P49" s="38" t="s">
        <v>83</v>
      </c>
      <c r="Q49" s="38" t="s">
        <v>97</v>
      </c>
      <c r="R49" s="38" t="s">
        <v>996</v>
      </c>
      <c r="S49" s="38" t="s">
        <v>89</v>
      </c>
      <c r="T49" s="38" t="s">
        <v>323</v>
      </c>
      <c r="U49" s="38" t="s">
        <v>997</v>
      </c>
      <c r="V49" s="38" t="str">
        <f>_xlfn.XLOOKUP(Tabela6[[#This Row],[COD. CT]],Controle_Projetos[COD CT],Controle_Projetos[COD PHD],"")</f>
        <v>TECN-CT02-MODE</v>
      </c>
      <c r="W49" s="39">
        <v>45610</v>
      </c>
      <c r="X49" s="40"/>
      <c r="Y49" s="38" cm="1">
        <f t="array" aca="1" ref="Y4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49" s="39">
        <v>45611</v>
      </c>
      <c r="AA49" s="40">
        <v>45610</v>
      </c>
      <c r="AB49" s="38" cm="1">
        <f t="array" aca="1" ref="AB4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49" s="39">
        <f>IF(Tabela6[[#This Row],[DATA PREV - CRACHÁ]]="","",IF(Tabela6[[#This Row],[DATA REAL - CRACHÁ]]="",WORKDAY(Tabela6[[#This Row],[DATA PREV - CRACHÁ]],AC$1,),WORKDAY(Tabela6[[#This Row],[DATA REAL - CRACHÁ]],AC$1,)))</f>
        <v>45614</v>
      </c>
      <c r="AD49" s="40">
        <v>45610</v>
      </c>
      <c r="AE49" s="38" cm="1">
        <f t="array" aca="1" ref="AE4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49" s="39">
        <f>IF(Tabela6[[#This Row],[DATA PREV - ENTR. CRACHÁ]]="","",IF(Tabela6[[#This Row],[DATA REAL - ENTR. CRACHÁ]]="",WORKDAY(Tabela6[[#This Row],[DATA PREV - ENTR. CRACHÁ]],AF$1,),WORKDAY(Tabela6[[#This Row],[DATA REAL - ENTR. CRACHÁ]],AF$1,)))</f>
        <v>45611</v>
      </c>
      <c r="AG49" s="40">
        <v>45610</v>
      </c>
      <c r="AH49" s="38" cm="1">
        <f t="array" aca="1" ref="AH4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49" s="39">
        <f>IF(Tabela6[[#This Row],[DATA PREV - envio do protocolo]]="","",IF(Tabela6[[#This Row],[DATA REAL - Envio do protocolo]]="",WORKDAY(Tabela6[[#This Row],[DATA PREV - envio do protocolo]],AI$1,),WORKDAY(Tabela6[[#This Row],[DATA REAL - Envio do protocolo]],AI$1,)))</f>
        <v>45616</v>
      </c>
      <c r="AJ49" s="40">
        <v>45623</v>
      </c>
      <c r="AK49" s="38" cm="1">
        <f t="array" aca="1" ref="AK4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7</v>
      </c>
      <c r="AL49" s="38" t="s">
        <v>1273</v>
      </c>
    </row>
    <row r="50" spans="2:38" hidden="1" x14ac:dyDescent="0.35">
      <c r="B50" s="37" t="s">
        <v>79</v>
      </c>
      <c r="C50" s="38" t="s">
        <v>1228</v>
      </c>
      <c r="D50" s="38">
        <v>45624</v>
      </c>
      <c r="E50" s="37" t="s">
        <v>81</v>
      </c>
      <c r="F50" s="38" t="s">
        <v>109</v>
      </c>
      <c r="G50" s="38" cm="1">
        <f t="array" aca="1" ref="G5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FORMS]]="",$Y50&gt;$W$1),2,
AND(Tabela6[[#This Row],[STATUS PROCESSO DESMOBILIZAÇÃO]]="Em andamento",Tabela6[[#This Row],[DATA REAL - FORMS]]="",$Y50&lt;=$W$1),3,
AND(Tabela6[[#This Row],[STATUS PROCESSO DESMOBILIZAÇÃO]]="Em andamento",Tabela6[[#This Row],[DATA REAL - FORMS]]&lt;&gt;""),1)</f>
        <v>1</v>
      </c>
      <c r="H50" s="38" cm="1">
        <f t="array" aca="1" ref="H5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CRACHÁ]]="",$AB50&gt;$Z$1),2,
AND(Tabela6[[#This Row],[STATUS PROCESSO DESMOBILIZAÇÃO]]="Em andamento",Tabela6[[#This Row],[DATA REAL - CRACHÁ]]="",$AB50&lt;=$Z$1),3,
AND(Tabela6[[#This Row],[STATUS PROCESSO DESMOBILIZAÇÃO]]="Em andamento",Tabela6[[#This Row],[DATA REAL - CRACHÁ]]&lt;&gt;""),1)</f>
        <v>1</v>
      </c>
      <c r="I50" s="38" cm="1">
        <f t="array" aca="1" ref="I5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CRACHÁ]]="",$AE50&gt;$AC$1),2,
AND(Tabela6[[#This Row],[STATUS PROCESSO DESMOBILIZAÇÃO]]="Em andamento",Tabela6[[#This Row],[DATA REAL - ENTR. CRACHÁ]]="",$AE50&lt;=$AC$1),3,
AND(Tabela6[[#This Row],[STATUS PROCESSO DESMOBILIZAÇÃO]]="Em andamento",Tabela6[[#This Row],[DATA REAL - ENTR. CRACHÁ]]&lt;&gt;""),1)</f>
        <v>1</v>
      </c>
      <c r="J50" s="38" cm="1">
        <f t="array" aca="1" ref="J5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CRACHÁ]]="",$AE50&gt;$AC$1),2,
AND(Tabela6[[#This Row],[STATUS PROCESSO DESMOBILIZAÇÃO]]="Em andamento",Tabela6[[#This Row],[DATA REAL - ENTR. CRACHÁ]]="",$AE50&lt;=$AC$1),3,
AND(Tabela6[[#This Row],[STATUS PROCESSO DESMOBILIZAÇÃO]]="Em andamento",Tabela6[[#This Row],[DATA REAL - ENTR. CRACHÁ]]&lt;&gt;""),1)</f>
        <v>1</v>
      </c>
      <c r="K50" s="38" cm="1">
        <f t="array" aca="1" ref="K5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protocolo]]="",$AH50&gt;$AF$1),2,
AND(Tabela6[[#This Row],[STATUS PROCESSO DESMOBILIZAÇÃO]]="Em andamento",Tabela6[[#This Row],[DATA REAL - Envio do protocolo]]="",$AH50&lt;=$AF$1),3,
AND(Tabela6[[#This Row],[STATUS PROCESSO DESMOBILIZAÇÃO]]="Em andamento",Tabela6[[#This Row],[DATA REAL - Envio do protocolo]]&lt;&gt;""),1)</f>
        <v>1</v>
      </c>
      <c r="L50"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45631</v>
      </c>
      <c r="M5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16</v>
      </c>
      <c r="N5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10</v>
      </c>
      <c r="O5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v>
      </c>
      <c r="P50" s="38" t="s">
        <v>83</v>
      </c>
      <c r="Q50" s="38" t="s">
        <v>97</v>
      </c>
      <c r="R50" s="38" t="s">
        <v>897</v>
      </c>
      <c r="S50" s="38" t="s">
        <v>89</v>
      </c>
      <c r="T50" s="38" t="s">
        <v>1274</v>
      </c>
      <c r="U50" s="38" t="s">
        <v>987</v>
      </c>
      <c r="V50" s="38" t="str">
        <f>_xlfn.XLOOKUP(Tabela6[[#This Row],[COD. CT]],Controle_Projetos[COD CT],Controle_Projetos[COD PHD],"")</f>
        <v>TERR-CT08-RMAC</v>
      </c>
      <c r="W50" s="39">
        <v>45615</v>
      </c>
      <c r="X50" s="40">
        <v>45615</v>
      </c>
      <c r="Y50" s="38" cm="1">
        <f t="array" aca="1" ref="Y5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0" s="39">
        <v>45616</v>
      </c>
      <c r="AA50" s="40">
        <v>45624</v>
      </c>
      <c r="AB50" s="38" cm="1">
        <f t="array" aca="1" ref="AB5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8</v>
      </c>
      <c r="AC50" s="39">
        <f>IF(Tabela6[[#This Row],[DATA PREV - CRACHÁ]]="","",IF(Tabela6[[#This Row],[DATA REAL - CRACHÁ]]="",WORKDAY(Tabela6[[#This Row],[DATA PREV - CRACHÁ]],AC$1,),WORKDAY(Tabela6[[#This Row],[DATA REAL - CRACHÁ]],AC$1,)))</f>
        <v>45628</v>
      </c>
      <c r="AD50" s="40">
        <v>45625</v>
      </c>
      <c r="AE50" s="38" cm="1">
        <f t="array" aca="1" ref="AE5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-3</v>
      </c>
      <c r="AF50" s="39">
        <f>IF(Tabela6[[#This Row],[DATA PREV - ENTR. CRACHÁ]]="","",IF(Tabela6[[#This Row],[DATA REAL - ENTR. CRACHÁ]]="",WORKDAY(Tabela6[[#This Row],[DATA PREV - ENTR. CRACHÁ]],AF$1,),WORKDAY(Tabela6[[#This Row],[DATA REAL - ENTR. CRACHÁ]],AF$1,)))</f>
        <v>45628</v>
      </c>
      <c r="AG50" s="40">
        <v>45625</v>
      </c>
      <c r="AH50" s="38" cm="1">
        <f t="array" aca="1" ref="AH5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50" s="39">
        <f>IF(Tabela6[[#This Row],[DATA PREV - envio do protocolo]]="","",IF(Tabela6[[#This Row],[DATA REAL - Envio do protocolo]]="",WORKDAY(Tabela6[[#This Row],[DATA PREV - envio do protocolo]],AI$1,),WORKDAY(Tabela6[[#This Row],[DATA REAL - Envio do protocolo]],AI$1,)))</f>
        <v>45631</v>
      </c>
      <c r="AJ50" s="40">
        <v>45631</v>
      </c>
      <c r="AK50" s="38" cm="1">
        <f t="array" aca="1" ref="AK5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0" s="38" t="s">
        <v>1275</v>
      </c>
    </row>
    <row r="51" spans="2:38" hidden="1" x14ac:dyDescent="0.35">
      <c r="B51" s="37" t="s">
        <v>79</v>
      </c>
      <c r="C51" s="38" t="s">
        <v>1228</v>
      </c>
      <c r="D51" s="38">
        <v>45630</v>
      </c>
      <c r="E51" s="37" t="s">
        <v>81</v>
      </c>
      <c r="F51" s="38" t="s">
        <v>1276</v>
      </c>
      <c r="G51" s="38" cm="1">
        <f t="array" aca="1" ref="G5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FORMS]]="",$Y51&gt;$W$1),2,
AND(Tabela6[[#This Row],[STATUS PROCESSO DESMOBILIZAÇÃO]]="Em andamento",Tabela6[[#This Row],[DATA REAL - FORMS]]="",$Y51&lt;=$W$1),3,
AND(Tabela6[[#This Row],[STATUS PROCESSO DESMOBILIZAÇÃO]]="Em andamento",Tabela6[[#This Row],[DATA REAL - FORMS]]&lt;&gt;""),1)</f>
        <v>1</v>
      </c>
      <c r="H51" s="38" cm="1">
        <f t="array" aca="1" ref="H5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CRACHÁ]]="",$AB51&gt;$Z$1),2,
AND(Tabela6[[#This Row],[STATUS PROCESSO DESMOBILIZAÇÃO]]="Em andamento",Tabela6[[#This Row],[DATA REAL - CRACHÁ]]="",$AB51&lt;=$Z$1),3,
AND(Tabela6[[#This Row],[STATUS PROCESSO DESMOBILIZAÇÃO]]="Em andamento",Tabela6[[#This Row],[DATA REAL - CRACHÁ]]&lt;&gt;""),1)</f>
        <v>1</v>
      </c>
      <c r="I51" s="38" cm="1">
        <f t="array" aca="1" ref="I5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CRACHÁ]]="",$AE51&gt;$AC$1),2,
AND(Tabela6[[#This Row],[STATUS PROCESSO DESMOBILIZAÇÃO]]="Em andamento",Tabela6[[#This Row],[DATA REAL - ENTR. CRACHÁ]]="",$AE51&lt;=$AC$1),3,
AND(Tabela6[[#This Row],[STATUS PROCESSO DESMOBILIZAÇÃO]]="Em andamento",Tabela6[[#This Row],[DATA REAL - ENTR. CRACHÁ]]&lt;&gt;""),1)</f>
        <v>1</v>
      </c>
      <c r="J51" s="38" cm="1">
        <f t="array" aca="1" ref="J5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CRACHÁ]]="",$AE51&gt;$AC$1),2,
AND(Tabela6[[#This Row],[STATUS PROCESSO DESMOBILIZAÇÃO]]="Em andamento",Tabela6[[#This Row],[DATA REAL - ENTR. CRACHÁ]]="",$AE51&lt;=$AC$1),3,
AND(Tabela6[[#This Row],[STATUS PROCESSO DESMOBILIZAÇÃO]]="Em andamento",Tabela6[[#This Row],[DATA REAL - ENTR. CRACHÁ]]&lt;&gt;""),1)</f>
        <v>1</v>
      </c>
      <c r="K51" s="38" cm="1">
        <f t="array" aca="1" ref="K5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protocolo]]="",$AH51&gt;$AF$1),2,
AND(Tabela6[[#This Row],[STATUS PROCESSO DESMOBILIZAÇÃO]]="Em andamento",Tabela6[[#This Row],[DATA REAL - Envio do protocolo]]="",$AH51&lt;=$AF$1),3,
AND(Tabela6[[#This Row],[STATUS PROCESSO DESMOBILIZAÇÃO]]="Em andamento",Tabela6[[#This Row],[DATA REAL - Envio do protocolo]]&lt;&gt;""),1)</f>
        <v>1</v>
      </c>
      <c r="L5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45641</v>
      </c>
      <c r="M5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11</v>
      </c>
      <c r="N5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2</v>
      </c>
      <c r="O5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9</v>
      </c>
      <c r="P51" s="38" t="s">
        <v>103</v>
      </c>
      <c r="Q51" s="38" t="s">
        <v>87</v>
      </c>
      <c r="R51" s="38" t="s">
        <v>897</v>
      </c>
      <c r="S51" s="38" t="s">
        <v>89</v>
      </c>
      <c r="T51" s="38" t="s">
        <v>1265</v>
      </c>
      <c r="U51" s="38" t="s">
        <v>965</v>
      </c>
      <c r="V51" s="38" t="str">
        <f>_xlfn.XLOOKUP(Tabela6[[#This Row],[COD. CT]],Controle_Projetos[COD CT],Controle_Projetos[COD PHD],"")</f>
        <v>TERR-CT07-P145</v>
      </c>
      <c r="W51" s="39"/>
      <c r="X51" s="40">
        <v>45632</v>
      </c>
      <c r="Y51" s="38" cm="1">
        <f t="array" aca="1" ref="Y5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1" s="39"/>
      <c r="AA51" s="40">
        <v>45630</v>
      </c>
      <c r="AB51" s="38" cm="1">
        <f t="array" aca="1" ref="AB5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1" s="39" t="str">
        <f>IF(Tabela6[[#This Row],[DATA PREV - CRACHÁ]]="","",IF(Tabela6[[#This Row],[DATA REAL - CRACHÁ]]="",WORKDAY(Tabela6[[#This Row],[DATA PREV - CRACHÁ]],AC$1,),WORKDAY(Tabela6[[#This Row],[DATA REAL - CRACHÁ]],AC$1,)))</f>
        <v/>
      </c>
      <c r="AD51" s="40">
        <v>45632</v>
      </c>
      <c r="AE51" s="38" cm="1">
        <f t="array" aca="1" ref="AE5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51" s="39" t="str">
        <f>IF(Tabela6[[#This Row],[DATA PREV - ENTR. CRACHÁ]]="","",IF(Tabela6[[#This Row],[DATA REAL - ENTR. CRACHÁ]]="",WORKDAY(Tabela6[[#This Row],[DATA PREV - ENTR. CRACHÁ]],AF$1,),WORKDAY(Tabela6[[#This Row],[DATA REAL - ENTR. CRACHÁ]],AF$1,)))</f>
        <v/>
      </c>
      <c r="AG51" s="40">
        <v>45632</v>
      </c>
      <c r="AH51" s="38" cm="1">
        <f t="array" aca="1" ref="AH5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51" s="39" t="str">
        <f>IF(Tabela6[[#This Row],[DATA PREV - envio do protocolo]]="","",IF(Tabela6[[#This Row],[DATA REAL - Envio do protocolo]]="",WORKDAY(Tabela6[[#This Row],[DATA PREV - envio do protocolo]],AI$1,),WORKDAY(Tabela6[[#This Row],[DATA REAL - Envio do protocolo]],AI$1,)))</f>
        <v/>
      </c>
      <c r="AJ51" s="40">
        <v>45641</v>
      </c>
      <c r="AK51" s="38" cm="1">
        <f t="array" aca="1" ref="AK5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1" s="38" t="s">
        <v>1277</v>
      </c>
    </row>
    <row r="52" spans="2:38" hidden="1" x14ac:dyDescent="0.35">
      <c r="B52" s="37" t="s">
        <v>79</v>
      </c>
      <c r="C52" s="38" t="s">
        <v>1228</v>
      </c>
      <c r="D52" s="38">
        <v>45630</v>
      </c>
      <c r="E52" s="37" t="s">
        <v>81</v>
      </c>
      <c r="F52" s="38" t="s">
        <v>120</v>
      </c>
      <c r="G52" s="38" cm="1">
        <f t="array" aca="1" ref="G5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FORMS]]="",$Y52&gt;$W$1),2,
AND(Tabela6[[#This Row],[STATUS PROCESSO DESMOBILIZAÇÃO]]="Em andamento",Tabela6[[#This Row],[DATA REAL - FORMS]]="",$Y52&lt;=$W$1),3,
AND(Tabela6[[#This Row],[STATUS PROCESSO DESMOBILIZAÇÃO]]="Em andamento",Tabela6[[#This Row],[DATA REAL - FORMS]]&lt;&gt;""),1)</f>
        <v>0</v>
      </c>
      <c r="H52" s="38" cm="1">
        <f t="array" aca="1" ref="H5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CRACHÁ]]="",$AB52&gt;$Z$1),2,
AND(Tabela6[[#This Row],[STATUS PROCESSO DESMOBILIZAÇÃO]]="Em andamento",Tabela6[[#This Row],[DATA REAL - CRACHÁ]]="",$AB52&lt;=$Z$1),3,
AND(Tabela6[[#This Row],[STATUS PROCESSO DESMOBILIZAÇÃO]]="Em andamento",Tabela6[[#This Row],[DATA REAL - CRACHÁ]]&lt;&gt;""),1)</f>
        <v>1</v>
      </c>
      <c r="I52" s="38" cm="1">
        <f t="array" aca="1" ref="I5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CRACHÁ]]="",$AE52&gt;$AC$1),2,
AND(Tabela6[[#This Row],[STATUS PROCESSO DESMOBILIZAÇÃO]]="Em andamento",Tabela6[[#This Row],[DATA REAL - ENTR. CRACHÁ]]="",$AE52&lt;=$AC$1),3,
AND(Tabela6[[#This Row],[STATUS PROCESSO DESMOBILIZAÇÃO]]="Em andamento",Tabela6[[#This Row],[DATA REAL - ENTR. CRACHÁ]]&lt;&gt;""),1)</f>
        <v>1</v>
      </c>
      <c r="J52" s="38" cm="1">
        <f t="array" aca="1" ref="J5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CRACHÁ]]="",$AE52&gt;$AC$1),2,
AND(Tabela6[[#This Row],[STATUS PROCESSO DESMOBILIZAÇÃO]]="Em andamento",Tabela6[[#This Row],[DATA REAL - ENTR. CRACHÁ]]="",$AE52&lt;=$AC$1),3,
AND(Tabela6[[#This Row],[STATUS PROCESSO DESMOBILIZAÇÃO]]="Em andamento",Tabela6[[#This Row],[DATA REAL - ENTR. CRACHÁ]]&lt;&gt;""),1)</f>
        <v>1</v>
      </c>
      <c r="K52" s="38" cm="1">
        <f t="array" aca="1" ref="K5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protocolo]]="",$AH52&gt;$AF$1),2,
AND(Tabela6[[#This Row],[STATUS PROCESSO DESMOBILIZAÇÃO]]="Em andamento",Tabela6[[#This Row],[DATA REAL - Envio do protocolo]]="",$AH52&lt;=$AF$1),3,
AND(Tabela6[[#This Row],[STATUS PROCESSO DESMOBILIZAÇÃO]]="Em andamento",Tabela6[[#This Row],[DATA REAL - Envio do protocolo]]&lt;&gt;""),1)</f>
        <v>1</v>
      </c>
      <c r="L52"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45637</v>
      </c>
      <c r="M5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7</v>
      </c>
      <c r="N5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v>
      </c>
      <c r="P52" s="38" t="s">
        <v>211</v>
      </c>
      <c r="Q52" s="38" t="s">
        <v>97</v>
      </c>
      <c r="R52" s="38" t="s">
        <v>212</v>
      </c>
      <c r="S52" s="38" t="s">
        <v>213</v>
      </c>
      <c r="T52" s="38" t="s">
        <v>214</v>
      </c>
      <c r="U52" s="38" t="s">
        <v>215</v>
      </c>
      <c r="V52" s="38" t="str">
        <f>_xlfn.XLOOKUP(Tabela6[[#This Row],[COD. CT]],Controle_Projetos[COD CT],Controle_Projetos[COD PHD],"")</f>
        <v>NOBR-CT05-PLAN</v>
      </c>
      <c r="W52" s="39"/>
      <c r="X52" s="40"/>
      <c r="Y52" s="38" t="str" cm="1">
        <f t="array" aca="1" ref="Y5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52" s="39" t="s">
        <v>249</v>
      </c>
      <c r="AA52" s="40">
        <v>45630</v>
      </c>
      <c r="AB52" s="38" cm="1">
        <f t="array" aca="1" ref="AB5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2" s="39" t="str">
        <f>IF(Tabela6[[#This Row],[DATA PREV - CRACHÁ]]="","",IF(Tabela6[[#This Row],[DATA REAL - CRACHÁ]]="",WORKDAY(Tabela6[[#This Row],[DATA PREV - CRACHÁ]],AC$1,),WORKDAY(Tabela6[[#This Row],[DATA REAL - CRACHÁ]],AC$1,)))</f>
        <v/>
      </c>
      <c r="AD52" s="40">
        <v>45630</v>
      </c>
      <c r="AE52" s="38" cm="1">
        <f t="array" aca="1" ref="AE5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52" s="39" t="str">
        <f>IF(Tabela6[[#This Row],[DATA PREV - ENTR. CRACHÁ]]="","",IF(Tabela6[[#This Row],[DATA REAL - ENTR. CRACHÁ]]="",WORKDAY(Tabela6[[#This Row],[DATA PREV - ENTR. CRACHÁ]],AF$1,),WORKDAY(Tabela6[[#This Row],[DATA REAL - ENTR. CRACHÁ]],AF$1,)))</f>
        <v/>
      </c>
      <c r="AG52" s="40">
        <v>45636</v>
      </c>
      <c r="AH52" s="38" cm="1">
        <f t="array" aca="1" ref="AH5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52" s="39" t="str">
        <f>IF(Tabela6[[#This Row],[DATA PREV - envio do protocolo]]="","",IF(Tabela6[[#This Row],[DATA REAL - Envio do protocolo]]="",WORKDAY(Tabela6[[#This Row],[DATA PREV - envio do protocolo]],AI$1,),WORKDAY(Tabela6[[#This Row],[DATA REAL - Envio do protocolo]],AI$1,)))</f>
        <v/>
      </c>
      <c r="AJ52" s="40">
        <v>45637</v>
      </c>
      <c r="AK52" s="38" cm="1">
        <f t="array" aca="1" ref="AK5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2" s="38" t="s">
        <v>1278</v>
      </c>
    </row>
    <row r="53" spans="2:38" hidden="1" x14ac:dyDescent="0.35">
      <c r="B53" s="37" t="s">
        <v>79</v>
      </c>
      <c r="C53" s="38" t="s">
        <v>1228</v>
      </c>
      <c r="D53" s="38">
        <v>45644</v>
      </c>
      <c r="E53" s="37" t="s">
        <v>81</v>
      </c>
      <c r="F53" s="38" t="s">
        <v>1279</v>
      </c>
      <c r="G53" s="38" cm="1">
        <f t="array" aca="1" ref="G5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FORMS]]="",$Y53&gt;$W$1),2,
AND(Tabela6[[#This Row],[STATUS PROCESSO DESMOBILIZAÇÃO]]="Em andamento",Tabela6[[#This Row],[DATA REAL - FORMS]]="",$Y53&lt;=$W$1),3,
AND(Tabela6[[#This Row],[STATUS PROCESSO DESMOBILIZAÇÃO]]="Em andamento",Tabela6[[#This Row],[DATA REAL - FORMS]]&lt;&gt;""),1)</f>
        <v>1</v>
      </c>
      <c r="H53" s="38" cm="1">
        <f t="array" aca="1" ref="H5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CRACHÁ]]="",$AB53&gt;$Z$1),2,
AND(Tabela6[[#This Row],[STATUS PROCESSO DESMOBILIZAÇÃO]]="Em andamento",Tabela6[[#This Row],[DATA REAL - CRACHÁ]]="",$AB53&lt;=$Z$1),3,
AND(Tabela6[[#This Row],[STATUS PROCESSO DESMOBILIZAÇÃO]]="Em andamento",Tabela6[[#This Row],[DATA REAL - CRACHÁ]]&lt;&gt;""),1)</f>
        <v>0</v>
      </c>
      <c r="I53" s="38" cm="1">
        <f t="array" aca="1" ref="I5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CRACHÁ]]="",$AE53&gt;$AC$1),2,
AND(Tabela6[[#This Row],[STATUS PROCESSO DESMOBILIZAÇÃO]]="Em andamento",Tabela6[[#This Row],[DATA REAL - ENTR. CRACHÁ]]="",$AE53&lt;=$AC$1),3,
AND(Tabela6[[#This Row],[STATUS PROCESSO DESMOBILIZAÇÃO]]="Em andamento",Tabela6[[#This Row],[DATA REAL - ENTR. CRACHÁ]]&lt;&gt;""),1)</f>
        <v>1</v>
      </c>
      <c r="J53" s="38" cm="1">
        <f t="array" aca="1" ref="J5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CRACHÁ]]="",$AE53&gt;$AC$1),2,
AND(Tabela6[[#This Row],[STATUS PROCESSO DESMOBILIZAÇÃO]]="Em andamento",Tabela6[[#This Row],[DATA REAL - ENTR. CRACHÁ]]="",$AE53&lt;=$AC$1),3,
AND(Tabela6[[#This Row],[STATUS PROCESSO DESMOBILIZAÇÃO]]="Em andamento",Tabela6[[#This Row],[DATA REAL - ENTR. CRACHÁ]]&lt;&gt;""),1)</f>
        <v>1</v>
      </c>
      <c r="K53" s="38" cm="1">
        <f t="array" aca="1" ref="K5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protocolo]]="",$AH53&gt;$AF$1),2,
AND(Tabela6[[#This Row],[STATUS PROCESSO DESMOBILIZAÇÃO]]="Em andamento",Tabela6[[#This Row],[DATA REAL - Envio do protocolo]]="",$AH53&lt;=$AF$1),3,
AND(Tabela6[[#This Row],[STATUS PROCESSO DESMOBILIZAÇÃO]]="Em andamento",Tabela6[[#This Row],[DATA REAL - Envio do protocolo]]&lt;&gt;""),1)</f>
        <v>1</v>
      </c>
      <c r="L53"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45650</v>
      </c>
      <c r="M5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v>
      </c>
      <c r="N5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v>
      </c>
      <c r="P53" s="38" t="s">
        <v>122</v>
      </c>
      <c r="Q53" s="38" t="s">
        <v>97</v>
      </c>
      <c r="R53" s="38" t="s">
        <v>125</v>
      </c>
      <c r="S53" s="38" t="s">
        <v>89</v>
      </c>
      <c r="T53" s="38" t="s">
        <v>323</v>
      </c>
      <c r="U53" s="38" t="s">
        <v>127</v>
      </c>
      <c r="V53" s="38" t="str">
        <f>_xlfn.XLOOKUP(Tabela6[[#This Row],[COD. CT]],Controle_Projetos[COD CT],Controle_Projetos[COD PHD],"")</f>
        <v>CIMC-CT02-CCMD</v>
      </c>
      <c r="W53" s="39"/>
      <c r="X53" s="40">
        <v>45644</v>
      </c>
      <c r="Y53" s="38" cm="1">
        <f t="array" aca="1" ref="Y5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3" s="39">
        <v>45643</v>
      </c>
      <c r="AA53" s="40"/>
      <c r="AB53" s="38" cm="1">
        <f t="array" aca="1" ref="AB5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3" s="39">
        <f>IF(Tabela6[[#This Row],[DATA PREV - CRACHÁ]]="","",IF(Tabela6[[#This Row],[DATA REAL - CRACHÁ]]="",WORKDAY(Tabela6[[#This Row],[DATA PREV - CRACHÁ]],AC$1,),WORKDAY(Tabela6[[#This Row],[DATA REAL - CRACHÁ]],AC$1,)))</f>
        <v>45645</v>
      </c>
      <c r="AD53" s="40">
        <v>45644</v>
      </c>
      <c r="AE53" s="38" cm="1">
        <f t="array" aca="1" ref="AE5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-1</v>
      </c>
      <c r="AF53" s="39">
        <f>IF(Tabela6[[#This Row],[DATA PREV - ENTR. CRACHÁ]]="","",IF(Tabela6[[#This Row],[DATA REAL - ENTR. CRACHÁ]]="",WORKDAY(Tabela6[[#This Row],[DATA PREV - ENTR. CRACHÁ]],AF$1,),WORKDAY(Tabela6[[#This Row],[DATA REAL - ENTR. CRACHÁ]],AF$1,)))</f>
        <v>45645</v>
      </c>
      <c r="AG53" s="40">
        <v>45644</v>
      </c>
      <c r="AH53" s="38" cm="1">
        <f t="array" aca="1" ref="AH5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53" s="39">
        <f>IF(Tabela6[[#This Row],[DATA PREV - envio do protocolo]]="","",IF(Tabela6[[#This Row],[DATA REAL - Envio do protocolo]]="",WORKDAY(Tabela6[[#This Row],[DATA PREV - envio do protocolo]],AI$1,),WORKDAY(Tabela6[[#This Row],[DATA REAL - Envio do protocolo]],AI$1,)))</f>
        <v>45650</v>
      </c>
      <c r="AJ53" s="40">
        <v>45645</v>
      </c>
      <c r="AK53" s="38" cm="1">
        <f t="array" aca="1" ref="AK5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-5</v>
      </c>
      <c r="AL53" s="38" t="s">
        <v>1280</v>
      </c>
    </row>
    <row r="54" spans="2:38" hidden="1" x14ac:dyDescent="0.35">
      <c r="B54" s="37" t="s">
        <v>79</v>
      </c>
      <c r="C54" s="38" t="s">
        <v>1214</v>
      </c>
      <c r="D54" s="38"/>
      <c r="E54" s="37" t="s">
        <v>81</v>
      </c>
      <c r="F54" s="38" t="s">
        <v>320</v>
      </c>
      <c r="G54" s="38" cm="1">
        <f t="array" aca="1" ref="G5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FORMS]]="",$Y54&gt;$W$1),2,
AND(Tabela6[[#This Row],[STATUS PROCESSO DESMOBILIZAÇÃO]]="Em andamento",Tabela6[[#This Row],[DATA REAL - FORMS]]="",$Y54&lt;=$W$1),3,
AND(Tabela6[[#This Row],[STATUS PROCESSO DESMOBILIZAÇÃO]]="Em andamento",Tabela6[[#This Row],[DATA REAL - FORMS]]&lt;&gt;""),1)</f>
        <v>0</v>
      </c>
      <c r="H54" s="38" cm="1">
        <f t="array" aca="1" ref="H5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CRACHÁ]]="",$AB54&gt;$Z$1),2,
AND(Tabela6[[#This Row],[STATUS PROCESSO DESMOBILIZAÇÃO]]="Em andamento",Tabela6[[#This Row],[DATA REAL - CRACHÁ]]="",$AB54&lt;=$Z$1),3,
AND(Tabela6[[#This Row],[STATUS PROCESSO DESMOBILIZAÇÃO]]="Em andamento",Tabela6[[#This Row],[DATA REAL - CRACHÁ]]&lt;&gt;""),1)</f>
        <v>1</v>
      </c>
      <c r="I54" s="38" cm="1">
        <f t="array" aca="1" ref="I5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CRACHÁ]]="",$AE54&gt;$AC$1),2,
AND(Tabela6[[#This Row],[STATUS PROCESSO DESMOBILIZAÇÃO]]="Em andamento",Tabela6[[#This Row],[DATA REAL - ENTR. CRACHÁ]]="",$AE54&lt;=$AC$1),3,
AND(Tabela6[[#This Row],[STATUS PROCESSO DESMOBILIZAÇÃO]]="Em andamento",Tabela6[[#This Row],[DATA REAL - ENTR. CRACHÁ]]&lt;&gt;""),1)</f>
        <v>1</v>
      </c>
      <c r="J54" s="38" cm="1">
        <f t="array" aca="1" ref="J5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CRACHÁ]]="",$AE54&gt;$AC$1),2,
AND(Tabela6[[#This Row],[STATUS PROCESSO DESMOBILIZAÇÃO]]="Em andamento",Tabela6[[#This Row],[DATA REAL - ENTR. CRACHÁ]]="",$AE54&lt;=$AC$1),3,
AND(Tabela6[[#This Row],[STATUS PROCESSO DESMOBILIZAÇÃO]]="Em andamento",Tabela6[[#This Row],[DATA REAL - ENTR. CRACHÁ]]&lt;&gt;""),1)</f>
        <v>1</v>
      </c>
      <c r="K54" s="38" cm="1">
        <f t="array" aca="1" ref="K5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protocolo]]="",$AH54&gt;$AF$1),2,
AND(Tabela6[[#This Row],[STATUS PROCESSO DESMOBILIZAÇÃO]]="Em andamento",Tabela6[[#This Row],[DATA REAL - Envio do protocolo]]="",$AH54&lt;=$AF$1),3,
AND(Tabela6[[#This Row],[STATUS PROCESSO DESMOBILIZAÇÃO]]="Em andamento",Tabela6[[#This Row],[DATA REAL - Envio do protocolo]]&lt;&gt;""),1)</f>
        <v>1</v>
      </c>
      <c r="L54"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45666</v>
      </c>
      <c r="M5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5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54" s="38" t="s">
        <v>172</v>
      </c>
      <c r="Q54" s="38" t="s">
        <v>97</v>
      </c>
      <c r="R54" s="38" t="s">
        <v>235</v>
      </c>
      <c r="S54" s="38" t="s">
        <v>585</v>
      </c>
      <c r="T54" s="38" t="s">
        <v>1281</v>
      </c>
      <c r="U54" s="38" t="s">
        <v>959</v>
      </c>
      <c r="V54" s="38" t="str">
        <f>_xlfn.XLOOKUP(Tabela6[[#This Row],[COD. CT]],Controle_Projetos[COD CT],Controle_Projetos[COD PHD],"")</f>
        <v>CCAP-CT11-RUMO</v>
      </c>
      <c r="W54" s="39"/>
      <c r="X54" s="40"/>
      <c r="Y54" s="38" t="str" cm="1">
        <f t="array" aca="1" ref="Y5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54" s="39">
        <v>45660</v>
      </c>
      <c r="AA54" s="40">
        <v>45660</v>
      </c>
      <c r="AB54" s="38" cm="1">
        <f t="array" aca="1" ref="AB5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4" s="39">
        <f>IF(Tabela6[[#This Row],[DATA PREV - CRACHÁ]]="","",IF(Tabela6[[#This Row],[DATA REAL - CRACHÁ]]="",WORKDAY(Tabela6[[#This Row],[DATA PREV - CRACHÁ]],AC$1,),WORKDAY(Tabela6[[#This Row],[DATA REAL - CRACHÁ]],AC$1,)))</f>
        <v>45664</v>
      </c>
      <c r="AD54" s="40">
        <v>45660</v>
      </c>
      <c r="AE54" s="38" cm="1">
        <f t="array" aca="1" ref="AE5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54" s="39">
        <f>IF(Tabela6[[#This Row],[DATA PREV - ENTR. CRACHÁ]]="","",IF(Tabela6[[#This Row],[DATA REAL - ENTR. CRACHÁ]]="",WORKDAY(Tabela6[[#This Row],[DATA PREV - ENTR. CRACHÁ]],AF$1,),WORKDAY(Tabela6[[#This Row],[DATA REAL - ENTR. CRACHÁ]],AF$1,)))</f>
        <v>45663</v>
      </c>
      <c r="AG54" s="40">
        <v>45660</v>
      </c>
      <c r="AH54" s="38" cm="1">
        <f t="array" aca="1" ref="AH5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54" s="39">
        <f>IF(Tabela6[[#This Row],[DATA PREV - envio do protocolo]]="","",IF(Tabela6[[#This Row],[DATA REAL - Envio do protocolo]]="",WORKDAY(Tabela6[[#This Row],[DATA PREV - envio do protocolo]],AI$1,),WORKDAY(Tabela6[[#This Row],[DATA REAL - Envio do protocolo]],AI$1,)))</f>
        <v>45666</v>
      </c>
      <c r="AJ54" s="40"/>
      <c r="AK54" s="38" cm="1">
        <f t="array" aca="1" ref="AK5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4" s="38" t="s">
        <v>1282</v>
      </c>
    </row>
    <row r="55" spans="2:38" hidden="1" x14ac:dyDescent="0.35">
      <c r="B55" s="37" t="s">
        <v>79</v>
      </c>
      <c r="C55" s="38" t="s">
        <v>1214</v>
      </c>
      <c r="D55" s="38">
        <v>45664</v>
      </c>
      <c r="E55" s="37" t="s">
        <v>81</v>
      </c>
      <c r="F55" s="38" t="s">
        <v>129</v>
      </c>
      <c r="G55" s="38" cm="1">
        <f t="array" aca="1" ref="G5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FORMS]]="",$Y55&gt;$W$1),2,
AND(Tabela6[[#This Row],[STATUS PROCESSO DESMOBILIZAÇÃO]]="Em andamento",Tabela6[[#This Row],[DATA REAL - FORMS]]="",$Y55&lt;=$W$1),3,
AND(Tabela6[[#This Row],[STATUS PROCESSO DESMOBILIZAÇÃO]]="Em andamento",Tabela6[[#This Row],[DATA REAL - FORMS]]&lt;&gt;""),1)</f>
        <v>0</v>
      </c>
      <c r="H55" s="38" cm="1">
        <f t="array" aca="1" ref="H5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CRACHÁ]]="",$AB55&gt;$Z$1),2,
AND(Tabela6[[#This Row],[STATUS PROCESSO DESMOBILIZAÇÃO]]="Em andamento",Tabela6[[#This Row],[DATA REAL - CRACHÁ]]="",$AB55&lt;=$Z$1),3,
AND(Tabela6[[#This Row],[STATUS PROCESSO DESMOBILIZAÇÃO]]="Em andamento",Tabela6[[#This Row],[DATA REAL - CRACHÁ]]&lt;&gt;""),1)</f>
        <v>1</v>
      </c>
      <c r="I55" s="38" cm="1">
        <f t="array" aca="1" ref="I5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CRACHÁ]]="",$AE55&gt;$AC$1),2,
AND(Tabela6[[#This Row],[STATUS PROCESSO DESMOBILIZAÇÃO]]="Em andamento",Tabela6[[#This Row],[DATA REAL - ENTR. CRACHÁ]]="",$AE55&lt;=$AC$1),3,
AND(Tabela6[[#This Row],[STATUS PROCESSO DESMOBILIZAÇÃO]]="Em andamento",Tabela6[[#This Row],[DATA REAL - ENTR. CRACHÁ]]&lt;&gt;""),1)</f>
        <v>1</v>
      </c>
      <c r="J55" s="38" cm="1">
        <f t="array" aca="1" ref="J5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CRACHÁ]]="",$AE55&gt;$AC$1),2,
AND(Tabela6[[#This Row],[STATUS PROCESSO DESMOBILIZAÇÃO]]="Em andamento",Tabela6[[#This Row],[DATA REAL - ENTR. CRACHÁ]]="",$AE55&lt;=$AC$1),3,
AND(Tabela6[[#This Row],[STATUS PROCESSO DESMOBILIZAÇÃO]]="Em andamento",Tabela6[[#This Row],[DATA REAL - ENTR. CRACHÁ]]&lt;&gt;""),1)</f>
        <v>1</v>
      </c>
      <c r="K55" s="38" cm="1">
        <f t="array" aca="1" ref="K5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protocolo]]="",$AH55&gt;$AF$1),2,
AND(Tabela6[[#This Row],[STATUS PROCESSO DESMOBILIZAÇÃO]]="Em andamento",Tabela6[[#This Row],[DATA REAL - Envio do protocolo]]="",$AH55&lt;=$AF$1),3,
AND(Tabela6[[#This Row],[STATUS PROCESSO DESMOBILIZAÇÃO]]="Em andamento",Tabela6[[#This Row],[DATA REAL - Envio do protocolo]]&lt;&gt;""),1)</f>
        <v>1</v>
      </c>
      <c r="L5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45670</v>
      </c>
      <c r="M5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5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55" s="38" t="s">
        <v>122</v>
      </c>
      <c r="Q55" s="38" t="s">
        <v>97</v>
      </c>
      <c r="R55" s="38" t="s">
        <v>1283</v>
      </c>
      <c r="S55" s="38" t="s">
        <v>1082</v>
      </c>
      <c r="T55" s="38" t="s">
        <v>168</v>
      </c>
      <c r="U55" s="38" t="s">
        <v>1013</v>
      </c>
      <c r="V55" s="38" t="str">
        <f>_xlfn.XLOOKUP(Tabela6[[#This Row],[COD. CT]],Controle_Projetos[COD CT],Controle_Projetos[COD PHD],"")</f>
        <v/>
      </c>
      <c r="W55" s="39"/>
      <c r="X55" s="40"/>
      <c r="Y55" s="38" t="str" cm="1">
        <f t="array" aca="1" ref="Y5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55" s="39">
        <v>45664</v>
      </c>
      <c r="AA55" s="40">
        <v>45664</v>
      </c>
      <c r="AB55" s="38" cm="1">
        <f t="array" aca="1" ref="AB5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5" s="39">
        <f>IF(Tabela6[[#This Row],[DATA PREV - CRACHÁ]]="","",IF(Tabela6[[#This Row],[DATA REAL - CRACHÁ]]="",WORKDAY(Tabela6[[#This Row],[DATA PREV - CRACHÁ]],AC$1,),WORKDAY(Tabela6[[#This Row],[DATA REAL - CRACHÁ]],AC$1,)))</f>
        <v>45666</v>
      </c>
      <c r="AD55" s="40">
        <v>45664</v>
      </c>
      <c r="AE55" s="38" cm="1">
        <f t="array" aca="1" ref="AE5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55" s="39">
        <f>IF(Tabela6[[#This Row],[DATA PREV - ENTR. CRACHÁ]]="","",IF(Tabela6[[#This Row],[DATA REAL - ENTR. CRACHÁ]]="",WORKDAY(Tabela6[[#This Row],[DATA PREV - ENTR. CRACHÁ]],AF$1,),WORKDAY(Tabela6[[#This Row],[DATA REAL - ENTR. CRACHÁ]],AF$1,)))</f>
        <v>45665</v>
      </c>
      <c r="AG55" s="40">
        <v>45664</v>
      </c>
      <c r="AH55" s="38" cm="1">
        <f t="array" aca="1" ref="AH5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55" s="39">
        <f>IF(Tabela6[[#This Row],[DATA PREV - envio do protocolo]]="","",IF(Tabela6[[#This Row],[DATA REAL - Envio do protocolo]]="",WORKDAY(Tabela6[[#This Row],[DATA PREV - envio do protocolo]],AI$1,),WORKDAY(Tabela6[[#This Row],[DATA REAL - Envio do protocolo]],AI$1,)))</f>
        <v>45670</v>
      </c>
      <c r="AJ55" s="40"/>
      <c r="AK55" s="38" cm="1">
        <f t="array" aca="1" ref="AK5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5" s="38" t="s">
        <v>1284</v>
      </c>
    </row>
    <row r="56" spans="2:38" hidden="1" x14ac:dyDescent="0.35">
      <c r="B56" s="37" t="s">
        <v>79</v>
      </c>
      <c r="C56" s="38" t="s">
        <v>1228</v>
      </c>
      <c r="D56" s="38">
        <v>45672</v>
      </c>
      <c r="E56" s="37" t="s">
        <v>81</v>
      </c>
      <c r="F56" s="38" t="s">
        <v>163</v>
      </c>
      <c r="G56" s="38" cm="1">
        <f t="array" aca="1" ref="G5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FORMS]]="",$Y56&gt;$W$1),2,
AND(Tabela6[[#This Row],[STATUS PROCESSO DESMOBILIZAÇÃO]]="Em andamento",Tabela6[[#This Row],[DATA REAL - FORMS]]="",$Y56&lt;=$W$1),3,
AND(Tabela6[[#This Row],[STATUS PROCESSO DESMOBILIZAÇÃO]]="Em andamento",Tabela6[[#This Row],[DATA REAL - FORMS]]&lt;&gt;""),1)</f>
        <v>0</v>
      </c>
      <c r="H56" s="38" cm="1">
        <f t="array" aca="1" ref="H5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CRACHÁ]]="",$AB56&gt;$Z$1),2,
AND(Tabela6[[#This Row],[STATUS PROCESSO DESMOBILIZAÇÃO]]="Em andamento",Tabela6[[#This Row],[DATA REAL - CRACHÁ]]="",$AB56&lt;=$Z$1),3,
AND(Tabela6[[#This Row],[STATUS PROCESSO DESMOBILIZAÇÃO]]="Em andamento",Tabela6[[#This Row],[DATA REAL - CRACHÁ]]&lt;&gt;""),1)</f>
        <v>1</v>
      </c>
      <c r="I56" s="38" cm="1">
        <f t="array" aca="1" ref="I5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CRACHÁ]]="",$AE56&gt;$AC$1),2,
AND(Tabela6[[#This Row],[STATUS PROCESSO DESMOBILIZAÇÃO]]="Em andamento",Tabela6[[#This Row],[DATA REAL - ENTR. CRACHÁ]]="",$AE56&lt;=$AC$1),3,
AND(Tabela6[[#This Row],[STATUS PROCESSO DESMOBILIZAÇÃO]]="Em andamento",Tabela6[[#This Row],[DATA REAL - ENTR. CRACHÁ]]&lt;&gt;""),1)</f>
        <v>1</v>
      </c>
      <c r="J56" s="38" cm="1">
        <f t="array" aca="1" ref="J5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CRACHÁ]]="",$AE56&gt;$AC$1),2,
AND(Tabela6[[#This Row],[STATUS PROCESSO DESMOBILIZAÇÃO]]="Em andamento",Tabela6[[#This Row],[DATA REAL - ENTR. CRACHÁ]]="",$AE56&lt;=$AC$1),3,
AND(Tabela6[[#This Row],[STATUS PROCESSO DESMOBILIZAÇÃO]]="Em andamento",Tabela6[[#This Row],[DATA REAL - ENTR. CRACHÁ]]&lt;&gt;""),1)</f>
        <v>1</v>
      </c>
      <c r="K56" s="38" cm="1">
        <f t="array" aca="1" ref="K5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protocolo]]="",$AH56&gt;$AF$1),2,
AND(Tabela6[[#This Row],[STATUS PROCESSO DESMOBILIZAÇÃO]]="Em andamento",Tabela6[[#This Row],[DATA REAL - Envio do protocolo]]="",$AH56&lt;=$AF$1),3,
AND(Tabela6[[#This Row],[STATUS PROCESSO DESMOBILIZAÇÃO]]="Em andamento",Tabela6[[#This Row],[DATA REAL - Envio do protocolo]]&lt;&gt;""),1)</f>
        <v>1</v>
      </c>
      <c r="L56"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45680</v>
      </c>
      <c r="M5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v>
      </c>
      <c r="N5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2</v>
      </c>
      <c r="O5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56" s="38" t="s">
        <v>211</v>
      </c>
      <c r="Q56" s="38" t="s">
        <v>97</v>
      </c>
      <c r="R56" s="38" t="s">
        <v>235</v>
      </c>
      <c r="S56" s="38" t="s">
        <v>89</v>
      </c>
      <c r="T56" s="38" t="s">
        <v>1268</v>
      </c>
      <c r="U56" s="38" t="s">
        <v>1268</v>
      </c>
      <c r="V56" s="38" t="str">
        <f>_xlfn.XLOOKUP(Tabela6[[#This Row],[COD. CT]],Controle_Projetos[COD CT],Controle_Projetos[COD PHD],"")</f>
        <v/>
      </c>
      <c r="W56" s="39">
        <v>45674</v>
      </c>
      <c r="X56" s="40"/>
      <c r="Y56" s="38" cm="1">
        <f t="array" aca="1" ref="Y5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6" s="39">
        <v>45672</v>
      </c>
      <c r="AA56" s="40">
        <v>45672</v>
      </c>
      <c r="AB56" s="38" cm="1">
        <f t="array" aca="1" ref="AB5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6" s="39">
        <f>IF(Tabela6[[#This Row],[DATA PREV - CRACHÁ]]="","",IF(Tabela6[[#This Row],[DATA REAL - CRACHÁ]]="",WORKDAY(Tabela6[[#This Row],[DATA PREV - CRACHÁ]],AC$1,),WORKDAY(Tabela6[[#This Row],[DATA REAL - CRACHÁ]],AC$1,)))</f>
        <v>45674</v>
      </c>
      <c r="AD56" s="40">
        <v>45674</v>
      </c>
      <c r="AE56" s="38" cm="1">
        <f t="array" aca="1" ref="AE5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56" s="39">
        <f>IF(Tabela6[[#This Row],[DATA PREV - ENTR. CRACHÁ]]="","",IF(Tabela6[[#This Row],[DATA REAL - ENTR. CRACHÁ]]="",WORKDAY(Tabela6[[#This Row],[DATA PREV - ENTR. CRACHÁ]],AF$1,),WORKDAY(Tabela6[[#This Row],[DATA REAL - ENTR. CRACHÁ]],AF$1,)))</f>
        <v>45677</v>
      </c>
      <c r="AG56" s="40">
        <v>45674</v>
      </c>
      <c r="AH56" s="38" cm="1">
        <f t="array" aca="1" ref="AH5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56" s="39">
        <f>IF(Tabela6[[#This Row],[DATA PREV - envio do protocolo]]="","",IF(Tabela6[[#This Row],[DATA REAL - Envio do protocolo]]="",WORKDAY(Tabela6[[#This Row],[DATA PREV - envio do protocolo]],AI$1,),WORKDAY(Tabela6[[#This Row],[DATA REAL - Envio do protocolo]],AI$1,)))</f>
        <v>45680</v>
      </c>
      <c r="AJ56" s="40"/>
      <c r="AK56" s="38" cm="1">
        <f t="array" aca="1" ref="AK5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6" s="38" t="s">
        <v>1285</v>
      </c>
    </row>
    <row r="57" spans="2:38" hidden="1" x14ac:dyDescent="0.35">
      <c r="B57" s="37" t="s">
        <v>79</v>
      </c>
      <c r="C57" s="38" t="s">
        <v>1214</v>
      </c>
      <c r="D57" s="38"/>
      <c r="E57" s="37" t="s">
        <v>81</v>
      </c>
      <c r="F57" s="38" t="s">
        <v>234</v>
      </c>
      <c r="G57" s="38" cm="1">
        <f t="array" aca="1" ref="G5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FORMS]]="",$Y57&gt;$W$1),2,
AND(Tabela6[[#This Row],[STATUS PROCESSO DESMOBILIZAÇÃO]]="Em andamento",Tabela6[[#This Row],[DATA REAL - FORMS]]="",$Y57&lt;=$W$1),3,
AND(Tabela6[[#This Row],[STATUS PROCESSO DESMOBILIZAÇÃO]]="Em andamento",Tabela6[[#This Row],[DATA REAL - FORMS]]&lt;&gt;""),1)</f>
        <v>0</v>
      </c>
      <c r="H57" s="38" cm="1">
        <f t="array" aca="1" ref="H5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CRACHÁ]]="",$AB57&gt;$Z$1),2,
AND(Tabela6[[#This Row],[STATUS PROCESSO DESMOBILIZAÇÃO]]="Em andamento",Tabela6[[#This Row],[DATA REAL - CRACHÁ]]="",$AB57&lt;=$Z$1),3,
AND(Tabela6[[#This Row],[STATUS PROCESSO DESMOBILIZAÇÃO]]="Em andamento",Tabela6[[#This Row],[DATA REAL - CRACHÁ]]&lt;&gt;""),1)</f>
        <v>1</v>
      </c>
      <c r="I57" s="38" cm="1">
        <f t="array" aca="1" ref="I5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CRACHÁ]]="",$AE57&gt;$AC$1),2,
AND(Tabela6[[#This Row],[STATUS PROCESSO DESMOBILIZAÇÃO]]="Em andamento",Tabela6[[#This Row],[DATA REAL - ENTR. CRACHÁ]]="",$AE57&lt;=$AC$1),3,
AND(Tabela6[[#This Row],[STATUS PROCESSO DESMOBILIZAÇÃO]]="Em andamento",Tabela6[[#This Row],[DATA REAL - ENTR. CRACHÁ]]&lt;&gt;""),1)</f>
        <v>1</v>
      </c>
      <c r="J57" s="38" cm="1">
        <f t="array" aca="1" ref="J5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CRACHÁ]]="",$AE57&gt;$AC$1),2,
AND(Tabela6[[#This Row],[STATUS PROCESSO DESMOBILIZAÇÃO]]="Em andamento",Tabela6[[#This Row],[DATA REAL - ENTR. CRACHÁ]]="",$AE57&lt;=$AC$1),3,
AND(Tabela6[[#This Row],[STATUS PROCESSO DESMOBILIZAÇÃO]]="Em andamento",Tabela6[[#This Row],[DATA REAL - ENTR. CRACHÁ]]&lt;&gt;""),1)</f>
        <v>1</v>
      </c>
      <c r="K57" s="38" cm="1">
        <f t="array" aca="1" ref="K5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protocolo]]="",$AH57&gt;$AF$1),2,
AND(Tabela6[[#This Row],[STATUS PROCESSO DESMOBILIZAÇÃO]]="Em andamento",Tabela6[[#This Row],[DATA REAL - Envio do protocolo]]="",$AH57&lt;=$AF$1),3,
AND(Tabela6[[#This Row],[STATUS PROCESSO DESMOBILIZAÇÃO]]="Em andamento",Tabela6[[#This Row],[DATA REAL - Envio do protocolo]]&lt;&gt;""),1)</f>
        <v>1</v>
      </c>
      <c r="L57"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45681</v>
      </c>
      <c r="M5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5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5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57" s="38"/>
      <c r="Q57" s="38" t="s">
        <v>97</v>
      </c>
      <c r="R57" s="38" t="s">
        <v>309</v>
      </c>
      <c r="S57" s="38" t="s">
        <v>89</v>
      </c>
      <c r="T57" s="38" t="s">
        <v>1021</v>
      </c>
      <c r="U57" s="38" t="s">
        <v>1022</v>
      </c>
      <c r="V57" s="38" t="str">
        <f>_xlfn.XLOOKUP(Tabela6[[#This Row],[COD. CT]],Controle_Projetos[COD CT],Controle_Projetos[COD PHD],"")</f>
        <v/>
      </c>
      <c r="W57" s="39">
        <v>45674</v>
      </c>
      <c r="X57" s="40"/>
      <c r="Y57" s="38" cm="1">
        <f t="array" aca="1" ref="Y5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7" s="39">
        <v>45677</v>
      </c>
      <c r="AA57" s="40">
        <v>45677</v>
      </c>
      <c r="AB57" s="38" cm="1">
        <f t="array" aca="1" ref="AB5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57" s="39">
        <f>IF(Tabela6[[#This Row],[DATA PREV - CRACHÁ]]="","",IF(Tabela6[[#This Row],[DATA REAL - CRACHÁ]]="",WORKDAY(Tabela6[[#This Row],[DATA PREV - CRACHÁ]],AC$1,),WORKDAY(Tabela6[[#This Row],[DATA REAL - CRACHÁ]],AC$1,)))</f>
        <v>45679</v>
      </c>
      <c r="AD57" s="40">
        <v>45677</v>
      </c>
      <c r="AE57" s="38" cm="1">
        <f t="array" aca="1" ref="AE5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57" s="39">
        <f>IF(Tabela6[[#This Row],[DATA PREV - ENTR. CRACHÁ]]="","",IF(Tabela6[[#This Row],[DATA REAL - ENTR. CRACHÁ]]="",WORKDAY(Tabela6[[#This Row],[DATA PREV - ENTR. CRACHÁ]],AF$1,),WORKDAY(Tabela6[[#This Row],[DATA REAL - ENTR. CRACHÁ]],AF$1,)))</f>
        <v>45678</v>
      </c>
      <c r="AG57" s="40">
        <v>45677</v>
      </c>
      <c r="AH57" s="38" cm="1">
        <f t="array" aca="1" ref="AH5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57" s="39">
        <f>IF(Tabela6[[#This Row],[DATA PREV - envio do protocolo]]="","",IF(Tabela6[[#This Row],[DATA REAL - Envio do protocolo]]="",WORKDAY(Tabela6[[#This Row],[DATA PREV - envio do protocolo]],AI$1,),WORKDAY(Tabela6[[#This Row],[DATA REAL - Envio do protocolo]],AI$1,)))</f>
        <v>45681</v>
      </c>
      <c r="AJ57" s="40"/>
      <c r="AK57" s="38" cm="1">
        <f t="array" aca="1" ref="AK5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57" s="38" t="s">
        <v>1286</v>
      </c>
    </row>
    <row r="58" spans="2:38" hidden="1" x14ac:dyDescent="0.35">
      <c r="B58" s="37" t="s">
        <v>79</v>
      </c>
      <c r="C58" s="38" t="s">
        <v>1228</v>
      </c>
      <c r="D58" s="38">
        <v>45678</v>
      </c>
      <c r="E58" s="37" t="s">
        <v>81</v>
      </c>
      <c r="F58" s="38" t="s">
        <v>195</v>
      </c>
      <c r="G58" s="38" cm="1">
        <f t="array" aca="1" ref="G5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FORMS]]="",$Y58&gt;$W$1),2,
AND(Tabela6[[#This Row],[STATUS PROCESSO DESMOBILIZAÇÃO]]="Em andamento",Tabela6[[#This Row],[DATA REAL - FORMS]]="",$Y58&lt;=$W$1),3,
AND(Tabela6[[#This Row],[STATUS PROCESSO DESMOBILIZAÇÃO]]="Em andamento",Tabela6[[#This Row],[DATA REAL - FORMS]]&lt;&gt;""),1)</f>
        <v>1</v>
      </c>
      <c r="H58" s="38" cm="1">
        <f t="array" aca="1" ref="H5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CRACHÁ]]="",$AB58&gt;$Z$1),2,
AND(Tabela6[[#This Row],[STATUS PROCESSO DESMOBILIZAÇÃO]]="Em andamento",Tabela6[[#This Row],[DATA REAL - CRACHÁ]]="",$AB58&lt;=$Z$1),3,
AND(Tabela6[[#This Row],[STATUS PROCESSO DESMOBILIZAÇÃO]]="Em andamento",Tabela6[[#This Row],[DATA REAL - CRACHÁ]]&lt;&gt;""),1)</f>
        <v>1</v>
      </c>
      <c r="I58" s="38" cm="1">
        <f t="array" aca="1" ref="I5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CRACHÁ]]="",$AE58&gt;$AC$1),2,
AND(Tabela6[[#This Row],[STATUS PROCESSO DESMOBILIZAÇÃO]]="Em andamento",Tabela6[[#This Row],[DATA REAL - ENTR. CRACHÁ]]="",$AE58&lt;=$AC$1),3,
AND(Tabela6[[#This Row],[STATUS PROCESSO DESMOBILIZAÇÃO]]="Em andamento",Tabela6[[#This Row],[DATA REAL - ENTR. CRACHÁ]]&lt;&gt;""),1)</f>
        <v>1</v>
      </c>
      <c r="J58" s="38" cm="1">
        <f t="array" aca="1" ref="J5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CRACHÁ]]="",$AE58&gt;$AC$1),2,
AND(Tabela6[[#This Row],[STATUS PROCESSO DESMOBILIZAÇÃO]]="Em andamento",Tabela6[[#This Row],[DATA REAL - ENTR. CRACHÁ]]="",$AE58&lt;=$AC$1),3,
AND(Tabela6[[#This Row],[STATUS PROCESSO DESMOBILIZAÇÃO]]="Em andamento",Tabela6[[#This Row],[DATA REAL - ENTR. CRACHÁ]]&lt;&gt;""),1)</f>
        <v>1</v>
      </c>
      <c r="K58" s="38" cm="1">
        <f t="array" aca="1" ref="K5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protocolo]]="",$AH58&gt;$AF$1),2,
AND(Tabela6[[#This Row],[STATUS PROCESSO DESMOBILIZAÇÃO]]="Em andamento",Tabela6[[#This Row],[DATA REAL - Envio do protocolo]]="",$AH58&lt;=$AF$1),3,
AND(Tabela6[[#This Row],[STATUS PROCESSO DESMOBILIZAÇÃO]]="Em andamento",Tabela6[[#This Row],[DATA REAL - Envio do protocolo]]&lt;&gt;""),1)</f>
        <v>1</v>
      </c>
      <c r="L58"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45748</v>
      </c>
      <c r="M5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70</v>
      </c>
      <c r="N5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1</v>
      </c>
      <c r="O5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69</v>
      </c>
      <c r="P58" s="38" t="s">
        <v>158</v>
      </c>
      <c r="Q58" s="38" t="s">
        <v>87</v>
      </c>
      <c r="R58" s="38" t="s">
        <v>196</v>
      </c>
      <c r="S58" s="38" t="s">
        <v>89</v>
      </c>
      <c r="T58" s="38" t="s">
        <v>99</v>
      </c>
      <c r="U58" s="38" t="s">
        <v>197</v>
      </c>
      <c r="V58" s="38" t="str">
        <f>_xlfn.XLOOKUP(Tabela6[[#This Row],[COD. CT]],Controle_Projetos[COD CT],Controle_Projetos[COD PHD],"")</f>
        <v>VAVE-CT07-PDER</v>
      </c>
      <c r="W58" s="39">
        <v>45678</v>
      </c>
      <c r="X58" s="40">
        <v>45678</v>
      </c>
      <c r="Y58" s="38" cm="1">
        <f t="array" aca="1" ref="Y5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8" s="39">
        <v>45679</v>
      </c>
      <c r="AA58" s="40">
        <v>45678</v>
      </c>
      <c r="AB58" s="38" cm="1">
        <f t="array" aca="1" ref="AB5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58" s="39">
        <f>IF(Tabela6[[#This Row],[DATA PREV - CRACHÁ]]="","",IF(Tabela6[[#This Row],[DATA REAL - CRACHÁ]]="",WORKDAY(Tabela6[[#This Row],[DATA PREV - CRACHÁ]],AC$1,),WORKDAY(Tabela6[[#This Row],[DATA REAL - CRACHÁ]],AC$1,)))</f>
        <v>45680</v>
      </c>
      <c r="AD58" s="40">
        <v>45679</v>
      </c>
      <c r="AE58" s="38" cm="1">
        <f t="array" aca="1" ref="AE5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-1</v>
      </c>
      <c r="AF58" s="39">
        <f>IF(Tabela6[[#This Row],[DATA PREV - ENTR. CRACHÁ]]="","",IF(Tabela6[[#This Row],[DATA REAL - ENTR. CRACHÁ]]="",WORKDAY(Tabela6[[#This Row],[DATA PREV - ENTR. CRACHÁ]],AF$1,),WORKDAY(Tabela6[[#This Row],[DATA REAL - ENTR. CRACHÁ]],AF$1,)))</f>
        <v>45680</v>
      </c>
      <c r="AG58" s="40">
        <v>45679</v>
      </c>
      <c r="AH58" s="38" cm="1">
        <f t="array" aca="1" ref="AH5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58" s="39">
        <f>IF(Tabela6[[#This Row],[DATA PREV - envio do protocolo]]="","",IF(Tabela6[[#This Row],[DATA REAL - Envio do protocolo]]="",WORKDAY(Tabela6[[#This Row],[DATA PREV - envio do protocolo]],AI$1,),WORKDAY(Tabela6[[#This Row],[DATA REAL - Envio do protocolo]],AI$1,)))</f>
        <v>45685</v>
      </c>
      <c r="AJ58" s="40">
        <v>45748</v>
      </c>
      <c r="AK58" s="38" cm="1">
        <f t="array" aca="1" ref="AK5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63</v>
      </c>
      <c r="AL58" s="38" t="s">
        <v>1287</v>
      </c>
    </row>
    <row r="59" spans="2:38" hidden="1" x14ac:dyDescent="0.35">
      <c r="B59" s="37" t="s">
        <v>79</v>
      </c>
      <c r="C59" s="38" t="s">
        <v>1228</v>
      </c>
      <c r="D59" s="38">
        <v>45698</v>
      </c>
      <c r="E59" s="37" t="s">
        <v>81</v>
      </c>
      <c r="F59" s="38" t="s">
        <v>1288</v>
      </c>
      <c r="G59" s="38" cm="1">
        <f t="array" aca="1" ref="G5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FORMS]]="",$Y59&gt;$W$1),2,
AND(Tabela6[[#This Row],[STATUS PROCESSO DESMOBILIZAÇÃO]]="Em andamento",Tabela6[[#This Row],[DATA REAL - FORMS]]="",$Y59&lt;=$W$1),3,
AND(Tabela6[[#This Row],[STATUS PROCESSO DESMOBILIZAÇÃO]]="Em andamento",Tabela6[[#This Row],[DATA REAL - FORMS]]&lt;&gt;""),1)</f>
        <v>1</v>
      </c>
      <c r="H59" s="38" cm="1">
        <f t="array" aca="1" ref="H5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CRACHÁ]]="",$AB59&gt;$Z$1),2,
AND(Tabela6[[#This Row],[STATUS PROCESSO DESMOBILIZAÇÃO]]="Em andamento",Tabela6[[#This Row],[DATA REAL - CRACHÁ]]="",$AB59&lt;=$Z$1),3,
AND(Tabela6[[#This Row],[STATUS PROCESSO DESMOBILIZAÇÃO]]="Em andamento",Tabela6[[#This Row],[DATA REAL - CRACHÁ]]&lt;&gt;""),1)</f>
        <v>0</v>
      </c>
      <c r="I59" s="38" cm="1">
        <f t="array" aca="1" ref="I5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CRACHÁ]]="",$AE59&gt;$AC$1),2,
AND(Tabela6[[#This Row],[STATUS PROCESSO DESMOBILIZAÇÃO]]="Em andamento",Tabela6[[#This Row],[DATA REAL - ENTR. CRACHÁ]]="",$AE59&lt;=$AC$1),3,
AND(Tabela6[[#This Row],[STATUS PROCESSO DESMOBILIZAÇÃO]]="Em andamento",Tabela6[[#This Row],[DATA REAL - ENTR. CRACHÁ]]&lt;&gt;""),1)</f>
        <v>1</v>
      </c>
      <c r="J59" s="38" cm="1">
        <f t="array" aca="1" ref="J5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CRACHÁ]]="",$AE59&gt;$AC$1),2,
AND(Tabela6[[#This Row],[STATUS PROCESSO DESMOBILIZAÇÃO]]="Em andamento",Tabela6[[#This Row],[DATA REAL - ENTR. CRACHÁ]]="",$AE59&lt;=$AC$1),3,
AND(Tabela6[[#This Row],[STATUS PROCESSO DESMOBILIZAÇÃO]]="Em andamento",Tabela6[[#This Row],[DATA REAL - ENTR. CRACHÁ]]&lt;&gt;""),1)</f>
        <v>1</v>
      </c>
      <c r="K59" s="38" cm="1">
        <f t="array" aca="1" ref="K5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protocolo]]="",$AH59&gt;$AF$1),2,
AND(Tabela6[[#This Row],[STATUS PROCESSO DESMOBILIZAÇÃO]]="Em andamento",Tabela6[[#This Row],[DATA REAL - Envio do protocolo]]="",$AH59&lt;=$AF$1),3,
AND(Tabela6[[#This Row],[STATUS PROCESSO DESMOBILIZAÇÃO]]="Em andamento",Tabela6[[#This Row],[DATA REAL - Envio do protocolo]]&lt;&gt;""),1)</f>
        <v>0</v>
      </c>
      <c r="L59"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45702</v>
      </c>
      <c r="M5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v>
      </c>
      <c r="N5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1</v>
      </c>
      <c r="O5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59" s="38" t="s">
        <v>103</v>
      </c>
      <c r="Q59" s="38" t="s">
        <v>97</v>
      </c>
      <c r="R59" s="38" t="s">
        <v>88</v>
      </c>
      <c r="S59" s="38" t="s">
        <v>89</v>
      </c>
      <c r="T59" s="38" t="s">
        <v>1265</v>
      </c>
      <c r="U59" s="38" t="s">
        <v>106</v>
      </c>
      <c r="V59" s="38" t="str">
        <f>_xlfn.XLOOKUP(Tabela6[[#This Row],[COD. CT]],Controle_Projetos[COD CT],Controle_Projetos[COD PHD],"")</f>
        <v>IMCS-CT07-SEGR</v>
      </c>
      <c r="W59" s="39"/>
      <c r="X59" s="40">
        <v>45702</v>
      </c>
      <c r="Y59" s="38" cm="1">
        <f t="array" aca="1" ref="Y5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59" s="39"/>
      <c r="AA59" s="40"/>
      <c r="AB59" s="38" t="str" cm="1">
        <f t="array" aca="1" ref="AB5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59" s="39" t="str">
        <f>IF(Tabela6[[#This Row],[DATA PREV - CRACHÁ]]="","",IF(Tabela6[[#This Row],[DATA REAL - CRACHÁ]]="",WORKDAY(Tabela6[[#This Row],[DATA PREV - CRACHÁ]],AC$1,),WORKDAY(Tabela6[[#This Row],[DATA REAL - CRACHÁ]],AC$1,)))</f>
        <v/>
      </c>
      <c r="AD59" s="40">
        <v>45701</v>
      </c>
      <c r="AE59" s="38" cm="1">
        <f t="array" aca="1" ref="AE5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59" s="39" t="str">
        <f>IF(Tabela6[[#This Row],[DATA PREV - ENTR. CRACHÁ]]="","",IF(Tabela6[[#This Row],[DATA REAL - ENTR. CRACHÁ]]="",WORKDAY(Tabela6[[#This Row],[DATA PREV - ENTR. CRACHÁ]],AF$1,),WORKDAY(Tabela6[[#This Row],[DATA REAL - ENTR. CRACHÁ]],AF$1,)))</f>
        <v/>
      </c>
      <c r="AG59" s="40"/>
      <c r="AH59" s="38" t="str" cm="1">
        <f t="array" aca="1" ref="AH5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59" s="39" t="str">
        <f>IF(Tabela6[[#This Row],[DATA PREV - envio do protocolo]]="","",IF(Tabela6[[#This Row],[DATA REAL - Envio do protocolo]]="",WORKDAY(Tabela6[[#This Row],[DATA PREV - envio do protocolo]],AI$1,),WORKDAY(Tabela6[[#This Row],[DATA REAL - Envio do protocolo]],AI$1,)))</f>
        <v/>
      </c>
      <c r="AJ59" s="40"/>
      <c r="AK59" s="38" t="str" cm="1">
        <f t="array" aca="1" ref="AK5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59" s="38" t="s">
        <v>1289</v>
      </c>
    </row>
    <row r="60" spans="2:38" hidden="1" x14ac:dyDescent="0.35">
      <c r="B60" s="37" t="s">
        <v>79</v>
      </c>
      <c r="C60" s="38" t="s">
        <v>1214</v>
      </c>
      <c r="D60" s="38"/>
      <c r="E60" s="37" t="s">
        <v>81</v>
      </c>
      <c r="F60" s="38" t="s">
        <v>459</v>
      </c>
      <c r="G60" s="38" cm="1">
        <f t="array" aca="1" ref="G6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FORMS]]="",$Y60&gt;$W$1),2,
AND(Tabela6[[#This Row],[STATUS PROCESSO DESMOBILIZAÇÃO]]="Em andamento",Tabela6[[#This Row],[DATA REAL - FORMS]]="",$Y60&lt;=$W$1),3,
AND(Tabela6[[#This Row],[STATUS PROCESSO DESMOBILIZAÇÃO]]="Em andamento",Tabela6[[#This Row],[DATA REAL - FORMS]]&lt;&gt;""),1)</f>
        <v>0</v>
      </c>
      <c r="H60" s="38" cm="1">
        <f t="array" aca="1" ref="H6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CRACHÁ]]="",$AB60&gt;$Z$1),2,
AND(Tabela6[[#This Row],[STATUS PROCESSO DESMOBILIZAÇÃO]]="Em andamento",Tabela6[[#This Row],[DATA REAL - CRACHÁ]]="",$AB60&lt;=$Z$1),3,
AND(Tabela6[[#This Row],[STATUS PROCESSO DESMOBILIZAÇÃO]]="Em andamento",Tabela6[[#This Row],[DATA REAL - CRACHÁ]]&lt;&gt;""),1)</f>
        <v>1</v>
      </c>
      <c r="I60" s="38" cm="1">
        <f t="array" aca="1" ref="I6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CRACHÁ]]="",$AE60&gt;$AC$1),2,
AND(Tabela6[[#This Row],[STATUS PROCESSO DESMOBILIZAÇÃO]]="Em andamento",Tabela6[[#This Row],[DATA REAL - ENTR. CRACHÁ]]="",$AE60&lt;=$AC$1),3,
AND(Tabela6[[#This Row],[STATUS PROCESSO DESMOBILIZAÇÃO]]="Em andamento",Tabela6[[#This Row],[DATA REAL - ENTR. CRACHÁ]]&lt;&gt;""),1)</f>
        <v>1</v>
      </c>
      <c r="J60" s="38" cm="1">
        <f t="array" aca="1" ref="J6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CRACHÁ]]="",$AE60&gt;$AC$1),2,
AND(Tabela6[[#This Row],[STATUS PROCESSO DESMOBILIZAÇÃO]]="Em andamento",Tabela6[[#This Row],[DATA REAL - ENTR. CRACHÁ]]="",$AE60&lt;=$AC$1),3,
AND(Tabela6[[#This Row],[STATUS PROCESSO DESMOBILIZAÇÃO]]="Em andamento",Tabela6[[#This Row],[DATA REAL - ENTR. CRACHÁ]]&lt;&gt;""),1)</f>
        <v>1</v>
      </c>
      <c r="K60" s="38" cm="1">
        <f t="array" aca="1" ref="K6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protocolo]]="",$AH60&gt;$AF$1),2,
AND(Tabela6[[#This Row],[STATUS PROCESSO DESMOBILIZAÇÃO]]="Em andamento",Tabela6[[#This Row],[DATA REAL - Envio do protocolo]]="",$AH60&lt;=$AF$1),3,
AND(Tabela6[[#This Row],[STATUS PROCESSO DESMOBILIZAÇÃO]]="Em andamento",Tabela6[[#This Row],[DATA REAL - Envio do protocolo]]&lt;&gt;""),1)</f>
        <v>1</v>
      </c>
      <c r="L60"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45713</v>
      </c>
      <c r="M6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v>
      </c>
      <c r="N6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1</v>
      </c>
      <c r="O6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0" s="38" t="s">
        <v>150</v>
      </c>
      <c r="Q60" s="38" t="s">
        <v>97</v>
      </c>
      <c r="R60" s="38" t="s">
        <v>212</v>
      </c>
      <c r="S60" s="38" t="s">
        <v>213</v>
      </c>
      <c r="T60" s="38" t="s">
        <v>214</v>
      </c>
      <c r="U60" s="38" t="s">
        <v>215</v>
      </c>
      <c r="V60" s="38" t="str">
        <f>_xlfn.XLOOKUP(Tabela6[[#This Row],[COD. CT]],Controle_Projetos[COD CT],Controle_Projetos[COD PHD],"")</f>
        <v>NOBR-CT05-PLAN</v>
      </c>
      <c r="W60" s="39"/>
      <c r="X60" s="40"/>
      <c r="Y60" s="38" t="str" cm="1">
        <f t="array" aca="1" ref="Y6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0" s="39">
        <v>45706</v>
      </c>
      <c r="AA60" s="40">
        <v>45706</v>
      </c>
      <c r="AB60" s="38" cm="1">
        <f t="array" aca="1" ref="AB6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60" s="39">
        <f>IF(Tabela6[[#This Row],[DATA PREV - CRACHÁ]]="","",IF(Tabela6[[#This Row],[DATA REAL - CRACHÁ]]="",WORKDAY(Tabela6[[#This Row],[DATA PREV - CRACHÁ]],AC$1,),WORKDAY(Tabela6[[#This Row],[DATA REAL - CRACHÁ]],AC$1,)))</f>
        <v>45708</v>
      </c>
      <c r="AD60" s="40">
        <v>45707</v>
      </c>
      <c r="AE60" s="38" cm="1">
        <f t="array" aca="1" ref="AE6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-1</v>
      </c>
      <c r="AF60" s="39">
        <f>IF(Tabela6[[#This Row],[DATA PREV - ENTR. CRACHÁ]]="","",IF(Tabela6[[#This Row],[DATA REAL - ENTR. CRACHÁ]]="",WORKDAY(Tabela6[[#This Row],[DATA PREV - ENTR. CRACHÁ]],AF$1,),WORKDAY(Tabela6[[#This Row],[DATA REAL - ENTR. CRACHÁ]],AF$1,)))</f>
        <v>45708</v>
      </c>
      <c r="AG60" s="40">
        <v>45707</v>
      </c>
      <c r="AH60" s="38" cm="1">
        <f t="array" aca="1" ref="AH6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-1</v>
      </c>
      <c r="AI60" s="39">
        <f>IF(Tabela6[[#This Row],[DATA PREV - envio do protocolo]]="","",IF(Tabela6[[#This Row],[DATA REAL - Envio do protocolo]]="",WORKDAY(Tabela6[[#This Row],[DATA PREV - envio do protocolo]],AI$1,),WORKDAY(Tabela6[[#This Row],[DATA REAL - Envio do protocolo]],AI$1,)))</f>
        <v>45713</v>
      </c>
      <c r="AJ60" s="40"/>
      <c r="AK60" s="38" cm="1">
        <f t="array" aca="1" ref="AK6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60" s="38" t="s">
        <v>1290</v>
      </c>
    </row>
    <row r="61" spans="2:38" hidden="1" x14ac:dyDescent="0.35">
      <c r="B61" s="37" t="s">
        <v>79</v>
      </c>
      <c r="C61" s="38" t="s">
        <v>1228</v>
      </c>
      <c r="D61" s="38">
        <v>45734</v>
      </c>
      <c r="E61" s="37" t="s">
        <v>81</v>
      </c>
      <c r="F61" s="38" t="s">
        <v>315</v>
      </c>
      <c r="G61" s="38" cm="1">
        <f t="array" aca="1" ref="G6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FORMS]]="",$Y61&gt;$W$1),2,
AND(Tabela6[[#This Row],[STATUS PROCESSO DESMOBILIZAÇÃO]]="Em andamento",Tabela6[[#This Row],[DATA REAL - FORMS]]="",$Y61&lt;=$W$1),3,
AND(Tabela6[[#This Row],[STATUS PROCESSO DESMOBILIZAÇÃO]]="Em andamento",Tabela6[[#This Row],[DATA REAL - FORMS]]&lt;&gt;""),1)</f>
        <v>1</v>
      </c>
      <c r="H61" s="38" cm="1">
        <f t="array" aca="1" ref="H6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CRACHÁ]]="",$AB61&gt;$Z$1),2,
AND(Tabela6[[#This Row],[STATUS PROCESSO DESMOBILIZAÇÃO]]="Em andamento",Tabela6[[#This Row],[DATA REAL - CRACHÁ]]="",$AB61&lt;=$Z$1),3,
AND(Tabela6[[#This Row],[STATUS PROCESSO DESMOBILIZAÇÃO]]="Em andamento",Tabela6[[#This Row],[DATA REAL - CRACHÁ]]&lt;&gt;""),1)</f>
        <v>1</v>
      </c>
      <c r="I61" s="38" cm="1">
        <f t="array" aca="1" ref="I6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CRACHÁ]]="",$AE61&gt;$AC$1),2,
AND(Tabela6[[#This Row],[STATUS PROCESSO DESMOBILIZAÇÃO]]="Em andamento",Tabela6[[#This Row],[DATA REAL - ENTR. CRACHÁ]]="",$AE61&lt;=$AC$1),3,
AND(Tabela6[[#This Row],[STATUS PROCESSO DESMOBILIZAÇÃO]]="Em andamento",Tabela6[[#This Row],[DATA REAL - ENTR. CRACHÁ]]&lt;&gt;""),1)</f>
        <v>1</v>
      </c>
      <c r="J61" s="38" cm="1">
        <f t="array" aca="1" ref="J6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CRACHÁ]]="",$AE61&gt;$AC$1),2,
AND(Tabela6[[#This Row],[STATUS PROCESSO DESMOBILIZAÇÃO]]="Em andamento",Tabela6[[#This Row],[DATA REAL - ENTR. CRACHÁ]]="",$AE61&lt;=$AC$1),3,
AND(Tabela6[[#This Row],[STATUS PROCESSO DESMOBILIZAÇÃO]]="Em andamento",Tabela6[[#This Row],[DATA REAL - ENTR. CRACHÁ]]&lt;&gt;""),1)</f>
        <v>1</v>
      </c>
      <c r="K61" s="38" cm="1">
        <f t="array" aca="1" ref="K6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protocolo]]="",$AH61&gt;$AF$1),2,
AND(Tabela6[[#This Row],[STATUS PROCESSO DESMOBILIZAÇÃO]]="Em andamento",Tabela6[[#This Row],[DATA REAL - Envio do protocolo]]="",$AH61&lt;=$AF$1),3,
AND(Tabela6[[#This Row],[STATUS PROCESSO DESMOBILIZAÇÃO]]="Em andamento",Tabela6[[#This Row],[DATA REAL - Envio do protocolo]]&lt;&gt;""),1)</f>
        <v>1</v>
      </c>
      <c r="L6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45747</v>
      </c>
      <c r="M6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13</v>
      </c>
      <c r="N6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12</v>
      </c>
      <c r="P61" s="38" t="s">
        <v>158</v>
      </c>
      <c r="Q61" s="38" t="s">
        <v>97</v>
      </c>
      <c r="R61" s="38" t="s">
        <v>996</v>
      </c>
      <c r="S61" s="38" t="s">
        <v>89</v>
      </c>
      <c r="T61" s="38" t="s">
        <v>323</v>
      </c>
      <c r="U61" s="38" t="s">
        <v>997</v>
      </c>
      <c r="V61" s="38" t="str">
        <f>_xlfn.XLOOKUP(Tabela6[[#This Row],[COD. CT]],Controle_Projetos[COD CT],Controle_Projetos[COD PHD],"")</f>
        <v>TECN-CT02-MODE</v>
      </c>
      <c r="W61" s="39">
        <v>45734</v>
      </c>
      <c r="X61" s="40">
        <v>45734</v>
      </c>
      <c r="Y61" s="38" cm="1">
        <f t="array" aca="1" ref="Y6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61" s="39">
        <v>45735</v>
      </c>
      <c r="AA61" s="40">
        <v>45734</v>
      </c>
      <c r="AB61" s="38" cm="1">
        <f t="array" aca="1" ref="AB6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-1</v>
      </c>
      <c r="AC61" s="39">
        <f>IF(Tabela6[[#This Row],[DATA PREV - CRACHÁ]]="","",IF(Tabela6[[#This Row],[DATA REAL - CRACHÁ]]="",WORKDAY(Tabela6[[#This Row],[DATA PREV - CRACHÁ]],AC$1,),WORKDAY(Tabela6[[#This Row],[DATA REAL - CRACHÁ]],AC$1,)))</f>
        <v>45736</v>
      </c>
      <c r="AD61" s="40">
        <v>45734</v>
      </c>
      <c r="AE61" s="38" cm="1">
        <f t="array" aca="1" ref="AE6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-2</v>
      </c>
      <c r="AF61" s="39">
        <f>IF(Tabela6[[#This Row],[DATA PREV - ENTR. CRACHÁ]]="","",IF(Tabela6[[#This Row],[DATA REAL - ENTR. CRACHÁ]]="",WORKDAY(Tabela6[[#This Row],[DATA PREV - ENTR. CRACHÁ]],AF$1,),WORKDAY(Tabela6[[#This Row],[DATA REAL - ENTR. CRACHÁ]],AF$1,)))</f>
        <v>45735</v>
      </c>
      <c r="AG61" s="40">
        <v>45735</v>
      </c>
      <c r="AH61" s="38" cm="1">
        <f t="array" aca="1" ref="AH6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1" s="39">
        <f>IF(Tabela6[[#This Row],[DATA PREV - envio do protocolo]]="","",IF(Tabela6[[#This Row],[DATA REAL - Envio do protocolo]]="",WORKDAY(Tabela6[[#This Row],[DATA PREV - envio do protocolo]],AI$1,),WORKDAY(Tabela6[[#This Row],[DATA REAL - Envio do protocolo]],AI$1,)))</f>
        <v>45741</v>
      </c>
      <c r="AJ61" s="40">
        <v>45747</v>
      </c>
      <c r="AK61" s="38" cm="1">
        <f t="array" aca="1" ref="AK6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6</v>
      </c>
      <c r="AL61" s="38" t="s">
        <v>1291</v>
      </c>
    </row>
    <row r="62" spans="2:38" hidden="1" x14ac:dyDescent="0.35">
      <c r="B62" s="37" t="s">
        <v>79</v>
      </c>
      <c r="C62" s="38" t="s">
        <v>1214</v>
      </c>
      <c r="D62" s="38">
        <v>45737</v>
      </c>
      <c r="E62" s="37" t="s">
        <v>81</v>
      </c>
      <c r="F62" s="38" t="s">
        <v>331</v>
      </c>
      <c r="G62" s="38" cm="1">
        <f t="array" aca="1" ref="G6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FORMS]]="",$Y62&gt;$W$1),2,
AND(Tabela6[[#This Row],[STATUS PROCESSO DESMOBILIZAÇÃO]]="Em andamento",Tabela6[[#This Row],[DATA REAL - FORMS]]="",$Y62&lt;=$W$1),3,
AND(Tabela6[[#This Row],[STATUS PROCESSO DESMOBILIZAÇÃO]]="Em andamento",Tabela6[[#This Row],[DATA REAL - FORMS]]&lt;&gt;""),1)</f>
        <v>1</v>
      </c>
      <c r="H62" s="38" cm="1">
        <f t="array" aca="1" ref="H6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CRACHÁ]]="",$AB62&gt;$Z$1),2,
AND(Tabela6[[#This Row],[STATUS PROCESSO DESMOBILIZAÇÃO]]="Em andamento",Tabela6[[#This Row],[DATA REAL - CRACHÁ]]="",$AB62&lt;=$Z$1),3,
AND(Tabela6[[#This Row],[STATUS PROCESSO DESMOBILIZAÇÃO]]="Em andamento",Tabela6[[#This Row],[DATA REAL - CRACHÁ]]&lt;&gt;""),1)</f>
        <v>1</v>
      </c>
      <c r="I62" s="38" cm="1">
        <f t="array" aca="1" ref="I6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CRACHÁ]]="",$AE62&gt;$AC$1),2,
AND(Tabela6[[#This Row],[STATUS PROCESSO DESMOBILIZAÇÃO]]="Em andamento",Tabela6[[#This Row],[DATA REAL - ENTR. CRACHÁ]]="",$AE62&lt;=$AC$1),3,
AND(Tabela6[[#This Row],[STATUS PROCESSO DESMOBILIZAÇÃO]]="Em andamento",Tabela6[[#This Row],[DATA REAL - ENTR. CRACHÁ]]&lt;&gt;""),1)</f>
        <v>1</v>
      </c>
      <c r="J62" s="38" cm="1">
        <f t="array" aca="1" ref="J6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CRACHÁ]]="",$AE62&gt;$AC$1),2,
AND(Tabela6[[#This Row],[STATUS PROCESSO DESMOBILIZAÇÃO]]="Em andamento",Tabela6[[#This Row],[DATA REAL - ENTR. CRACHÁ]]="",$AE62&lt;=$AC$1),3,
AND(Tabela6[[#This Row],[STATUS PROCESSO DESMOBILIZAÇÃO]]="Em andamento",Tabela6[[#This Row],[DATA REAL - ENTR. CRACHÁ]]&lt;&gt;""),1)</f>
        <v>1</v>
      </c>
      <c r="K62" s="38" cm="1">
        <f t="array" aca="1" ref="K6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protocolo]]="",$AH62&gt;$AF$1),2,
AND(Tabela6[[#This Row],[STATUS PROCESSO DESMOBILIZAÇÃO]]="Em andamento",Tabela6[[#This Row],[DATA REAL - Envio do protocolo]]="",$AH62&lt;=$AF$1),3,
AND(Tabela6[[#This Row],[STATUS PROCESSO DESMOBILIZAÇÃO]]="Em andamento",Tabela6[[#This Row],[DATA REAL - Envio do protocolo]]&lt;&gt;""),1)</f>
        <v>1</v>
      </c>
      <c r="L62"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45744</v>
      </c>
      <c r="M62"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5</v>
      </c>
      <c r="N62"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2"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2</v>
      </c>
      <c r="P62" s="38"/>
      <c r="Q62" s="38" t="s">
        <v>97</v>
      </c>
      <c r="R62" s="38" t="s">
        <v>179</v>
      </c>
      <c r="S62" s="38" t="s">
        <v>89</v>
      </c>
      <c r="T62" s="38" t="s">
        <v>253</v>
      </c>
      <c r="U62" s="38" t="s">
        <v>939</v>
      </c>
      <c r="V62" s="38" t="str">
        <f>_xlfn.XLOOKUP(Tabela6[[#This Row],[COD. CT]],Controle_Projetos[COD CT],Controle_Projetos[COD PHD],"")</f>
        <v>PARE-CT06-OFIC</v>
      </c>
      <c r="W62" s="39"/>
      <c r="X62" s="40">
        <v>45737</v>
      </c>
      <c r="Y62" s="38" cm="1">
        <f t="array" aca="1" ref="Y6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62" s="39">
        <v>45737</v>
      </c>
      <c r="AA62" s="40">
        <v>45737</v>
      </c>
      <c r="AB62" s="38" cm="1">
        <f t="array" aca="1" ref="AB6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62" s="39">
        <f>IF(Tabela6[[#This Row],[DATA PREV - CRACHÁ]]="","",IF(Tabela6[[#This Row],[DATA REAL - CRACHÁ]]="",WORKDAY(Tabela6[[#This Row],[DATA PREV - CRACHÁ]],AC$1,),WORKDAY(Tabela6[[#This Row],[DATA REAL - CRACHÁ]],AC$1,)))</f>
        <v>45741</v>
      </c>
      <c r="AD62" s="40">
        <v>45737</v>
      </c>
      <c r="AE62" s="38" cm="1">
        <f t="array" aca="1" ref="AE6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62" s="39">
        <f>IF(Tabela6[[#This Row],[DATA PREV - ENTR. CRACHÁ]]="","",IF(Tabela6[[#This Row],[DATA REAL - ENTR. CRACHÁ]]="",WORKDAY(Tabela6[[#This Row],[DATA PREV - ENTR. CRACHÁ]],AF$1,),WORKDAY(Tabela6[[#This Row],[DATA REAL - ENTR. CRACHÁ]],AF$1,)))</f>
        <v>45740</v>
      </c>
      <c r="AG62" s="40">
        <v>45740</v>
      </c>
      <c r="AH62" s="38" cm="1">
        <f t="array" aca="1" ref="AH6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2" s="39">
        <f>IF(Tabela6[[#This Row],[DATA PREV - envio do protocolo]]="","",IF(Tabela6[[#This Row],[DATA REAL - Envio do protocolo]]="",WORKDAY(Tabela6[[#This Row],[DATA PREV - envio do protocolo]],AI$1,),WORKDAY(Tabela6[[#This Row],[DATA REAL - Envio do protocolo]],AI$1,)))</f>
        <v>45744</v>
      </c>
      <c r="AJ62" s="40">
        <v>45742</v>
      </c>
      <c r="AK62" s="38" cm="1">
        <f t="array" aca="1" ref="AK6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-2</v>
      </c>
      <c r="AL62" s="38" t="s">
        <v>1292</v>
      </c>
    </row>
    <row r="63" spans="2:38" hidden="1" x14ac:dyDescent="0.35">
      <c r="B63" s="37" t="s">
        <v>79</v>
      </c>
      <c r="C63" s="38" t="s">
        <v>1214</v>
      </c>
      <c r="D63" s="38">
        <v>45744</v>
      </c>
      <c r="E63" s="37" t="s">
        <v>81</v>
      </c>
      <c r="F63" s="38" t="s">
        <v>306</v>
      </c>
      <c r="G63" s="38" cm="1">
        <f t="array" aca="1" ref="G63"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FORMS]]="",$Y63&gt;$W$1),2,
AND(Tabela6[[#This Row],[STATUS PROCESSO DESMOBILIZAÇÃO]]="Em andamento",Tabela6[[#This Row],[DATA REAL - FORMS]]="",$Y63&lt;=$W$1),3,
AND(Tabela6[[#This Row],[STATUS PROCESSO DESMOBILIZAÇÃO]]="Em andamento",Tabela6[[#This Row],[DATA REAL - FORMS]]&lt;&gt;""),1)</f>
        <v>1</v>
      </c>
      <c r="H63" s="38" cm="1">
        <f t="array" aca="1" ref="H63"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CRACHÁ]]="",$AB63&gt;$Z$1),2,
AND(Tabela6[[#This Row],[STATUS PROCESSO DESMOBILIZAÇÃO]]="Em andamento",Tabela6[[#This Row],[DATA REAL - CRACHÁ]]="",$AB63&lt;=$Z$1),3,
AND(Tabela6[[#This Row],[STATUS PROCESSO DESMOBILIZAÇÃO]]="Em andamento",Tabela6[[#This Row],[DATA REAL - CRACHÁ]]&lt;&gt;""),1)</f>
        <v>1</v>
      </c>
      <c r="I63" s="38" cm="1">
        <f t="array" aca="1" ref="I6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CRACHÁ]]="",$AE63&gt;$AC$1),2,
AND(Tabela6[[#This Row],[STATUS PROCESSO DESMOBILIZAÇÃO]]="Em andamento",Tabela6[[#This Row],[DATA REAL - ENTR. CRACHÁ]]="",$AE63&lt;=$AC$1),3,
AND(Tabela6[[#This Row],[STATUS PROCESSO DESMOBILIZAÇÃO]]="Em andamento",Tabela6[[#This Row],[DATA REAL - ENTR. CRACHÁ]]&lt;&gt;""),1)</f>
        <v>1</v>
      </c>
      <c r="J63" s="38" cm="1">
        <f t="array" aca="1" ref="J63"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CRACHÁ]]="",$AE63&gt;$AC$1),2,
AND(Tabela6[[#This Row],[STATUS PROCESSO DESMOBILIZAÇÃO]]="Em andamento",Tabela6[[#This Row],[DATA REAL - ENTR. CRACHÁ]]="",$AE63&lt;=$AC$1),3,
AND(Tabela6[[#This Row],[STATUS PROCESSO DESMOBILIZAÇÃO]]="Em andamento",Tabela6[[#This Row],[DATA REAL - ENTR. CRACHÁ]]&lt;&gt;""),1)</f>
        <v>1</v>
      </c>
      <c r="K63" s="38" cm="1">
        <f t="array" aca="1" ref="K63"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protocolo]]="",$AH63&gt;$AF$1),2,
AND(Tabela6[[#This Row],[STATUS PROCESSO DESMOBILIZAÇÃO]]="Em andamento",Tabela6[[#This Row],[DATA REAL - Envio do protocolo]]="",$AH63&lt;=$AF$1),3,
AND(Tabela6[[#This Row],[STATUS PROCESSO DESMOBILIZAÇÃO]]="Em andamento",Tabela6[[#This Row],[DATA REAL - Envio do protocolo]]&lt;&gt;""),1)</f>
        <v>1</v>
      </c>
      <c r="L63"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45750</v>
      </c>
      <c r="M63"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3"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3"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3" s="38"/>
      <c r="Q63" s="38" t="s">
        <v>97</v>
      </c>
      <c r="R63" s="38" t="s">
        <v>179</v>
      </c>
      <c r="S63" s="38" t="s">
        <v>89</v>
      </c>
      <c r="T63" s="38" t="s">
        <v>1293</v>
      </c>
      <c r="U63" s="38" t="s">
        <v>296</v>
      </c>
      <c r="V63" s="38" t="str">
        <f>_xlfn.XLOOKUP(Tabela6[[#This Row],[COD. CT]],Controle_Projetos[COD CT],Controle_Projetos[COD PHD],"")</f>
        <v>PARE-CT05-USIN</v>
      </c>
      <c r="W63" s="39"/>
      <c r="X63" s="40">
        <v>45744</v>
      </c>
      <c r="Y63" s="38" cm="1">
        <f t="array" aca="1" ref="Y63"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63" s="39">
        <v>45744</v>
      </c>
      <c r="AA63" s="40">
        <v>45744</v>
      </c>
      <c r="AB63" s="38" cm="1">
        <f t="array" aca="1" ref="AB63"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63" s="39">
        <f>IF(Tabela6[[#This Row],[DATA PREV - CRACHÁ]]="","",IF(Tabela6[[#This Row],[DATA REAL - CRACHÁ]]="",WORKDAY(Tabela6[[#This Row],[DATA PREV - CRACHÁ]],AC$1,),WORKDAY(Tabela6[[#This Row],[DATA REAL - CRACHÁ]],AC$1,)))</f>
        <v>45748</v>
      </c>
      <c r="AD63" s="40">
        <v>45744</v>
      </c>
      <c r="AE63" s="38" cm="1">
        <f t="array" aca="1" ref="AE63"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-4</v>
      </c>
      <c r="AF63" s="39">
        <f>IF(Tabela6[[#This Row],[DATA PREV - ENTR. CRACHÁ]]="","",IF(Tabela6[[#This Row],[DATA REAL - ENTR. CRACHÁ]]="",WORKDAY(Tabela6[[#This Row],[DATA PREV - ENTR. CRACHÁ]],AF$1,),WORKDAY(Tabela6[[#This Row],[DATA REAL - ENTR. CRACHÁ]],AF$1,)))</f>
        <v>45747</v>
      </c>
      <c r="AG63" s="40">
        <v>45744</v>
      </c>
      <c r="AH63" s="38" cm="1">
        <f t="array" aca="1" ref="AH63"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v>
      </c>
      <c r="AI63" s="39">
        <f>IF(Tabela6[[#This Row],[DATA PREV - envio do protocolo]]="","",IF(Tabela6[[#This Row],[DATA REAL - Envio do protocolo]]="",WORKDAY(Tabela6[[#This Row],[DATA PREV - envio do protocolo]],AI$1,),WORKDAY(Tabela6[[#This Row],[DATA REAL - Envio do protocolo]],AI$1,)))</f>
        <v>45750</v>
      </c>
      <c r="AJ63" s="39"/>
      <c r="AK63" s="38" cm="1">
        <f t="array" aca="1" ref="AK63"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0</v>
      </c>
      <c r="AL63" s="38" t="s">
        <v>1294</v>
      </c>
    </row>
    <row r="64" spans="2:38" hidden="1" x14ac:dyDescent="0.35">
      <c r="B64" s="37" t="s">
        <v>79</v>
      </c>
      <c r="C64" s="38" t="s">
        <v>1228</v>
      </c>
      <c r="D64" s="38">
        <v>45811</v>
      </c>
      <c r="E64" s="37" t="s">
        <v>81</v>
      </c>
      <c r="F64" s="38" t="s">
        <v>467</v>
      </c>
      <c r="G64" s="38" cm="1">
        <f t="array" aca="1" ref="G64"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FORMS]]="",$Y64&gt;$W$1),2,
AND(Tabela6[[#This Row],[STATUS PROCESSO DESMOBILIZAÇÃO]]="Em andamento",Tabela6[[#This Row],[DATA REAL - FORMS]]="",$Y64&lt;=$W$1),3,
AND(Tabela6[[#This Row],[STATUS PROCESSO DESMOBILIZAÇÃO]]="Em andamento",Tabela6[[#This Row],[DATA REAL - FORMS]]&lt;&gt;""),1)</f>
        <v>1</v>
      </c>
      <c r="H64" s="38" cm="1">
        <f t="array" aca="1" ref="H64"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CRACHÁ]]="",$AB64&gt;$Z$1),2,
AND(Tabela6[[#This Row],[STATUS PROCESSO DESMOBILIZAÇÃO]]="Em andamento",Tabela6[[#This Row],[DATA REAL - CRACHÁ]]="",$AB64&lt;=$Z$1),3,
AND(Tabela6[[#This Row],[STATUS PROCESSO DESMOBILIZAÇÃO]]="Em andamento",Tabela6[[#This Row],[DATA REAL - CRACHÁ]]&lt;&gt;""),1)</f>
        <v>1</v>
      </c>
      <c r="I64" s="38" cm="1">
        <f t="array" aca="1" ref="I6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CRACHÁ]]="",$AE64&gt;$AC$1),2,
AND(Tabela6[[#This Row],[STATUS PROCESSO DESMOBILIZAÇÃO]]="Em andamento",Tabela6[[#This Row],[DATA REAL - ENTR. CRACHÁ]]="",$AE64&lt;=$AC$1),3,
AND(Tabela6[[#This Row],[STATUS PROCESSO DESMOBILIZAÇÃO]]="Em andamento",Tabela6[[#This Row],[DATA REAL - ENTR. CRACHÁ]]&lt;&gt;""),1)</f>
        <v>0</v>
      </c>
      <c r="J64" s="38" cm="1">
        <f t="array" aca="1" ref="J64"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CRACHÁ]]="",$AE64&gt;$AC$1),2,
AND(Tabela6[[#This Row],[STATUS PROCESSO DESMOBILIZAÇÃO]]="Em andamento",Tabela6[[#This Row],[DATA REAL - ENTR. CRACHÁ]]="",$AE64&lt;=$AC$1),3,
AND(Tabela6[[#This Row],[STATUS PROCESSO DESMOBILIZAÇÃO]]="Em andamento",Tabela6[[#This Row],[DATA REAL - ENTR. CRACHÁ]]&lt;&gt;""),1)</f>
        <v>0</v>
      </c>
      <c r="K64" s="38" cm="1">
        <f t="array" aca="1" ref="K64"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protocolo]]="",$AH64&gt;$AF$1),2,
AND(Tabela6[[#This Row],[STATUS PROCESSO DESMOBILIZAÇÃO]]="Em andamento",Tabela6[[#This Row],[DATA REAL - Envio do protocolo]]="",$AH64&lt;=$AF$1),3,
AND(Tabela6[[#This Row],[STATUS PROCESSO DESMOBILIZAÇÃO]]="Em andamento",Tabela6[[#This Row],[DATA REAL - Envio do protocolo]]&lt;&gt;""),1)</f>
        <v>0</v>
      </c>
      <c r="L64"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45806</v>
      </c>
      <c r="M64"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4"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4"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4" s="38"/>
      <c r="Q64" s="38" t="s">
        <v>97</v>
      </c>
      <c r="R64" s="38" t="s">
        <v>261</v>
      </c>
      <c r="S64" s="38" t="s">
        <v>89</v>
      </c>
      <c r="T64" s="38" t="s">
        <v>1268</v>
      </c>
      <c r="U64" s="38" t="s">
        <v>263</v>
      </c>
      <c r="V64" s="38" t="str">
        <f>_xlfn.XLOOKUP(Tabela6[[#This Row],[COD. CT]],Controle_Projetos[COD CT],Controle_Projetos[COD PHD],"")</f>
        <v>CEMI-CT02-CAPA</v>
      </c>
      <c r="W64" s="39"/>
      <c r="X64" s="40">
        <v>45806</v>
      </c>
      <c r="Y64" s="38" cm="1">
        <f t="array" aca="1" ref="Y64"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0</v>
      </c>
      <c r="Z64" s="39" t="s">
        <v>249</v>
      </c>
      <c r="AA64" s="40">
        <v>45806</v>
      </c>
      <c r="AB64" s="38" cm="1">
        <f t="array" aca="1" ref="AB64"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0</v>
      </c>
      <c r="AC64" s="39" t="str">
        <f>IF(Tabela6[[#This Row],[DATA PREV - CRACHÁ]]="","",IF(Tabela6[[#This Row],[DATA REAL - CRACHÁ]]="",WORKDAY(Tabela6[[#This Row],[DATA PREV - CRACHÁ]],AC$1,),WORKDAY(Tabela6[[#This Row],[DATA REAL - CRACHÁ]],AC$1,)))</f>
        <v/>
      </c>
      <c r="AD64" s="40"/>
      <c r="AE64" s="38" t="str" cm="1">
        <f t="array" aca="1" ref="AE64"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64" s="39" t="str">
        <f>IF(Tabela6[[#This Row],[DATA PREV - ENTR. CRACHÁ]]="","",IF(Tabela6[[#This Row],[DATA REAL - ENTR. CRACHÁ]]="",WORKDAY(Tabela6[[#This Row],[DATA PREV - ENTR. CRACHÁ]],AF$1,),WORKDAY(Tabela6[[#This Row],[DATA REAL - ENTR. CRACHÁ]],AF$1,)))</f>
        <v/>
      </c>
      <c r="AG64" s="40"/>
      <c r="AH64" s="38" t="str" cm="1">
        <f t="array" aca="1" ref="AH64"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64" s="39" t="str">
        <f>IF(Tabela6[[#This Row],[DATA PREV - envio do protocolo]]="","",IF(Tabela6[[#This Row],[DATA REAL - Envio do protocolo]]="",WORKDAY(Tabela6[[#This Row],[DATA PREV - envio do protocolo]],AI$1,),WORKDAY(Tabela6[[#This Row],[DATA REAL - Envio do protocolo]],AI$1,)))</f>
        <v/>
      </c>
      <c r="AJ64" s="39"/>
      <c r="AK64" s="38" t="str" cm="1">
        <f t="array" aca="1" ref="AK64"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4" s="38" t="s">
        <v>1295</v>
      </c>
    </row>
    <row r="65" spans="2:38" hidden="1" x14ac:dyDescent="0.35">
      <c r="B65" s="37" t="s">
        <v>79</v>
      </c>
      <c r="C65" s="38" t="s">
        <v>1214</v>
      </c>
      <c r="D65" s="38"/>
      <c r="E65" s="37" t="s">
        <v>81</v>
      </c>
      <c r="F65" s="38" t="s">
        <v>350</v>
      </c>
      <c r="G65" s="38" cm="1">
        <f t="array" aca="1" ref="G65"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FORMS]]="",$Y65&gt;$W$1),2,
AND(Tabela6[[#This Row],[STATUS PROCESSO DESMOBILIZAÇÃO]]="Em andamento",Tabela6[[#This Row],[DATA REAL - FORMS]]="",$Y65&lt;=$W$1),3,
AND(Tabela6[[#This Row],[STATUS PROCESSO DESMOBILIZAÇÃO]]="Em andamento",Tabela6[[#This Row],[DATA REAL - FORMS]]&lt;&gt;""),1)</f>
        <v>0</v>
      </c>
      <c r="H65" s="38" cm="1">
        <f t="array" aca="1" ref="H65"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CRACHÁ]]="",$AB65&gt;$Z$1),2,
AND(Tabela6[[#This Row],[STATUS PROCESSO DESMOBILIZAÇÃO]]="Em andamento",Tabela6[[#This Row],[DATA REAL - CRACHÁ]]="",$AB65&lt;=$Z$1),3,
AND(Tabela6[[#This Row],[STATUS PROCESSO DESMOBILIZAÇÃO]]="Em andamento",Tabela6[[#This Row],[DATA REAL - CRACHÁ]]&lt;&gt;""),1)</f>
        <v>0</v>
      </c>
      <c r="I65" s="38" cm="1">
        <f t="array" aca="1" ref="I6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CRACHÁ]]="",$AE65&gt;$AC$1),2,
AND(Tabela6[[#This Row],[STATUS PROCESSO DESMOBILIZAÇÃO]]="Em andamento",Tabela6[[#This Row],[DATA REAL - ENTR. CRACHÁ]]="",$AE65&lt;=$AC$1),3,
AND(Tabela6[[#This Row],[STATUS PROCESSO DESMOBILIZAÇÃO]]="Em andamento",Tabela6[[#This Row],[DATA REAL - ENTR. CRACHÁ]]&lt;&gt;""),1)</f>
        <v>0</v>
      </c>
      <c r="J65" s="38" cm="1">
        <f t="array" aca="1" ref="J65"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CRACHÁ]]="",$AE65&gt;$AC$1),2,
AND(Tabela6[[#This Row],[STATUS PROCESSO DESMOBILIZAÇÃO]]="Em andamento",Tabela6[[#This Row],[DATA REAL - ENTR. CRACHÁ]]="",$AE65&lt;=$AC$1),3,
AND(Tabela6[[#This Row],[STATUS PROCESSO DESMOBILIZAÇÃO]]="Em andamento",Tabela6[[#This Row],[DATA REAL - ENTR. CRACHÁ]]&lt;&gt;""),1)</f>
        <v>0</v>
      </c>
      <c r="K65" s="38" cm="1">
        <f t="array" aca="1" ref="K65"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protocolo]]="",$AH65&gt;$AF$1),2,
AND(Tabela6[[#This Row],[STATUS PROCESSO DESMOBILIZAÇÃO]]="Em andamento",Tabela6[[#This Row],[DATA REAL - Envio do protocolo]]="",$AH65&lt;=$AF$1),3,
AND(Tabela6[[#This Row],[STATUS PROCESSO DESMOBILIZAÇÃO]]="Em andamento",Tabela6[[#This Row],[DATA REAL - Envio do protocolo]]&lt;&gt;""),1)</f>
        <v>1</v>
      </c>
      <c r="L65"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45807</v>
      </c>
      <c r="M65"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5"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5"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5" s="38"/>
      <c r="Q65" s="38" t="s">
        <v>97</v>
      </c>
      <c r="R65" s="38" t="s">
        <v>996</v>
      </c>
      <c r="S65" s="38" t="s">
        <v>89</v>
      </c>
      <c r="T65" s="38" t="s">
        <v>99</v>
      </c>
      <c r="U65" s="38" t="s">
        <v>997</v>
      </c>
      <c r="V65" s="38" t="str">
        <f>_xlfn.XLOOKUP(Tabela6[[#This Row],[COD. CT]],Controle_Projetos[COD CT],Controle_Projetos[COD PHD],"")</f>
        <v>TECN-CT02-MODE</v>
      </c>
      <c r="W65" s="39"/>
      <c r="X65" s="40"/>
      <c r="Y65" s="38" t="str" cm="1">
        <f t="array" aca="1" ref="Y65"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5" s="39" t="s">
        <v>249</v>
      </c>
      <c r="AA65" s="39"/>
      <c r="AB65" s="38" t="str" cm="1">
        <f t="array" aca="1" ref="AB65"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65" s="39" t="str">
        <f>IF(Tabela6[[#This Row],[DATA PREV - CRACHÁ]]="","",IF(Tabela6[[#This Row],[DATA REAL - CRACHÁ]]="",WORKDAY(Tabela6[[#This Row],[DATA PREV - CRACHÁ]],AC$1,),WORKDAY(Tabela6[[#This Row],[DATA REAL - CRACHÁ]],AC$1,)))</f>
        <v/>
      </c>
      <c r="AD65" s="40"/>
      <c r="AE65" s="38" t="str" cm="1">
        <f t="array" aca="1" ref="AE65"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65" s="39" t="str">
        <f>IF(Tabela6[[#This Row],[DATA PREV - ENTR. CRACHÁ]]="","",IF(Tabela6[[#This Row],[DATA REAL - ENTR. CRACHÁ]]="",WORKDAY(Tabela6[[#This Row],[DATA PREV - ENTR. CRACHÁ]],AF$1,),WORKDAY(Tabela6[[#This Row],[DATA REAL - ENTR. CRACHÁ]],AF$1,)))</f>
        <v/>
      </c>
      <c r="AG65" s="40">
        <v>45807</v>
      </c>
      <c r="AH65" s="38" cm="1">
        <f t="array" aca="1" ref="AH65"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5" s="39" t="str">
        <f>IF(Tabela6[[#This Row],[DATA PREV - envio do protocolo]]="","",IF(Tabela6[[#This Row],[DATA REAL - Envio do protocolo]]="",WORKDAY(Tabela6[[#This Row],[DATA PREV - envio do protocolo]],AI$1,),WORKDAY(Tabela6[[#This Row],[DATA REAL - Envio do protocolo]],AI$1,)))</f>
        <v/>
      </c>
      <c r="AJ65" s="39"/>
      <c r="AK65" s="38" t="str" cm="1">
        <f t="array" aca="1" ref="AK65"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5" s="38" t="s">
        <v>1296</v>
      </c>
    </row>
    <row r="66" spans="2:38" hidden="1" x14ac:dyDescent="0.35">
      <c r="B66" s="37" t="s">
        <v>79</v>
      </c>
      <c r="C66" s="38" t="s">
        <v>1228</v>
      </c>
      <c r="D66" s="38">
        <v>45811</v>
      </c>
      <c r="E66" s="37" t="s">
        <v>81</v>
      </c>
      <c r="F66" s="38" t="s">
        <v>399</v>
      </c>
      <c r="G66" s="38" cm="1">
        <f t="array" aca="1" ref="G66"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FORMS]]="",$Y66&gt;$W$1),2,
AND(Tabela6[[#This Row],[STATUS PROCESSO DESMOBILIZAÇÃO]]="Em andamento",Tabela6[[#This Row],[DATA REAL - FORMS]]="",$Y66&lt;=$W$1),3,
AND(Tabela6[[#This Row],[STATUS PROCESSO DESMOBILIZAÇÃO]]="Em andamento",Tabela6[[#This Row],[DATA REAL - FORMS]]&lt;&gt;""),1)</f>
        <v>0</v>
      </c>
      <c r="H66" s="38" cm="1">
        <f t="array" aca="1" ref="H66"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CRACHÁ]]="",$AB66&gt;$Z$1),2,
AND(Tabela6[[#This Row],[STATUS PROCESSO DESMOBILIZAÇÃO]]="Em andamento",Tabela6[[#This Row],[DATA REAL - CRACHÁ]]="",$AB66&lt;=$Z$1),3,
AND(Tabela6[[#This Row],[STATUS PROCESSO DESMOBILIZAÇÃO]]="Em andamento",Tabela6[[#This Row],[DATA REAL - CRACHÁ]]&lt;&gt;""),1)</f>
        <v>0</v>
      </c>
      <c r="I66" s="38" cm="1">
        <f t="array" aca="1" ref="I6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CRACHÁ]]="",$AE66&gt;$AC$1),2,
AND(Tabela6[[#This Row],[STATUS PROCESSO DESMOBILIZAÇÃO]]="Em andamento",Tabela6[[#This Row],[DATA REAL - ENTR. CRACHÁ]]="",$AE66&lt;=$AC$1),3,
AND(Tabela6[[#This Row],[STATUS PROCESSO DESMOBILIZAÇÃO]]="Em andamento",Tabela6[[#This Row],[DATA REAL - ENTR. CRACHÁ]]&lt;&gt;""),1)</f>
        <v>0</v>
      </c>
      <c r="J66" s="38" cm="1">
        <f t="array" aca="1" ref="J66"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CRACHÁ]]="",$AE66&gt;$AC$1),2,
AND(Tabela6[[#This Row],[STATUS PROCESSO DESMOBILIZAÇÃO]]="Em andamento",Tabela6[[#This Row],[DATA REAL - ENTR. CRACHÁ]]="",$AE66&lt;=$AC$1),3,
AND(Tabela6[[#This Row],[STATUS PROCESSO DESMOBILIZAÇÃO]]="Em andamento",Tabela6[[#This Row],[DATA REAL - ENTR. CRACHÁ]]&lt;&gt;""),1)</f>
        <v>0</v>
      </c>
      <c r="K66" s="38" cm="1">
        <f t="array" aca="1" ref="K66"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protocolo]]="",$AH66&gt;$AF$1),2,
AND(Tabela6[[#This Row],[STATUS PROCESSO DESMOBILIZAÇÃO]]="Em andamento",Tabela6[[#This Row],[DATA REAL - Envio do protocolo]]="",$AH66&lt;=$AF$1),3,
AND(Tabela6[[#This Row],[STATUS PROCESSO DESMOBILIZAÇÃO]]="Em andamento",Tabela6[[#This Row],[DATA REAL - Envio do protocolo]]&lt;&gt;""),1)</f>
        <v>0</v>
      </c>
      <c r="L66"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66"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6"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6"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6" s="38"/>
      <c r="Q66" s="38"/>
      <c r="R66" s="38"/>
      <c r="S66" s="38"/>
      <c r="T66" s="38"/>
      <c r="U66" s="38" t="s">
        <v>249</v>
      </c>
      <c r="V66" s="38" t="str">
        <f>_xlfn.XLOOKUP(Tabela6[[#This Row],[COD. CT]],Controle_Projetos[COD CT],Controle_Projetos[COD PHD],"")</f>
        <v/>
      </c>
      <c r="W66" s="39"/>
      <c r="X66" s="40"/>
      <c r="Y66" s="38" t="str" cm="1">
        <f t="array" aca="1" ref="Y66"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6" s="39" t="s">
        <v>249</v>
      </c>
      <c r="AA66" s="39"/>
      <c r="AB66" s="38" t="str" cm="1">
        <f t="array" aca="1" ref="AB66"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66" s="39" t="str">
        <f>IF(Tabela6[[#This Row],[DATA PREV - CRACHÁ]]="","",IF(Tabela6[[#This Row],[DATA REAL - CRACHÁ]]="",WORKDAY(Tabela6[[#This Row],[DATA PREV - CRACHÁ]],AC$1,),WORKDAY(Tabela6[[#This Row],[DATA REAL - CRACHÁ]],AC$1,)))</f>
        <v/>
      </c>
      <c r="AD66" s="40"/>
      <c r="AE66" s="38" t="str" cm="1">
        <f t="array" aca="1" ref="AE66"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66" s="39" t="str">
        <f>IF(Tabela6[[#This Row],[DATA PREV - ENTR. CRACHÁ]]="","",IF(Tabela6[[#This Row],[DATA REAL - ENTR. CRACHÁ]]="",WORKDAY(Tabela6[[#This Row],[DATA PREV - ENTR. CRACHÁ]],AF$1,),WORKDAY(Tabela6[[#This Row],[DATA REAL - ENTR. CRACHÁ]],AF$1,)))</f>
        <v/>
      </c>
      <c r="AG66" s="40"/>
      <c r="AH66" s="38" t="str" cm="1">
        <f t="array" aca="1" ref="AH66"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66" s="39" t="str">
        <f>IF(Tabela6[[#This Row],[DATA PREV - envio do protocolo]]="","",IF(Tabela6[[#This Row],[DATA REAL - Envio do protocolo]]="",WORKDAY(Tabela6[[#This Row],[DATA PREV - envio do protocolo]],AI$1,),WORKDAY(Tabela6[[#This Row],[DATA REAL - Envio do protocolo]],AI$1,)))</f>
        <v/>
      </c>
      <c r="AJ66" s="39"/>
      <c r="AK66" s="38" t="str" cm="1">
        <f t="array" aca="1" ref="AK66"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6" s="38" t="s">
        <v>1297</v>
      </c>
    </row>
    <row r="67" spans="2:38" hidden="1" x14ac:dyDescent="0.35">
      <c r="B67" s="37" t="s">
        <v>79</v>
      </c>
      <c r="C67" s="38" t="s">
        <v>1228</v>
      </c>
      <c r="D67" s="38">
        <v>45814</v>
      </c>
      <c r="E67" s="37" t="s">
        <v>81</v>
      </c>
      <c r="F67" s="38" t="s">
        <v>260</v>
      </c>
      <c r="G67" s="38" cm="1">
        <f t="array" aca="1" ref="G67"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FORMS]]="",$Y67&gt;$W$1),2,
AND(Tabela6[[#This Row],[STATUS PROCESSO DESMOBILIZAÇÃO]]="Em andamento",Tabela6[[#This Row],[DATA REAL - FORMS]]="",$Y67&lt;=$W$1),3,
AND(Tabela6[[#This Row],[STATUS PROCESSO DESMOBILIZAÇÃO]]="Em andamento",Tabela6[[#This Row],[DATA REAL - FORMS]]&lt;&gt;""),1)</f>
        <v>0</v>
      </c>
      <c r="H67" s="38" cm="1">
        <f t="array" aca="1" ref="H67"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CRACHÁ]]="",$AB67&gt;$Z$1),2,
AND(Tabela6[[#This Row],[STATUS PROCESSO DESMOBILIZAÇÃO]]="Em andamento",Tabela6[[#This Row],[DATA REAL - CRACHÁ]]="",$AB67&lt;=$Z$1),3,
AND(Tabela6[[#This Row],[STATUS PROCESSO DESMOBILIZAÇÃO]]="Em andamento",Tabela6[[#This Row],[DATA REAL - CRACHÁ]]&lt;&gt;""),1)</f>
        <v>0</v>
      </c>
      <c r="I67" s="38" cm="1">
        <f t="array" aca="1" ref="I6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CRACHÁ]]="",$AE67&gt;$AC$1),2,
AND(Tabela6[[#This Row],[STATUS PROCESSO DESMOBILIZAÇÃO]]="Em andamento",Tabela6[[#This Row],[DATA REAL - ENTR. CRACHÁ]]="",$AE67&lt;=$AC$1),3,
AND(Tabela6[[#This Row],[STATUS PROCESSO DESMOBILIZAÇÃO]]="Em andamento",Tabela6[[#This Row],[DATA REAL - ENTR. CRACHÁ]]&lt;&gt;""),1)</f>
        <v>0</v>
      </c>
      <c r="J67" s="38" cm="1">
        <f t="array" aca="1" ref="J67"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CRACHÁ]]="",$AE67&gt;$AC$1),2,
AND(Tabela6[[#This Row],[STATUS PROCESSO DESMOBILIZAÇÃO]]="Em andamento",Tabela6[[#This Row],[DATA REAL - ENTR. CRACHÁ]]="",$AE67&lt;=$AC$1),3,
AND(Tabela6[[#This Row],[STATUS PROCESSO DESMOBILIZAÇÃO]]="Em andamento",Tabela6[[#This Row],[DATA REAL - ENTR. CRACHÁ]]&lt;&gt;""),1)</f>
        <v>0</v>
      </c>
      <c r="K67" s="38" cm="1">
        <f t="array" aca="1" ref="K67"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protocolo]]="",$AH67&gt;$AF$1),2,
AND(Tabela6[[#This Row],[STATUS PROCESSO DESMOBILIZAÇÃO]]="Em andamento",Tabela6[[#This Row],[DATA REAL - Envio do protocolo]]="",$AH67&lt;=$AF$1),3,
AND(Tabela6[[#This Row],[STATUS PROCESSO DESMOBILIZAÇÃO]]="Em andamento",Tabela6[[#This Row],[DATA REAL - Envio do protocolo]]&lt;&gt;""),1)</f>
        <v>0</v>
      </c>
      <c r="L67"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67"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7"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7"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7" s="38"/>
      <c r="Q67" s="38" t="s">
        <v>97</v>
      </c>
      <c r="R67" s="38" t="s">
        <v>98</v>
      </c>
      <c r="S67" s="38" t="s">
        <v>89</v>
      </c>
      <c r="T67" s="38" t="s">
        <v>323</v>
      </c>
      <c r="U67" s="38" t="s">
        <v>100</v>
      </c>
      <c r="V67" s="38" t="str">
        <f>_xlfn.XLOOKUP(Tabela6[[#This Row],[COD. CT]],Controle_Projetos[COD CT],Controle_Projetos[COD PHD],"")</f>
        <v>SALU-CT08-TAMA</v>
      </c>
      <c r="W67" s="39"/>
      <c r="X67" s="40"/>
      <c r="Y67" s="38" t="str" cm="1">
        <f t="array" aca="1" ref="Y67"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7" s="39" t="s">
        <v>249</v>
      </c>
      <c r="AA67" s="39"/>
      <c r="AB67" s="38" t="str" cm="1">
        <f t="array" aca="1" ref="AB67"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67" s="39" t="str">
        <f>IF(Tabela6[[#This Row],[DATA PREV - CRACHÁ]]="","",IF(Tabela6[[#This Row],[DATA REAL - CRACHÁ]]="",WORKDAY(Tabela6[[#This Row],[DATA PREV - CRACHÁ]],AC$1,),WORKDAY(Tabela6[[#This Row],[DATA REAL - CRACHÁ]],AC$1,)))</f>
        <v/>
      </c>
      <c r="AD67" s="40"/>
      <c r="AE67" s="38" t="str" cm="1">
        <f t="array" aca="1" ref="AE67"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67" s="39" t="str">
        <f>IF(Tabela6[[#This Row],[DATA PREV - ENTR. CRACHÁ]]="","",IF(Tabela6[[#This Row],[DATA REAL - ENTR. CRACHÁ]]="",WORKDAY(Tabela6[[#This Row],[DATA PREV - ENTR. CRACHÁ]],AF$1,),WORKDAY(Tabela6[[#This Row],[DATA REAL - ENTR. CRACHÁ]],AF$1,)))</f>
        <v/>
      </c>
      <c r="AG67" s="40"/>
      <c r="AH67" s="38" t="str" cm="1">
        <f t="array" aca="1" ref="AH67"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67" s="39" t="str">
        <f>IF(Tabela6[[#This Row],[DATA PREV - envio do protocolo]]="","",IF(Tabela6[[#This Row],[DATA REAL - Envio do protocolo]]="",WORKDAY(Tabela6[[#This Row],[DATA PREV - envio do protocolo]],AI$1,),WORKDAY(Tabela6[[#This Row],[DATA REAL - Envio do protocolo]],AI$1,)))</f>
        <v/>
      </c>
      <c r="AJ67" s="39"/>
      <c r="AK67" s="38" t="str" cm="1">
        <f t="array" aca="1" ref="AK67"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7" s="38" t="s">
        <v>1298</v>
      </c>
    </row>
    <row r="68" spans="2:38" hidden="1" x14ac:dyDescent="0.35">
      <c r="B68" s="37" t="s">
        <v>79</v>
      </c>
      <c r="C68" s="38" t="s">
        <v>1228</v>
      </c>
      <c r="D68" s="38">
        <v>45866</v>
      </c>
      <c r="E68" s="37" t="s">
        <v>81</v>
      </c>
      <c r="F68" s="38" t="s">
        <v>1299</v>
      </c>
      <c r="G68" s="38" cm="1">
        <f t="array" aca="1" ref="G68"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FORMS]]="",$Y68&gt;$W$1),2,
AND(Tabela6[[#This Row],[STATUS PROCESSO DESMOBILIZAÇÃO]]="Em andamento",Tabela6[[#This Row],[DATA REAL - FORMS]]="",$Y68&lt;=$W$1),3,
AND(Tabela6[[#This Row],[STATUS PROCESSO DESMOBILIZAÇÃO]]="Em andamento",Tabela6[[#This Row],[DATA REAL - FORMS]]&lt;&gt;""),1)</f>
        <v>0</v>
      </c>
      <c r="H68" s="38" cm="1">
        <f t="array" aca="1" ref="H68"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CRACHÁ]]="",$AB68&gt;$Z$1),2,
AND(Tabela6[[#This Row],[STATUS PROCESSO DESMOBILIZAÇÃO]]="Em andamento",Tabela6[[#This Row],[DATA REAL - CRACHÁ]]="",$AB68&lt;=$Z$1),3,
AND(Tabela6[[#This Row],[STATUS PROCESSO DESMOBILIZAÇÃO]]="Em andamento",Tabela6[[#This Row],[DATA REAL - CRACHÁ]]&lt;&gt;""),1)</f>
        <v>0</v>
      </c>
      <c r="I68" s="38" cm="1">
        <f t="array" aca="1" ref="I6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CRACHÁ]]="",$AE68&gt;$AC$1),2,
AND(Tabela6[[#This Row],[STATUS PROCESSO DESMOBILIZAÇÃO]]="Em andamento",Tabela6[[#This Row],[DATA REAL - ENTR. CRACHÁ]]="",$AE68&lt;=$AC$1),3,
AND(Tabela6[[#This Row],[STATUS PROCESSO DESMOBILIZAÇÃO]]="Em andamento",Tabela6[[#This Row],[DATA REAL - ENTR. CRACHÁ]]&lt;&gt;""),1)</f>
        <v>1</v>
      </c>
      <c r="J68" s="38" cm="1">
        <f t="array" aca="1" ref="J68"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CRACHÁ]]="",$AE68&gt;$AC$1),2,
AND(Tabela6[[#This Row],[STATUS PROCESSO DESMOBILIZAÇÃO]]="Em andamento",Tabela6[[#This Row],[DATA REAL - ENTR. CRACHÁ]]="",$AE68&lt;=$AC$1),3,
AND(Tabela6[[#This Row],[STATUS PROCESSO DESMOBILIZAÇÃO]]="Em andamento",Tabela6[[#This Row],[DATA REAL - ENTR. CRACHÁ]]&lt;&gt;""),1)</f>
        <v>1</v>
      </c>
      <c r="K68" s="38" cm="1">
        <f t="array" aca="1" ref="K68"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protocolo]]="",$AH68&gt;$AF$1),2,
AND(Tabela6[[#This Row],[STATUS PROCESSO DESMOBILIZAÇÃO]]="Em andamento",Tabela6[[#This Row],[DATA REAL - Envio do protocolo]]="",$AH68&lt;=$AF$1),3,
AND(Tabela6[[#This Row],[STATUS PROCESSO DESMOBILIZAÇÃO]]="Em andamento",Tabela6[[#This Row],[DATA REAL - Envio do protocolo]]&lt;&gt;""),1)</f>
        <v>1</v>
      </c>
      <c r="L68"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45868</v>
      </c>
      <c r="M68"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2</v>
      </c>
      <c r="N68"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8"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8" s="38"/>
      <c r="Q68" s="38" t="s">
        <v>97</v>
      </c>
      <c r="R68" s="38" t="s">
        <v>975</v>
      </c>
      <c r="S68" s="38" t="s">
        <v>89</v>
      </c>
      <c r="T68" s="38" t="s">
        <v>323</v>
      </c>
      <c r="U68" s="38" t="s">
        <v>1080</v>
      </c>
      <c r="V68" s="38" t="str">
        <f>_xlfn.XLOOKUP(Tabela6[[#This Row],[COD. CT]],Controle_Projetos[COD CT],Controle_Projetos[COD PHD],"")</f>
        <v>ATER-CT02-IBIM</v>
      </c>
      <c r="W68" s="39"/>
      <c r="X68" s="40"/>
      <c r="Y68" s="38" t="str" cm="1">
        <f t="array" aca="1" ref="Y68"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8" s="39" t="str">
        <f>IF(Tabela6[[#This Row],[DATA PREV - FORMS]]&lt;&gt;"",Tabela6[[#This Row],[DATA PREV - FORMS]]+$Z$1,"")</f>
        <v/>
      </c>
      <c r="AA68" s="39"/>
      <c r="AB68" s="38" t="str" cm="1">
        <f t="array" aca="1" ref="AB68"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68" s="39" t="str">
        <f>IF(Tabela6[[#This Row],[DATA PREV - CRACHÁ]]="","",IF(Tabela6[[#This Row],[DATA REAL - CRACHÁ]]="",WORKDAY(Tabela6[[#This Row],[DATA PREV - CRACHÁ]],AC$1,),WORKDAY(Tabela6[[#This Row],[DATA REAL - CRACHÁ]],AC$1,)))</f>
        <v/>
      </c>
      <c r="AD68" s="40">
        <v>45866</v>
      </c>
      <c r="AE68" s="38" cm="1">
        <f t="array" aca="1" ref="AE68"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0</v>
      </c>
      <c r="AF68" s="39" t="str">
        <f>IF(Tabela6[[#This Row],[DATA PREV - ENTR. CRACHÁ]]="","",IF(Tabela6[[#This Row],[DATA REAL - ENTR. CRACHÁ]]="",WORKDAY(Tabela6[[#This Row],[DATA PREV - ENTR. CRACHÁ]],AF$1,),WORKDAY(Tabela6[[#This Row],[DATA REAL - ENTR. CRACHÁ]],AF$1,)))</f>
        <v/>
      </c>
      <c r="AG68" s="40">
        <v>45868</v>
      </c>
      <c r="AH68" s="38" cm="1">
        <f t="array" aca="1" ref="AH68"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8" s="39" t="str">
        <f>IF(Tabela6[[#This Row],[DATA PREV - envio do protocolo]]="","",IF(Tabela6[[#This Row],[DATA REAL - Envio do protocolo]]="",WORKDAY(Tabela6[[#This Row],[DATA PREV - envio do protocolo]],AI$1,),WORKDAY(Tabela6[[#This Row],[DATA REAL - Envio do protocolo]],AI$1,)))</f>
        <v/>
      </c>
      <c r="AJ68" s="39"/>
      <c r="AK68" s="38" t="str" cm="1">
        <f t="array" aca="1" ref="AK68"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8" s="38" t="s">
        <v>1300</v>
      </c>
    </row>
    <row r="69" spans="2:38" hidden="1" x14ac:dyDescent="0.35">
      <c r="B69" s="37" t="s">
        <v>79</v>
      </c>
      <c r="C69" s="38" t="s">
        <v>1214</v>
      </c>
      <c r="D69" s="38">
        <v>45869</v>
      </c>
      <c r="E69" s="37" t="s">
        <v>81</v>
      </c>
      <c r="F69" s="38" t="s">
        <v>120</v>
      </c>
      <c r="G69" s="38" cm="1">
        <f t="array" aca="1" ref="G69"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FORMS]]="",$Y69&gt;$W$1),2,
AND(Tabela6[[#This Row],[STATUS PROCESSO DESMOBILIZAÇÃO]]="Em andamento",Tabela6[[#This Row],[DATA REAL - FORMS]]="",$Y69&lt;=$W$1),3,
AND(Tabela6[[#This Row],[STATUS PROCESSO DESMOBILIZAÇÃO]]="Em andamento",Tabela6[[#This Row],[DATA REAL - FORMS]]&lt;&gt;""),1)</f>
        <v>0</v>
      </c>
      <c r="H69" s="38" cm="1">
        <f t="array" aca="1" ref="H69"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CRACHÁ]]="",$AB69&gt;$Z$1),2,
AND(Tabela6[[#This Row],[STATUS PROCESSO DESMOBILIZAÇÃO]]="Em andamento",Tabela6[[#This Row],[DATA REAL - CRACHÁ]]="",$AB69&lt;=$Z$1),3,
AND(Tabela6[[#This Row],[STATUS PROCESSO DESMOBILIZAÇÃO]]="Em andamento",Tabela6[[#This Row],[DATA REAL - CRACHÁ]]&lt;&gt;""),1)</f>
        <v>0</v>
      </c>
      <c r="I69" s="38" cm="1">
        <f t="array" aca="1" ref="I6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CRACHÁ]]="",$AE69&gt;$AC$1),2,
AND(Tabela6[[#This Row],[STATUS PROCESSO DESMOBILIZAÇÃO]]="Em andamento",Tabela6[[#This Row],[DATA REAL - ENTR. CRACHÁ]]="",$AE69&lt;=$AC$1),3,
AND(Tabela6[[#This Row],[STATUS PROCESSO DESMOBILIZAÇÃO]]="Em andamento",Tabela6[[#This Row],[DATA REAL - ENTR. CRACHÁ]]&lt;&gt;""),1)</f>
        <v>0</v>
      </c>
      <c r="J69" s="38" cm="1">
        <f t="array" aca="1" ref="J69"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CRACHÁ]]="",$AE69&gt;$AC$1),2,
AND(Tabela6[[#This Row],[STATUS PROCESSO DESMOBILIZAÇÃO]]="Em andamento",Tabela6[[#This Row],[DATA REAL - ENTR. CRACHÁ]]="",$AE69&lt;=$AC$1),3,
AND(Tabela6[[#This Row],[STATUS PROCESSO DESMOBILIZAÇÃO]]="Em andamento",Tabela6[[#This Row],[DATA REAL - ENTR. CRACHÁ]]&lt;&gt;""),1)</f>
        <v>0</v>
      </c>
      <c r="K69" s="38" cm="1">
        <f t="array" aca="1" ref="K69"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protocolo]]="",$AH69&gt;$AF$1),2,
AND(Tabela6[[#This Row],[STATUS PROCESSO DESMOBILIZAÇÃO]]="Em andamento",Tabela6[[#This Row],[DATA REAL - Envio do protocolo]]="",$AH69&lt;=$AF$1),3,
AND(Tabela6[[#This Row],[STATUS PROCESSO DESMOBILIZAÇÃO]]="Em andamento",Tabela6[[#This Row],[DATA REAL - Envio do protocolo]]&lt;&gt;""),1)</f>
        <v>1</v>
      </c>
      <c r="L69"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45869</v>
      </c>
      <c r="M69"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69"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69"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69" s="38"/>
      <c r="Q69" s="38" t="s">
        <v>97</v>
      </c>
      <c r="R69" s="38" t="s">
        <v>199</v>
      </c>
      <c r="S69" s="38" t="s">
        <v>89</v>
      </c>
      <c r="T69" s="38" t="s">
        <v>253</v>
      </c>
      <c r="U69" s="38" t="s">
        <v>249</v>
      </c>
      <c r="V69" s="38" t="str">
        <f>_xlfn.XLOOKUP(Tabela6[[#This Row],[COD. CT]],Controle_Projetos[COD CT],Controle_Projetos[COD PHD],"")</f>
        <v/>
      </c>
      <c r="W69" s="39"/>
      <c r="X69" s="40"/>
      <c r="Y69" s="38" t="str" cm="1">
        <f t="array" aca="1" ref="Y69"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69" s="39" t="str">
        <f>IF(Tabela6[[#This Row],[DATA PREV - FORMS]]&lt;&gt;"",Tabela6[[#This Row],[DATA PREV - FORMS]]+$Z$1,"")</f>
        <v/>
      </c>
      <c r="AA69" s="39"/>
      <c r="AB69" s="38" t="str" cm="1">
        <f t="array" aca="1" ref="AB69"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69" s="39" t="str">
        <f>IF(Tabela6[[#This Row],[DATA PREV - CRACHÁ]]="","",IF(Tabela6[[#This Row],[DATA REAL - CRACHÁ]]="",WORKDAY(Tabela6[[#This Row],[DATA PREV - CRACHÁ]],AC$1,),WORKDAY(Tabela6[[#This Row],[DATA REAL - CRACHÁ]],AC$1,)))</f>
        <v/>
      </c>
      <c r="AD69" s="40"/>
      <c r="AE69" s="38" t="str" cm="1">
        <f t="array" aca="1" ref="AE69"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69" s="39" t="str">
        <f>IF(Tabela6[[#This Row],[DATA PREV - ENTR. CRACHÁ]]="","",IF(Tabela6[[#This Row],[DATA REAL - ENTR. CRACHÁ]]="",WORKDAY(Tabela6[[#This Row],[DATA PREV - ENTR. CRACHÁ]],AF$1,),WORKDAY(Tabela6[[#This Row],[DATA REAL - ENTR. CRACHÁ]],AF$1,)))</f>
        <v/>
      </c>
      <c r="AG69" s="40">
        <v>45869</v>
      </c>
      <c r="AH69" s="38" cm="1">
        <f t="array" aca="1" ref="AH69"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0</v>
      </c>
      <c r="AI69" s="39" t="str">
        <f>IF(Tabela6[[#This Row],[DATA PREV - envio do protocolo]]="","",IF(Tabela6[[#This Row],[DATA REAL - Envio do protocolo]]="",WORKDAY(Tabela6[[#This Row],[DATA PREV - envio do protocolo]],AI$1,),WORKDAY(Tabela6[[#This Row],[DATA REAL - Envio do protocolo]],AI$1,)))</f>
        <v/>
      </c>
      <c r="AJ69" s="39"/>
      <c r="AK69" s="38" t="str" cm="1">
        <f t="array" aca="1" ref="AK69"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69" s="38" t="s">
        <v>1301</v>
      </c>
    </row>
    <row r="70" spans="2:38" hidden="1" x14ac:dyDescent="0.35">
      <c r="B70" s="37" t="s">
        <v>79</v>
      </c>
      <c r="C70" s="38" t="s">
        <v>1214</v>
      </c>
      <c r="D70" s="38"/>
      <c r="E70" s="37" t="s">
        <v>81</v>
      </c>
      <c r="F70" s="38" t="s">
        <v>367</v>
      </c>
      <c r="G70" s="38" cm="1">
        <f t="array" aca="1" ref="G70"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FORMS]]="",$Y70&gt;$W$1),2,
AND(Tabela6[[#This Row],[STATUS PROCESSO DESMOBILIZAÇÃO]]="Em andamento",Tabela6[[#This Row],[DATA REAL - FORMS]]="",$Y70&lt;=$W$1),3,
AND(Tabela6[[#This Row],[STATUS PROCESSO DESMOBILIZAÇÃO]]="Em andamento",Tabela6[[#This Row],[DATA REAL - FORMS]]&lt;&gt;""),1)</f>
        <v>0</v>
      </c>
      <c r="H70" s="38" cm="1">
        <f t="array" aca="1" ref="H70"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CRACHÁ]]="",$AB70&gt;$Z$1),2,
AND(Tabela6[[#This Row],[STATUS PROCESSO DESMOBILIZAÇÃO]]="Em andamento",Tabela6[[#This Row],[DATA REAL - CRACHÁ]]="",$AB70&lt;=$Z$1),3,
AND(Tabela6[[#This Row],[STATUS PROCESSO DESMOBILIZAÇÃO]]="Em andamento",Tabela6[[#This Row],[DATA REAL - CRACHÁ]]&lt;&gt;""),1)</f>
        <v>0</v>
      </c>
      <c r="I70" s="38" cm="1">
        <f t="array" aca="1" ref="I7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CRACHÁ]]="",$AE70&gt;$AC$1),2,
AND(Tabela6[[#This Row],[STATUS PROCESSO DESMOBILIZAÇÃO]]="Em andamento",Tabela6[[#This Row],[DATA REAL - ENTR. CRACHÁ]]="",$AE70&lt;=$AC$1),3,
AND(Tabela6[[#This Row],[STATUS PROCESSO DESMOBILIZAÇÃO]]="Em andamento",Tabela6[[#This Row],[DATA REAL - ENTR. CRACHÁ]]&lt;&gt;""),1)</f>
        <v>0</v>
      </c>
      <c r="J70" s="38" cm="1">
        <f t="array" aca="1" ref="J70"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CRACHÁ]]="",$AE70&gt;$AC$1),2,
AND(Tabela6[[#This Row],[STATUS PROCESSO DESMOBILIZAÇÃO]]="Em andamento",Tabela6[[#This Row],[DATA REAL - ENTR. CRACHÁ]]="",$AE70&lt;=$AC$1),3,
AND(Tabela6[[#This Row],[STATUS PROCESSO DESMOBILIZAÇÃO]]="Em andamento",Tabela6[[#This Row],[DATA REAL - ENTR. CRACHÁ]]&lt;&gt;""),1)</f>
        <v>0</v>
      </c>
      <c r="K70" s="38" cm="1">
        <f t="array" aca="1" ref="K70"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protocolo]]="",$AH70&gt;$AF$1),2,
AND(Tabela6[[#This Row],[STATUS PROCESSO DESMOBILIZAÇÃO]]="Em andamento",Tabela6[[#This Row],[DATA REAL - Envio do protocolo]]="",$AH70&lt;=$AF$1),3,
AND(Tabela6[[#This Row],[STATUS PROCESSO DESMOBILIZAÇÃO]]="Em andamento",Tabela6[[#This Row],[DATA REAL - Envio do protocolo]]&lt;&gt;""),1)</f>
        <v>0</v>
      </c>
      <c r="L70" s="39"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70"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0</v>
      </c>
      <c r="N70"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0</v>
      </c>
      <c r="O70"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0</v>
      </c>
      <c r="P70" s="38"/>
      <c r="Q70" s="38" t="s">
        <v>97</v>
      </c>
      <c r="R70" s="38" t="s">
        <v>199</v>
      </c>
      <c r="S70" s="38" t="s">
        <v>89</v>
      </c>
      <c r="T70" s="38" t="s">
        <v>253</v>
      </c>
      <c r="U70" s="38" t="s">
        <v>249</v>
      </c>
      <c r="V70" s="38" t="str">
        <f>_xlfn.XLOOKUP(Tabela6[[#This Row],[COD. CT]],Controle_Projetos[COD CT],Controle_Projetos[COD PHD],"")</f>
        <v/>
      </c>
      <c r="W70" s="39"/>
      <c r="X70" s="40"/>
      <c r="Y70" s="38" t="str" cm="1">
        <f t="array" aca="1" ref="Y70"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70" s="39" t="str">
        <f>IF(Tabela6[[#This Row],[DATA PREV - FORMS]]&lt;&gt;"",Tabela6[[#This Row],[DATA PREV - FORMS]]+$Z$1,"")</f>
        <v/>
      </c>
      <c r="AA70" s="39"/>
      <c r="AB70" s="38" t="str" cm="1">
        <f t="array" aca="1" ref="AB70"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70" s="39" t="str">
        <f>IF(Tabela6[[#This Row],[DATA PREV - CRACHÁ]]="","",IF(Tabela6[[#This Row],[DATA REAL - CRACHÁ]]="",WORKDAY(Tabela6[[#This Row],[DATA PREV - CRACHÁ]],AC$1,),WORKDAY(Tabela6[[#This Row],[DATA REAL - CRACHÁ]],AC$1,)))</f>
        <v/>
      </c>
      <c r="AD70" s="40"/>
      <c r="AE70" s="38" t="str" cm="1">
        <f t="array" aca="1" ref="AE70"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70" s="39" t="str">
        <f>IF(Tabela6[[#This Row],[DATA PREV - ENTR. CRACHÁ]]="","",IF(Tabela6[[#This Row],[DATA REAL - ENTR. CRACHÁ]]="",WORKDAY(Tabela6[[#This Row],[DATA PREV - ENTR. CRACHÁ]],AF$1,),WORKDAY(Tabela6[[#This Row],[DATA REAL - ENTR. CRACHÁ]],AF$1,)))</f>
        <v/>
      </c>
      <c r="AG70" s="40"/>
      <c r="AH70" s="38" t="str" cm="1">
        <f t="array" aca="1" ref="AH70"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70" s="39" t="str">
        <f>IF(Tabela6[[#This Row],[DATA PREV - envio do protocolo]]="","",IF(Tabela6[[#This Row],[DATA REAL - Envio do protocolo]]="",WORKDAY(Tabela6[[#This Row],[DATA PREV - envio do protocolo]],AI$1,),WORKDAY(Tabela6[[#This Row],[DATA REAL - Envio do protocolo]],AI$1,)))</f>
        <v/>
      </c>
      <c r="AJ70" s="39"/>
      <c r="AK70" s="38" t="str" cm="1">
        <f t="array" aca="1" ref="AK70"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70" s="38"/>
    </row>
    <row r="71" spans="2:38" x14ac:dyDescent="0.35">
      <c r="B71" s="37" t="s">
        <v>778</v>
      </c>
      <c r="C71" s="38" t="s">
        <v>1214</v>
      </c>
      <c r="D71" s="38"/>
      <c r="E71" s="38"/>
      <c r="F71" s="38" t="s">
        <v>552</v>
      </c>
      <c r="G71" s="38" cm="1">
        <f t="array" aca="1" ref="G71"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FORMS]]="",$Y71&gt;$W$1),2,
AND(Tabela6[[#This Row],[STATUS PROCESSO DESMOBILIZAÇÃO]]="Em andamento",Tabela6[[#This Row],[DATA REAL - FORMS]]="",$Y71&lt;=$W$1),3,
AND(Tabela6[[#This Row],[STATUS PROCESSO DESMOBILIZAÇÃO]]="Em andamento",Tabela6[[#This Row],[DATA REAL - FORMS]]&lt;&gt;""),1)</f>
        <v>2</v>
      </c>
      <c r="H71" s="38" cm="1">
        <f t="array" aca="1" ref="H71"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CRACHÁ]]="",$AB71&gt;$Z$1),2,
AND(Tabela6[[#This Row],[STATUS PROCESSO DESMOBILIZAÇÃO]]="Em andamento",Tabela6[[#This Row],[DATA REAL - CRACHÁ]]="",$AB71&lt;=$Z$1),3,
AND(Tabela6[[#This Row],[STATUS PROCESSO DESMOBILIZAÇÃO]]="Em andamento",Tabela6[[#This Row],[DATA REAL - CRACHÁ]]&lt;&gt;""),1)</f>
        <v>2</v>
      </c>
      <c r="I71" s="38" cm="1">
        <f t="array" aca="1" ref="I7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CRACHÁ]]="",$AE71&gt;$AC$1),2,
AND(Tabela6[[#This Row],[STATUS PROCESSO DESMOBILIZAÇÃO]]="Em andamento",Tabela6[[#This Row],[DATA REAL - ENTR. CRACHÁ]]="",$AE71&lt;=$AC$1),3,
AND(Tabela6[[#This Row],[STATUS PROCESSO DESMOBILIZAÇÃO]]="Em andamento",Tabela6[[#This Row],[DATA REAL - ENTR. CRACHÁ]]&lt;&gt;""),1)</f>
        <v>1</v>
      </c>
      <c r="J71" s="38" cm="1">
        <f t="array" aca="1" ref="J71"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CRACHÁ]]="",$AE71&gt;$AC$1),2,
AND(Tabela6[[#This Row],[STATUS PROCESSO DESMOBILIZAÇÃO]]="Em andamento",Tabela6[[#This Row],[DATA REAL - ENTR. CRACHÁ]]="",$AE71&lt;=$AC$1),3,
AND(Tabela6[[#This Row],[STATUS PROCESSO DESMOBILIZAÇÃO]]="Em andamento",Tabela6[[#This Row],[DATA REAL - ENTR. CRACHÁ]]&lt;&gt;""),1)</f>
        <v>1</v>
      </c>
      <c r="K71" s="38" cm="1">
        <f t="array" aca="1" ref="K71"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protocolo]]="",$AH71&gt;$AF$1),2,
AND(Tabela6[[#This Row],[STATUS PROCESSO DESMOBILIZAÇÃO]]="Em andamento",Tabela6[[#This Row],[DATA REAL - Envio do protocolo]]="",$AH71&lt;=$AF$1),3,
AND(Tabela6[[#This Row],[STATUS PROCESSO DESMOBILIZAÇÃO]]="Em andamento",Tabela6[[#This Row],[DATA REAL - Envio do protocolo]]&lt;&gt;""),1)</f>
        <v>1</v>
      </c>
      <c r="L71" s="39">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45952</v>
      </c>
      <c r="M71" s="38">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324</v>
      </c>
      <c r="N71" s="38">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324</v>
      </c>
      <c r="O71" s="38">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322</v>
      </c>
      <c r="P71" s="38"/>
      <c r="Q71" s="38" t="s">
        <v>97</v>
      </c>
      <c r="R71" s="38" t="s">
        <v>261</v>
      </c>
      <c r="S71" s="38" t="s">
        <v>89</v>
      </c>
      <c r="T71" s="38" t="s">
        <v>383</v>
      </c>
      <c r="U71" s="38" t="s">
        <v>263</v>
      </c>
      <c r="V71" s="38" t="str">
        <f>_xlfn.XLOOKUP(Tabela6[[#This Row],[COD. CT]],Controle_Projetos[COD CT],Controle_Projetos[COD PHD],"")</f>
        <v>CEMI-CT02-CAPA</v>
      </c>
      <c r="W71" s="39"/>
      <c r="X71" s="40"/>
      <c r="Y71" s="38" t="str" cm="1">
        <f t="array" aca="1" ref="Y71"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71" s="39" t="str">
        <f>IF(Tabela6[[#This Row],[DATA PREV - FORMS]]&lt;&gt;"",Tabela6[[#This Row],[DATA PREV - FORMS]]+$Z$1,"")</f>
        <v/>
      </c>
      <c r="AA71" s="39"/>
      <c r="AB71" s="38" t="str" cm="1">
        <f t="array" aca="1" ref="AB71"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71" s="39" t="str">
        <f>IF(Tabela6[[#This Row],[DATA PREV - CRACHÁ]]="","",IF(Tabela6[[#This Row],[DATA REAL - CRACHÁ]]="",WORKDAY(Tabela6[[#This Row],[DATA PREV - CRACHÁ]],AC$1,),WORKDAY(Tabela6[[#This Row],[DATA REAL - CRACHÁ]],AC$1,)))</f>
        <v/>
      </c>
      <c r="AD71" s="40">
        <v>45950</v>
      </c>
      <c r="AE71" s="38" cm="1">
        <f t="array" aca="1" ref="AE71"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324</v>
      </c>
      <c r="AF71" s="39" t="str">
        <f>IF(Tabela6[[#This Row],[DATA PREV - ENTR. CRACHÁ]]="","",IF(Tabela6[[#This Row],[DATA REAL - ENTR. CRACHÁ]]="",WORKDAY(Tabela6[[#This Row],[DATA PREV - ENTR. CRACHÁ]],AF$1,),WORKDAY(Tabela6[[#This Row],[DATA REAL - ENTR. CRACHÁ]],AF$1,)))</f>
        <v/>
      </c>
      <c r="AG71" s="40">
        <v>45952</v>
      </c>
      <c r="AH71" s="38" cm="1">
        <f t="array" aca="1" ref="AH71"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322</v>
      </c>
      <c r="AI71" s="39" t="str">
        <f>IF(Tabela6[[#This Row],[DATA PREV - envio do protocolo]]="","",IF(Tabela6[[#This Row],[DATA REAL - Envio do protocolo]]="",WORKDAY(Tabela6[[#This Row],[DATA PREV - envio do protocolo]],AI$1,),WORKDAY(Tabela6[[#This Row],[DATA REAL - Envio do protocolo]],AI$1,)))</f>
        <v/>
      </c>
      <c r="AJ71" s="39"/>
      <c r="AK71" s="38" t="str" cm="1">
        <f t="array" aca="1" ref="AK71"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71" s="38" t="s">
        <v>1302</v>
      </c>
    </row>
    <row r="72" spans="2:38" x14ac:dyDescent="0.35">
      <c r="B72" s="41" t="s">
        <v>778</v>
      </c>
      <c r="C72" s="42" t="s">
        <v>1214</v>
      </c>
      <c r="D72" s="42"/>
      <c r="E72" s="42"/>
      <c r="F72" s="42" t="s">
        <v>563</v>
      </c>
      <c r="G72" s="42" cm="1">
        <f t="array" aca="1" ref="G72" ca="1">_xlfn.IFS(
AND(Tabela6[[#This Row],[STATUS PROCESSO DESMOBILIZAÇÃO]]="Finalizado",Tabela6[[#This Row],[DATA REAL - FORMS]]=""),0,
AND(Tabela6[[#This Row],[STATUS PROCESSO DESMOBILIZAÇÃO]]="Finalizado",Tabela6[[#This Row],[DATA REAL - FORMS]]&lt;&gt;""),1,
AND(Tabela6[[#This Row],[STATUS PROCESSO DESMOBILIZAÇÃO]]="Em andamento",Tabela6[[#This Row],[DATA REAL - FORMS]]="",$Y72&gt;$W$1),2,
AND(Tabela6[[#This Row],[STATUS PROCESSO DESMOBILIZAÇÃO]]="Em andamento",Tabela6[[#This Row],[DATA REAL - FORMS]]="",$Y72&lt;=$W$1),3,
AND(Tabela6[[#This Row],[STATUS PROCESSO DESMOBILIZAÇÃO]]="Em andamento",Tabela6[[#This Row],[DATA REAL - FORMS]]&lt;&gt;""),1)</f>
        <v>2</v>
      </c>
      <c r="H72" s="42" cm="1">
        <f t="array" aca="1" ref="H72" ca="1">_xlfn.IFS(
AND(Tabela6[[#This Row],[STATUS PROCESSO DESMOBILIZAÇÃO]]="Finalizado",Tabela6[[#This Row],[DATA REAL - CRACHÁ]]=""),0,
AND(Tabela6[[#This Row],[STATUS PROCESSO DESMOBILIZAÇÃO]]="Finalizado",Tabela6[[#This Row],[DATA REAL - CRACHÁ]]&lt;&gt;""),1,
AND(Tabela6[[#This Row],[STATUS PROCESSO DESMOBILIZAÇÃO]]="Em andamento",Tabela6[[#This Row],[DATA REAL - CRACHÁ]]="",$AB72&gt;$Z$1),2,
AND(Tabela6[[#This Row],[STATUS PROCESSO DESMOBILIZAÇÃO]]="Em andamento",Tabela6[[#This Row],[DATA REAL - CRACHÁ]]="",$AB72&lt;=$Z$1),3,
AND(Tabela6[[#This Row],[STATUS PROCESSO DESMOBILIZAÇÃO]]="Em andamento",Tabela6[[#This Row],[DATA REAL - CRACHÁ]]&lt;&gt;""),1)</f>
        <v>2</v>
      </c>
      <c r="I72" s="42" cm="1">
        <f t="array" aca="1" ref="I7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CRACHÁ]]="",$AE72&gt;$AC$1),2,
AND(Tabela6[[#This Row],[STATUS PROCESSO DESMOBILIZAÇÃO]]="Em andamento",Tabela6[[#This Row],[DATA REAL - ENTR. CRACHÁ]]="",$AE72&lt;=$AC$1),3,
AND(Tabela6[[#This Row],[STATUS PROCESSO DESMOBILIZAÇÃO]]="Em andamento",Tabela6[[#This Row],[DATA REAL - ENTR. CRACHÁ]]&lt;&gt;""),1)</f>
        <v>2</v>
      </c>
      <c r="J72" s="42" cm="1">
        <f t="array" aca="1" ref="J72" ca="1">_xlfn.IFS(
AND(Tabela6[[#This Row],[STATUS PROCESSO DESMOBILIZAÇÃO]]="Finalizado",Tabela6[[#This Row],[DATA REAL - ENTR. CRACHÁ]]=""),0,
AND(Tabela6[[#This Row],[STATUS PROCESSO DESMOBILIZAÇÃO]]="Finalizado",Tabela6[[#This Row],[DATA REAL - ENTR. CRACHÁ]]&lt;&gt;""),1,
AND(Tabela6[[#This Row],[STATUS PROCESSO DESMOBILIZAÇÃO]]="Em andamento",Tabela6[[#This Row],[DATA REAL - ENTR. CRACHÁ]]="",$AE72&gt;$AC$1),2,
AND(Tabela6[[#This Row],[STATUS PROCESSO DESMOBILIZAÇÃO]]="Em andamento",Tabela6[[#This Row],[DATA REAL - ENTR. CRACHÁ]]="",$AE72&lt;=$AC$1),3,
AND(Tabela6[[#This Row],[STATUS PROCESSO DESMOBILIZAÇÃO]]="Em andamento",Tabela6[[#This Row],[DATA REAL - ENTR. CRACHÁ]]&lt;&gt;""),1)</f>
        <v>2</v>
      </c>
      <c r="K72" s="42" cm="1">
        <f t="array" aca="1" ref="K72" ca="1">_xlfn.IFS(
AND(Tabela6[[#This Row],[STATUS PROCESSO DESMOBILIZAÇÃO]]="Finalizado",Tabela6[[#This Row],[DATA REAL - Envio do protocolo]]=""),0,
AND(Tabela6[[#This Row],[STATUS PROCESSO DESMOBILIZAÇÃO]]="Finalizado",Tabela6[[#This Row],[DATA REAL - Envio do protocolo]]&lt;&gt;""),1,
AND(Tabela6[[#This Row],[STATUS PROCESSO DESMOBILIZAÇÃO]]="Em andamento",Tabela6[[#This Row],[DATA REAL - Envio do protocolo]]="",$AH72&gt;$AF$1),2,
AND(Tabela6[[#This Row],[STATUS PROCESSO DESMOBILIZAÇÃO]]="Em andamento",Tabela6[[#This Row],[DATA REAL - Envio do protocolo]]="",$AH72&lt;=$AF$1),3,
AND(Tabela6[[#This Row],[STATUS PROCESSO DESMOBILIZAÇÃO]]="Em andamento",Tabela6[[#This Row],[DATA REAL - Envio do protocolo]]&lt;&gt;""),1)</f>
        <v>2</v>
      </c>
      <c r="L72" s="43" t="str">
        <f>IF(MAX(Tabela6[[#This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DESBMOBILIZAÇÃO]])=0/1/1900,"",MAX(Tabela6[[#This Row],[DATA PREV - FORMS]],Tabela6[[#This Row],[DATA REAL - FORMS]],Tabela6[[#This Row],[DATA PREV - CRACHÁ]],Tabela6[[#This Row],[DATA REAL - CRACHÁ]],Tabela6[[#This Row],[DATA PREV - ENTR. CRACHÁ]],Tabela6[[#This Row],[DATA REAL - ENTR. CRACHÁ]],Tabela6[[#This Row],[DATA PREV - envio do protocolo]],Tabela6[[#This Row],[DATA REAL - Envio do protocolo]],Tabela6[[#This Row],[DATA PREV DESBMOBILIZAÇÃO]],Tabela6[[#This Row],[DATA REAL DESBMOBILIZAÇÃO]]))</f>
        <v/>
      </c>
      <c r="M72" s="42">
        <f ca="1">IF(Tabela6[[#This Row],[STATUS PROCESSO DESMOBILIZAÇÃO]]="Finalizado",MAX(Tabela6[[#This Row],[DATA REAL - FORMS]],Tabela6[[#This Row],[DATA REAL - CRACHÁ]],Tabela6[[#This Row],[DATA REAL - ENTR. CRACHÁ]],Tabela6[[#This Row],[DATA REAL - Envio do protocolo]],Tabela6[[#This Row],[DATA REAL DESBMOBILIZAÇÃO]])-MIN(Tabela6[[#This Row],[DATA REAL - FORMS]],Tabela6[[#This Row],[DATA REAL - CRACHÁ]],Tabela6[[#This Row],[DATA REAL - ENTR. CRACHÁ]],Tabela6[[#This Row],[DATA REAL - Envio do protocolo]],Tabela6[[#This Row],[DATA REAL DESBMOBILIZAÇÃO]]),TODAY()-MIN(Tabela6[[#This Row],[DATA REAL - FORMS]],Tabela6[[#This Row],[DATA REAL - CRACHÁ]],Tabela6[[#This Row],[DATA REAL - ENTR. CRACHÁ]],Tabela6[[#This Row],[DATA REAL - Envio do protocolo]],Tabela6[[#This Row],[DATA REAL DESBMOBILIZAÇÃO]]))</f>
        <v>46274</v>
      </c>
      <c r="N72" s="42">
        <f ca="1">IF(Tabela6[[#This Row],[STATUS PROCESSO DESMOBILIZAÇÃO]]="Finalizado",MAX(Tabela6[[#This Row],[DATA REAL - FORMS]],Tabela6[[#This Row],[DATA REAL - CRACHÁ]],Tabela6[[#This Row],[DATA REAL - ENTR. CRACHÁ]])-MIN(Tabela6[[#This Row],[DATA REAL - FORMS]],Tabela6[[#This Row],[DATA REAL - CRACHÁ]],Tabela6[[#This Row],[DATA REAL - ENTR. CRACHÁ]]),TODAY()-MIN(Tabela6[[#This Row],[DATA REAL - FORMS]],Tabela6[[#This Row],[DATA REAL - CRACHÁ]],Tabela6[[#This Row],[DATA REAL - ENTR. CRACHÁ]]))</f>
        <v>46274</v>
      </c>
      <c r="O72" s="42">
        <f ca="1">IF(Tabela6[[#This Row],[STATUS PROCESSO DESMOBILIZAÇÃO]]="Finalizado",MAX(Tabela6[[#This Row],[DATA REAL - Envio do protocolo]],Tabela6[[#This Row],[DATA REAL DESBMOBILIZAÇÃO]])-MIN(Tabela6[[#This Row],[DATA REAL - Envio do protocolo]],Tabela6[[#This Row],[DATA REAL DESBMOBILIZAÇÃO]]),TODAY()-MIN(Tabela6[[#This Row],[DATA REAL - Envio do protocolo]],Tabela6[[#This Row],[DATA REAL DESBMOBILIZAÇÃO]]))</f>
        <v>46274</v>
      </c>
      <c r="P72" s="42"/>
      <c r="Q72" s="42" t="s">
        <v>97</v>
      </c>
      <c r="R72" s="42" t="s">
        <v>88</v>
      </c>
      <c r="S72" s="42" t="s">
        <v>89</v>
      </c>
      <c r="T72" s="42" t="s">
        <v>941</v>
      </c>
      <c r="U72" s="42" t="s">
        <v>161</v>
      </c>
      <c r="V72" s="42" t="str">
        <f>_xlfn.XLOOKUP(Tabela6[[#This Row],[COD. CT]],Controle_Projetos[COD CT],Controle_Projetos[COD PHD],"")</f>
        <v>IMCS-CT06-GCIT</v>
      </c>
      <c r="W72" s="43"/>
      <c r="X72" s="44"/>
      <c r="Y72" s="42" t="str" cm="1">
        <f t="array" aca="1" ref="Y72" ca="1">_xlfn.IFS(
AND(Tabela6[[#This Row],[DATA PREV - FORMS]]="",Tabela6[[#This Row],[DATA REAL - FORMS]]=""),"",
AND(Tabela6[[#This Row],[DATA PREV - FORMS]]&lt;&gt;"",Tabela6[[#This Row],[DATA REAL - FORMS]]&lt;&gt;""),Tabela6[[#This Row],[DATA REAL - FORMS]]-Tabela6[[#This Row],[DATA PREV - FORMS]],
AND(Tabela6[[#This Row],[STATUS PROCESSO DESMOBILIZAÇÃO]]="Em andamento",Tabela6[[#This Row],[DATA PREV - FORMS]]&lt;&gt;"",Tabela6[[#This Row],[DATA REAL - FORMS]]=""),TODAY()-Tabela6[[#This Row],[DATA PREV - FORMS]],
AND(Tabela6[[#This Row],[STATUS PROCESSO DESMOBILIZAÇÃO]]="Finalizado",Tabela6[[#This Row],[DATA PREV - FORMS]]&lt;&gt;"",Tabela6[[#This Row],[DATA REAL - FORMS]]=""),Tabela6[[#This Row],[DATA PREV - FORMS]]-Tabela6[[#This Row],[DATA PREV - FORMS]],
AND(Tabela6[[#This Row],[STATUS PROCESSO DESMOBILIZAÇÃO]]="Em andamento",Tabela6[[#This Row],[DATA PREV - FORMS]]="",Tabela6[[#This Row],[DATA REAL - FORMS]]&lt;&gt;""),TODAY()-Tabela6[[#This Row],[DATA REAL - FORMS]],
AND(Tabela6[[#This Row],[STATUS PROCESSO DESMOBILIZAÇÃO]]="Finalizado",Tabela6[[#This Row],[DATA PREV - FORMS]]="",Tabela6[[#This Row],[DATA REAL - FORMS]]&lt;&gt;""),Tabela6[[#This Row],[DATA REAL - FORMS]]-Tabela6[[#This Row],[DATA REAL - FORMS]])</f>
        <v/>
      </c>
      <c r="Z72" s="43" t="str">
        <f>IF(Tabela6[[#This Row],[DATA PREV - FORMS]]&lt;&gt;"",Tabela6[[#This Row],[DATA PREV - FORMS]]+$Z$1,"")</f>
        <v/>
      </c>
      <c r="AA72" s="43"/>
      <c r="AB72" s="42" t="str" cm="1">
        <f t="array" aca="1" ref="AB72" ca="1">_xlfn.IFS(
AND(Tabela6[[#This Row],[DATA PREV - CRACHÁ]]="",Tabela6[[#This Row],[DATA REAL - CRACHÁ]]=""),"",
AND(Tabela6[[#This Row],[DATA PREV - CRACHÁ]]&lt;&gt;"",Tabela6[[#This Row],[DATA REAL - CRACHÁ]]&lt;&gt;""),Tabela6[[#This Row],[DATA REAL - CRACHÁ]]-Tabela6[[#This Row],[DATA PREV - CRACHÁ]],
AND(Tabela6[[#This Row],[STATUS PROCESSO DESMOBILIZAÇÃO]]="Em andamento",Tabela6[[#This Row],[DATA PREV - CRACHÁ]]&lt;&gt;"",Tabela6[[#This Row],[DATA REAL - CRACHÁ]]=""),TODAY()-Tabela6[[#This Row],[DATA PREV - CRACHÁ]],
AND(Tabela6[[#This Row],[STATUS PROCESSO DESMOBILIZAÇÃO]]="Finalizado",Tabela6[[#This Row],[DATA PREV - CRACHÁ]]&lt;&gt;"",Tabela6[[#This Row],[DATA REAL - CRACHÁ]]=""),Tabela6[[#This Row],[DATA PREV - CRACHÁ]]-Tabela6[[#This Row],[DATA PREV - CRACHÁ]],
AND(Tabela6[[#This Row],[STATUS PROCESSO DESMOBILIZAÇÃO]]="Em andamento",Tabela6[[#This Row],[DATA PREV - CRACHÁ]]="",Tabela6[[#This Row],[DATA REAL - CRACHÁ]]&lt;&gt;""),TODAY()-Tabela6[[#This Row],[DATA REAL - CRACHÁ]],
AND(Tabela6[[#This Row],[STATUS PROCESSO DESMOBILIZAÇÃO]]="Finalizado",Tabela6[[#This Row],[DATA PREV - CRACHÁ]]="",Tabela6[[#This Row],[DATA REAL - CRACHÁ]]&lt;&gt;""),Tabela6[[#This Row],[DATA REAL - CRACHÁ]]-Tabela6[[#This Row],[DATA REAL - CRACHÁ]])</f>
        <v/>
      </c>
      <c r="AC72" s="43" t="str">
        <f>IF(Tabela6[[#This Row],[DATA PREV - CRACHÁ]]="","",IF(Tabela6[[#This Row],[DATA REAL - CRACHÁ]]="",WORKDAY(Tabela6[[#This Row],[DATA PREV - CRACHÁ]],AC$1,),WORKDAY(Tabela6[[#This Row],[DATA REAL - CRACHÁ]],AC$1,)))</f>
        <v/>
      </c>
      <c r="AD72" s="43"/>
      <c r="AE72" s="42" t="str" cm="1">
        <f t="array" aca="1" ref="AE72" ca="1">_xlfn.IFS(
AND(Tabela6[[#This Row],[DATA PREV - ENTR. CRACHÁ]]="",Tabela6[[#This Row],[DATA REAL - ENTR. CRACHÁ]]=""),"",
AND(Tabela6[[#This Row],[DATA PREV - ENTR. CRACHÁ]]&lt;&gt;"",Tabela6[[#This Row],[DATA REAL - ENTR. CRACHÁ]]&lt;&gt;""),Tabela6[[#This Row],[DATA REAL - ENTR. CRACHÁ]]-Tabela6[[#This Row],[DATA PREV - ENTR. CRACHÁ]],
AND(Tabela6[[#This Row],[STATUS PROCESSO DESMOBILIZAÇÃO]]="Em andamento",Tabela6[[#This Row],[DATA PREV - ENTR. CRACHÁ]]&lt;&gt;"",Tabela6[[#This Row],[DATA REAL - ENTR. CRACHÁ]]=""),TODAY()-Tabela6[[#This Row],[DATA PREV - ENTR. CRACHÁ]],
AND(Tabela6[[#This Row],[STATUS PROCESSO DESMOBILIZAÇÃO]]="Finalizado",Tabela6[[#This Row],[DATA PREV - ENTR. CRACHÁ]]&lt;&gt;"",Tabela6[[#This Row],[DATA REAL - ENTR. CRACHÁ]]=""),Tabela6[[#This Row],[DATA PREV - ENTR. CRACHÁ]]-Tabela6[[#This Row],[DATA PREV - ENTR. CRACHÁ]],
AND(Tabela6[[#This Row],[STATUS PROCESSO DESMOBILIZAÇÃO]]="Em andamento",Tabela6[[#This Row],[DATA PREV - ENTR. CRACHÁ]]="",Tabela6[[#This Row],[DATA REAL - ENTR. CRACHÁ]]&lt;&gt;""),TODAY()-Tabela6[[#This Row],[DATA REAL - ENTR. CRACHÁ]],
AND(Tabela6[[#This Row],[STATUS PROCESSO DESMOBILIZAÇÃO]]="Finalizado",Tabela6[[#This Row],[DATA PREV - ENTR. CRACHÁ]]="",Tabela6[[#This Row],[DATA REAL - ENTR. CRACHÁ]]&lt;&gt;""),Tabela6[[#This Row],[DATA REAL - ENTR. CRACHÁ]]-Tabela6[[#This Row],[DATA REAL - ENTR. CRACHÁ]])</f>
        <v/>
      </c>
      <c r="AF72" s="43" t="str">
        <f>IF(Tabela6[[#This Row],[DATA PREV - ENTR. CRACHÁ]]="","",IF(Tabela6[[#This Row],[DATA REAL - ENTR. CRACHÁ]]="",WORKDAY(Tabela6[[#This Row],[DATA PREV - ENTR. CRACHÁ]],AF$1,),WORKDAY(Tabela6[[#This Row],[DATA REAL - ENTR. CRACHÁ]],AF$1,)))</f>
        <v/>
      </c>
      <c r="AG72" s="43"/>
      <c r="AH72" s="42" t="str" cm="1">
        <f t="array" aca="1" ref="AH72" ca="1">_xlfn.IFS(
AND(Tabela6[[#This Row],[DATA PREV - envio do protocolo]]="",Tabela6[[#This Row],[DATA REAL - Envio do protocolo]]=""),"",
AND(Tabela6[[#This Row],[DATA PREV - envio do protocolo]]&lt;&gt;"",Tabela6[[#This Row],[DATA REAL - Envio do protocolo]]&lt;&gt;""),Tabela6[[#This Row],[DATA REAL - Envio do protocolo]]-Tabela6[[#This Row],[DATA PREV - envio do protocolo]],
AND(Tabela6[[#This Row],[STATUS PROCESSO DESMOBILIZAÇÃO]]="Em andamento",Tabela6[[#This Row],[DATA PREV - envio do protocolo]]&lt;&gt;"",Tabela6[[#This Row],[DATA REAL - Envio do protocolo]]=""),TODAY()-Tabela6[[#This Row],[DATA PREV - envio do protocolo]],
AND(Tabela6[[#This Row],[STATUS PROCESSO DESMOBILIZAÇÃO]]="Finalizado",Tabela6[[#This Row],[DATA PREV - envio do protocolo]]&lt;&gt;"",Tabela6[[#This Row],[DATA REAL - Envio do protocolo]]=""),Tabela6[[#This Row],[DATA PREV - envio do protocolo]]-Tabela6[[#This Row],[DATA PREV - envio do protocolo]],
AND(Tabela6[[#This Row],[STATUS PROCESSO DESMOBILIZAÇÃO]]="Em andamento",Tabela6[[#This Row],[DATA PREV - envio do protocolo]]="",Tabela6[[#This Row],[DATA REAL - Envio do protocolo]]&lt;&gt;""),TODAY()-Tabela6[[#This Row],[DATA REAL - Envio do protocolo]],
AND(Tabela6[[#This Row],[STATUS PROCESSO DESMOBILIZAÇÃO]]="Finalizado",Tabela6[[#This Row],[DATA PREV - envio do protocolo]]="",Tabela6[[#This Row],[DATA REAL - Envio do protocolo]]&lt;&gt;""),Tabela6[[#This Row],[DATA REAL - Envio do protocolo]]-Tabela6[[#This Row],[DATA REAL - Envio do protocolo]])</f>
        <v/>
      </c>
      <c r="AI72" s="43" t="str">
        <f>IF(Tabela6[[#This Row],[DATA PREV - envio do protocolo]]="","",IF(Tabela6[[#This Row],[DATA REAL - Envio do protocolo]]="",WORKDAY(Tabela6[[#This Row],[DATA PREV - envio do protocolo]],AI$1,),WORKDAY(Tabela6[[#This Row],[DATA REAL - Envio do protocolo]],AI$1,)))</f>
        <v/>
      </c>
      <c r="AJ72" s="43"/>
      <c r="AK72" s="42" t="str" cm="1">
        <f t="array" aca="1" ref="AK72" ca="1">_xlfn.IFS(
AND(Tabela6[[#This Row],[DATA PREV DESBMOBILIZAÇÃO]]="",Tabela6[[#This Row],[DATA REAL DESBMOBILIZAÇÃO]]=""),"",
AND(Tabela6[[#This Row],[DATA PREV DESBMOBILIZAÇÃO]]&lt;&gt;"",Tabela6[[#This Row],[DATA REAL DESBMOBILIZAÇÃO]]&lt;&gt;""),Tabela6[[#This Row],[DATA REAL DESBMOBILIZAÇÃO]]-Tabela6[[#This Row],[DATA PREV DESBMOBILIZAÇÃO]],
AND(Tabela6[[#This Row],[STATUS PROCESSO DESMOBILIZAÇÃO]]="Em andamento",Tabela6[[#This Row],[DATA PREV DESBMOBILIZAÇÃO]]&lt;&gt;"",Tabela6[[#This Row],[DATA REAL DESBMOBILIZAÇÃO]]=""),TODAY()-Tabela6[[#This Row],[DATA PREV DESBMOBILIZAÇÃO]],
AND(Tabela6[[#This Row],[STATUS PROCESSO DESMOBILIZAÇÃO]]="Finalizado",Tabela6[[#This Row],[DATA PREV DESBMOBILIZAÇÃO]]&lt;&gt;"",Tabela6[[#This Row],[DATA REAL DESBMOBILIZAÇÃO]]=""),Tabela6[[#This Row],[DATA PREV DESBMOBILIZAÇÃO]]-Tabela6[[#This Row],[DATA PREV DESBMOBILIZAÇÃO]],
AND(Tabela6[[#This Row],[STATUS PROCESSO DESMOBILIZAÇÃO]]="Em andamento",Tabela6[[#This Row],[DATA PREV DESBMOBILIZAÇÃO]]="",Tabela6[[#This Row],[DATA REAL DESBMOBILIZAÇÃO]]&lt;&gt;""),TODAY()-Tabela6[[#This Row],[DATA REAL DESBMOBILIZAÇÃO]],
AND(Tabela6[[#This Row],[STATUS PROCESSO DESMOBILIZAÇÃO]]="Finalizado",Tabela6[[#This Row],[DATA PREV DESBMOBILIZAÇÃO]]="",Tabela6[[#This Row],[DATA REAL DESBMOBILIZAÇÃO]]&lt;&gt;""),Tabela6[[#This Row],[DATA REAL DESBMOBILIZAÇÃO]]-Tabela6[[#This Row],[DATA REAL DESBMOBILIZAÇÃO]])</f>
        <v/>
      </c>
      <c r="AL72" s="42"/>
    </row>
  </sheetData>
  <mergeCells count="5">
    <mergeCell ref="W2:Y2"/>
    <mergeCell ref="Z2:AB2"/>
    <mergeCell ref="AC2:AE2"/>
    <mergeCell ref="AF2:AH2"/>
    <mergeCell ref="AI2:AK2"/>
  </mergeCells>
  <conditionalFormatting sqref="B1 U3 AL3">
    <cfRule type="expression" dxfId="18" priority="44">
      <formula>_xlfn.ISFORMULA(B1)</formula>
    </cfRule>
  </conditionalFormatting>
  <conditionalFormatting sqref="B4:B72">
    <cfRule type="expression" dxfId="17" priority="18">
      <formula>_xlfn.ISFORMULA(B4)</formula>
    </cfRule>
  </conditionalFormatting>
  <conditionalFormatting sqref="B3:C3">
    <cfRule type="expression" dxfId="16" priority="17">
      <formula>_xlfn.ISFORMULA(B3)</formula>
    </cfRule>
  </conditionalFormatting>
  <conditionalFormatting sqref="D3">
    <cfRule type="expression" dxfId="15" priority="12">
      <formula>_xlfn.ISFORMULA(D3)</formula>
    </cfRule>
  </conditionalFormatting>
  <conditionalFormatting sqref="E4:E46">
    <cfRule type="expression" dxfId="14" priority="10">
      <formula>_xlfn.ISFORMULA(E4)</formula>
    </cfRule>
  </conditionalFormatting>
  <conditionalFormatting sqref="E4:E70">
    <cfRule type="containsText" dxfId="13" priority="8" operator="containsText" text="Desmobilizado">
      <formula>NOT(ISERROR(SEARCH("Desmobilizado",E4)))</formula>
    </cfRule>
    <cfRule type="containsText" dxfId="12" priority="9" operator="containsText" text="Mobilizado">
      <formula>NOT(ISERROR(SEARCH("Mobilizado",E4)))</formula>
    </cfRule>
  </conditionalFormatting>
  <conditionalFormatting sqref="F3">
    <cfRule type="expression" dxfId="11" priority="7">
      <formula>_xlfn.ISFORMULA(F3)</formula>
    </cfRule>
  </conditionalFormatting>
  <conditionalFormatting sqref="G3:K3">
    <cfRule type="expression" dxfId="10" priority="16">
      <formula>_xlfn.ISFORMULA(G3)</formula>
    </cfRule>
  </conditionalFormatting>
  <conditionalFormatting sqref="L3:P3">
    <cfRule type="expression" dxfId="9" priority="6">
      <formula>_xlfn.ISFORMULA(L3)</formula>
    </cfRule>
  </conditionalFormatting>
  <conditionalFormatting sqref="Q3:V3">
    <cfRule type="expression" dxfId="8" priority="5">
      <formula>_xlfn.ISFORMULA(Q3)</formula>
    </cfRule>
  </conditionalFormatting>
  <conditionalFormatting sqref="W1">
    <cfRule type="expression" dxfId="7" priority="38">
      <formula>_xlfn.ISFORMULA(W1)</formula>
    </cfRule>
  </conditionalFormatting>
  <conditionalFormatting sqref="W2:AB2">
    <cfRule type="expression" dxfId="6" priority="3">
      <formula>_xlfn.ISFORMULA(W2)</formula>
    </cfRule>
  </conditionalFormatting>
  <conditionalFormatting sqref="W3:AB3">
    <cfRule type="expression" dxfId="5" priority="4">
      <formula>_xlfn.ISFORMULA(W3)</formula>
    </cfRule>
  </conditionalFormatting>
  <conditionalFormatting sqref="Z1">
    <cfRule type="expression" dxfId="4" priority="37">
      <formula>_xlfn.ISFORMULA(Z1)</formula>
    </cfRule>
  </conditionalFormatting>
  <conditionalFormatting sqref="AC1">
    <cfRule type="expression" dxfId="3" priority="36">
      <formula>_xlfn.ISFORMULA(AC1)</formula>
    </cfRule>
  </conditionalFormatting>
  <conditionalFormatting sqref="AC2:AK3">
    <cfRule type="expression" dxfId="2" priority="2">
      <formula>_xlfn.ISFORMULA(AC2)</formula>
    </cfRule>
  </conditionalFormatting>
  <conditionalFormatting sqref="AF1">
    <cfRule type="expression" dxfId="1" priority="35">
      <formula>_xlfn.ISFORMULA(AF1)</formula>
    </cfRule>
  </conditionalFormatting>
  <conditionalFormatting sqref="AI1">
    <cfRule type="expression" dxfId="0" priority="34">
      <formula>_xlfn.ISFORMULA(AI1)</formula>
    </cfRule>
  </conditionalFormatting>
  <dataValidations count="2">
    <dataValidation type="list" allowBlank="1" showInputMessage="1" showErrorMessage="1" sqref="C4:C72" xr:uid="{A333A37D-5982-4CC8-AE76-5FD1AE4F278A}">
      <formula1>"Sim,Não"</formula1>
    </dataValidation>
    <dataValidation type="list" allowBlank="1" showInputMessage="1" showErrorMessage="1" sqref="E4:E70" xr:uid="{F945F0AF-B0B8-430A-BB92-A7545DBC165E}">
      <formula1>"Desmobilizado"</formula1>
    </dataValidation>
  </dataValidations>
  <pageMargins left="0.511811024" right="0.511811024" top="0.78740157499999996" bottom="0.78740157499999996" header="0.31496062000000002" footer="0.31496062000000002"/>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95" id="{29FE29A2-712A-4CCC-9B79-1B28EB96913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F4:F72</xm:sqref>
        </x14:conditionalFormatting>
        <x14:conditionalFormatting xmlns:xm="http://schemas.microsoft.com/office/excel/2006/main">
          <x14:cfRule type="iconSet" priority="96" id="{C34C183C-C11E-4053-AA5A-90B5C24B681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G4:G72</xm:sqref>
        </x14:conditionalFormatting>
        <x14:conditionalFormatting xmlns:xm="http://schemas.microsoft.com/office/excel/2006/main">
          <x14:cfRule type="iconSet" priority="97" id="{32395CE8-FDFD-47DE-808E-A7476439F37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H5:H72</xm:sqref>
        </x14:conditionalFormatting>
        <x14:conditionalFormatting xmlns:xm="http://schemas.microsoft.com/office/excel/2006/main">
          <x14:cfRule type="iconSet" priority="1" id="{8F92594C-CDBF-4DCD-9CA8-E032F1ED0898}">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H4:K4</xm:sqref>
        </x14:conditionalFormatting>
        <x14:conditionalFormatting xmlns:xm="http://schemas.microsoft.com/office/excel/2006/main">
          <x14:cfRule type="iconSet" priority="98" id="{244532C3-3E63-4554-89EB-494E59445EBC}">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I5:I72</xm:sqref>
        </x14:conditionalFormatting>
        <x14:conditionalFormatting xmlns:xm="http://schemas.microsoft.com/office/excel/2006/main">
          <x14:cfRule type="iconSet" priority="99" id="{14ACBF31-5526-4AB3-87FB-40C5AAE06352}">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J5:J72</xm:sqref>
        </x14:conditionalFormatting>
        <x14:conditionalFormatting xmlns:xm="http://schemas.microsoft.com/office/excel/2006/main">
          <x14:cfRule type="iconSet" priority="100" id="{C180A4B3-2386-4A3C-8D2C-FBA428D371A1}">
            <x14:iconSet iconSet="4TrafficLights" showValue="0" custom="1">
              <x14:cfvo type="percent">
                <xm:f>0</xm:f>
              </x14:cfvo>
              <x14:cfvo type="num">
                <xm:f>1</xm:f>
              </x14:cfvo>
              <x14:cfvo type="num">
                <xm:f>2</xm:f>
              </x14:cfvo>
              <x14:cfvo type="num">
                <xm:f>3</xm:f>
              </x14:cfvo>
              <x14:cfIcon iconSet="5Quarters" iconId="0"/>
              <x14:cfIcon iconSet="3TrafficLights1" iconId="2"/>
              <x14:cfIcon iconSet="3TrafficLights1" iconId="0"/>
              <x14:cfIcon iconSet="3TrafficLights1" iconId="1"/>
            </x14:iconSet>
          </x14:cfRule>
          <xm:sqref>K5:K72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7738C0C-E2CB-49EB-9B0F-877575690F77}">
          <x14:formula1>
            <xm:f>Liderança!$B$2:$B$21</xm:f>
          </x14:formula1>
          <xm:sqref>P4:P72</xm:sqref>
        </x14:dataValidation>
        <x14:dataValidation type="list" allowBlank="1" showInputMessage="1" showErrorMessage="1" xr:uid="{747374BA-7819-4E07-BEBB-67732C2B4B5D}">
          <x14:formula1>
            <xm:f>TabControleEfetivo!$C$2:$C$382</xm:f>
          </x14:formula1>
          <xm:sqref>F4:F72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B43F-BE5E-429B-B428-9F8E7F5A27B5}">
  <dimension ref="A1:BO382"/>
  <sheetViews>
    <sheetView zoomScale="55" zoomScaleNormal="55" workbookViewId="0">
      <selection activeCell="P355" sqref="P355"/>
    </sheetView>
  </sheetViews>
  <sheetFormatPr defaultRowHeight="14.5" x14ac:dyDescent="0.35"/>
  <cols>
    <col min="1" max="1" width="15.1796875" bestFit="1" customWidth="1"/>
    <col min="2" max="2" width="17.26953125" bestFit="1" customWidth="1"/>
    <col min="3" max="3" width="51.453125" bestFit="1" customWidth="1"/>
    <col min="4" max="4" width="26.7265625" bestFit="1" customWidth="1"/>
    <col min="5" max="5" width="9.7265625" bestFit="1" customWidth="1"/>
    <col min="6" max="6" width="25" bestFit="1" customWidth="1"/>
    <col min="7" max="7" width="24.1796875" bestFit="1" customWidth="1"/>
    <col min="8" max="8" width="26.54296875" bestFit="1" customWidth="1"/>
    <col min="9" max="9" width="17.81640625" bestFit="1" customWidth="1"/>
    <col min="10" max="10" width="20.26953125" bestFit="1" customWidth="1"/>
    <col min="11" max="11" width="28.26953125" bestFit="1" customWidth="1"/>
    <col min="12" max="12" width="12.7265625" bestFit="1" customWidth="1"/>
    <col min="13" max="13" width="21.54296875" bestFit="1" customWidth="1"/>
    <col min="14" max="14" width="16.81640625" bestFit="1" customWidth="1"/>
    <col min="15" max="15" width="17.7265625" bestFit="1" customWidth="1"/>
    <col min="16" max="16" width="45.26953125" bestFit="1" customWidth="1"/>
    <col min="17" max="17" width="24.7265625" bestFit="1" customWidth="1"/>
    <col min="18" max="18" width="30.7265625" bestFit="1" customWidth="1"/>
    <col min="19" max="19" width="69.54296875" bestFit="1" customWidth="1"/>
    <col min="20" max="20" width="20.26953125" bestFit="1" customWidth="1"/>
    <col min="21" max="21" width="29.7265625" bestFit="1" customWidth="1"/>
    <col min="22" max="22" width="32.81640625" bestFit="1" customWidth="1"/>
    <col min="23" max="23" width="8.7265625" bestFit="1" customWidth="1"/>
    <col min="24" max="24" width="25.7265625" bestFit="1" customWidth="1"/>
    <col min="25" max="25" width="14.26953125" bestFit="1" customWidth="1"/>
    <col min="26" max="26" width="31.26953125" bestFit="1" customWidth="1"/>
    <col min="27" max="27" width="26.26953125" bestFit="1" customWidth="1"/>
    <col min="28" max="28" width="27.26953125" bestFit="1" customWidth="1"/>
    <col min="29" max="29" width="19.54296875" bestFit="1" customWidth="1"/>
    <col min="30" max="30" width="17.7265625" bestFit="1" customWidth="1"/>
  </cols>
  <sheetData>
    <row r="1" spans="1:30" x14ac:dyDescent="0.35">
      <c r="A1" t="s">
        <v>810</v>
      </c>
      <c r="B1" t="s">
        <v>1303</v>
      </c>
      <c r="C1" t="s">
        <v>1304</v>
      </c>
      <c r="D1" t="s">
        <v>1305</v>
      </c>
      <c r="E1" t="s">
        <v>1306</v>
      </c>
      <c r="F1" t="s">
        <v>1307</v>
      </c>
      <c r="G1" t="s">
        <v>1308</v>
      </c>
      <c r="H1" t="s">
        <v>1309</v>
      </c>
      <c r="I1" t="s">
        <v>1310</v>
      </c>
      <c r="J1" t="s">
        <v>1311</v>
      </c>
      <c r="K1" t="s">
        <v>1312</v>
      </c>
      <c r="L1" t="s">
        <v>1313</v>
      </c>
      <c r="M1" t="s">
        <v>1314</v>
      </c>
      <c r="N1" t="s">
        <v>1315</v>
      </c>
      <c r="O1" t="s">
        <v>1316</v>
      </c>
      <c r="P1" t="s">
        <v>1317</v>
      </c>
      <c r="Q1" t="s">
        <v>1318</v>
      </c>
      <c r="R1" t="s">
        <v>1319</v>
      </c>
      <c r="S1" t="s">
        <v>1320</v>
      </c>
      <c r="T1" t="s">
        <v>1321</v>
      </c>
      <c r="U1" t="s">
        <v>1322</v>
      </c>
      <c r="V1" t="s">
        <v>1323</v>
      </c>
      <c r="W1" t="s">
        <v>1324</v>
      </c>
      <c r="X1" t="s">
        <v>1325</v>
      </c>
      <c r="Y1" t="s">
        <v>1326</v>
      </c>
      <c r="Z1" t="s">
        <v>1327</v>
      </c>
      <c r="AA1" t="s">
        <v>1328</v>
      </c>
      <c r="AB1" t="s">
        <v>1329</v>
      </c>
      <c r="AC1" t="s">
        <v>36</v>
      </c>
      <c r="AD1" t="s">
        <v>35</v>
      </c>
    </row>
    <row r="2" spans="1:30" hidden="1" x14ac:dyDescent="0.35">
      <c r="A2" t="s">
        <v>1330</v>
      </c>
      <c r="B2">
        <v>0</v>
      </c>
      <c r="C2" t="s">
        <v>1331</v>
      </c>
      <c r="D2" t="s">
        <v>249</v>
      </c>
      <c r="E2" t="s">
        <v>1332</v>
      </c>
      <c r="F2" s="17">
        <v>44088</v>
      </c>
      <c r="H2" s="17"/>
      <c r="I2" t="s">
        <v>249</v>
      </c>
      <c r="J2" t="s">
        <v>249</v>
      </c>
      <c r="K2" s="17"/>
      <c r="M2" t="s">
        <v>249</v>
      </c>
      <c r="N2" t="s">
        <v>249</v>
      </c>
      <c r="O2" t="s">
        <v>249</v>
      </c>
      <c r="P2" t="s">
        <v>249</v>
      </c>
      <c r="Q2" s="17">
        <v>44403</v>
      </c>
      <c r="S2" t="s">
        <v>249</v>
      </c>
      <c r="T2" t="s">
        <v>249</v>
      </c>
      <c r="X2" t="s">
        <v>249</v>
      </c>
      <c r="Y2" t="s">
        <v>249</v>
      </c>
      <c r="Z2" t="s">
        <v>249</v>
      </c>
      <c r="AA2" t="s">
        <v>249</v>
      </c>
      <c r="AB2" t="s">
        <v>249</v>
      </c>
      <c r="AC2" t="s">
        <v>249</v>
      </c>
      <c r="AD2" t="s">
        <v>249</v>
      </c>
    </row>
    <row r="3" spans="1:30" hidden="1" x14ac:dyDescent="0.35">
      <c r="A3" t="s">
        <v>1330</v>
      </c>
      <c r="B3">
        <v>0</v>
      </c>
      <c r="C3" t="s">
        <v>1333</v>
      </c>
      <c r="D3" t="s">
        <v>249</v>
      </c>
      <c r="E3" t="s">
        <v>1332</v>
      </c>
      <c r="F3" s="17">
        <v>44354</v>
      </c>
      <c r="H3" s="17"/>
      <c r="I3" t="s">
        <v>249</v>
      </c>
      <c r="J3" t="s">
        <v>249</v>
      </c>
      <c r="K3" s="17"/>
      <c r="M3" t="s">
        <v>249</v>
      </c>
      <c r="N3" t="s">
        <v>249</v>
      </c>
      <c r="O3" t="s">
        <v>249</v>
      </c>
      <c r="P3" t="s">
        <v>249</v>
      </c>
      <c r="Q3" s="17">
        <v>44404</v>
      </c>
      <c r="S3" t="s">
        <v>249</v>
      </c>
      <c r="T3" t="s">
        <v>249</v>
      </c>
      <c r="X3" t="s">
        <v>249</v>
      </c>
      <c r="Y3" t="s">
        <v>249</v>
      </c>
      <c r="Z3" t="s">
        <v>249</v>
      </c>
      <c r="AA3" t="s">
        <v>249</v>
      </c>
      <c r="AB3" t="s">
        <v>249</v>
      </c>
      <c r="AC3" t="s">
        <v>249</v>
      </c>
      <c r="AD3" t="s">
        <v>249</v>
      </c>
    </row>
    <row r="4" spans="1:30" hidden="1" x14ac:dyDescent="0.35">
      <c r="A4" t="s">
        <v>1330</v>
      </c>
      <c r="B4">
        <v>0</v>
      </c>
      <c r="C4" t="s">
        <v>1334</v>
      </c>
      <c r="D4" t="s">
        <v>249</v>
      </c>
      <c r="E4" t="s">
        <v>1332</v>
      </c>
      <c r="F4" s="17">
        <v>44075</v>
      </c>
      <c r="H4" s="17"/>
      <c r="I4" t="s">
        <v>249</v>
      </c>
      <c r="J4" t="s">
        <v>249</v>
      </c>
      <c r="K4" s="17"/>
      <c r="M4" t="s">
        <v>249</v>
      </c>
      <c r="N4" t="s">
        <v>249</v>
      </c>
      <c r="O4" t="s">
        <v>249</v>
      </c>
      <c r="P4" t="s">
        <v>249</v>
      </c>
      <c r="Q4" s="17">
        <v>44410</v>
      </c>
      <c r="S4" t="s">
        <v>249</v>
      </c>
      <c r="T4" t="s">
        <v>249</v>
      </c>
      <c r="X4" t="s">
        <v>249</v>
      </c>
      <c r="Y4" t="s">
        <v>249</v>
      </c>
      <c r="Z4" t="s">
        <v>249</v>
      </c>
      <c r="AA4" t="s">
        <v>249</v>
      </c>
      <c r="AB4" t="s">
        <v>249</v>
      </c>
      <c r="AC4" t="s">
        <v>249</v>
      </c>
      <c r="AD4" t="s">
        <v>249</v>
      </c>
    </row>
    <row r="5" spans="1:30" hidden="1" x14ac:dyDescent="0.35">
      <c r="A5" t="s">
        <v>1330</v>
      </c>
      <c r="B5">
        <v>0</v>
      </c>
      <c r="C5" t="s">
        <v>1335</v>
      </c>
      <c r="D5" t="s">
        <v>249</v>
      </c>
      <c r="E5" t="s">
        <v>1336</v>
      </c>
      <c r="F5" s="17">
        <v>44144</v>
      </c>
      <c r="H5" s="17"/>
      <c r="I5" t="s">
        <v>249</v>
      </c>
      <c r="J5" t="s">
        <v>249</v>
      </c>
      <c r="K5" s="17"/>
      <c r="M5" t="s">
        <v>249</v>
      </c>
      <c r="N5" t="s">
        <v>249</v>
      </c>
      <c r="O5" t="s">
        <v>249</v>
      </c>
      <c r="P5" t="s">
        <v>249</v>
      </c>
      <c r="Q5" s="17">
        <v>44413</v>
      </c>
      <c r="S5" t="s">
        <v>249</v>
      </c>
      <c r="T5" t="s">
        <v>249</v>
      </c>
      <c r="X5" t="s">
        <v>249</v>
      </c>
      <c r="Y5" t="s">
        <v>249</v>
      </c>
      <c r="Z5" t="s">
        <v>249</v>
      </c>
      <c r="AA5" t="s">
        <v>249</v>
      </c>
      <c r="AB5" t="s">
        <v>249</v>
      </c>
      <c r="AC5" t="s">
        <v>249</v>
      </c>
      <c r="AD5" t="s">
        <v>249</v>
      </c>
    </row>
    <row r="6" spans="1:30" hidden="1" x14ac:dyDescent="0.35">
      <c r="A6" t="s">
        <v>1330</v>
      </c>
      <c r="B6">
        <v>0</v>
      </c>
      <c r="C6" t="s">
        <v>1337</v>
      </c>
      <c r="D6" t="s">
        <v>249</v>
      </c>
      <c r="E6" t="s">
        <v>1332</v>
      </c>
      <c r="F6" s="17">
        <v>44069</v>
      </c>
      <c r="H6" s="17"/>
      <c r="I6" t="s">
        <v>249</v>
      </c>
      <c r="J6" t="s">
        <v>249</v>
      </c>
      <c r="K6" s="17"/>
      <c r="M6" t="s">
        <v>249</v>
      </c>
      <c r="N6" t="s">
        <v>249</v>
      </c>
      <c r="O6" t="s">
        <v>249</v>
      </c>
      <c r="P6" t="s">
        <v>249</v>
      </c>
      <c r="Q6" s="17">
        <v>44425</v>
      </c>
      <c r="S6" t="s">
        <v>249</v>
      </c>
      <c r="T6" t="s">
        <v>249</v>
      </c>
      <c r="X6" t="s">
        <v>249</v>
      </c>
      <c r="Y6" t="s">
        <v>249</v>
      </c>
      <c r="Z6" t="s">
        <v>249</v>
      </c>
      <c r="AA6" t="s">
        <v>249</v>
      </c>
      <c r="AB6" t="s">
        <v>249</v>
      </c>
      <c r="AC6" t="s">
        <v>249</v>
      </c>
      <c r="AD6" t="s">
        <v>249</v>
      </c>
    </row>
    <row r="7" spans="1:30" hidden="1" x14ac:dyDescent="0.35">
      <c r="A7" t="s">
        <v>1330</v>
      </c>
      <c r="B7">
        <v>0</v>
      </c>
      <c r="C7" t="s">
        <v>1338</v>
      </c>
      <c r="D7" t="s">
        <v>249</v>
      </c>
      <c r="E7" t="s">
        <v>1332</v>
      </c>
      <c r="F7" s="17">
        <v>44319</v>
      </c>
      <c r="H7" s="17"/>
      <c r="I7" t="s">
        <v>249</v>
      </c>
      <c r="J7" t="s">
        <v>249</v>
      </c>
      <c r="K7" s="17"/>
      <c r="M7" t="s">
        <v>249</v>
      </c>
      <c r="N7" t="s">
        <v>249</v>
      </c>
      <c r="O7" t="s">
        <v>249</v>
      </c>
      <c r="P7" t="s">
        <v>249</v>
      </c>
      <c r="Q7" s="17">
        <v>44431</v>
      </c>
      <c r="S7" t="s">
        <v>249</v>
      </c>
      <c r="T7" t="s">
        <v>249</v>
      </c>
      <c r="X7" t="s">
        <v>249</v>
      </c>
      <c r="Y7" t="s">
        <v>249</v>
      </c>
      <c r="Z7" t="s">
        <v>249</v>
      </c>
      <c r="AA7" t="s">
        <v>249</v>
      </c>
      <c r="AB7" t="s">
        <v>249</v>
      </c>
      <c r="AC7" t="s">
        <v>249</v>
      </c>
      <c r="AD7" t="s">
        <v>249</v>
      </c>
    </row>
    <row r="8" spans="1:30" hidden="1" x14ac:dyDescent="0.35">
      <c r="A8" t="s">
        <v>1330</v>
      </c>
      <c r="B8">
        <v>0</v>
      </c>
      <c r="C8" t="s">
        <v>1339</v>
      </c>
      <c r="D8" t="s">
        <v>249</v>
      </c>
      <c r="E8" t="s">
        <v>1332</v>
      </c>
      <c r="F8" s="17">
        <v>44412</v>
      </c>
      <c r="H8" s="17"/>
      <c r="I8" t="s">
        <v>249</v>
      </c>
      <c r="J8" t="s">
        <v>249</v>
      </c>
      <c r="K8" s="17"/>
      <c r="M8" t="s">
        <v>249</v>
      </c>
      <c r="N8" t="s">
        <v>249</v>
      </c>
      <c r="O8" t="s">
        <v>249</v>
      </c>
      <c r="P8" t="s">
        <v>249</v>
      </c>
      <c r="Q8" s="17">
        <v>44431</v>
      </c>
      <c r="S8" t="s">
        <v>249</v>
      </c>
      <c r="T8" t="s">
        <v>249</v>
      </c>
      <c r="X8" t="s">
        <v>249</v>
      </c>
      <c r="Y8" t="s">
        <v>249</v>
      </c>
      <c r="Z8" t="s">
        <v>249</v>
      </c>
      <c r="AA8" t="s">
        <v>249</v>
      </c>
      <c r="AB8" t="s">
        <v>249</v>
      </c>
      <c r="AC8" t="s">
        <v>249</v>
      </c>
      <c r="AD8" t="s">
        <v>249</v>
      </c>
    </row>
    <row r="9" spans="1:30" hidden="1" x14ac:dyDescent="0.35">
      <c r="A9" t="s">
        <v>1330</v>
      </c>
      <c r="B9">
        <v>0</v>
      </c>
      <c r="C9" t="s">
        <v>1340</v>
      </c>
      <c r="D9" t="s">
        <v>249</v>
      </c>
      <c r="E9" t="s">
        <v>1332</v>
      </c>
      <c r="F9" s="17">
        <v>44413</v>
      </c>
      <c r="H9" s="17"/>
      <c r="I9" t="s">
        <v>249</v>
      </c>
      <c r="J9" t="s">
        <v>249</v>
      </c>
      <c r="K9" s="17"/>
      <c r="M9" t="s">
        <v>249</v>
      </c>
      <c r="N9" t="s">
        <v>249</v>
      </c>
      <c r="O9" t="s">
        <v>249</v>
      </c>
      <c r="P9" t="s">
        <v>249</v>
      </c>
      <c r="Q9" s="17">
        <v>44467</v>
      </c>
      <c r="S9" t="s">
        <v>249</v>
      </c>
      <c r="T9" t="s">
        <v>249</v>
      </c>
      <c r="X9" t="s">
        <v>249</v>
      </c>
      <c r="Y9" t="s">
        <v>249</v>
      </c>
      <c r="Z9" t="s">
        <v>249</v>
      </c>
      <c r="AA9" t="s">
        <v>249</v>
      </c>
      <c r="AB9" t="s">
        <v>249</v>
      </c>
      <c r="AC9" t="s">
        <v>249</v>
      </c>
      <c r="AD9" t="s">
        <v>249</v>
      </c>
    </row>
    <row r="10" spans="1:30" hidden="1" x14ac:dyDescent="0.35">
      <c r="A10" t="s">
        <v>1330</v>
      </c>
      <c r="B10">
        <v>0</v>
      </c>
      <c r="C10" t="s">
        <v>1341</v>
      </c>
      <c r="D10" t="s">
        <v>249</v>
      </c>
      <c r="E10" t="s">
        <v>1332</v>
      </c>
      <c r="F10" s="17">
        <v>44340</v>
      </c>
      <c r="H10" s="17"/>
      <c r="I10" t="s">
        <v>249</v>
      </c>
      <c r="J10" t="s">
        <v>249</v>
      </c>
      <c r="K10" s="17"/>
      <c r="M10" t="s">
        <v>249</v>
      </c>
      <c r="N10" t="s">
        <v>249</v>
      </c>
      <c r="O10" t="s">
        <v>249</v>
      </c>
      <c r="P10" t="s">
        <v>249</v>
      </c>
      <c r="Q10" s="17">
        <v>44477</v>
      </c>
      <c r="S10" t="s">
        <v>249</v>
      </c>
      <c r="T10" t="s">
        <v>249</v>
      </c>
      <c r="X10" t="s">
        <v>249</v>
      </c>
      <c r="Y10" t="s">
        <v>249</v>
      </c>
      <c r="Z10" t="s">
        <v>249</v>
      </c>
      <c r="AA10" t="s">
        <v>249</v>
      </c>
      <c r="AB10" t="s">
        <v>249</v>
      </c>
      <c r="AC10" t="s">
        <v>249</v>
      </c>
      <c r="AD10" t="s">
        <v>249</v>
      </c>
    </row>
    <row r="11" spans="1:30" hidden="1" x14ac:dyDescent="0.35">
      <c r="A11" t="s">
        <v>1330</v>
      </c>
      <c r="B11">
        <v>0</v>
      </c>
      <c r="C11" t="s">
        <v>1342</v>
      </c>
      <c r="D11" t="s">
        <v>249</v>
      </c>
      <c r="E11" t="s">
        <v>1336</v>
      </c>
      <c r="F11" s="17">
        <v>44354</v>
      </c>
      <c r="H11" s="17"/>
      <c r="I11" t="s">
        <v>249</v>
      </c>
      <c r="J11" t="s">
        <v>249</v>
      </c>
      <c r="K11" s="17"/>
      <c r="M11" t="s">
        <v>249</v>
      </c>
      <c r="N11" t="s">
        <v>249</v>
      </c>
      <c r="O11" t="s">
        <v>249</v>
      </c>
      <c r="P11" t="s">
        <v>249</v>
      </c>
      <c r="Q11" s="17">
        <v>44522</v>
      </c>
      <c r="S11" t="s">
        <v>249</v>
      </c>
      <c r="T11" t="s">
        <v>249</v>
      </c>
      <c r="X11" t="s">
        <v>249</v>
      </c>
      <c r="Y11" t="s">
        <v>249</v>
      </c>
      <c r="Z11" t="s">
        <v>249</v>
      </c>
      <c r="AA11" t="s">
        <v>249</v>
      </c>
      <c r="AB11" t="s">
        <v>249</v>
      </c>
      <c r="AC11" t="s">
        <v>249</v>
      </c>
      <c r="AD11" t="s">
        <v>249</v>
      </c>
    </row>
    <row r="12" spans="1:30" hidden="1" x14ac:dyDescent="0.35">
      <c r="A12" t="s">
        <v>1330</v>
      </c>
      <c r="B12">
        <v>0</v>
      </c>
      <c r="C12" t="s">
        <v>1343</v>
      </c>
      <c r="D12" t="s">
        <v>249</v>
      </c>
      <c r="E12" t="s">
        <v>1332</v>
      </c>
      <c r="F12" s="17">
        <v>44397</v>
      </c>
      <c r="H12" s="17"/>
      <c r="I12">
        <v>1458143511</v>
      </c>
      <c r="J12" t="s">
        <v>249</v>
      </c>
      <c r="K12" s="17">
        <v>31099</v>
      </c>
      <c r="L12">
        <v>41</v>
      </c>
      <c r="M12" t="s">
        <v>1344</v>
      </c>
      <c r="N12" t="s">
        <v>1345</v>
      </c>
      <c r="O12" t="s">
        <v>249</v>
      </c>
      <c r="P12" t="s">
        <v>249</v>
      </c>
      <c r="Q12" s="17">
        <v>44540</v>
      </c>
      <c r="S12" t="s">
        <v>249</v>
      </c>
      <c r="T12" t="s">
        <v>249</v>
      </c>
      <c r="V12" t="s">
        <v>1346</v>
      </c>
      <c r="W12" t="s">
        <v>1347</v>
      </c>
      <c r="X12" t="s">
        <v>249</v>
      </c>
      <c r="Y12" t="s">
        <v>249</v>
      </c>
      <c r="Z12" t="s">
        <v>249</v>
      </c>
      <c r="AA12" t="s">
        <v>249</v>
      </c>
      <c r="AB12" t="s">
        <v>249</v>
      </c>
      <c r="AC12" t="s">
        <v>249</v>
      </c>
      <c r="AD12" t="s">
        <v>249</v>
      </c>
    </row>
    <row r="13" spans="1:30" hidden="1" x14ac:dyDescent="0.35">
      <c r="A13" t="s">
        <v>1330</v>
      </c>
      <c r="B13">
        <v>0</v>
      </c>
      <c r="C13" t="s">
        <v>1348</v>
      </c>
      <c r="D13" t="s">
        <v>249</v>
      </c>
      <c r="E13" t="s">
        <v>1332</v>
      </c>
      <c r="F13" s="17">
        <v>44449</v>
      </c>
      <c r="H13" s="17"/>
      <c r="I13">
        <v>3378103540</v>
      </c>
      <c r="J13" t="s">
        <v>249</v>
      </c>
      <c r="K13" s="17">
        <v>32440</v>
      </c>
      <c r="L13">
        <v>37</v>
      </c>
      <c r="M13" t="s">
        <v>1349</v>
      </c>
      <c r="N13" t="s">
        <v>1345</v>
      </c>
      <c r="O13" t="s">
        <v>249</v>
      </c>
      <c r="P13" t="s">
        <v>249</v>
      </c>
      <c r="Q13" s="17">
        <v>44540</v>
      </c>
      <c r="S13" t="s">
        <v>249</v>
      </c>
      <c r="T13" t="s">
        <v>249</v>
      </c>
      <c r="V13" t="s">
        <v>1350</v>
      </c>
      <c r="W13" t="s">
        <v>1351</v>
      </c>
      <c r="X13" t="s">
        <v>249</v>
      </c>
      <c r="Y13" t="s">
        <v>249</v>
      </c>
      <c r="Z13" t="s">
        <v>249</v>
      </c>
      <c r="AA13" t="s">
        <v>249</v>
      </c>
      <c r="AB13" t="s">
        <v>249</v>
      </c>
      <c r="AC13" t="s">
        <v>249</v>
      </c>
      <c r="AD13" t="s">
        <v>249</v>
      </c>
    </row>
    <row r="14" spans="1:30" hidden="1" x14ac:dyDescent="0.35">
      <c r="A14" t="s">
        <v>1330</v>
      </c>
      <c r="B14">
        <v>0</v>
      </c>
      <c r="C14" t="s">
        <v>1352</v>
      </c>
      <c r="D14" t="s">
        <v>249</v>
      </c>
      <c r="E14" t="s">
        <v>1332</v>
      </c>
      <c r="F14" s="17">
        <v>44174</v>
      </c>
      <c r="H14" s="17"/>
      <c r="I14" t="s">
        <v>249</v>
      </c>
      <c r="J14" t="s">
        <v>249</v>
      </c>
      <c r="K14" s="17"/>
      <c r="M14" t="s">
        <v>249</v>
      </c>
      <c r="N14" t="s">
        <v>249</v>
      </c>
      <c r="O14" t="s">
        <v>249</v>
      </c>
      <c r="P14" t="s">
        <v>249</v>
      </c>
      <c r="Q14" s="17">
        <v>44540</v>
      </c>
      <c r="S14" t="s">
        <v>249</v>
      </c>
      <c r="T14" t="s">
        <v>249</v>
      </c>
      <c r="X14" t="s">
        <v>249</v>
      </c>
      <c r="Y14" t="s">
        <v>249</v>
      </c>
      <c r="Z14" t="s">
        <v>249</v>
      </c>
      <c r="AA14" t="s">
        <v>249</v>
      </c>
      <c r="AB14" t="s">
        <v>249</v>
      </c>
      <c r="AC14" t="s">
        <v>249</v>
      </c>
      <c r="AD14" t="s">
        <v>249</v>
      </c>
    </row>
    <row r="15" spans="1:30" hidden="1" x14ac:dyDescent="0.35">
      <c r="A15" t="s">
        <v>1330</v>
      </c>
      <c r="B15">
        <v>0</v>
      </c>
      <c r="C15" t="s">
        <v>1353</v>
      </c>
      <c r="D15" t="s">
        <v>249</v>
      </c>
      <c r="E15" t="s">
        <v>1332</v>
      </c>
      <c r="F15" s="17">
        <v>44075</v>
      </c>
      <c r="H15" s="17"/>
      <c r="I15">
        <v>8993215693</v>
      </c>
      <c r="J15" t="s">
        <v>249</v>
      </c>
      <c r="K15" s="17">
        <v>35068</v>
      </c>
      <c r="L15">
        <v>30</v>
      </c>
      <c r="M15" t="s">
        <v>1354</v>
      </c>
      <c r="N15" t="s">
        <v>1345</v>
      </c>
      <c r="O15" t="s">
        <v>249</v>
      </c>
      <c r="P15" t="s">
        <v>249</v>
      </c>
      <c r="Q15" s="17">
        <v>44544</v>
      </c>
      <c r="S15" t="s">
        <v>249</v>
      </c>
      <c r="T15" t="s">
        <v>249</v>
      </c>
      <c r="V15" t="s">
        <v>1355</v>
      </c>
      <c r="W15" t="s">
        <v>1356</v>
      </c>
      <c r="X15" t="s">
        <v>249</v>
      </c>
      <c r="Y15" t="s">
        <v>249</v>
      </c>
      <c r="Z15" t="s">
        <v>249</v>
      </c>
      <c r="AA15" t="s">
        <v>249</v>
      </c>
      <c r="AB15" t="s">
        <v>249</v>
      </c>
      <c r="AC15" t="s">
        <v>249</v>
      </c>
      <c r="AD15" t="s">
        <v>249</v>
      </c>
    </row>
    <row r="16" spans="1:30" hidden="1" x14ac:dyDescent="0.35">
      <c r="A16" t="s">
        <v>1330</v>
      </c>
      <c r="B16">
        <v>0</v>
      </c>
      <c r="C16" t="s">
        <v>1357</v>
      </c>
      <c r="D16" t="s">
        <v>249</v>
      </c>
      <c r="E16" t="s">
        <v>1332</v>
      </c>
      <c r="F16" s="17">
        <v>44235</v>
      </c>
      <c r="H16" s="17"/>
      <c r="I16">
        <v>70240647220</v>
      </c>
      <c r="J16" t="s">
        <v>249</v>
      </c>
      <c r="K16" s="17">
        <v>29242</v>
      </c>
      <c r="L16">
        <v>46</v>
      </c>
      <c r="M16" t="s">
        <v>1344</v>
      </c>
      <c r="N16" t="s">
        <v>1345</v>
      </c>
      <c r="O16" t="s">
        <v>249</v>
      </c>
      <c r="P16" t="s">
        <v>249</v>
      </c>
      <c r="Q16" s="17">
        <v>44564</v>
      </c>
      <c r="S16" t="s">
        <v>249</v>
      </c>
      <c r="T16" t="s">
        <v>249</v>
      </c>
      <c r="V16" t="s">
        <v>1358</v>
      </c>
      <c r="W16" t="s">
        <v>1351</v>
      </c>
      <c r="X16" t="s">
        <v>249</v>
      </c>
      <c r="Y16" t="s">
        <v>249</v>
      </c>
      <c r="Z16" t="s">
        <v>249</v>
      </c>
      <c r="AA16" t="s">
        <v>249</v>
      </c>
      <c r="AB16" t="s">
        <v>249</v>
      </c>
      <c r="AC16" t="s">
        <v>249</v>
      </c>
      <c r="AD16" t="s">
        <v>249</v>
      </c>
    </row>
    <row r="17" spans="1:30" hidden="1" x14ac:dyDescent="0.35">
      <c r="A17" t="s">
        <v>1330</v>
      </c>
      <c r="B17">
        <v>0</v>
      </c>
      <c r="C17" t="s">
        <v>1359</v>
      </c>
      <c r="D17" t="s">
        <v>249</v>
      </c>
      <c r="E17" t="s">
        <v>1332</v>
      </c>
      <c r="F17" s="17">
        <v>44470</v>
      </c>
      <c r="H17" s="17"/>
      <c r="I17">
        <v>14621253603</v>
      </c>
      <c r="J17" t="s">
        <v>249</v>
      </c>
      <c r="K17" s="17">
        <v>36227</v>
      </c>
      <c r="L17">
        <v>27</v>
      </c>
      <c r="M17" t="s">
        <v>1354</v>
      </c>
      <c r="N17" t="s">
        <v>1360</v>
      </c>
      <c r="O17" t="s">
        <v>249</v>
      </c>
      <c r="P17" t="s">
        <v>249</v>
      </c>
      <c r="Q17" s="17">
        <v>44564</v>
      </c>
      <c r="S17" t="s">
        <v>249</v>
      </c>
      <c r="T17" t="s">
        <v>249</v>
      </c>
      <c r="V17" t="s">
        <v>1361</v>
      </c>
      <c r="W17" t="s">
        <v>1356</v>
      </c>
      <c r="X17" t="s">
        <v>249</v>
      </c>
      <c r="Y17" t="s">
        <v>249</v>
      </c>
      <c r="Z17" t="s">
        <v>249</v>
      </c>
      <c r="AA17" t="s">
        <v>249</v>
      </c>
      <c r="AB17" t="s">
        <v>249</v>
      </c>
      <c r="AC17" t="s">
        <v>249</v>
      </c>
      <c r="AD17" t="s">
        <v>249</v>
      </c>
    </row>
    <row r="18" spans="1:30" hidden="1" x14ac:dyDescent="0.35">
      <c r="A18" t="s">
        <v>1330</v>
      </c>
      <c r="B18">
        <v>0</v>
      </c>
      <c r="C18" t="s">
        <v>1362</v>
      </c>
      <c r="D18" t="s">
        <v>249</v>
      </c>
      <c r="E18" t="s">
        <v>1332</v>
      </c>
      <c r="F18" s="17">
        <v>44508</v>
      </c>
      <c r="H18" s="17"/>
      <c r="I18">
        <v>12115183614</v>
      </c>
      <c r="J18" t="s">
        <v>249</v>
      </c>
      <c r="K18" s="17">
        <v>34652</v>
      </c>
      <c r="L18">
        <v>31</v>
      </c>
      <c r="M18" t="s">
        <v>1363</v>
      </c>
      <c r="N18" t="s">
        <v>1345</v>
      </c>
      <c r="O18" t="s">
        <v>249</v>
      </c>
      <c r="P18" t="s">
        <v>249</v>
      </c>
      <c r="Q18" s="17">
        <v>44564</v>
      </c>
      <c r="S18" t="s">
        <v>249</v>
      </c>
      <c r="T18" t="s">
        <v>249</v>
      </c>
      <c r="V18" t="s">
        <v>1364</v>
      </c>
      <c r="W18" t="s">
        <v>1356</v>
      </c>
      <c r="X18" t="s">
        <v>249</v>
      </c>
      <c r="Y18" t="s">
        <v>249</v>
      </c>
      <c r="Z18" t="s">
        <v>249</v>
      </c>
      <c r="AA18" t="s">
        <v>249</v>
      </c>
      <c r="AB18" t="s">
        <v>249</v>
      </c>
      <c r="AC18" t="s">
        <v>249</v>
      </c>
      <c r="AD18" t="s">
        <v>249</v>
      </c>
    </row>
    <row r="19" spans="1:30" hidden="1" x14ac:dyDescent="0.35">
      <c r="A19" t="s">
        <v>1330</v>
      </c>
      <c r="B19">
        <v>0</v>
      </c>
      <c r="C19" t="s">
        <v>1365</v>
      </c>
      <c r="D19" t="s">
        <v>249</v>
      </c>
      <c r="E19" t="s">
        <v>1332</v>
      </c>
      <c r="F19" s="17">
        <v>43678</v>
      </c>
      <c r="H19" s="17"/>
      <c r="I19">
        <v>7572648673</v>
      </c>
      <c r="J19" t="s">
        <v>249</v>
      </c>
      <c r="K19" s="17">
        <v>35053</v>
      </c>
      <c r="L19">
        <v>30</v>
      </c>
      <c r="M19" t="s">
        <v>1354</v>
      </c>
      <c r="N19" t="s">
        <v>1345</v>
      </c>
      <c r="O19" t="s">
        <v>249</v>
      </c>
      <c r="P19" t="s">
        <v>249</v>
      </c>
      <c r="Q19" s="17">
        <v>44564</v>
      </c>
      <c r="S19" t="s">
        <v>249</v>
      </c>
      <c r="T19" t="s">
        <v>249</v>
      </c>
      <c r="V19" t="s">
        <v>1355</v>
      </c>
      <c r="W19" t="s">
        <v>1356</v>
      </c>
      <c r="X19" t="s">
        <v>249</v>
      </c>
      <c r="Y19" t="s">
        <v>249</v>
      </c>
      <c r="Z19" t="s">
        <v>249</v>
      </c>
      <c r="AA19" t="s">
        <v>249</v>
      </c>
      <c r="AB19" t="s">
        <v>249</v>
      </c>
      <c r="AC19" t="s">
        <v>249</v>
      </c>
      <c r="AD19" t="s">
        <v>249</v>
      </c>
    </row>
    <row r="20" spans="1:30" hidden="1" x14ac:dyDescent="0.35">
      <c r="A20" t="s">
        <v>1330</v>
      </c>
      <c r="B20">
        <v>0</v>
      </c>
      <c r="C20" t="s">
        <v>1366</v>
      </c>
      <c r="D20" t="s">
        <v>249</v>
      </c>
      <c r="E20" t="s">
        <v>1332</v>
      </c>
      <c r="F20" s="17">
        <v>44126</v>
      </c>
      <c r="H20" s="17"/>
      <c r="I20">
        <v>8527988658</v>
      </c>
      <c r="J20" t="s">
        <v>249</v>
      </c>
      <c r="K20" s="17">
        <v>32523</v>
      </c>
      <c r="L20">
        <v>37</v>
      </c>
      <c r="M20" t="s">
        <v>1349</v>
      </c>
      <c r="N20" t="s">
        <v>1345</v>
      </c>
      <c r="O20" t="s">
        <v>249</v>
      </c>
      <c r="P20" t="s">
        <v>249</v>
      </c>
      <c r="Q20" s="17">
        <v>44564</v>
      </c>
      <c r="S20" t="s">
        <v>249</v>
      </c>
      <c r="T20" t="s">
        <v>249</v>
      </c>
      <c r="V20" t="s">
        <v>1361</v>
      </c>
      <c r="W20" t="s">
        <v>1356</v>
      </c>
      <c r="X20" t="s">
        <v>249</v>
      </c>
      <c r="Y20" t="s">
        <v>249</v>
      </c>
      <c r="Z20" t="s">
        <v>249</v>
      </c>
      <c r="AA20" t="s">
        <v>249</v>
      </c>
      <c r="AB20" t="s">
        <v>249</v>
      </c>
      <c r="AC20" t="s">
        <v>249</v>
      </c>
      <c r="AD20" t="s">
        <v>249</v>
      </c>
    </row>
    <row r="21" spans="1:30" hidden="1" x14ac:dyDescent="0.35">
      <c r="A21" t="s">
        <v>1330</v>
      </c>
      <c r="B21">
        <v>0</v>
      </c>
      <c r="C21" t="s">
        <v>1367</v>
      </c>
      <c r="D21" t="s">
        <v>249</v>
      </c>
      <c r="E21" t="s">
        <v>1332</v>
      </c>
      <c r="F21" s="17">
        <v>43878</v>
      </c>
      <c r="H21" s="17"/>
      <c r="I21">
        <v>9938211623</v>
      </c>
      <c r="J21" t="s">
        <v>249</v>
      </c>
      <c r="K21" s="17">
        <v>33647</v>
      </c>
      <c r="L21">
        <v>34</v>
      </c>
      <c r="M21" t="s">
        <v>1363</v>
      </c>
      <c r="N21" t="s">
        <v>1345</v>
      </c>
      <c r="O21" t="s">
        <v>249</v>
      </c>
      <c r="P21" t="s">
        <v>249</v>
      </c>
      <c r="Q21" s="17">
        <v>44564</v>
      </c>
      <c r="S21" t="s">
        <v>249</v>
      </c>
      <c r="T21" t="s">
        <v>249</v>
      </c>
      <c r="V21" t="s">
        <v>1355</v>
      </c>
      <c r="W21" t="s">
        <v>1356</v>
      </c>
      <c r="X21" t="s">
        <v>249</v>
      </c>
      <c r="Y21" t="s">
        <v>249</v>
      </c>
      <c r="Z21" t="s">
        <v>249</v>
      </c>
      <c r="AA21" t="s">
        <v>249</v>
      </c>
      <c r="AB21" t="s">
        <v>249</v>
      </c>
      <c r="AC21" t="s">
        <v>249</v>
      </c>
      <c r="AD21" t="s">
        <v>249</v>
      </c>
    </row>
    <row r="22" spans="1:30" hidden="1" x14ac:dyDescent="0.35">
      <c r="A22" t="s">
        <v>1330</v>
      </c>
      <c r="B22">
        <v>0</v>
      </c>
      <c r="C22" t="s">
        <v>1368</v>
      </c>
      <c r="D22" t="s">
        <v>249</v>
      </c>
      <c r="E22" t="s">
        <v>1332</v>
      </c>
      <c r="F22" s="17">
        <v>44018</v>
      </c>
      <c r="H22" s="17"/>
      <c r="I22">
        <v>1446255638</v>
      </c>
      <c r="J22" t="s">
        <v>249</v>
      </c>
      <c r="K22" s="17">
        <v>29965</v>
      </c>
      <c r="L22">
        <v>44</v>
      </c>
      <c r="M22" t="s">
        <v>1344</v>
      </c>
      <c r="N22" t="s">
        <v>1345</v>
      </c>
      <c r="O22" t="s">
        <v>249</v>
      </c>
      <c r="P22" t="s">
        <v>249</v>
      </c>
      <c r="Q22" s="17">
        <v>44564</v>
      </c>
      <c r="S22" t="s">
        <v>249</v>
      </c>
      <c r="T22" t="s">
        <v>249</v>
      </c>
      <c r="V22" t="s">
        <v>1369</v>
      </c>
      <c r="W22" t="s">
        <v>1356</v>
      </c>
      <c r="X22" t="s">
        <v>249</v>
      </c>
      <c r="Y22" t="s">
        <v>249</v>
      </c>
      <c r="Z22" t="s">
        <v>249</v>
      </c>
      <c r="AA22" t="s">
        <v>249</v>
      </c>
      <c r="AB22" t="s">
        <v>249</v>
      </c>
      <c r="AC22" t="s">
        <v>249</v>
      </c>
      <c r="AD22" t="s">
        <v>249</v>
      </c>
    </row>
    <row r="23" spans="1:30" hidden="1" x14ac:dyDescent="0.35">
      <c r="A23" t="s">
        <v>1330</v>
      </c>
      <c r="B23">
        <v>0</v>
      </c>
      <c r="C23" t="s">
        <v>1370</v>
      </c>
      <c r="D23" t="s">
        <v>249</v>
      </c>
      <c r="E23" t="s">
        <v>1332</v>
      </c>
      <c r="F23" s="17">
        <v>44460</v>
      </c>
      <c r="H23" s="17"/>
      <c r="I23">
        <v>13371891623</v>
      </c>
      <c r="J23" t="s">
        <v>249</v>
      </c>
      <c r="K23" s="17">
        <v>35891</v>
      </c>
      <c r="L23">
        <v>28</v>
      </c>
      <c r="M23" t="s">
        <v>1354</v>
      </c>
      <c r="N23" t="s">
        <v>1360</v>
      </c>
      <c r="O23" t="s">
        <v>249</v>
      </c>
      <c r="P23" t="s">
        <v>249</v>
      </c>
      <c r="Q23" s="17">
        <v>44564</v>
      </c>
      <c r="S23" t="s">
        <v>249</v>
      </c>
      <c r="T23" t="s">
        <v>249</v>
      </c>
      <c r="V23" t="s">
        <v>1361</v>
      </c>
      <c r="W23" t="s">
        <v>1356</v>
      </c>
      <c r="X23" t="s">
        <v>249</v>
      </c>
      <c r="Y23" t="s">
        <v>249</v>
      </c>
      <c r="Z23" t="s">
        <v>249</v>
      </c>
      <c r="AA23" t="s">
        <v>249</v>
      </c>
      <c r="AB23" t="s">
        <v>249</v>
      </c>
      <c r="AC23" t="s">
        <v>249</v>
      </c>
      <c r="AD23" t="s">
        <v>249</v>
      </c>
    </row>
    <row r="24" spans="1:30" hidden="1" x14ac:dyDescent="0.35">
      <c r="A24" t="s">
        <v>1330</v>
      </c>
      <c r="B24">
        <v>0</v>
      </c>
      <c r="C24" t="s">
        <v>1371</v>
      </c>
      <c r="D24" t="s">
        <v>249</v>
      </c>
      <c r="E24" t="s">
        <v>1332</v>
      </c>
      <c r="F24" s="17">
        <v>44513</v>
      </c>
      <c r="H24" s="17"/>
      <c r="I24">
        <v>33000134883</v>
      </c>
      <c r="J24" t="s">
        <v>249</v>
      </c>
      <c r="K24" s="17">
        <v>32570</v>
      </c>
      <c r="L24">
        <v>37</v>
      </c>
      <c r="M24" t="s">
        <v>1349</v>
      </c>
      <c r="N24" t="s">
        <v>1345</v>
      </c>
      <c r="O24" t="s">
        <v>249</v>
      </c>
      <c r="P24" t="s">
        <v>249</v>
      </c>
      <c r="Q24" s="17">
        <v>44564</v>
      </c>
      <c r="S24" t="s">
        <v>249</v>
      </c>
      <c r="T24" t="s">
        <v>249</v>
      </c>
      <c r="V24" t="s">
        <v>1372</v>
      </c>
      <c r="W24" t="s">
        <v>1373</v>
      </c>
      <c r="X24" t="s">
        <v>249</v>
      </c>
      <c r="Y24" t="s">
        <v>249</v>
      </c>
      <c r="Z24" t="s">
        <v>249</v>
      </c>
      <c r="AA24" t="s">
        <v>249</v>
      </c>
      <c r="AB24" t="s">
        <v>249</v>
      </c>
      <c r="AC24" t="s">
        <v>249</v>
      </c>
      <c r="AD24" t="s">
        <v>249</v>
      </c>
    </row>
    <row r="25" spans="1:30" hidden="1" x14ac:dyDescent="0.35">
      <c r="A25" t="s">
        <v>1330</v>
      </c>
      <c r="B25">
        <v>0</v>
      </c>
      <c r="C25" t="s">
        <v>1374</v>
      </c>
      <c r="D25" t="s">
        <v>249</v>
      </c>
      <c r="E25" t="s">
        <v>1332</v>
      </c>
      <c r="F25" s="17">
        <v>44178</v>
      </c>
      <c r="H25" s="17"/>
      <c r="I25">
        <v>8506411602</v>
      </c>
      <c r="J25" t="s">
        <v>249</v>
      </c>
      <c r="K25" s="17">
        <v>32833</v>
      </c>
      <c r="L25">
        <v>36</v>
      </c>
      <c r="M25" t="s">
        <v>1349</v>
      </c>
      <c r="N25" t="s">
        <v>1345</v>
      </c>
      <c r="O25" t="s">
        <v>249</v>
      </c>
      <c r="P25" t="s">
        <v>249</v>
      </c>
      <c r="Q25" s="17">
        <v>44564</v>
      </c>
      <c r="S25" t="s">
        <v>249</v>
      </c>
      <c r="T25" t="s">
        <v>249</v>
      </c>
      <c r="V25" t="s">
        <v>1375</v>
      </c>
      <c r="W25" t="s">
        <v>1356</v>
      </c>
      <c r="X25" t="s">
        <v>249</v>
      </c>
      <c r="Y25" t="s">
        <v>249</v>
      </c>
      <c r="Z25" t="s">
        <v>249</v>
      </c>
      <c r="AA25" t="s">
        <v>249</v>
      </c>
      <c r="AB25" t="s">
        <v>249</v>
      </c>
      <c r="AC25" t="s">
        <v>249</v>
      </c>
      <c r="AD25" t="s">
        <v>249</v>
      </c>
    </row>
    <row r="26" spans="1:30" hidden="1" x14ac:dyDescent="0.35">
      <c r="A26" t="s">
        <v>1330</v>
      </c>
      <c r="B26">
        <v>0</v>
      </c>
      <c r="C26" t="s">
        <v>1376</v>
      </c>
      <c r="D26" t="s">
        <v>249</v>
      </c>
      <c r="E26" t="s">
        <v>1336</v>
      </c>
      <c r="F26" s="17">
        <v>44266</v>
      </c>
      <c r="H26" s="17"/>
      <c r="I26">
        <v>9423350666</v>
      </c>
      <c r="J26" t="s">
        <v>249</v>
      </c>
      <c r="K26" s="17">
        <v>32377</v>
      </c>
      <c r="L26">
        <v>38</v>
      </c>
      <c r="M26" t="s">
        <v>1349</v>
      </c>
      <c r="N26" t="s">
        <v>1345</v>
      </c>
      <c r="O26" t="s">
        <v>249</v>
      </c>
      <c r="P26" t="s">
        <v>249</v>
      </c>
      <c r="Q26" s="17">
        <v>44579</v>
      </c>
      <c r="S26" t="s">
        <v>249</v>
      </c>
      <c r="T26" t="s">
        <v>249</v>
      </c>
      <c r="V26" t="s">
        <v>1377</v>
      </c>
      <c r="W26" t="s">
        <v>1378</v>
      </c>
      <c r="X26" t="s">
        <v>249</v>
      </c>
      <c r="Y26" t="s">
        <v>249</v>
      </c>
      <c r="Z26" t="s">
        <v>249</v>
      </c>
      <c r="AA26" t="s">
        <v>249</v>
      </c>
      <c r="AB26" t="s">
        <v>249</v>
      </c>
      <c r="AC26" t="s">
        <v>249</v>
      </c>
      <c r="AD26" t="s">
        <v>249</v>
      </c>
    </row>
    <row r="27" spans="1:30" hidden="1" x14ac:dyDescent="0.35">
      <c r="A27" t="s">
        <v>1330</v>
      </c>
      <c r="B27">
        <v>0</v>
      </c>
      <c r="C27" t="s">
        <v>1379</v>
      </c>
      <c r="D27" t="s">
        <v>249</v>
      </c>
      <c r="E27" t="s">
        <v>1332</v>
      </c>
      <c r="F27" s="17">
        <v>44600</v>
      </c>
      <c r="H27" s="17"/>
      <c r="I27">
        <v>8495223740</v>
      </c>
      <c r="J27" t="s">
        <v>249</v>
      </c>
      <c r="K27" s="17">
        <v>29019</v>
      </c>
      <c r="L27">
        <v>47</v>
      </c>
      <c r="M27" t="s">
        <v>1344</v>
      </c>
      <c r="N27" t="s">
        <v>1380</v>
      </c>
      <c r="O27" t="s">
        <v>249</v>
      </c>
      <c r="P27" t="s">
        <v>249</v>
      </c>
      <c r="Q27" s="17">
        <v>44610</v>
      </c>
      <c r="S27" t="s">
        <v>249</v>
      </c>
      <c r="T27" t="s">
        <v>249</v>
      </c>
      <c r="V27" t="s">
        <v>1381</v>
      </c>
      <c r="W27" t="s">
        <v>1382</v>
      </c>
      <c r="X27" t="s">
        <v>249</v>
      </c>
      <c r="Y27" t="s">
        <v>249</v>
      </c>
      <c r="Z27" t="s">
        <v>249</v>
      </c>
      <c r="AA27" t="s">
        <v>249</v>
      </c>
      <c r="AB27" t="s">
        <v>249</v>
      </c>
      <c r="AC27" t="s">
        <v>249</v>
      </c>
      <c r="AD27" t="s">
        <v>249</v>
      </c>
    </row>
    <row r="28" spans="1:30" hidden="1" x14ac:dyDescent="0.35">
      <c r="A28" t="s">
        <v>1330</v>
      </c>
      <c r="B28">
        <v>0</v>
      </c>
      <c r="C28" t="s">
        <v>1383</v>
      </c>
      <c r="D28" t="s">
        <v>249</v>
      </c>
      <c r="E28" t="s">
        <v>1332</v>
      </c>
      <c r="F28" s="17">
        <v>44541</v>
      </c>
      <c r="H28" s="17"/>
      <c r="I28">
        <v>45414238200</v>
      </c>
      <c r="J28" t="s">
        <v>249</v>
      </c>
      <c r="K28" s="17">
        <v>30576</v>
      </c>
      <c r="L28">
        <v>42</v>
      </c>
      <c r="M28" t="s">
        <v>1344</v>
      </c>
      <c r="N28" t="s">
        <v>1345</v>
      </c>
      <c r="O28" t="s">
        <v>249</v>
      </c>
      <c r="P28" t="s">
        <v>1384</v>
      </c>
      <c r="Q28" s="17">
        <v>44617</v>
      </c>
      <c r="S28" t="s">
        <v>249</v>
      </c>
      <c r="T28" t="s">
        <v>249</v>
      </c>
      <c r="V28" t="s">
        <v>1355</v>
      </c>
      <c r="W28" t="s">
        <v>1356</v>
      </c>
      <c r="X28" t="s">
        <v>249</v>
      </c>
      <c r="Y28" t="s">
        <v>249</v>
      </c>
      <c r="Z28" t="s">
        <v>249</v>
      </c>
      <c r="AA28" t="s">
        <v>249</v>
      </c>
      <c r="AB28" t="s">
        <v>249</v>
      </c>
      <c r="AC28" t="s">
        <v>249</v>
      </c>
      <c r="AD28" t="s">
        <v>249</v>
      </c>
    </row>
    <row r="29" spans="1:30" hidden="1" x14ac:dyDescent="0.35">
      <c r="A29" t="s">
        <v>1330</v>
      </c>
      <c r="B29">
        <v>0</v>
      </c>
      <c r="C29" t="s">
        <v>1385</v>
      </c>
      <c r="D29" t="s">
        <v>249</v>
      </c>
      <c r="E29" t="s">
        <v>1332</v>
      </c>
      <c r="F29" s="17">
        <v>44389</v>
      </c>
      <c r="H29" s="17"/>
      <c r="I29">
        <v>10822444658</v>
      </c>
      <c r="J29" t="s">
        <v>249</v>
      </c>
      <c r="K29" s="17">
        <v>34117</v>
      </c>
      <c r="L29">
        <v>33</v>
      </c>
      <c r="M29" t="s">
        <v>1363</v>
      </c>
      <c r="N29" t="s">
        <v>1345</v>
      </c>
      <c r="O29" t="s">
        <v>249</v>
      </c>
      <c r="P29" t="s">
        <v>1386</v>
      </c>
      <c r="Q29" s="17">
        <v>44620</v>
      </c>
      <c r="S29" t="s">
        <v>249</v>
      </c>
      <c r="T29" t="s">
        <v>249</v>
      </c>
      <c r="V29" t="s">
        <v>1387</v>
      </c>
      <c r="W29" t="s">
        <v>1356</v>
      </c>
      <c r="X29" t="s">
        <v>249</v>
      </c>
      <c r="Y29" t="s">
        <v>249</v>
      </c>
      <c r="Z29" t="s">
        <v>249</v>
      </c>
      <c r="AA29" t="s">
        <v>249</v>
      </c>
      <c r="AB29" t="s">
        <v>249</v>
      </c>
      <c r="AC29" t="s">
        <v>249</v>
      </c>
      <c r="AD29" t="s">
        <v>249</v>
      </c>
    </row>
    <row r="30" spans="1:30" hidden="1" x14ac:dyDescent="0.35">
      <c r="A30" t="s">
        <v>1330</v>
      </c>
      <c r="B30">
        <v>0</v>
      </c>
      <c r="C30" t="s">
        <v>1388</v>
      </c>
      <c r="D30" t="s">
        <v>249</v>
      </c>
      <c r="E30" t="s">
        <v>1336</v>
      </c>
      <c r="F30" s="17">
        <v>44413</v>
      </c>
      <c r="H30" s="17"/>
      <c r="I30">
        <v>11253316740</v>
      </c>
      <c r="J30" t="s">
        <v>249</v>
      </c>
      <c r="K30" s="17">
        <v>32554</v>
      </c>
      <c r="L30">
        <v>37</v>
      </c>
      <c r="M30" t="s">
        <v>1349</v>
      </c>
      <c r="N30" t="s">
        <v>1345</v>
      </c>
      <c r="O30" t="s">
        <v>249</v>
      </c>
      <c r="P30" t="s">
        <v>1389</v>
      </c>
      <c r="Q30" s="17">
        <v>44628</v>
      </c>
      <c r="S30" t="s">
        <v>249</v>
      </c>
      <c r="T30" t="s">
        <v>249</v>
      </c>
      <c r="V30" t="s">
        <v>1390</v>
      </c>
      <c r="W30" t="s">
        <v>1351</v>
      </c>
      <c r="X30" t="s">
        <v>249</v>
      </c>
      <c r="Y30" t="s">
        <v>249</v>
      </c>
      <c r="Z30" t="s">
        <v>249</v>
      </c>
      <c r="AA30" t="s">
        <v>249</v>
      </c>
      <c r="AB30" t="s">
        <v>249</v>
      </c>
      <c r="AC30" t="s">
        <v>249</v>
      </c>
      <c r="AD30" t="s">
        <v>249</v>
      </c>
    </row>
    <row r="31" spans="1:30" hidden="1" x14ac:dyDescent="0.35">
      <c r="A31" t="s">
        <v>1330</v>
      </c>
      <c r="B31">
        <v>0</v>
      </c>
      <c r="C31" t="s">
        <v>1391</v>
      </c>
      <c r="D31" t="s">
        <v>249</v>
      </c>
      <c r="E31" t="s">
        <v>1332</v>
      </c>
      <c r="F31" s="17">
        <v>44470</v>
      </c>
      <c r="H31" s="17"/>
      <c r="I31">
        <v>10301699690</v>
      </c>
      <c r="J31" t="s">
        <v>249</v>
      </c>
      <c r="K31" s="17">
        <v>34781</v>
      </c>
      <c r="L31">
        <v>31</v>
      </c>
      <c r="M31" t="s">
        <v>1363</v>
      </c>
      <c r="N31" t="s">
        <v>1345</v>
      </c>
      <c r="O31" t="s">
        <v>249</v>
      </c>
      <c r="P31" t="s">
        <v>1392</v>
      </c>
      <c r="Q31" s="17">
        <v>44631</v>
      </c>
      <c r="S31" t="s">
        <v>249</v>
      </c>
      <c r="T31" t="s">
        <v>249</v>
      </c>
      <c r="V31" t="s">
        <v>1393</v>
      </c>
      <c r="W31" t="s">
        <v>1356</v>
      </c>
      <c r="X31" t="s">
        <v>249</v>
      </c>
      <c r="Y31" t="s">
        <v>249</v>
      </c>
      <c r="Z31" t="s">
        <v>249</v>
      </c>
      <c r="AA31" t="s">
        <v>249</v>
      </c>
      <c r="AB31" t="s">
        <v>249</v>
      </c>
      <c r="AC31" t="s">
        <v>249</v>
      </c>
      <c r="AD31" t="s">
        <v>249</v>
      </c>
    </row>
    <row r="32" spans="1:30" hidden="1" x14ac:dyDescent="0.35">
      <c r="A32" t="s">
        <v>1330</v>
      </c>
      <c r="B32">
        <v>0</v>
      </c>
      <c r="C32" t="s">
        <v>1394</v>
      </c>
      <c r="D32" t="s">
        <v>249</v>
      </c>
      <c r="E32" t="s">
        <v>1332</v>
      </c>
      <c r="F32" s="17">
        <v>44371</v>
      </c>
      <c r="H32" s="17"/>
      <c r="I32">
        <v>8105915618</v>
      </c>
      <c r="J32" t="s">
        <v>249</v>
      </c>
      <c r="K32" s="17">
        <v>32506</v>
      </c>
      <c r="L32">
        <v>37</v>
      </c>
      <c r="M32" t="s">
        <v>1349</v>
      </c>
      <c r="N32" t="s">
        <v>1345</v>
      </c>
      <c r="O32" t="s">
        <v>249</v>
      </c>
      <c r="P32" t="s">
        <v>1395</v>
      </c>
      <c r="Q32" s="17">
        <v>44631</v>
      </c>
      <c r="S32" t="s">
        <v>249</v>
      </c>
      <c r="T32" t="s">
        <v>249</v>
      </c>
      <c r="V32" t="s">
        <v>1396</v>
      </c>
      <c r="W32" t="s">
        <v>1356</v>
      </c>
      <c r="X32" t="s">
        <v>249</v>
      </c>
      <c r="Y32" t="s">
        <v>249</v>
      </c>
      <c r="Z32" t="s">
        <v>249</v>
      </c>
      <c r="AA32" t="s">
        <v>249</v>
      </c>
      <c r="AB32" t="s">
        <v>249</v>
      </c>
      <c r="AC32" t="s">
        <v>249</v>
      </c>
      <c r="AD32" t="s">
        <v>249</v>
      </c>
    </row>
    <row r="33" spans="1:30" hidden="1" x14ac:dyDescent="0.35">
      <c r="A33" t="s">
        <v>1330</v>
      </c>
      <c r="B33">
        <v>0</v>
      </c>
      <c r="C33" t="s">
        <v>1397</v>
      </c>
      <c r="D33" t="s">
        <v>249</v>
      </c>
      <c r="E33" t="s">
        <v>1336</v>
      </c>
      <c r="F33" s="17">
        <v>44348</v>
      </c>
      <c r="H33" s="17"/>
      <c r="I33">
        <v>1789127602</v>
      </c>
      <c r="J33" t="s">
        <v>249</v>
      </c>
      <c r="K33" s="17">
        <v>35508</v>
      </c>
      <c r="L33">
        <v>29</v>
      </c>
      <c r="M33" t="s">
        <v>1354</v>
      </c>
      <c r="N33" t="s">
        <v>1360</v>
      </c>
      <c r="O33" t="s">
        <v>249</v>
      </c>
      <c r="P33" t="s">
        <v>1398</v>
      </c>
      <c r="Q33" s="17">
        <v>44645</v>
      </c>
      <c r="S33" t="s">
        <v>249</v>
      </c>
      <c r="T33" t="s">
        <v>249</v>
      </c>
      <c r="V33" t="s">
        <v>1355</v>
      </c>
      <c r="W33" t="s">
        <v>1356</v>
      </c>
      <c r="X33" t="s">
        <v>249</v>
      </c>
      <c r="Y33" t="s">
        <v>249</v>
      </c>
      <c r="Z33" t="s">
        <v>249</v>
      </c>
      <c r="AA33" t="s">
        <v>249</v>
      </c>
      <c r="AB33" t="s">
        <v>249</v>
      </c>
      <c r="AC33" t="s">
        <v>249</v>
      </c>
      <c r="AD33" t="s">
        <v>249</v>
      </c>
    </row>
    <row r="34" spans="1:30" hidden="1" x14ac:dyDescent="0.35">
      <c r="A34" t="s">
        <v>1330</v>
      </c>
      <c r="B34">
        <v>0</v>
      </c>
      <c r="C34" t="s">
        <v>1399</v>
      </c>
      <c r="D34" t="s">
        <v>249</v>
      </c>
      <c r="E34" t="s">
        <v>1336</v>
      </c>
      <c r="F34" s="17">
        <v>44635</v>
      </c>
      <c r="H34" s="17"/>
      <c r="I34">
        <v>10414934601</v>
      </c>
      <c r="J34" t="s">
        <v>249</v>
      </c>
      <c r="K34" s="17">
        <v>33774</v>
      </c>
      <c r="L34">
        <v>34</v>
      </c>
      <c r="M34" t="s">
        <v>1363</v>
      </c>
      <c r="N34" t="s">
        <v>1345</v>
      </c>
      <c r="O34" t="s">
        <v>249</v>
      </c>
      <c r="P34" t="s">
        <v>1400</v>
      </c>
      <c r="Q34" s="17">
        <v>44650</v>
      </c>
      <c r="S34" t="s">
        <v>249</v>
      </c>
      <c r="T34" t="s">
        <v>249</v>
      </c>
      <c r="V34" t="s">
        <v>1401</v>
      </c>
      <c r="W34" t="s">
        <v>1356</v>
      </c>
      <c r="X34" t="s">
        <v>249</v>
      </c>
      <c r="Y34" t="s">
        <v>249</v>
      </c>
      <c r="Z34" t="s">
        <v>249</v>
      </c>
      <c r="AA34" t="s">
        <v>249</v>
      </c>
      <c r="AB34" t="s">
        <v>249</v>
      </c>
      <c r="AC34" t="s">
        <v>249</v>
      </c>
      <c r="AD34" t="s">
        <v>249</v>
      </c>
    </row>
    <row r="35" spans="1:30" hidden="1" x14ac:dyDescent="0.35">
      <c r="A35" t="s">
        <v>1330</v>
      </c>
      <c r="B35">
        <v>0</v>
      </c>
      <c r="C35" t="s">
        <v>1402</v>
      </c>
      <c r="D35" t="s">
        <v>249</v>
      </c>
      <c r="E35" t="s">
        <v>1332</v>
      </c>
      <c r="F35" s="17">
        <v>44505</v>
      </c>
      <c r="H35" s="17"/>
      <c r="I35">
        <v>11423063724</v>
      </c>
      <c r="J35" t="s">
        <v>249</v>
      </c>
      <c r="K35" s="17">
        <v>32232</v>
      </c>
      <c r="L35">
        <v>38</v>
      </c>
      <c r="M35" t="s">
        <v>1349</v>
      </c>
      <c r="N35" t="s">
        <v>1345</v>
      </c>
      <c r="O35" t="s">
        <v>249</v>
      </c>
      <c r="P35" t="s">
        <v>1403</v>
      </c>
      <c r="Q35" s="17">
        <v>44653</v>
      </c>
      <c r="S35" t="s">
        <v>249</v>
      </c>
      <c r="T35" t="s">
        <v>249</v>
      </c>
      <c r="V35" t="s">
        <v>1355</v>
      </c>
      <c r="W35" t="s">
        <v>1356</v>
      </c>
      <c r="X35" t="s">
        <v>249</v>
      </c>
      <c r="Y35" t="s">
        <v>249</v>
      </c>
      <c r="Z35" t="s">
        <v>249</v>
      </c>
      <c r="AA35" t="s">
        <v>249</v>
      </c>
      <c r="AB35" t="s">
        <v>249</v>
      </c>
      <c r="AC35" t="s">
        <v>249</v>
      </c>
      <c r="AD35" t="s">
        <v>249</v>
      </c>
    </row>
    <row r="36" spans="1:30" hidden="1" x14ac:dyDescent="0.35">
      <c r="A36" t="s">
        <v>1330</v>
      </c>
      <c r="B36">
        <v>0</v>
      </c>
      <c r="C36" t="s">
        <v>1404</v>
      </c>
      <c r="D36" t="s">
        <v>249</v>
      </c>
      <c r="E36" t="s">
        <v>1336</v>
      </c>
      <c r="F36" s="17">
        <v>44348</v>
      </c>
      <c r="H36" s="17"/>
      <c r="I36">
        <v>11463912692</v>
      </c>
      <c r="J36" t="s">
        <v>249</v>
      </c>
      <c r="K36" s="17">
        <v>35372</v>
      </c>
      <c r="L36">
        <v>29</v>
      </c>
      <c r="M36" t="s">
        <v>1354</v>
      </c>
      <c r="N36" t="s">
        <v>1345</v>
      </c>
      <c r="O36" t="s">
        <v>249</v>
      </c>
      <c r="P36" t="s">
        <v>1405</v>
      </c>
      <c r="Q36" s="17">
        <v>44680</v>
      </c>
      <c r="S36" t="s">
        <v>249</v>
      </c>
      <c r="T36" t="s">
        <v>249</v>
      </c>
      <c r="V36" t="s">
        <v>1393</v>
      </c>
      <c r="W36" t="s">
        <v>1356</v>
      </c>
      <c r="X36" t="s">
        <v>249</v>
      </c>
      <c r="Y36" t="s">
        <v>249</v>
      </c>
      <c r="Z36" t="s">
        <v>249</v>
      </c>
      <c r="AA36" t="s">
        <v>249</v>
      </c>
      <c r="AB36" t="s">
        <v>249</v>
      </c>
      <c r="AC36" t="s">
        <v>249</v>
      </c>
      <c r="AD36" t="s">
        <v>249</v>
      </c>
    </row>
    <row r="37" spans="1:30" hidden="1" x14ac:dyDescent="0.35">
      <c r="A37" t="s">
        <v>1330</v>
      </c>
      <c r="B37">
        <v>0</v>
      </c>
      <c r="C37" t="s">
        <v>1406</v>
      </c>
      <c r="D37" t="s">
        <v>249</v>
      </c>
      <c r="E37" t="s">
        <v>1332</v>
      </c>
      <c r="F37" s="17">
        <v>44683</v>
      </c>
      <c r="H37" s="17"/>
      <c r="I37">
        <v>4290797610</v>
      </c>
      <c r="J37" t="s">
        <v>249</v>
      </c>
      <c r="K37" s="17">
        <v>28501</v>
      </c>
      <c r="L37">
        <v>48</v>
      </c>
      <c r="M37" t="s">
        <v>1344</v>
      </c>
      <c r="N37" t="s">
        <v>1380</v>
      </c>
      <c r="O37" t="s">
        <v>249</v>
      </c>
      <c r="P37" t="s">
        <v>1407</v>
      </c>
      <c r="Q37" s="17">
        <v>44693</v>
      </c>
      <c r="S37" t="s">
        <v>249</v>
      </c>
      <c r="T37" t="s">
        <v>249</v>
      </c>
      <c r="V37" t="s">
        <v>1408</v>
      </c>
      <c r="W37" t="s">
        <v>1356</v>
      </c>
      <c r="X37" t="s">
        <v>249</v>
      </c>
      <c r="Y37" t="s">
        <v>249</v>
      </c>
      <c r="Z37" t="s">
        <v>249</v>
      </c>
      <c r="AA37" t="s">
        <v>249</v>
      </c>
      <c r="AB37" t="s">
        <v>249</v>
      </c>
      <c r="AC37" t="s">
        <v>249</v>
      </c>
      <c r="AD37" t="s">
        <v>249</v>
      </c>
    </row>
    <row r="38" spans="1:30" hidden="1" x14ac:dyDescent="0.35">
      <c r="A38" t="s">
        <v>1330</v>
      </c>
      <c r="B38">
        <v>0</v>
      </c>
      <c r="C38" t="s">
        <v>1409</v>
      </c>
      <c r="D38" t="s">
        <v>249</v>
      </c>
      <c r="E38" t="s">
        <v>1332</v>
      </c>
      <c r="F38" s="17">
        <v>44494</v>
      </c>
      <c r="H38" s="17"/>
      <c r="I38">
        <v>38812858813</v>
      </c>
      <c r="J38" t="s">
        <v>249</v>
      </c>
      <c r="K38" s="17">
        <v>34563</v>
      </c>
      <c r="L38">
        <v>32</v>
      </c>
      <c r="M38" t="s">
        <v>1363</v>
      </c>
      <c r="N38" t="s">
        <v>1345</v>
      </c>
      <c r="O38" t="s">
        <v>249</v>
      </c>
      <c r="P38" t="s">
        <v>1410</v>
      </c>
      <c r="Q38" s="17">
        <v>44701</v>
      </c>
      <c r="S38" t="s">
        <v>249</v>
      </c>
      <c r="T38" t="s">
        <v>249</v>
      </c>
      <c r="V38" t="s">
        <v>1411</v>
      </c>
      <c r="W38" t="s">
        <v>1347</v>
      </c>
      <c r="X38" t="s">
        <v>249</v>
      </c>
      <c r="Y38" t="s">
        <v>249</v>
      </c>
      <c r="Z38" t="s">
        <v>249</v>
      </c>
      <c r="AA38" t="s">
        <v>249</v>
      </c>
      <c r="AB38" t="s">
        <v>249</v>
      </c>
      <c r="AC38" t="s">
        <v>249</v>
      </c>
      <c r="AD38" t="s">
        <v>249</v>
      </c>
    </row>
    <row r="39" spans="1:30" hidden="1" x14ac:dyDescent="0.35">
      <c r="A39" t="s">
        <v>1330</v>
      </c>
      <c r="B39">
        <v>0</v>
      </c>
      <c r="C39" t="s">
        <v>1412</v>
      </c>
      <c r="D39" t="s">
        <v>1413</v>
      </c>
      <c r="E39" t="s">
        <v>1332</v>
      </c>
      <c r="F39" s="17">
        <v>44705</v>
      </c>
      <c r="H39" s="17"/>
      <c r="I39">
        <v>98009370215</v>
      </c>
      <c r="J39" t="s">
        <v>249</v>
      </c>
      <c r="K39" s="17">
        <v>32585</v>
      </c>
      <c r="L39">
        <v>37</v>
      </c>
      <c r="M39" t="s">
        <v>1349</v>
      </c>
      <c r="N39" t="s">
        <v>1345</v>
      </c>
      <c r="O39" t="s">
        <v>249</v>
      </c>
      <c r="P39" t="s">
        <v>1414</v>
      </c>
      <c r="Q39" s="17">
        <v>44704</v>
      </c>
      <c r="S39" t="s">
        <v>1415</v>
      </c>
      <c r="T39" t="s">
        <v>249</v>
      </c>
      <c r="V39" t="s">
        <v>1416</v>
      </c>
      <c r="W39" t="s">
        <v>1417</v>
      </c>
      <c r="X39" t="s">
        <v>249</v>
      </c>
      <c r="Y39" t="s">
        <v>249</v>
      </c>
      <c r="Z39" t="s">
        <v>249</v>
      </c>
      <c r="AA39" t="s">
        <v>249</v>
      </c>
      <c r="AB39" t="s">
        <v>249</v>
      </c>
      <c r="AC39" t="s">
        <v>249</v>
      </c>
      <c r="AD39" t="s">
        <v>249</v>
      </c>
    </row>
    <row r="40" spans="1:30" hidden="1" x14ac:dyDescent="0.35">
      <c r="A40" t="s">
        <v>1330</v>
      </c>
      <c r="B40">
        <v>0</v>
      </c>
      <c r="C40" t="s">
        <v>1418</v>
      </c>
      <c r="D40" t="s">
        <v>249</v>
      </c>
      <c r="E40" t="s">
        <v>1332</v>
      </c>
      <c r="F40" s="17">
        <v>44631</v>
      </c>
      <c r="H40" s="17"/>
      <c r="I40">
        <v>11998940608</v>
      </c>
      <c r="J40" t="s">
        <v>249</v>
      </c>
      <c r="K40" s="17">
        <v>37048</v>
      </c>
      <c r="L40">
        <v>25</v>
      </c>
      <c r="M40" t="s">
        <v>1419</v>
      </c>
      <c r="N40" t="s">
        <v>1360</v>
      </c>
      <c r="O40" t="s">
        <v>249</v>
      </c>
      <c r="P40" t="s">
        <v>1420</v>
      </c>
      <c r="Q40" s="17">
        <v>44712</v>
      </c>
      <c r="S40" t="s">
        <v>249</v>
      </c>
      <c r="T40" t="s">
        <v>249</v>
      </c>
      <c r="V40" t="s">
        <v>1029</v>
      </c>
      <c r="W40" t="s">
        <v>1356</v>
      </c>
      <c r="X40" t="s">
        <v>249</v>
      </c>
      <c r="Y40" t="s">
        <v>249</v>
      </c>
      <c r="Z40" t="s">
        <v>249</v>
      </c>
      <c r="AA40" t="s">
        <v>249</v>
      </c>
      <c r="AB40" t="s">
        <v>249</v>
      </c>
      <c r="AC40" t="s">
        <v>249</v>
      </c>
      <c r="AD40" t="s">
        <v>249</v>
      </c>
    </row>
    <row r="41" spans="1:30" hidden="1" x14ac:dyDescent="0.35">
      <c r="A41" t="s">
        <v>1330</v>
      </c>
      <c r="B41">
        <v>0</v>
      </c>
      <c r="C41" t="s">
        <v>1421</v>
      </c>
      <c r="D41" t="s">
        <v>249</v>
      </c>
      <c r="E41" t="s">
        <v>1332</v>
      </c>
      <c r="F41" s="17">
        <v>44447</v>
      </c>
      <c r="H41" s="17"/>
      <c r="I41">
        <v>5938595614</v>
      </c>
      <c r="J41" t="s">
        <v>249</v>
      </c>
      <c r="K41" s="17">
        <v>30740</v>
      </c>
      <c r="L41">
        <v>42</v>
      </c>
      <c r="M41" t="s">
        <v>1344</v>
      </c>
      <c r="N41" t="s">
        <v>1345</v>
      </c>
      <c r="O41" t="s">
        <v>249</v>
      </c>
      <c r="P41" t="s">
        <v>1422</v>
      </c>
      <c r="Q41" s="17">
        <v>44720</v>
      </c>
      <c r="S41" t="s">
        <v>249</v>
      </c>
      <c r="T41" t="s">
        <v>249</v>
      </c>
      <c r="V41" t="s">
        <v>1364</v>
      </c>
      <c r="W41" t="s">
        <v>1356</v>
      </c>
      <c r="X41" t="s">
        <v>249</v>
      </c>
      <c r="Y41" t="s">
        <v>249</v>
      </c>
      <c r="Z41" t="s">
        <v>249</v>
      </c>
      <c r="AA41" t="s">
        <v>249</v>
      </c>
      <c r="AB41" t="s">
        <v>249</v>
      </c>
      <c r="AC41" t="s">
        <v>249</v>
      </c>
      <c r="AD41" t="s">
        <v>249</v>
      </c>
    </row>
    <row r="42" spans="1:30" hidden="1" x14ac:dyDescent="0.35">
      <c r="A42" t="s">
        <v>1330</v>
      </c>
      <c r="B42">
        <v>0</v>
      </c>
      <c r="C42" t="s">
        <v>1423</v>
      </c>
      <c r="D42" t="s">
        <v>249</v>
      </c>
      <c r="E42" t="s">
        <v>1332</v>
      </c>
      <c r="F42" s="17">
        <v>44628</v>
      </c>
      <c r="H42" s="17"/>
      <c r="I42">
        <v>33621085807</v>
      </c>
      <c r="J42" t="s">
        <v>249</v>
      </c>
      <c r="K42" s="17">
        <v>31176</v>
      </c>
      <c r="L42">
        <v>41</v>
      </c>
      <c r="M42" t="s">
        <v>1344</v>
      </c>
      <c r="N42" t="s">
        <v>1345</v>
      </c>
      <c r="O42" t="s">
        <v>249</v>
      </c>
      <c r="P42" t="s">
        <v>1424</v>
      </c>
      <c r="Q42" s="17">
        <v>44748</v>
      </c>
      <c r="S42" t="s">
        <v>249</v>
      </c>
      <c r="T42" t="s">
        <v>249</v>
      </c>
      <c r="V42" t="s">
        <v>1425</v>
      </c>
      <c r="W42" t="s">
        <v>1373</v>
      </c>
      <c r="X42" t="s">
        <v>249</v>
      </c>
      <c r="Y42" t="s">
        <v>249</v>
      </c>
      <c r="Z42" t="s">
        <v>249</v>
      </c>
      <c r="AA42" t="s">
        <v>249</v>
      </c>
      <c r="AB42" t="s">
        <v>249</v>
      </c>
      <c r="AC42" t="s">
        <v>249</v>
      </c>
      <c r="AD42" t="s">
        <v>249</v>
      </c>
    </row>
    <row r="43" spans="1:30" hidden="1" x14ac:dyDescent="0.35">
      <c r="A43" t="s">
        <v>1330</v>
      </c>
      <c r="B43">
        <v>0</v>
      </c>
      <c r="C43" t="s">
        <v>1426</v>
      </c>
      <c r="D43" t="s">
        <v>249</v>
      </c>
      <c r="E43" t="s">
        <v>1332</v>
      </c>
      <c r="F43" s="17">
        <v>44635</v>
      </c>
      <c r="H43" s="17"/>
      <c r="I43">
        <v>38948701843</v>
      </c>
      <c r="J43" t="s">
        <v>249</v>
      </c>
      <c r="K43" s="17">
        <v>34698</v>
      </c>
      <c r="L43">
        <v>31</v>
      </c>
      <c r="M43" t="s">
        <v>1363</v>
      </c>
      <c r="N43" t="s">
        <v>1345</v>
      </c>
      <c r="O43" t="s">
        <v>249</v>
      </c>
      <c r="P43" t="s">
        <v>1427</v>
      </c>
      <c r="Q43" s="17">
        <v>44757</v>
      </c>
      <c r="S43" t="s">
        <v>249</v>
      </c>
      <c r="T43" t="s">
        <v>249</v>
      </c>
      <c r="V43" t="s">
        <v>1355</v>
      </c>
      <c r="W43" t="s">
        <v>1356</v>
      </c>
      <c r="X43" t="s">
        <v>249</v>
      </c>
      <c r="Y43" t="s">
        <v>249</v>
      </c>
      <c r="Z43" t="s">
        <v>249</v>
      </c>
      <c r="AA43" t="s">
        <v>249</v>
      </c>
      <c r="AB43" t="s">
        <v>249</v>
      </c>
      <c r="AC43" t="s">
        <v>249</v>
      </c>
      <c r="AD43" t="s">
        <v>249</v>
      </c>
    </row>
    <row r="44" spans="1:30" hidden="1" x14ac:dyDescent="0.35">
      <c r="A44" t="s">
        <v>1330</v>
      </c>
      <c r="B44">
        <v>0</v>
      </c>
      <c r="C44" t="s">
        <v>1428</v>
      </c>
      <c r="D44" t="s">
        <v>249</v>
      </c>
      <c r="E44" t="s">
        <v>1332</v>
      </c>
      <c r="F44" s="17">
        <v>44653</v>
      </c>
      <c r="H44" s="17"/>
      <c r="I44">
        <v>11423063724</v>
      </c>
      <c r="J44" t="s">
        <v>249</v>
      </c>
      <c r="K44" s="17">
        <v>32232</v>
      </c>
      <c r="L44">
        <v>38</v>
      </c>
      <c r="M44" t="s">
        <v>1349</v>
      </c>
      <c r="N44" t="s">
        <v>1345</v>
      </c>
      <c r="O44" t="s">
        <v>249</v>
      </c>
      <c r="P44" t="s">
        <v>1403</v>
      </c>
      <c r="Q44" s="17">
        <v>44764</v>
      </c>
      <c r="S44" t="s">
        <v>249</v>
      </c>
      <c r="T44" t="s">
        <v>249</v>
      </c>
      <c r="V44" t="s">
        <v>1355</v>
      </c>
      <c r="W44" t="s">
        <v>1356</v>
      </c>
      <c r="X44" t="s">
        <v>249</v>
      </c>
      <c r="Y44" t="s">
        <v>249</v>
      </c>
      <c r="Z44" t="s">
        <v>249</v>
      </c>
      <c r="AA44" t="s">
        <v>249</v>
      </c>
      <c r="AB44" t="s">
        <v>249</v>
      </c>
      <c r="AC44" t="s">
        <v>249</v>
      </c>
      <c r="AD44" t="s">
        <v>249</v>
      </c>
    </row>
    <row r="45" spans="1:30" hidden="1" x14ac:dyDescent="0.35">
      <c r="A45" t="s">
        <v>1330</v>
      </c>
      <c r="B45">
        <v>0</v>
      </c>
      <c r="C45" t="s">
        <v>1429</v>
      </c>
      <c r="D45" t="s">
        <v>249</v>
      </c>
      <c r="E45" t="s">
        <v>1332</v>
      </c>
      <c r="F45" s="17">
        <v>44596</v>
      </c>
      <c r="H45" s="17"/>
      <c r="I45">
        <v>2144985650</v>
      </c>
      <c r="J45" t="s">
        <v>249</v>
      </c>
      <c r="K45" s="17">
        <v>35798</v>
      </c>
      <c r="L45">
        <v>28</v>
      </c>
      <c r="M45" t="s">
        <v>1354</v>
      </c>
      <c r="N45" t="s">
        <v>1360</v>
      </c>
      <c r="O45" t="s">
        <v>249</v>
      </c>
      <c r="P45" t="s">
        <v>1430</v>
      </c>
      <c r="Q45" s="17">
        <v>44788</v>
      </c>
      <c r="S45" t="s">
        <v>249</v>
      </c>
      <c r="T45" t="s">
        <v>249</v>
      </c>
      <c r="V45" t="s">
        <v>1355</v>
      </c>
      <c r="W45" t="s">
        <v>1356</v>
      </c>
      <c r="X45" t="s">
        <v>249</v>
      </c>
      <c r="Y45" t="s">
        <v>249</v>
      </c>
      <c r="Z45" t="s">
        <v>249</v>
      </c>
      <c r="AA45" t="s">
        <v>249</v>
      </c>
      <c r="AB45" t="s">
        <v>249</v>
      </c>
      <c r="AC45" t="s">
        <v>249</v>
      </c>
      <c r="AD45" t="s">
        <v>249</v>
      </c>
    </row>
    <row r="46" spans="1:30" hidden="1" x14ac:dyDescent="0.35">
      <c r="A46" t="s">
        <v>1330</v>
      </c>
      <c r="B46">
        <v>0</v>
      </c>
      <c r="C46" t="s">
        <v>1431</v>
      </c>
      <c r="D46" t="s">
        <v>249</v>
      </c>
      <c r="E46" t="s">
        <v>1332</v>
      </c>
      <c r="F46" s="17">
        <v>44623</v>
      </c>
      <c r="H46" s="17"/>
      <c r="I46">
        <v>11283744635</v>
      </c>
      <c r="J46" t="s">
        <v>249</v>
      </c>
      <c r="K46" s="17">
        <v>34580</v>
      </c>
      <c r="L46">
        <v>31</v>
      </c>
      <c r="M46" t="s">
        <v>1363</v>
      </c>
      <c r="N46" t="s">
        <v>1345</v>
      </c>
      <c r="O46" t="s">
        <v>249</v>
      </c>
      <c r="P46" t="s">
        <v>1432</v>
      </c>
      <c r="Q46" s="17">
        <v>44805</v>
      </c>
      <c r="S46" t="s">
        <v>249</v>
      </c>
      <c r="T46" t="s">
        <v>249</v>
      </c>
      <c r="V46" t="s">
        <v>941</v>
      </c>
      <c r="W46" t="s">
        <v>1356</v>
      </c>
      <c r="X46" t="s">
        <v>249</v>
      </c>
      <c r="Y46" t="s">
        <v>249</v>
      </c>
      <c r="Z46" t="s">
        <v>249</v>
      </c>
      <c r="AA46" t="s">
        <v>249</v>
      </c>
      <c r="AB46" t="s">
        <v>249</v>
      </c>
      <c r="AC46" t="s">
        <v>249</v>
      </c>
      <c r="AD46" t="s">
        <v>249</v>
      </c>
    </row>
    <row r="47" spans="1:30" hidden="1" x14ac:dyDescent="0.35">
      <c r="A47" t="s">
        <v>1330</v>
      </c>
      <c r="B47">
        <v>0</v>
      </c>
      <c r="C47" t="s">
        <v>1433</v>
      </c>
      <c r="D47" t="s">
        <v>249</v>
      </c>
      <c r="E47" t="s">
        <v>1336</v>
      </c>
      <c r="F47" s="17">
        <v>44614</v>
      </c>
      <c r="H47" s="17"/>
      <c r="I47">
        <v>10245097619</v>
      </c>
      <c r="J47" t="s">
        <v>249</v>
      </c>
      <c r="K47" s="17">
        <v>33455</v>
      </c>
      <c r="L47">
        <v>35</v>
      </c>
      <c r="M47" t="s">
        <v>1363</v>
      </c>
      <c r="N47" t="s">
        <v>1345</v>
      </c>
      <c r="O47" t="s">
        <v>249</v>
      </c>
      <c r="P47" t="s">
        <v>1434</v>
      </c>
      <c r="Q47" s="17">
        <v>44816</v>
      </c>
      <c r="S47" t="s">
        <v>249</v>
      </c>
      <c r="T47" t="s">
        <v>249</v>
      </c>
      <c r="V47" t="s">
        <v>944</v>
      </c>
      <c r="W47" t="s">
        <v>1356</v>
      </c>
      <c r="X47" t="s">
        <v>249</v>
      </c>
      <c r="Y47" t="s">
        <v>249</v>
      </c>
      <c r="Z47" t="s">
        <v>249</v>
      </c>
      <c r="AA47" t="s">
        <v>249</v>
      </c>
      <c r="AB47" t="s">
        <v>249</v>
      </c>
      <c r="AC47" t="s">
        <v>249</v>
      </c>
      <c r="AD47" t="s">
        <v>249</v>
      </c>
    </row>
    <row r="48" spans="1:30" hidden="1" x14ac:dyDescent="0.35">
      <c r="A48" t="s">
        <v>1330</v>
      </c>
      <c r="B48">
        <v>0</v>
      </c>
      <c r="C48" t="s">
        <v>1435</v>
      </c>
      <c r="D48" t="s">
        <v>249</v>
      </c>
      <c r="E48" t="s">
        <v>1332</v>
      </c>
      <c r="F48" s="17">
        <v>44657</v>
      </c>
      <c r="H48" s="17"/>
      <c r="I48">
        <v>12367347697</v>
      </c>
      <c r="J48" t="s">
        <v>249</v>
      </c>
      <c r="K48" s="17">
        <v>34216</v>
      </c>
      <c r="L48">
        <v>32</v>
      </c>
      <c r="M48" t="s">
        <v>1363</v>
      </c>
      <c r="N48" t="s">
        <v>1345</v>
      </c>
      <c r="O48" t="s">
        <v>249</v>
      </c>
      <c r="P48" t="s">
        <v>1436</v>
      </c>
      <c r="Q48" s="17">
        <v>44829</v>
      </c>
      <c r="S48" t="s">
        <v>249</v>
      </c>
      <c r="T48" t="s">
        <v>249</v>
      </c>
      <c r="V48" t="s">
        <v>1355</v>
      </c>
      <c r="W48" t="s">
        <v>1356</v>
      </c>
      <c r="X48" t="s">
        <v>249</v>
      </c>
      <c r="Y48" t="s">
        <v>249</v>
      </c>
      <c r="Z48" t="s">
        <v>249</v>
      </c>
      <c r="AA48" t="s">
        <v>249</v>
      </c>
      <c r="AB48" t="s">
        <v>249</v>
      </c>
      <c r="AC48" t="s">
        <v>249</v>
      </c>
      <c r="AD48" t="s">
        <v>249</v>
      </c>
    </row>
    <row r="49" spans="1:30" hidden="1" x14ac:dyDescent="0.35">
      <c r="A49" t="s">
        <v>1330</v>
      </c>
      <c r="B49">
        <v>0</v>
      </c>
      <c r="C49" t="s">
        <v>1437</v>
      </c>
      <c r="D49" t="s">
        <v>249</v>
      </c>
      <c r="E49" t="s">
        <v>1332</v>
      </c>
      <c r="F49" s="17">
        <v>44819</v>
      </c>
      <c r="H49" s="17"/>
      <c r="I49">
        <v>12977595678</v>
      </c>
      <c r="J49" t="s">
        <v>249</v>
      </c>
      <c r="K49" s="17">
        <v>36026</v>
      </c>
      <c r="L49">
        <v>28</v>
      </c>
      <c r="M49" t="s">
        <v>1354</v>
      </c>
      <c r="N49" t="s">
        <v>1360</v>
      </c>
      <c r="O49" t="s">
        <v>249</v>
      </c>
      <c r="P49" t="s">
        <v>1438</v>
      </c>
      <c r="Q49" s="17">
        <v>44847</v>
      </c>
      <c r="S49" t="s">
        <v>249</v>
      </c>
      <c r="T49" t="s">
        <v>249</v>
      </c>
      <c r="V49" t="s">
        <v>1439</v>
      </c>
      <c r="W49" t="s">
        <v>1356</v>
      </c>
      <c r="X49" t="s">
        <v>249</v>
      </c>
      <c r="Y49" t="s">
        <v>249</v>
      </c>
      <c r="Z49" t="s">
        <v>249</v>
      </c>
      <c r="AA49" t="s">
        <v>249</v>
      </c>
      <c r="AB49" t="s">
        <v>249</v>
      </c>
      <c r="AC49" t="s">
        <v>249</v>
      </c>
      <c r="AD49" t="s">
        <v>249</v>
      </c>
    </row>
    <row r="50" spans="1:30" hidden="1" x14ac:dyDescent="0.35">
      <c r="A50" t="s">
        <v>1330</v>
      </c>
      <c r="B50">
        <v>0</v>
      </c>
      <c r="C50" t="s">
        <v>1440</v>
      </c>
      <c r="D50" t="s">
        <v>249</v>
      </c>
      <c r="E50" t="s">
        <v>1332</v>
      </c>
      <c r="F50" s="17">
        <v>44796</v>
      </c>
      <c r="H50" s="17"/>
      <c r="I50">
        <v>11517873614</v>
      </c>
      <c r="J50" t="s">
        <v>249</v>
      </c>
      <c r="K50" s="17">
        <v>34141</v>
      </c>
      <c r="L50">
        <v>33</v>
      </c>
      <c r="M50" t="s">
        <v>1363</v>
      </c>
      <c r="N50" t="s">
        <v>1345</v>
      </c>
      <c r="O50" t="s">
        <v>249</v>
      </c>
      <c r="P50" t="s">
        <v>1441</v>
      </c>
      <c r="Q50" s="17">
        <v>44849</v>
      </c>
      <c r="S50" t="s">
        <v>249</v>
      </c>
      <c r="T50" t="s">
        <v>249</v>
      </c>
      <c r="V50" t="s">
        <v>941</v>
      </c>
      <c r="W50" t="s">
        <v>1356</v>
      </c>
      <c r="X50" t="s">
        <v>249</v>
      </c>
      <c r="Y50" t="s">
        <v>249</v>
      </c>
      <c r="Z50" t="s">
        <v>249</v>
      </c>
      <c r="AA50" t="s">
        <v>249</v>
      </c>
      <c r="AB50" t="s">
        <v>249</v>
      </c>
      <c r="AC50" t="s">
        <v>249</v>
      </c>
      <c r="AD50" t="s">
        <v>249</v>
      </c>
    </row>
    <row r="51" spans="1:30" hidden="1" x14ac:dyDescent="0.35">
      <c r="A51" t="s">
        <v>1330</v>
      </c>
      <c r="B51">
        <v>0</v>
      </c>
      <c r="C51" t="s">
        <v>1442</v>
      </c>
      <c r="D51" t="s">
        <v>249</v>
      </c>
      <c r="E51" t="s">
        <v>1336</v>
      </c>
      <c r="F51" s="17">
        <v>44654</v>
      </c>
      <c r="H51" s="17"/>
      <c r="I51">
        <v>11093665661</v>
      </c>
      <c r="J51" t="s">
        <v>249</v>
      </c>
      <c r="K51" s="17">
        <v>34050</v>
      </c>
      <c r="L51">
        <v>33</v>
      </c>
      <c r="M51" t="s">
        <v>1363</v>
      </c>
      <c r="N51" t="s">
        <v>1345</v>
      </c>
      <c r="O51" t="s">
        <v>249</v>
      </c>
      <c r="P51" t="s">
        <v>1443</v>
      </c>
      <c r="Q51" s="17">
        <v>44869</v>
      </c>
      <c r="S51" t="s">
        <v>249</v>
      </c>
      <c r="T51" t="s">
        <v>249</v>
      </c>
      <c r="V51" t="s">
        <v>1355</v>
      </c>
      <c r="W51" t="s">
        <v>1378</v>
      </c>
      <c r="X51" t="s">
        <v>249</v>
      </c>
      <c r="Y51" t="s">
        <v>249</v>
      </c>
      <c r="Z51" t="s">
        <v>249</v>
      </c>
      <c r="AA51" t="s">
        <v>249</v>
      </c>
      <c r="AB51" t="s">
        <v>249</v>
      </c>
      <c r="AC51" t="s">
        <v>249</v>
      </c>
      <c r="AD51" t="s">
        <v>249</v>
      </c>
    </row>
    <row r="52" spans="1:30" hidden="1" x14ac:dyDescent="0.35">
      <c r="A52" t="s">
        <v>1330</v>
      </c>
      <c r="B52">
        <v>0</v>
      </c>
      <c r="C52" t="s">
        <v>1444</v>
      </c>
      <c r="D52" t="s">
        <v>249</v>
      </c>
      <c r="E52" t="s">
        <v>1332</v>
      </c>
      <c r="F52" s="17">
        <v>44740</v>
      </c>
      <c r="H52" s="17"/>
      <c r="I52">
        <v>7234466606</v>
      </c>
      <c r="J52" t="s">
        <v>249</v>
      </c>
      <c r="K52" s="17">
        <v>31086</v>
      </c>
      <c r="L52">
        <v>41</v>
      </c>
      <c r="M52" t="s">
        <v>1344</v>
      </c>
      <c r="N52" t="s">
        <v>1345</v>
      </c>
      <c r="O52" t="s">
        <v>249</v>
      </c>
      <c r="P52" t="s">
        <v>249</v>
      </c>
      <c r="Q52" s="17">
        <v>44876</v>
      </c>
      <c r="S52" t="s">
        <v>249</v>
      </c>
      <c r="T52" t="s">
        <v>249</v>
      </c>
      <c r="V52" t="s">
        <v>1369</v>
      </c>
      <c r="W52" t="s">
        <v>1356</v>
      </c>
      <c r="X52" t="s">
        <v>249</v>
      </c>
      <c r="Y52" t="s">
        <v>249</v>
      </c>
      <c r="Z52" t="s">
        <v>249</v>
      </c>
      <c r="AA52" t="s">
        <v>249</v>
      </c>
      <c r="AB52" t="s">
        <v>249</v>
      </c>
      <c r="AC52" t="s">
        <v>249</v>
      </c>
      <c r="AD52" t="s">
        <v>249</v>
      </c>
    </row>
    <row r="53" spans="1:30" hidden="1" x14ac:dyDescent="0.35">
      <c r="A53" t="s">
        <v>1330</v>
      </c>
      <c r="B53">
        <v>0</v>
      </c>
      <c r="C53" t="s">
        <v>1445</v>
      </c>
      <c r="D53" t="s">
        <v>249</v>
      </c>
      <c r="E53" t="s">
        <v>1332</v>
      </c>
      <c r="F53" s="17">
        <v>44634</v>
      </c>
      <c r="H53" s="17"/>
      <c r="I53">
        <v>1473914582</v>
      </c>
      <c r="J53" t="s">
        <v>249</v>
      </c>
      <c r="K53" s="17">
        <v>30533</v>
      </c>
      <c r="L53">
        <v>43</v>
      </c>
      <c r="M53" t="s">
        <v>1344</v>
      </c>
      <c r="N53" t="s">
        <v>1345</v>
      </c>
      <c r="O53" t="s">
        <v>249</v>
      </c>
      <c r="P53" t="s">
        <v>1446</v>
      </c>
      <c r="Q53" s="17">
        <v>44888</v>
      </c>
      <c r="S53" t="s">
        <v>249</v>
      </c>
      <c r="T53" t="s">
        <v>249</v>
      </c>
      <c r="V53" t="s">
        <v>1447</v>
      </c>
      <c r="W53" t="s">
        <v>1448</v>
      </c>
      <c r="X53" t="s">
        <v>249</v>
      </c>
      <c r="Y53" t="s">
        <v>249</v>
      </c>
      <c r="Z53" t="s">
        <v>249</v>
      </c>
      <c r="AA53" t="s">
        <v>249</v>
      </c>
      <c r="AB53" t="s">
        <v>249</v>
      </c>
      <c r="AC53" t="s">
        <v>249</v>
      </c>
      <c r="AD53" t="s">
        <v>249</v>
      </c>
    </row>
    <row r="54" spans="1:30" hidden="1" x14ac:dyDescent="0.35">
      <c r="A54" t="s">
        <v>1330</v>
      </c>
      <c r="B54">
        <v>0</v>
      </c>
      <c r="C54" t="s">
        <v>1449</v>
      </c>
      <c r="D54" t="s">
        <v>1450</v>
      </c>
      <c r="E54" t="s">
        <v>1332</v>
      </c>
      <c r="F54" s="17">
        <v>44797</v>
      </c>
      <c r="H54" s="17"/>
      <c r="I54">
        <v>1917778627</v>
      </c>
      <c r="J54" t="s">
        <v>249</v>
      </c>
      <c r="K54" s="17">
        <v>35864</v>
      </c>
      <c r="L54">
        <v>28</v>
      </c>
      <c r="M54" t="s">
        <v>1354</v>
      </c>
      <c r="N54" t="s">
        <v>1360</v>
      </c>
      <c r="O54" t="s">
        <v>249</v>
      </c>
      <c r="P54" t="s">
        <v>1451</v>
      </c>
      <c r="Q54" s="17">
        <v>44895</v>
      </c>
      <c r="S54" t="s">
        <v>249</v>
      </c>
      <c r="T54" t="s">
        <v>249</v>
      </c>
      <c r="V54" t="s">
        <v>1452</v>
      </c>
      <c r="W54" t="s">
        <v>1356</v>
      </c>
      <c r="X54" t="s">
        <v>249</v>
      </c>
      <c r="Y54" t="s">
        <v>249</v>
      </c>
      <c r="Z54" t="s">
        <v>249</v>
      </c>
      <c r="AA54" t="s">
        <v>249</v>
      </c>
      <c r="AB54" t="s">
        <v>249</v>
      </c>
      <c r="AC54" t="s">
        <v>249</v>
      </c>
      <c r="AD54" t="s">
        <v>249</v>
      </c>
    </row>
    <row r="55" spans="1:30" hidden="1" x14ac:dyDescent="0.35">
      <c r="A55" t="s">
        <v>1330</v>
      </c>
      <c r="B55">
        <v>0</v>
      </c>
      <c r="C55" t="s">
        <v>1453</v>
      </c>
      <c r="D55" t="s">
        <v>1454</v>
      </c>
      <c r="E55" t="s">
        <v>1336</v>
      </c>
      <c r="F55" s="17">
        <v>44708</v>
      </c>
      <c r="H55" s="17"/>
      <c r="I55">
        <v>9988822677</v>
      </c>
      <c r="J55" t="s">
        <v>249</v>
      </c>
      <c r="K55" s="17">
        <v>34408</v>
      </c>
      <c r="L55">
        <v>32</v>
      </c>
      <c r="M55" t="s">
        <v>1363</v>
      </c>
      <c r="N55" t="s">
        <v>1345</v>
      </c>
      <c r="O55" t="s">
        <v>249</v>
      </c>
      <c r="P55" t="s">
        <v>1455</v>
      </c>
      <c r="Q55" s="17">
        <v>44911</v>
      </c>
      <c r="S55" t="s">
        <v>249</v>
      </c>
      <c r="T55" t="s">
        <v>249</v>
      </c>
      <c r="V55" t="s">
        <v>1456</v>
      </c>
      <c r="W55" t="s">
        <v>1356</v>
      </c>
      <c r="X55" t="s">
        <v>249</v>
      </c>
      <c r="Y55" t="s">
        <v>249</v>
      </c>
      <c r="Z55" t="s">
        <v>249</v>
      </c>
      <c r="AA55" t="s">
        <v>249</v>
      </c>
      <c r="AB55" t="s">
        <v>249</v>
      </c>
      <c r="AC55" t="s">
        <v>249</v>
      </c>
      <c r="AD55" t="s">
        <v>249</v>
      </c>
    </row>
    <row r="56" spans="1:30" hidden="1" x14ac:dyDescent="0.35">
      <c r="A56" t="s">
        <v>1330</v>
      </c>
      <c r="B56">
        <v>0</v>
      </c>
      <c r="C56" t="s">
        <v>1457</v>
      </c>
      <c r="D56" t="s">
        <v>1458</v>
      </c>
      <c r="E56" t="s">
        <v>1332</v>
      </c>
      <c r="F56" s="17">
        <v>44750</v>
      </c>
      <c r="H56" s="17"/>
      <c r="I56">
        <v>11377397629</v>
      </c>
      <c r="J56" t="s">
        <v>249</v>
      </c>
      <c r="K56" s="17">
        <v>34134</v>
      </c>
      <c r="L56">
        <v>33</v>
      </c>
      <c r="M56" t="s">
        <v>1363</v>
      </c>
      <c r="N56" t="s">
        <v>1345</v>
      </c>
      <c r="O56" t="s">
        <v>249</v>
      </c>
      <c r="P56" t="s">
        <v>1459</v>
      </c>
      <c r="Q56" s="17">
        <v>44946</v>
      </c>
      <c r="S56" t="s">
        <v>1460</v>
      </c>
      <c r="T56" t="s">
        <v>249</v>
      </c>
      <c r="V56" t="s">
        <v>941</v>
      </c>
      <c r="W56" t="s">
        <v>1356</v>
      </c>
      <c r="X56" t="s">
        <v>249</v>
      </c>
      <c r="Y56" t="s">
        <v>249</v>
      </c>
      <c r="Z56" t="s">
        <v>249</v>
      </c>
      <c r="AA56" t="s">
        <v>249</v>
      </c>
      <c r="AB56" t="s">
        <v>249</v>
      </c>
      <c r="AC56" t="s">
        <v>249</v>
      </c>
      <c r="AD56" t="s">
        <v>249</v>
      </c>
    </row>
    <row r="57" spans="1:30" hidden="1" x14ac:dyDescent="0.35">
      <c r="A57" t="s">
        <v>1330</v>
      </c>
      <c r="B57" t="s">
        <v>1461</v>
      </c>
      <c r="C57" t="s">
        <v>1462</v>
      </c>
      <c r="D57" t="s">
        <v>1463</v>
      </c>
      <c r="E57" t="s">
        <v>1332</v>
      </c>
      <c r="F57" s="17">
        <v>44638</v>
      </c>
      <c r="H57" s="17"/>
      <c r="I57">
        <v>13061592610</v>
      </c>
      <c r="J57" t="s">
        <v>249</v>
      </c>
      <c r="K57" s="17">
        <v>35194</v>
      </c>
      <c r="L57">
        <v>30</v>
      </c>
      <c r="M57" t="s">
        <v>1354</v>
      </c>
      <c r="N57" t="s">
        <v>1345</v>
      </c>
      <c r="O57" t="s">
        <v>249</v>
      </c>
      <c r="P57" t="s">
        <v>1464</v>
      </c>
      <c r="Q57" s="17">
        <v>44974</v>
      </c>
      <c r="S57" t="s">
        <v>1465</v>
      </c>
      <c r="T57" t="s">
        <v>1466</v>
      </c>
      <c r="V57" t="s">
        <v>944</v>
      </c>
      <c r="W57" t="s">
        <v>1356</v>
      </c>
      <c r="X57" t="s">
        <v>249</v>
      </c>
      <c r="Y57" t="s">
        <v>249</v>
      </c>
      <c r="Z57" t="s">
        <v>249</v>
      </c>
      <c r="AA57" t="s">
        <v>249</v>
      </c>
      <c r="AB57" t="s">
        <v>249</v>
      </c>
      <c r="AC57" t="s">
        <v>249</v>
      </c>
      <c r="AD57" t="s">
        <v>249</v>
      </c>
    </row>
    <row r="58" spans="1:30" hidden="1" x14ac:dyDescent="0.35">
      <c r="A58" t="s">
        <v>1330</v>
      </c>
      <c r="B58" t="s">
        <v>1461</v>
      </c>
      <c r="C58" t="s">
        <v>1467</v>
      </c>
      <c r="D58" t="s">
        <v>1468</v>
      </c>
      <c r="E58" t="s">
        <v>1336</v>
      </c>
      <c r="F58" s="17">
        <v>44456</v>
      </c>
      <c r="H58" s="17"/>
      <c r="I58">
        <v>10837018609</v>
      </c>
      <c r="J58" t="s">
        <v>249</v>
      </c>
      <c r="K58" s="17">
        <v>33180</v>
      </c>
      <c r="L58">
        <v>35</v>
      </c>
      <c r="M58" t="s">
        <v>1363</v>
      </c>
      <c r="N58" t="s">
        <v>1345</v>
      </c>
      <c r="O58" t="s">
        <v>249</v>
      </c>
      <c r="P58" t="s">
        <v>1469</v>
      </c>
      <c r="Q58" s="17">
        <v>44980</v>
      </c>
      <c r="S58" t="s">
        <v>1470</v>
      </c>
      <c r="T58" t="s">
        <v>1466</v>
      </c>
      <c r="V58" t="s">
        <v>1361</v>
      </c>
      <c r="W58" t="s">
        <v>1356</v>
      </c>
      <c r="X58" t="s">
        <v>249</v>
      </c>
      <c r="Y58" t="s">
        <v>249</v>
      </c>
      <c r="Z58" t="s">
        <v>249</v>
      </c>
      <c r="AA58" t="s">
        <v>249</v>
      </c>
      <c r="AB58" t="s">
        <v>249</v>
      </c>
      <c r="AC58" t="s">
        <v>249</v>
      </c>
      <c r="AD58" t="s">
        <v>249</v>
      </c>
    </row>
    <row r="59" spans="1:30" hidden="1" x14ac:dyDescent="0.35">
      <c r="A59" t="s">
        <v>1330</v>
      </c>
      <c r="B59" t="s">
        <v>1461</v>
      </c>
      <c r="C59" t="s">
        <v>1471</v>
      </c>
      <c r="D59" t="s">
        <v>1472</v>
      </c>
      <c r="E59" t="s">
        <v>1332</v>
      </c>
      <c r="F59" s="17">
        <v>44943</v>
      </c>
      <c r="H59" s="17"/>
      <c r="I59">
        <v>10039667723</v>
      </c>
      <c r="J59" t="s">
        <v>249</v>
      </c>
      <c r="K59" s="17">
        <v>30272</v>
      </c>
      <c r="L59">
        <v>43</v>
      </c>
      <c r="M59" t="s">
        <v>1344</v>
      </c>
      <c r="N59" t="s">
        <v>1345</v>
      </c>
      <c r="O59" t="s">
        <v>249</v>
      </c>
      <c r="P59" t="s">
        <v>1473</v>
      </c>
      <c r="Q59" s="17">
        <v>44986</v>
      </c>
      <c r="S59" t="s">
        <v>1465</v>
      </c>
      <c r="T59" t="s">
        <v>1466</v>
      </c>
      <c r="V59" t="s">
        <v>1474</v>
      </c>
      <c r="W59" t="s">
        <v>1382</v>
      </c>
      <c r="X59" t="s">
        <v>249</v>
      </c>
      <c r="Y59" t="s">
        <v>249</v>
      </c>
      <c r="Z59" t="s">
        <v>249</v>
      </c>
      <c r="AA59" t="s">
        <v>249</v>
      </c>
      <c r="AB59" t="s">
        <v>249</v>
      </c>
      <c r="AC59" t="s">
        <v>249</v>
      </c>
      <c r="AD59" t="s">
        <v>249</v>
      </c>
    </row>
    <row r="60" spans="1:30" hidden="1" x14ac:dyDescent="0.35">
      <c r="A60" t="s">
        <v>1330</v>
      </c>
      <c r="B60" t="s">
        <v>1475</v>
      </c>
      <c r="C60" t="s">
        <v>1476</v>
      </c>
      <c r="D60" t="s">
        <v>1477</v>
      </c>
      <c r="E60" t="s">
        <v>1336</v>
      </c>
      <c r="F60" s="17">
        <v>44413</v>
      </c>
      <c r="H60" s="17"/>
      <c r="I60">
        <v>11256655643</v>
      </c>
      <c r="J60" t="s">
        <v>249</v>
      </c>
      <c r="K60" s="17">
        <v>33652</v>
      </c>
      <c r="L60">
        <v>34</v>
      </c>
      <c r="M60" t="s">
        <v>1363</v>
      </c>
      <c r="N60" t="s">
        <v>1345</v>
      </c>
      <c r="O60" t="s">
        <v>249</v>
      </c>
      <c r="P60" t="s">
        <v>1478</v>
      </c>
      <c r="Q60" s="17">
        <v>44987</v>
      </c>
      <c r="S60" t="s">
        <v>1479</v>
      </c>
      <c r="T60" t="s">
        <v>1480</v>
      </c>
      <c r="V60" t="s">
        <v>1481</v>
      </c>
      <c r="W60" t="s">
        <v>1356</v>
      </c>
      <c r="X60" t="s">
        <v>249</v>
      </c>
      <c r="Y60" t="s">
        <v>249</v>
      </c>
      <c r="Z60" t="s">
        <v>249</v>
      </c>
      <c r="AA60" t="s">
        <v>249</v>
      </c>
      <c r="AB60" t="s">
        <v>249</v>
      </c>
      <c r="AC60" t="s">
        <v>249</v>
      </c>
      <c r="AD60" t="s">
        <v>249</v>
      </c>
    </row>
    <row r="61" spans="1:30" hidden="1" x14ac:dyDescent="0.35">
      <c r="A61" t="s">
        <v>1330</v>
      </c>
      <c r="B61" t="s">
        <v>1475</v>
      </c>
      <c r="C61" t="s">
        <v>1482</v>
      </c>
      <c r="D61" t="s">
        <v>1483</v>
      </c>
      <c r="E61" t="s">
        <v>1332</v>
      </c>
      <c r="F61" s="17">
        <v>44789</v>
      </c>
      <c r="H61" s="17"/>
      <c r="I61">
        <v>1901146308</v>
      </c>
      <c r="J61" t="s">
        <v>249</v>
      </c>
      <c r="K61" s="17">
        <v>31568</v>
      </c>
      <c r="L61">
        <v>40</v>
      </c>
      <c r="M61" t="s">
        <v>1349</v>
      </c>
      <c r="N61" t="s">
        <v>1345</v>
      </c>
      <c r="O61" t="s">
        <v>249</v>
      </c>
      <c r="P61" t="s">
        <v>1484</v>
      </c>
      <c r="Q61" s="17">
        <v>44987</v>
      </c>
      <c r="S61" t="s">
        <v>1485</v>
      </c>
      <c r="T61" t="s">
        <v>1480</v>
      </c>
      <c r="V61" t="s">
        <v>1486</v>
      </c>
      <c r="W61" t="s">
        <v>1356</v>
      </c>
      <c r="X61" t="s">
        <v>249</v>
      </c>
      <c r="Y61" t="s">
        <v>249</v>
      </c>
      <c r="Z61" t="s">
        <v>249</v>
      </c>
      <c r="AA61" t="s">
        <v>249</v>
      </c>
      <c r="AB61" t="s">
        <v>249</v>
      </c>
      <c r="AC61" t="s">
        <v>249</v>
      </c>
      <c r="AD61" t="s">
        <v>249</v>
      </c>
    </row>
    <row r="62" spans="1:30" hidden="1" x14ac:dyDescent="0.35">
      <c r="A62" t="s">
        <v>1330</v>
      </c>
      <c r="B62" t="s">
        <v>1475</v>
      </c>
      <c r="C62" t="s">
        <v>1412</v>
      </c>
      <c r="D62" t="s">
        <v>1487</v>
      </c>
      <c r="E62" t="s">
        <v>1332</v>
      </c>
      <c r="F62" s="17">
        <v>44705</v>
      </c>
      <c r="H62" s="17"/>
      <c r="I62">
        <v>98009370215</v>
      </c>
      <c r="J62" t="s">
        <v>249</v>
      </c>
      <c r="K62" s="17">
        <v>32585</v>
      </c>
      <c r="L62">
        <v>37</v>
      </c>
      <c r="M62" t="s">
        <v>1349</v>
      </c>
      <c r="N62" t="s">
        <v>1345</v>
      </c>
      <c r="O62" t="s">
        <v>249</v>
      </c>
      <c r="P62" t="s">
        <v>1414</v>
      </c>
      <c r="Q62" s="17">
        <v>44988</v>
      </c>
      <c r="S62" t="s">
        <v>1415</v>
      </c>
      <c r="T62" t="s">
        <v>1480</v>
      </c>
      <c r="V62" t="s">
        <v>1416</v>
      </c>
      <c r="W62" t="s">
        <v>1417</v>
      </c>
      <c r="X62" t="s">
        <v>249</v>
      </c>
      <c r="Y62" t="s">
        <v>249</v>
      </c>
      <c r="Z62" t="s">
        <v>249</v>
      </c>
      <c r="AA62" t="s">
        <v>249</v>
      </c>
      <c r="AB62" t="s">
        <v>249</v>
      </c>
      <c r="AC62" t="s">
        <v>249</v>
      </c>
      <c r="AD62" t="s">
        <v>249</v>
      </c>
    </row>
    <row r="63" spans="1:30" hidden="1" x14ac:dyDescent="0.35">
      <c r="A63" t="s">
        <v>1330</v>
      </c>
      <c r="B63" t="s">
        <v>1475</v>
      </c>
      <c r="C63" t="s">
        <v>1488</v>
      </c>
      <c r="D63" t="s">
        <v>1489</v>
      </c>
      <c r="E63" t="s">
        <v>1336</v>
      </c>
      <c r="F63" s="17">
        <v>44914</v>
      </c>
      <c r="H63" s="17"/>
      <c r="I63">
        <v>3720014673</v>
      </c>
      <c r="J63" t="s">
        <v>249</v>
      </c>
      <c r="K63" s="17">
        <v>29305</v>
      </c>
      <c r="L63">
        <v>46</v>
      </c>
      <c r="M63" t="s">
        <v>1344</v>
      </c>
      <c r="N63" t="s">
        <v>1345</v>
      </c>
      <c r="O63" t="s">
        <v>249</v>
      </c>
      <c r="P63" t="s">
        <v>1490</v>
      </c>
      <c r="Q63" s="17">
        <v>44995</v>
      </c>
      <c r="S63" t="s">
        <v>1491</v>
      </c>
      <c r="T63" t="s">
        <v>1480</v>
      </c>
      <c r="V63" t="s">
        <v>941</v>
      </c>
      <c r="W63" t="s">
        <v>1356</v>
      </c>
      <c r="X63" t="s">
        <v>249</v>
      </c>
      <c r="Y63" t="s">
        <v>249</v>
      </c>
      <c r="Z63" t="s">
        <v>249</v>
      </c>
      <c r="AA63" t="s">
        <v>249</v>
      </c>
      <c r="AB63" t="s">
        <v>249</v>
      </c>
      <c r="AC63" t="s">
        <v>249</v>
      </c>
      <c r="AD63" t="s">
        <v>249</v>
      </c>
    </row>
    <row r="64" spans="1:30" hidden="1" x14ac:dyDescent="0.35">
      <c r="A64" t="s">
        <v>1330</v>
      </c>
      <c r="B64">
        <v>0</v>
      </c>
      <c r="C64" t="s">
        <v>1492</v>
      </c>
      <c r="D64" t="s">
        <v>1493</v>
      </c>
      <c r="E64" t="s">
        <v>1332</v>
      </c>
      <c r="F64" s="17">
        <v>44993</v>
      </c>
      <c r="H64" s="17"/>
      <c r="I64">
        <v>6008472500</v>
      </c>
      <c r="J64" t="s">
        <v>249</v>
      </c>
      <c r="K64" s="17">
        <v>36371</v>
      </c>
      <c r="L64">
        <v>27</v>
      </c>
      <c r="M64" t="s">
        <v>1354</v>
      </c>
      <c r="N64" t="s">
        <v>1360</v>
      </c>
      <c r="O64" t="s">
        <v>249</v>
      </c>
      <c r="P64" t="s">
        <v>1494</v>
      </c>
      <c r="Q64" s="17">
        <v>45009</v>
      </c>
      <c r="S64" t="s">
        <v>1495</v>
      </c>
      <c r="T64" t="s">
        <v>249</v>
      </c>
      <c r="V64" t="s">
        <v>1355</v>
      </c>
      <c r="W64" t="s">
        <v>1356</v>
      </c>
      <c r="X64" t="s">
        <v>249</v>
      </c>
      <c r="Y64" t="s">
        <v>249</v>
      </c>
      <c r="Z64" t="s">
        <v>249</v>
      </c>
      <c r="AA64" t="s">
        <v>249</v>
      </c>
      <c r="AB64" t="s">
        <v>249</v>
      </c>
      <c r="AC64" t="s">
        <v>249</v>
      </c>
      <c r="AD64" t="s">
        <v>249</v>
      </c>
    </row>
    <row r="65" spans="1:30" hidden="1" x14ac:dyDescent="0.35">
      <c r="A65" t="s">
        <v>1330</v>
      </c>
      <c r="B65" t="s">
        <v>1475</v>
      </c>
      <c r="C65" t="s">
        <v>1496</v>
      </c>
      <c r="D65" t="s">
        <v>1497</v>
      </c>
      <c r="E65" t="s">
        <v>1332</v>
      </c>
      <c r="F65" s="17">
        <v>44664</v>
      </c>
      <c r="H65" s="17"/>
      <c r="I65">
        <v>12365488684</v>
      </c>
      <c r="J65" t="s">
        <v>249</v>
      </c>
      <c r="K65" s="17">
        <v>34536</v>
      </c>
      <c r="L65">
        <v>32</v>
      </c>
      <c r="M65" t="s">
        <v>1363</v>
      </c>
      <c r="N65" t="s">
        <v>1345</v>
      </c>
      <c r="O65" t="s">
        <v>249</v>
      </c>
      <c r="P65" t="s">
        <v>1498</v>
      </c>
      <c r="Q65" s="17">
        <v>45016</v>
      </c>
      <c r="S65" t="s">
        <v>1499</v>
      </c>
      <c r="T65" t="s">
        <v>1480</v>
      </c>
      <c r="V65" t="s">
        <v>944</v>
      </c>
      <c r="W65" t="s">
        <v>1356</v>
      </c>
      <c r="X65" t="s">
        <v>249</v>
      </c>
      <c r="Y65" t="s">
        <v>249</v>
      </c>
      <c r="Z65" t="s">
        <v>249</v>
      </c>
      <c r="AA65" t="s">
        <v>249</v>
      </c>
      <c r="AB65" t="s">
        <v>249</v>
      </c>
      <c r="AC65" t="s">
        <v>249</v>
      </c>
      <c r="AD65" t="s">
        <v>249</v>
      </c>
    </row>
    <row r="66" spans="1:30" hidden="1" x14ac:dyDescent="0.35">
      <c r="A66" t="s">
        <v>1330</v>
      </c>
      <c r="B66" t="s">
        <v>1461</v>
      </c>
      <c r="C66" t="s">
        <v>1500</v>
      </c>
      <c r="D66" t="s">
        <v>1501</v>
      </c>
      <c r="E66" t="s">
        <v>1336</v>
      </c>
      <c r="F66" s="17">
        <v>44719</v>
      </c>
      <c r="H66" s="17"/>
      <c r="I66">
        <v>7257442606</v>
      </c>
      <c r="J66" t="s">
        <v>249</v>
      </c>
      <c r="K66" s="17">
        <v>31560</v>
      </c>
      <c r="L66">
        <v>40</v>
      </c>
      <c r="M66" t="s">
        <v>1349</v>
      </c>
      <c r="N66" t="s">
        <v>1345</v>
      </c>
      <c r="O66" t="s">
        <v>249</v>
      </c>
      <c r="P66" t="s">
        <v>1502</v>
      </c>
      <c r="Q66" s="17">
        <v>45036</v>
      </c>
      <c r="S66" t="s">
        <v>1503</v>
      </c>
      <c r="T66" t="s">
        <v>1466</v>
      </c>
      <c r="V66" t="s">
        <v>1364</v>
      </c>
      <c r="W66" t="s">
        <v>1356</v>
      </c>
      <c r="X66" t="s">
        <v>249</v>
      </c>
      <c r="Y66" t="s">
        <v>249</v>
      </c>
      <c r="Z66" t="s">
        <v>249</v>
      </c>
      <c r="AA66" t="s">
        <v>249</v>
      </c>
      <c r="AB66" t="s">
        <v>249</v>
      </c>
      <c r="AC66" t="s">
        <v>249</v>
      </c>
      <c r="AD66" t="s">
        <v>249</v>
      </c>
    </row>
    <row r="67" spans="1:30" hidden="1" x14ac:dyDescent="0.35">
      <c r="A67" t="s">
        <v>1330</v>
      </c>
      <c r="B67" t="s">
        <v>1475</v>
      </c>
      <c r="C67" t="s">
        <v>1504</v>
      </c>
      <c r="D67" t="s">
        <v>1505</v>
      </c>
      <c r="E67" t="s">
        <v>1332</v>
      </c>
      <c r="F67" s="17">
        <v>45009</v>
      </c>
      <c r="H67" s="17"/>
      <c r="I67">
        <v>19228366800</v>
      </c>
      <c r="J67" t="s">
        <v>249</v>
      </c>
      <c r="K67" s="17">
        <v>28399</v>
      </c>
      <c r="L67">
        <v>48</v>
      </c>
      <c r="M67" t="s">
        <v>1344</v>
      </c>
      <c r="N67" t="s">
        <v>1380</v>
      </c>
      <c r="O67" t="s">
        <v>249</v>
      </c>
      <c r="P67" t="s">
        <v>1506</v>
      </c>
      <c r="Q67" s="17">
        <v>45041</v>
      </c>
      <c r="S67" t="s">
        <v>1507</v>
      </c>
      <c r="T67" t="s">
        <v>1480</v>
      </c>
      <c r="X67" t="s">
        <v>249</v>
      </c>
      <c r="Y67" t="s">
        <v>249</v>
      </c>
      <c r="Z67" t="s">
        <v>249</v>
      </c>
      <c r="AA67" t="s">
        <v>249</v>
      </c>
      <c r="AB67" t="s">
        <v>249</v>
      </c>
      <c r="AC67" t="s">
        <v>249</v>
      </c>
      <c r="AD67" t="s">
        <v>249</v>
      </c>
    </row>
    <row r="68" spans="1:30" hidden="1" x14ac:dyDescent="0.35">
      <c r="A68" t="s">
        <v>1330</v>
      </c>
      <c r="B68" t="s">
        <v>1475</v>
      </c>
      <c r="C68" t="s">
        <v>1508</v>
      </c>
      <c r="D68" t="s">
        <v>1509</v>
      </c>
      <c r="E68" t="s">
        <v>1332</v>
      </c>
      <c r="F68" s="17">
        <v>44994</v>
      </c>
      <c r="H68" s="17"/>
      <c r="I68">
        <v>7006299632</v>
      </c>
      <c r="J68" t="s">
        <v>249</v>
      </c>
      <c r="K68" s="17">
        <v>31515</v>
      </c>
      <c r="L68">
        <v>40</v>
      </c>
      <c r="M68" t="s">
        <v>1349</v>
      </c>
      <c r="N68" t="s">
        <v>1345</v>
      </c>
      <c r="O68" t="s">
        <v>249</v>
      </c>
      <c r="P68" t="s">
        <v>1510</v>
      </c>
      <c r="Q68" s="17">
        <v>45044</v>
      </c>
      <c r="S68" t="s">
        <v>1511</v>
      </c>
      <c r="T68" t="s">
        <v>1480</v>
      </c>
      <c r="V68" t="s">
        <v>1411</v>
      </c>
      <c r="W68" t="s">
        <v>1347</v>
      </c>
      <c r="X68" t="s">
        <v>249</v>
      </c>
      <c r="Y68" t="s">
        <v>249</v>
      </c>
      <c r="Z68" t="s">
        <v>249</v>
      </c>
      <c r="AA68" t="s">
        <v>249</v>
      </c>
      <c r="AB68" t="s">
        <v>249</v>
      </c>
      <c r="AC68" t="s">
        <v>249</v>
      </c>
      <c r="AD68" t="s">
        <v>249</v>
      </c>
    </row>
    <row r="69" spans="1:30" hidden="1" x14ac:dyDescent="0.35">
      <c r="A69" t="s">
        <v>1330</v>
      </c>
      <c r="B69">
        <v>0</v>
      </c>
      <c r="C69" t="s">
        <v>1512</v>
      </c>
      <c r="D69" t="s">
        <v>1513</v>
      </c>
      <c r="E69" t="s">
        <v>1336</v>
      </c>
      <c r="F69" s="17">
        <v>45056</v>
      </c>
      <c r="H69" s="17"/>
      <c r="I69">
        <v>12478056623</v>
      </c>
      <c r="J69" t="s">
        <v>249</v>
      </c>
      <c r="K69" s="17">
        <v>35182</v>
      </c>
      <c r="L69">
        <v>30</v>
      </c>
      <c r="M69" t="s">
        <v>1354</v>
      </c>
      <c r="N69" t="s">
        <v>1345</v>
      </c>
      <c r="O69" t="s">
        <v>249</v>
      </c>
      <c r="P69" t="s">
        <v>1514</v>
      </c>
      <c r="Q69" s="17">
        <v>45061</v>
      </c>
      <c r="S69" t="s">
        <v>249</v>
      </c>
      <c r="T69" t="s">
        <v>249</v>
      </c>
      <c r="V69" t="s">
        <v>1355</v>
      </c>
      <c r="W69" t="s">
        <v>1356</v>
      </c>
      <c r="X69" t="s">
        <v>249</v>
      </c>
      <c r="Y69" t="s">
        <v>249</v>
      </c>
      <c r="Z69" t="s">
        <v>249</v>
      </c>
      <c r="AA69" t="s">
        <v>249</v>
      </c>
      <c r="AB69" t="s">
        <v>249</v>
      </c>
      <c r="AC69" t="s">
        <v>249</v>
      </c>
      <c r="AD69" t="s">
        <v>249</v>
      </c>
    </row>
    <row r="70" spans="1:30" hidden="1" x14ac:dyDescent="0.35">
      <c r="A70" t="s">
        <v>1330</v>
      </c>
      <c r="B70" t="s">
        <v>1461</v>
      </c>
      <c r="C70" t="s">
        <v>1515</v>
      </c>
      <c r="D70" t="s">
        <v>1516</v>
      </c>
      <c r="E70" t="s">
        <v>1332</v>
      </c>
      <c r="F70" s="17">
        <v>44648</v>
      </c>
      <c r="H70" s="17"/>
      <c r="I70">
        <v>13192729678</v>
      </c>
      <c r="J70" t="s">
        <v>249</v>
      </c>
      <c r="K70" s="17">
        <v>35275</v>
      </c>
      <c r="L70">
        <v>30</v>
      </c>
      <c r="M70" t="s">
        <v>1354</v>
      </c>
      <c r="N70" t="s">
        <v>1345</v>
      </c>
      <c r="O70" t="s">
        <v>249</v>
      </c>
      <c r="P70" t="s">
        <v>1517</v>
      </c>
      <c r="Q70" s="17">
        <v>45065</v>
      </c>
      <c r="S70" t="s">
        <v>1518</v>
      </c>
      <c r="T70" t="s">
        <v>1466</v>
      </c>
      <c r="V70" t="s">
        <v>1519</v>
      </c>
      <c r="W70" t="s">
        <v>1356</v>
      </c>
      <c r="X70" t="s">
        <v>249</v>
      </c>
      <c r="Y70" t="s">
        <v>249</v>
      </c>
      <c r="Z70" t="s">
        <v>249</v>
      </c>
      <c r="AA70" t="s">
        <v>249</v>
      </c>
      <c r="AB70" t="s">
        <v>249</v>
      </c>
      <c r="AC70" t="s">
        <v>249</v>
      </c>
      <c r="AD70" t="s">
        <v>249</v>
      </c>
    </row>
    <row r="71" spans="1:30" hidden="1" x14ac:dyDescent="0.35">
      <c r="A71" t="s">
        <v>1330</v>
      </c>
      <c r="B71" t="s">
        <v>1461</v>
      </c>
      <c r="C71" t="s">
        <v>1520</v>
      </c>
      <c r="D71" t="s">
        <v>1521</v>
      </c>
      <c r="E71" t="s">
        <v>1332</v>
      </c>
      <c r="F71" s="17">
        <v>44991</v>
      </c>
      <c r="H71" s="17"/>
      <c r="I71">
        <v>3144959677</v>
      </c>
      <c r="J71" t="s">
        <v>249</v>
      </c>
      <c r="K71" s="17">
        <v>28689</v>
      </c>
      <c r="L71">
        <v>48</v>
      </c>
      <c r="M71" t="s">
        <v>1344</v>
      </c>
      <c r="N71" t="s">
        <v>1380</v>
      </c>
      <c r="O71" t="s">
        <v>249</v>
      </c>
      <c r="P71" t="s">
        <v>1522</v>
      </c>
      <c r="Q71" s="17">
        <v>45077</v>
      </c>
      <c r="S71" t="s">
        <v>1470</v>
      </c>
      <c r="T71" t="s">
        <v>1466</v>
      </c>
      <c r="V71" t="s">
        <v>1523</v>
      </c>
      <c r="W71" t="s">
        <v>1356</v>
      </c>
      <c r="X71" t="s">
        <v>249</v>
      </c>
      <c r="Y71" t="s">
        <v>249</v>
      </c>
      <c r="Z71" t="s">
        <v>249</v>
      </c>
      <c r="AA71" t="s">
        <v>249</v>
      </c>
      <c r="AB71" t="s">
        <v>249</v>
      </c>
      <c r="AC71" t="s">
        <v>249</v>
      </c>
      <c r="AD71" t="s">
        <v>249</v>
      </c>
    </row>
    <row r="72" spans="1:30" hidden="1" x14ac:dyDescent="0.35">
      <c r="A72" t="s">
        <v>1330</v>
      </c>
      <c r="B72" t="s">
        <v>1475</v>
      </c>
      <c r="C72" t="s">
        <v>1524</v>
      </c>
      <c r="D72" t="s">
        <v>1525</v>
      </c>
      <c r="E72" t="s">
        <v>1336</v>
      </c>
      <c r="F72" s="17">
        <v>45056</v>
      </c>
      <c r="H72" s="17"/>
      <c r="I72">
        <v>10258979607</v>
      </c>
      <c r="J72" t="s">
        <v>249</v>
      </c>
      <c r="K72" s="17">
        <v>33940</v>
      </c>
      <c r="L72">
        <v>33</v>
      </c>
      <c r="M72" t="s">
        <v>1363</v>
      </c>
      <c r="N72" t="s">
        <v>1345</v>
      </c>
      <c r="O72" t="s">
        <v>249</v>
      </c>
      <c r="P72" t="s">
        <v>1526</v>
      </c>
      <c r="Q72" s="17">
        <v>45084</v>
      </c>
      <c r="S72" t="s">
        <v>1527</v>
      </c>
      <c r="T72" t="s">
        <v>1480</v>
      </c>
      <c r="V72" t="s">
        <v>1519</v>
      </c>
      <c r="W72" t="s">
        <v>1356</v>
      </c>
      <c r="X72" t="s">
        <v>249</v>
      </c>
      <c r="Y72" t="s">
        <v>249</v>
      </c>
      <c r="Z72" t="s">
        <v>249</v>
      </c>
      <c r="AA72" t="s">
        <v>249</v>
      </c>
      <c r="AB72" t="s">
        <v>249</v>
      </c>
      <c r="AC72" t="s">
        <v>249</v>
      </c>
      <c r="AD72" t="s">
        <v>249</v>
      </c>
    </row>
    <row r="73" spans="1:30" hidden="1" x14ac:dyDescent="0.35">
      <c r="A73" t="s">
        <v>1330</v>
      </c>
      <c r="B73" t="s">
        <v>1461</v>
      </c>
      <c r="C73" t="s">
        <v>1528</v>
      </c>
      <c r="D73" t="s">
        <v>1529</v>
      </c>
      <c r="E73" t="s">
        <v>1332</v>
      </c>
      <c r="F73" s="17">
        <v>45062</v>
      </c>
      <c r="H73" s="17"/>
      <c r="I73">
        <v>75968533315</v>
      </c>
      <c r="J73" t="s">
        <v>249</v>
      </c>
      <c r="K73" s="17">
        <v>28491</v>
      </c>
      <c r="L73">
        <v>48</v>
      </c>
      <c r="M73" t="s">
        <v>1344</v>
      </c>
      <c r="N73" t="s">
        <v>1380</v>
      </c>
      <c r="O73" t="s">
        <v>249</v>
      </c>
      <c r="P73" t="s">
        <v>1530</v>
      </c>
      <c r="Q73" s="17">
        <v>45084</v>
      </c>
      <c r="S73" t="s">
        <v>1531</v>
      </c>
      <c r="T73" t="s">
        <v>1466</v>
      </c>
      <c r="V73" t="s">
        <v>1532</v>
      </c>
      <c r="W73" t="s">
        <v>1356</v>
      </c>
      <c r="X73" t="s">
        <v>249</v>
      </c>
      <c r="Y73" t="s">
        <v>249</v>
      </c>
      <c r="Z73" t="s">
        <v>249</v>
      </c>
      <c r="AA73" t="s">
        <v>249</v>
      </c>
      <c r="AB73" t="s">
        <v>249</v>
      </c>
      <c r="AC73" t="s">
        <v>249</v>
      </c>
      <c r="AD73" t="s">
        <v>249</v>
      </c>
    </row>
    <row r="74" spans="1:30" hidden="1" x14ac:dyDescent="0.35">
      <c r="A74" t="s">
        <v>1330</v>
      </c>
      <c r="B74" t="s">
        <v>1475</v>
      </c>
      <c r="C74" t="s">
        <v>1533</v>
      </c>
      <c r="D74" t="s">
        <v>1534</v>
      </c>
      <c r="E74" t="s">
        <v>1332</v>
      </c>
      <c r="F74" s="17">
        <v>44636</v>
      </c>
      <c r="H74" s="17"/>
      <c r="I74">
        <v>12636432647</v>
      </c>
      <c r="J74" t="s">
        <v>249</v>
      </c>
      <c r="K74" s="17">
        <v>34666</v>
      </c>
      <c r="L74">
        <v>31</v>
      </c>
      <c r="M74" t="s">
        <v>1363</v>
      </c>
      <c r="N74" t="s">
        <v>1345</v>
      </c>
      <c r="O74" t="s">
        <v>249</v>
      </c>
      <c r="P74" t="s">
        <v>1535</v>
      </c>
      <c r="Q74" s="17">
        <v>45090</v>
      </c>
      <c r="S74" t="s">
        <v>1485</v>
      </c>
      <c r="T74" t="s">
        <v>1480</v>
      </c>
      <c r="V74" t="s">
        <v>1536</v>
      </c>
      <c r="W74" t="s">
        <v>1356</v>
      </c>
      <c r="X74" t="s">
        <v>249</v>
      </c>
      <c r="Y74" t="s">
        <v>249</v>
      </c>
      <c r="Z74" t="s">
        <v>249</v>
      </c>
      <c r="AA74" t="s">
        <v>249</v>
      </c>
      <c r="AB74" t="s">
        <v>249</v>
      </c>
      <c r="AC74" t="s">
        <v>249</v>
      </c>
      <c r="AD74" t="s">
        <v>249</v>
      </c>
    </row>
    <row r="75" spans="1:30" hidden="1" x14ac:dyDescent="0.35">
      <c r="A75" t="s">
        <v>1330</v>
      </c>
      <c r="B75" t="s">
        <v>1461</v>
      </c>
      <c r="C75" t="s">
        <v>1537</v>
      </c>
      <c r="D75" t="s">
        <v>1538</v>
      </c>
      <c r="E75" t="s">
        <v>1336</v>
      </c>
      <c r="F75" s="17">
        <v>45058</v>
      </c>
      <c r="H75" s="17"/>
      <c r="I75">
        <v>9702488656</v>
      </c>
      <c r="J75" t="s">
        <v>249</v>
      </c>
      <c r="K75" s="17">
        <v>32578</v>
      </c>
      <c r="L75">
        <v>37</v>
      </c>
      <c r="M75" t="s">
        <v>1349</v>
      </c>
      <c r="N75" t="s">
        <v>1345</v>
      </c>
      <c r="O75" t="s">
        <v>249</v>
      </c>
      <c r="P75" t="s">
        <v>1539</v>
      </c>
      <c r="Q75" s="17">
        <v>45114</v>
      </c>
      <c r="S75" t="s">
        <v>1503</v>
      </c>
      <c r="T75" t="s">
        <v>1466</v>
      </c>
      <c r="V75" t="s">
        <v>1355</v>
      </c>
      <c r="W75" t="s">
        <v>1356</v>
      </c>
      <c r="X75" t="s">
        <v>249</v>
      </c>
      <c r="Y75" t="s">
        <v>249</v>
      </c>
      <c r="Z75" t="s">
        <v>249</v>
      </c>
      <c r="AA75" t="s">
        <v>249</v>
      </c>
      <c r="AB75" t="s">
        <v>249</v>
      </c>
      <c r="AC75" t="s">
        <v>249</v>
      </c>
      <c r="AD75" t="s">
        <v>249</v>
      </c>
    </row>
    <row r="76" spans="1:30" hidden="1" x14ac:dyDescent="0.35">
      <c r="A76" t="s">
        <v>1330</v>
      </c>
      <c r="B76" t="s">
        <v>1475</v>
      </c>
      <c r="C76" t="s">
        <v>1540</v>
      </c>
      <c r="D76" t="s">
        <v>1541</v>
      </c>
      <c r="E76" t="s">
        <v>1332</v>
      </c>
      <c r="F76" s="17">
        <v>44594</v>
      </c>
      <c r="H76" s="17"/>
      <c r="I76">
        <v>79836038515</v>
      </c>
      <c r="J76" t="s">
        <v>249</v>
      </c>
      <c r="K76" s="17">
        <v>28546</v>
      </c>
      <c r="L76">
        <v>48</v>
      </c>
      <c r="M76" t="s">
        <v>1344</v>
      </c>
      <c r="N76" t="s">
        <v>1380</v>
      </c>
      <c r="O76" t="s">
        <v>249</v>
      </c>
      <c r="P76" t="s">
        <v>1542</v>
      </c>
      <c r="Q76" s="17">
        <v>45124</v>
      </c>
      <c r="S76" t="s">
        <v>1543</v>
      </c>
      <c r="T76" t="s">
        <v>1480</v>
      </c>
      <c r="V76" t="s">
        <v>1361</v>
      </c>
      <c r="W76" t="s">
        <v>1356</v>
      </c>
      <c r="X76" t="s">
        <v>249</v>
      </c>
      <c r="Y76" t="s">
        <v>249</v>
      </c>
      <c r="Z76" t="s">
        <v>249</v>
      </c>
      <c r="AA76" t="s">
        <v>249</v>
      </c>
      <c r="AB76" t="s">
        <v>249</v>
      </c>
      <c r="AC76" t="s">
        <v>249</v>
      </c>
      <c r="AD76" t="s">
        <v>249</v>
      </c>
    </row>
    <row r="77" spans="1:30" hidden="1" x14ac:dyDescent="0.35">
      <c r="A77" t="s">
        <v>1330</v>
      </c>
      <c r="B77">
        <v>0</v>
      </c>
      <c r="C77" t="s">
        <v>1544</v>
      </c>
      <c r="D77" t="s">
        <v>1545</v>
      </c>
      <c r="E77" t="s">
        <v>1332</v>
      </c>
      <c r="F77" s="17">
        <v>44624</v>
      </c>
      <c r="H77" s="17"/>
      <c r="I77">
        <v>12493841689</v>
      </c>
      <c r="J77" t="s">
        <v>249</v>
      </c>
      <c r="K77" s="17">
        <v>34681</v>
      </c>
      <c r="L77">
        <v>31</v>
      </c>
      <c r="M77" t="s">
        <v>1363</v>
      </c>
      <c r="N77" t="s">
        <v>1345</v>
      </c>
      <c r="O77" t="s">
        <v>249</v>
      </c>
      <c r="P77" s="107" t="s">
        <v>1546</v>
      </c>
      <c r="Q77" s="17">
        <v>45145</v>
      </c>
      <c r="S77" t="s">
        <v>1547</v>
      </c>
      <c r="T77" t="s">
        <v>249</v>
      </c>
      <c r="V77" t="s">
        <v>1548</v>
      </c>
      <c r="W77" t="s">
        <v>1356</v>
      </c>
      <c r="X77" t="s">
        <v>249</v>
      </c>
      <c r="Y77" t="s">
        <v>249</v>
      </c>
      <c r="Z77" t="s">
        <v>249</v>
      </c>
      <c r="AA77" t="s">
        <v>249</v>
      </c>
      <c r="AB77" t="s">
        <v>249</v>
      </c>
      <c r="AC77" t="s">
        <v>249</v>
      </c>
      <c r="AD77" t="s">
        <v>249</v>
      </c>
    </row>
    <row r="78" spans="1:30" hidden="1" x14ac:dyDescent="0.35">
      <c r="A78" t="s">
        <v>1330</v>
      </c>
      <c r="B78" t="s">
        <v>1475</v>
      </c>
      <c r="C78" t="s">
        <v>1549</v>
      </c>
      <c r="D78" t="s">
        <v>1550</v>
      </c>
      <c r="E78" t="s">
        <v>1336</v>
      </c>
      <c r="F78" s="17">
        <v>44797</v>
      </c>
      <c r="H78" s="17"/>
      <c r="I78">
        <v>1458802655</v>
      </c>
      <c r="J78" t="s">
        <v>249</v>
      </c>
      <c r="K78" s="17">
        <v>30471</v>
      </c>
      <c r="L78">
        <v>43</v>
      </c>
      <c r="M78" t="s">
        <v>1344</v>
      </c>
      <c r="N78" t="s">
        <v>1345</v>
      </c>
      <c r="O78" t="s">
        <v>249</v>
      </c>
      <c r="P78" t="s">
        <v>1551</v>
      </c>
      <c r="Q78" s="17">
        <v>45154</v>
      </c>
      <c r="R78" t="s">
        <v>1552</v>
      </c>
      <c r="S78" t="s">
        <v>1553</v>
      </c>
      <c r="T78" t="s">
        <v>1480</v>
      </c>
      <c r="V78" t="s">
        <v>1554</v>
      </c>
      <c r="W78" t="s">
        <v>1356</v>
      </c>
      <c r="X78" t="s">
        <v>249</v>
      </c>
      <c r="Y78" t="s">
        <v>249</v>
      </c>
      <c r="Z78" t="s">
        <v>249</v>
      </c>
      <c r="AA78" t="s">
        <v>249</v>
      </c>
      <c r="AB78" t="s">
        <v>249</v>
      </c>
      <c r="AC78" t="s">
        <v>249</v>
      </c>
      <c r="AD78" t="s">
        <v>249</v>
      </c>
    </row>
    <row r="79" spans="1:30" hidden="1" x14ac:dyDescent="0.35">
      <c r="A79" t="s">
        <v>1330</v>
      </c>
      <c r="B79" t="s">
        <v>1475</v>
      </c>
      <c r="C79" t="s">
        <v>1555</v>
      </c>
      <c r="D79" t="s">
        <v>1556</v>
      </c>
      <c r="E79" t="s">
        <v>1332</v>
      </c>
      <c r="F79" s="17">
        <v>45001</v>
      </c>
      <c r="H79" s="17"/>
      <c r="I79">
        <v>545296382</v>
      </c>
      <c r="J79" t="s">
        <v>249</v>
      </c>
      <c r="K79" s="17">
        <v>31310</v>
      </c>
      <c r="L79">
        <v>40</v>
      </c>
      <c r="M79" t="s">
        <v>1349</v>
      </c>
      <c r="N79" t="s">
        <v>1345</v>
      </c>
      <c r="O79" t="s">
        <v>249</v>
      </c>
      <c r="P79" t="s">
        <v>1557</v>
      </c>
      <c r="Q79" s="17">
        <v>45156</v>
      </c>
      <c r="S79" t="s">
        <v>1558</v>
      </c>
      <c r="T79" t="s">
        <v>1480</v>
      </c>
      <c r="V79" t="s">
        <v>1355</v>
      </c>
      <c r="W79" t="s">
        <v>1356</v>
      </c>
      <c r="X79" t="s">
        <v>249</v>
      </c>
      <c r="Y79" t="s">
        <v>249</v>
      </c>
      <c r="Z79" t="s">
        <v>249</v>
      </c>
      <c r="AA79" t="s">
        <v>249</v>
      </c>
      <c r="AB79" t="s">
        <v>249</v>
      </c>
      <c r="AC79" t="s">
        <v>249</v>
      </c>
      <c r="AD79" t="s">
        <v>249</v>
      </c>
    </row>
    <row r="80" spans="1:30" hidden="1" x14ac:dyDescent="0.35">
      <c r="A80" t="s">
        <v>1330</v>
      </c>
      <c r="B80" t="s">
        <v>1475</v>
      </c>
      <c r="C80" t="s">
        <v>1559</v>
      </c>
      <c r="D80" t="s">
        <v>1560</v>
      </c>
      <c r="E80" t="s">
        <v>1332</v>
      </c>
      <c r="F80" s="17">
        <v>45103</v>
      </c>
      <c r="H80" s="17"/>
      <c r="I80">
        <v>2095856414</v>
      </c>
      <c r="J80" t="s">
        <v>249</v>
      </c>
      <c r="K80" s="17">
        <v>27832</v>
      </c>
      <c r="L80">
        <v>50</v>
      </c>
      <c r="M80" t="s">
        <v>1344</v>
      </c>
      <c r="N80" t="s">
        <v>1380</v>
      </c>
      <c r="O80" t="s">
        <v>249</v>
      </c>
      <c r="P80" t="s">
        <v>1561</v>
      </c>
      <c r="Q80" s="17">
        <v>45163</v>
      </c>
      <c r="S80" t="s">
        <v>1527</v>
      </c>
      <c r="T80" t="s">
        <v>1480</v>
      </c>
      <c r="V80" t="s">
        <v>1416</v>
      </c>
      <c r="W80" t="s">
        <v>1417</v>
      </c>
      <c r="X80" t="s">
        <v>249</v>
      </c>
      <c r="Y80" t="s">
        <v>249</v>
      </c>
      <c r="Z80" t="s">
        <v>249</v>
      </c>
      <c r="AA80" t="s">
        <v>249</v>
      </c>
      <c r="AB80" t="s">
        <v>249</v>
      </c>
      <c r="AC80" t="s">
        <v>249</v>
      </c>
      <c r="AD80" t="s">
        <v>249</v>
      </c>
    </row>
    <row r="81" spans="1:30" hidden="1" x14ac:dyDescent="0.35">
      <c r="A81" t="s">
        <v>1330</v>
      </c>
      <c r="B81" t="s">
        <v>1475</v>
      </c>
      <c r="C81" t="s">
        <v>1562</v>
      </c>
      <c r="D81" t="s">
        <v>1563</v>
      </c>
      <c r="E81" t="s">
        <v>1332</v>
      </c>
      <c r="F81" s="17">
        <v>45110</v>
      </c>
      <c r="H81" s="17"/>
      <c r="I81">
        <v>492332622</v>
      </c>
      <c r="J81" t="s">
        <v>249</v>
      </c>
      <c r="K81" s="17">
        <v>27565</v>
      </c>
      <c r="L81">
        <v>51</v>
      </c>
      <c r="M81" t="s">
        <v>1564</v>
      </c>
      <c r="N81" t="s">
        <v>1380</v>
      </c>
      <c r="O81" t="s">
        <v>249</v>
      </c>
      <c r="P81" t="s">
        <v>1565</v>
      </c>
      <c r="Q81" s="17">
        <v>45166</v>
      </c>
      <c r="S81" t="s">
        <v>1566</v>
      </c>
      <c r="T81" t="s">
        <v>1480</v>
      </c>
      <c r="V81" t="s">
        <v>1439</v>
      </c>
      <c r="W81" t="s">
        <v>1356</v>
      </c>
      <c r="X81" t="s">
        <v>249</v>
      </c>
      <c r="Y81" t="s">
        <v>249</v>
      </c>
      <c r="Z81" t="s">
        <v>249</v>
      </c>
      <c r="AA81" t="s">
        <v>249</v>
      </c>
      <c r="AB81" t="s">
        <v>249</v>
      </c>
      <c r="AC81" t="s">
        <v>249</v>
      </c>
      <c r="AD81" t="s">
        <v>249</v>
      </c>
    </row>
    <row r="82" spans="1:30" hidden="1" x14ac:dyDescent="0.35">
      <c r="A82" t="s">
        <v>1330</v>
      </c>
      <c r="B82" t="s">
        <v>1461</v>
      </c>
      <c r="C82" t="s">
        <v>1567</v>
      </c>
      <c r="D82" t="s">
        <v>1568</v>
      </c>
      <c r="E82" t="s">
        <v>1332</v>
      </c>
      <c r="F82" s="17">
        <v>44489</v>
      </c>
      <c r="H82" s="17"/>
      <c r="I82">
        <v>7100313600</v>
      </c>
      <c r="J82" t="s">
        <v>249</v>
      </c>
      <c r="K82" s="17">
        <v>31299</v>
      </c>
      <c r="L82">
        <v>40</v>
      </c>
      <c r="M82" t="s">
        <v>1349</v>
      </c>
      <c r="N82" t="s">
        <v>1345</v>
      </c>
      <c r="O82" t="s">
        <v>249</v>
      </c>
      <c r="P82" t="s">
        <v>1569</v>
      </c>
      <c r="Q82" s="17">
        <v>45168</v>
      </c>
      <c r="S82" t="s">
        <v>1470</v>
      </c>
      <c r="T82" t="s">
        <v>1466</v>
      </c>
      <c r="V82" t="s">
        <v>1570</v>
      </c>
      <c r="W82" t="s">
        <v>1356</v>
      </c>
      <c r="X82" t="s">
        <v>249</v>
      </c>
      <c r="Y82" t="s">
        <v>249</v>
      </c>
      <c r="Z82" t="s">
        <v>249</v>
      </c>
      <c r="AA82" t="s">
        <v>249</v>
      </c>
      <c r="AB82" t="s">
        <v>249</v>
      </c>
      <c r="AC82" t="s">
        <v>249</v>
      </c>
      <c r="AD82" t="s">
        <v>249</v>
      </c>
    </row>
    <row r="83" spans="1:30" hidden="1" x14ac:dyDescent="0.35">
      <c r="A83" t="s">
        <v>1330</v>
      </c>
      <c r="B83" t="s">
        <v>1475</v>
      </c>
      <c r="C83" t="s">
        <v>657</v>
      </c>
      <c r="D83" t="s">
        <v>1571</v>
      </c>
      <c r="E83" t="s">
        <v>1332</v>
      </c>
      <c r="F83" s="17">
        <v>46090</v>
      </c>
      <c r="H83" s="17"/>
      <c r="I83" t="s">
        <v>1572</v>
      </c>
      <c r="J83">
        <v>42850065</v>
      </c>
      <c r="K83" s="17">
        <v>34726</v>
      </c>
      <c r="L83">
        <v>31</v>
      </c>
      <c r="M83" t="s">
        <v>1363</v>
      </c>
      <c r="N83" t="s">
        <v>1345</v>
      </c>
      <c r="O83" t="s">
        <v>1573</v>
      </c>
      <c r="P83" t="s">
        <v>1574</v>
      </c>
      <c r="Q83" s="17">
        <v>45175</v>
      </c>
      <c r="R83" t="s">
        <v>1552</v>
      </c>
      <c r="S83" t="s">
        <v>1558</v>
      </c>
      <c r="T83" t="s">
        <v>1480</v>
      </c>
      <c r="X83" t="s">
        <v>1575</v>
      </c>
      <c r="Y83" t="s">
        <v>1576</v>
      </c>
      <c r="Z83" t="s">
        <v>1577</v>
      </c>
      <c r="AA83" t="s">
        <v>1578</v>
      </c>
      <c r="AB83" t="s">
        <v>1579</v>
      </c>
      <c r="AC83" t="s">
        <v>1580</v>
      </c>
      <c r="AD83" t="s">
        <v>1581</v>
      </c>
    </row>
    <row r="84" spans="1:30" hidden="1" x14ac:dyDescent="0.35">
      <c r="A84" t="s">
        <v>1330</v>
      </c>
      <c r="B84" t="s">
        <v>1461</v>
      </c>
      <c r="C84" t="s">
        <v>1582</v>
      </c>
      <c r="D84" t="s">
        <v>1583</v>
      </c>
      <c r="E84" t="s">
        <v>1336</v>
      </c>
      <c r="F84" s="17">
        <v>44678</v>
      </c>
      <c r="H84" s="17"/>
      <c r="I84">
        <v>7874655699</v>
      </c>
      <c r="J84" t="s">
        <v>249</v>
      </c>
      <c r="K84" s="17">
        <v>32299</v>
      </c>
      <c r="L84">
        <v>38</v>
      </c>
      <c r="M84" t="s">
        <v>1349</v>
      </c>
      <c r="N84" t="s">
        <v>1345</v>
      </c>
      <c r="O84" t="s">
        <v>249</v>
      </c>
      <c r="P84" t="s">
        <v>1584</v>
      </c>
      <c r="Q84" s="17">
        <v>45178</v>
      </c>
      <c r="S84" t="s">
        <v>1585</v>
      </c>
      <c r="T84" t="s">
        <v>1466</v>
      </c>
      <c r="V84" t="s">
        <v>1355</v>
      </c>
      <c r="W84" t="s">
        <v>1356</v>
      </c>
      <c r="X84" t="s">
        <v>249</v>
      </c>
      <c r="Y84" t="s">
        <v>249</v>
      </c>
      <c r="Z84" t="s">
        <v>249</v>
      </c>
      <c r="AA84" t="s">
        <v>249</v>
      </c>
      <c r="AB84" t="s">
        <v>249</v>
      </c>
      <c r="AC84" t="s">
        <v>249</v>
      </c>
      <c r="AD84" t="s">
        <v>249</v>
      </c>
    </row>
    <row r="85" spans="1:30" hidden="1" x14ac:dyDescent="0.35">
      <c r="A85" t="s">
        <v>1330</v>
      </c>
      <c r="B85" t="s">
        <v>1475</v>
      </c>
      <c r="C85" t="s">
        <v>1586</v>
      </c>
      <c r="D85" t="s">
        <v>1587</v>
      </c>
      <c r="E85" t="s">
        <v>1332</v>
      </c>
      <c r="F85" s="17">
        <v>45162</v>
      </c>
      <c r="H85" s="17"/>
      <c r="I85" t="s">
        <v>1588</v>
      </c>
      <c r="J85" t="s">
        <v>249</v>
      </c>
      <c r="K85" s="17">
        <v>34045</v>
      </c>
      <c r="L85">
        <v>33</v>
      </c>
      <c r="M85" t="s">
        <v>1363</v>
      </c>
      <c r="N85" t="s">
        <v>1345</v>
      </c>
      <c r="O85" t="s">
        <v>249</v>
      </c>
      <c r="P85" t="s">
        <v>1589</v>
      </c>
      <c r="Q85" s="17">
        <v>45188</v>
      </c>
      <c r="S85" t="s">
        <v>1507</v>
      </c>
      <c r="T85" t="s">
        <v>1480</v>
      </c>
      <c r="V85" t="s">
        <v>1590</v>
      </c>
      <c r="W85" t="s">
        <v>1382</v>
      </c>
      <c r="X85" t="s">
        <v>1575</v>
      </c>
      <c r="Y85" t="s">
        <v>249</v>
      </c>
      <c r="Z85" t="s">
        <v>249</v>
      </c>
      <c r="AA85" t="s">
        <v>249</v>
      </c>
      <c r="AB85" t="s">
        <v>249</v>
      </c>
      <c r="AC85" t="s">
        <v>249</v>
      </c>
      <c r="AD85" t="s">
        <v>249</v>
      </c>
    </row>
    <row r="86" spans="1:30" hidden="1" x14ac:dyDescent="0.35">
      <c r="A86" t="s">
        <v>1330</v>
      </c>
      <c r="B86" t="s">
        <v>1461</v>
      </c>
      <c r="C86" t="s">
        <v>1591</v>
      </c>
      <c r="D86" t="s">
        <v>1592</v>
      </c>
      <c r="E86" t="s">
        <v>1332</v>
      </c>
      <c r="F86" s="17">
        <v>45068</v>
      </c>
      <c r="H86" s="17"/>
      <c r="I86">
        <v>11627683631</v>
      </c>
      <c r="J86" t="s">
        <v>249</v>
      </c>
      <c r="K86" s="17">
        <v>36767</v>
      </c>
      <c r="L86">
        <v>25</v>
      </c>
      <c r="M86" t="s">
        <v>1419</v>
      </c>
      <c r="N86" t="s">
        <v>1360</v>
      </c>
      <c r="O86" t="s">
        <v>249</v>
      </c>
      <c r="P86" t="s">
        <v>1593</v>
      </c>
      <c r="Q86" s="17">
        <v>45188</v>
      </c>
      <c r="S86" t="s">
        <v>1594</v>
      </c>
      <c r="T86" t="s">
        <v>1466</v>
      </c>
      <c r="V86" t="s">
        <v>1355</v>
      </c>
      <c r="W86" t="s">
        <v>1356</v>
      </c>
      <c r="X86" t="s">
        <v>249</v>
      </c>
      <c r="Y86" t="s">
        <v>249</v>
      </c>
      <c r="Z86" t="s">
        <v>249</v>
      </c>
      <c r="AA86" t="s">
        <v>249</v>
      </c>
      <c r="AB86" t="s">
        <v>249</v>
      </c>
      <c r="AC86" t="s">
        <v>249</v>
      </c>
      <c r="AD86" t="s">
        <v>249</v>
      </c>
    </row>
    <row r="87" spans="1:30" hidden="1" x14ac:dyDescent="0.35">
      <c r="A87" t="s">
        <v>1330</v>
      </c>
      <c r="B87" t="s">
        <v>1475</v>
      </c>
      <c r="C87" t="s">
        <v>1595</v>
      </c>
      <c r="D87" t="s">
        <v>1596</v>
      </c>
      <c r="E87" t="s">
        <v>1336</v>
      </c>
      <c r="F87" s="17">
        <v>45005</v>
      </c>
      <c r="H87" s="17"/>
      <c r="I87">
        <v>7800898636</v>
      </c>
      <c r="J87" t="s">
        <v>249</v>
      </c>
      <c r="K87" s="17">
        <v>31387</v>
      </c>
      <c r="L87">
        <v>40</v>
      </c>
      <c r="M87" t="s">
        <v>1349</v>
      </c>
      <c r="N87" t="s">
        <v>1345</v>
      </c>
      <c r="O87" t="s">
        <v>249</v>
      </c>
      <c r="P87" t="s">
        <v>1597</v>
      </c>
      <c r="Q87" s="17">
        <v>45198</v>
      </c>
      <c r="S87" t="s">
        <v>1598</v>
      </c>
      <c r="T87" t="s">
        <v>1480</v>
      </c>
      <c r="X87" t="s">
        <v>249</v>
      </c>
      <c r="Y87" t="s">
        <v>249</v>
      </c>
      <c r="Z87" t="s">
        <v>249</v>
      </c>
      <c r="AA87" t="s">
        <v>249</v>
      </c>
      <c r="AB87" t="s">
        <v>249</v>
      </c>
      <c r="AC87" t="s">
        <v>249</v>
      </c>
      <c r="AD87" t="s">
        <v>249</v>
      </c>
    </row>
    <row r="88" spans="1:30" hidden="1" x14ac:dyDescent="0.35">
      <c r="A88" t="s">
        <v>1330</v>
      </c>
      <c r="B88" t="s">
        <v>1461</v>
      </c>
      <c r="C88" t="s">
        <v>1599</v>
      </c>
      <c r="D88" t="s">
        <v>1600</v>
      </c>
      <c r="E88" t="s">
        <v>1336</v>
      </c>
      <c r="F88" s="17">
        <v>45132</v>
      </c>
      <c r="H88" s="17"/>
      <c r="I88" t="s">
        <v>1601</v>
      </c>
      <c r="J88" t="s">
        <v>249</v>
      </c>
      <c r="K88" s="17">
        <v>36417</v>
      </c>
      <c r="L88">
        <v>26</v>
      </c>
      <c r="M88" t="s">
        <v>1354</v>
      </c>
      <c r="N88" t="s">
        <v>1360</v>
      </c>
      <c r="O88" t="s">
        <v>249</v>
      </c>
      <c r="P88" t="s">
        <v>1602</v>
      </c>
      <c r="Q88" s="17">
        <v>45203</v>
      </c>
      <c r="S88" t="s">
        <v>1603</v>
      </c>
      <c r="T88" t="s">
        <v>1466</v>
      </c>
      <c r="V88" t="s">
        <v>1364</v>
      </c>
      <c r="W88" t="s">
        <v>1356</v>
      </c>
      <c r="X88" t="s">
        <v>249</v>
      </c>
      <c r="Y88" t="s">
        <v>249</v>
      </c>
      <c r="Z88" t="s">
        <v>249</v>
      </c>
      <c r="AA88" t="s">
        <v>249</v>
      </c>
      <c r="AB88" t="s">
        <v>249</v>
      </c>
      <c r="AC88" t="s">
        <v>249</v>
      </c>
      <c r="AD88" t="s">
        <v>249</v>
      </c>
    </row>
    <row r="89" spans="1:30" hidden="1" x14ac:dyDescent="0.35">
      <c r="A89" t="s">
        <v>1330</v>
      </c>
      <c r="B89" t="s">
        <v>1475</v>
      </c>
      <c r="C89" t="s">
        <v>1604</v>
      </c>
      <c r="D89" t="s">
        <v>1605</v>
      </c>
      <c r="E89" t="s">
        <v>1332</v>
      </c>
      <c r="F89" s="17">
        <v>44965</v>
      </c>
      <c r="H89" s="17"/>
      <c r="I89">
        <v>12382913681</v>
      </c>
      <c r="J89" t="s">
        <v>249</v>
      </c>
      <c r="K89" s="17">
        <v>34362</v>
      </c>
      <c r="L89">
        <v>32</v>
      </c>
      <c r="M89" t="s">
        <v>1363</v>
      </c>
      <c r="N89" t="s">
        <v>1345</v>
      </c>
      <c r="O89" t="s">
        <v>249</v>
      </c>
      <c r="P89" t="s">
        <v>1606</v>
      </c>
      <c r="Q89" s="17">
        <v>45203</v>
      </c>
      <c r="S89" t="s">
        <v>1607</v>
      </c>
      <c r="T89" t="s">
        <v>1480</v>
      </c>
      <c r="V89" t="s">
        <v>1355</v>
      </c>
      <c r="W89" t="s">
        <v>1356</v>
      </c>
      <c r="X89" t="s">
        <v>249</v>
      </c>
      <c r="Y89" t="s">
        <v>249</v>
      </c>
      <c r="Z89" t="s">
        <v>249</v>
      </c>
      <c r="AA89" t="s">
        <v>249</v>
      </c>
      <c r="AB89" t="s">
        <v>249</v>
      </c>
      <c r="AC89" t="s">
        <v>249</v>
      </c>
      <c r="AD89" t="s">
        <v>249</v>
      </c>
    </row>
    <row r="90" spans="1:30" hidden="1" x14ac:dyDescent="0.35">
      <c r="A90" t="s">
        <v>1330</v>
      </c>
      <c r="B90" t="s">
        <v>1475</v>
      </c>
      <c r="C90" t="s">
        <v>1608</v>
      </c>
      <c r="D90" t="s">
        <v>1609</v>
      </c>
      <c r="E90" t="s">
        <v>1332</v>
      </c>
      <c r="F90" s="17">
        <v>44994</v>
      </c>
      <c r="H90" s="17"/>
      <c r="I90">
        <v>9952943644</v>
      </c>
      <c r="J90" t="s">
        <v>249</v>
      </c>
      <c r="K90" s="17">
        <v>32846</v>
      </c>
      <c r="L90">
        <v>36</v>
      </c>
      <c r="M90" t="s">
        <v>1349</v>
      </c>
      <c r="N90" t="s">
        <v>1345</v>
      </c>
      <c r="O90" t="s">
        <v>249</v>
      </c>
      <c r="P90" t="s">
        <v>1610</v>
      </c>
      <c r="Q90" s="17">
        <v>45209</v>
      </c>
      <c r="S90" t="s">
        <v>1511</v>
      </c>
      <c r="T90" t="s">
        <v>1480</v>
      </c>
      <c r="V90" t="s">
        <v>1361</v>
      </c>
      <c r="W90" t="s">
        <v>1356</v>
      </c>
      <c r="X90" t="s">
        <v>249</v>
      </c>
      <c r="Y90" t="s">
        <v>249</v>
      </c>
      <c r="Z90" t="s">
        <v>249</v>
      </c>
      <c r="AA90" t="s">
        <v>249</v>
      </c>
      <c r="AB90" t="s">
        <v>249</v>
      </c>
      <c r="AC90" t="s">
        <v>249</v>
      </c>
      <c r="AD90" t="s">
        <v>249</v>
      </c>
    </row>
    <row r="91" spans="1:30" hidden="1" x14ac:dyDescent="0.35">
      <c r="A91" t="s">
        <v>1330</v>
      </c>
      <c r="B91" t="s">
        <v>1461</v>
      </c>
      <c r="C91" t="s">
        <v>1611</v>
      </c>
      <c r="D91" t="s">
        <v>1612</v>
      </c>
      <c r="E91" t="s">
        <v>1336</v>
      </c>
      <c r="F91" s="17">
        <v>45083</v>
      </c>
      <c r="H91" s="17"/>
      <c r="I91">
        <v>11283333686</v>
      </c>
      <c r="J91" t="s">
        <v>249</v>
      </c>
      <c r="K91" s="17">
        <v>35279</v>
      </c>
      <c r="L91">
        <v>30</v>
      </c>
      <c r="M91" t="s">
        <v>1354</v>
      </c>
      <c r="N91" t="s">
        <v>1345</v>
      </c>
      <c r="O91" t="s">
        <v>249</v>
      </c>
      <c r="P91" t="s">
        <v>1613</v>
      </c>
      <c r="Q91" s="17">
        <v>45215</v>
      </c>
      <c r="S91" t="s">
        <v>1594</v>
      </c>
      <c r="T91" t="s">
        <v>1466</v>
      </c>
      <c r="V91" t="s">
        <v>1355</v>
      </c>
      <c r="W91" t="s">
        <v>1356</v>
      </c>
      <c r="X91" t="s">
        <v>249</v>
      </c>
      <c r="Y91" t="s">
        <v>249</v>
      </c>
      <c r="Z91" t="s">
        <v>249</v>
      </c>
      <c r="AA91" t="s">
        <v>249</v>
      </c>
      <c r="AB91" t="s">
        <v>249</v>
      </c>
      <c r="AC91" t="s">
        <v>249</v>
      </c>
      <c r="AD91" t="s">
        <v>249</v>
      </c>
    </row>
    <row r="92" spans="1:30" hidden="1" x14ac:dyDescent="0.35">
      <c r="A92" t="s">
        <v>1330</v>
      </c>
      <c r="B92" t="s">
        <v>1461</v>
      </c>
      <c r="C92" t="s">
        <v>1614</v>
      </c>
      <c r="D92" t="s">
        <v>1615</v>
      </c>
      <c r="E92" t="s">
        <v>1336</v>
      </c>
      <c r="F92" s="17">
        <v>44578</v>
      </c>
      <c r="H92" s="17"/>
      <c r="I92">
        <v>6123206699</v>
      </c>
      <c r="J92" t="s">
        <v>249</v>
      </c>
      <c r="K92" s="17">
        <v>30940</v>
      </c>
      <c r="L92">
        <v>41</v>
      </c>
      <c r="M92" t="s">
        <v>1344</v>
      </c>
      <c r="N92" t="s">
        <v>1345</v>
      </c>
      <c r="O92" t="s">
        <v>249</v>
      </c>
      <c r="P92" t="s">
        <v>1616</v>
      </c>
      <c r="Q92" s="17">
        <v>45219</v>
      </c>
      <c r="S92" t="s">
        <v>1617</v>
      </c>
      <c r="T92" t="s">
        <v>1466</v>
      </c>
      <c r="V92" t="s">
        <v>1355</v>
      </c>
      <c r="W92" t="s">
        <v>1356</v>
      </c>
      <c r="X92" t="s">
        <v>249</v>
      </c>
      <c r="Y92" t="s">
        <v>249</v>
      </c>
      <c r="Z92" t="s">
        <v>249</v>
      </c>
      <c r="AA92" t="s">
        <v>249</v>
      </c>
      <c r="AB92" t="s">
        <v>249</v>
      </c>
      <c r="AC92" t="s">
        <v>249</v>
      </c>
      <c r="AD92" t="s">
        <v>249</v>
      </c>
    </row>
    <row r="93" spans="1:30" hidden="1" x14ac:dyDescent="0.35">
      <c r="A93" t="s">
        <v>1330</v>
      </c>
      <c r="B93" t="s">
        <v>1475</v>
      </c>
      <c r="C93" t="s">
        <v>1618</v>
      </c>
      <c r="D93" t="s">
        <v>1619</v>
      </c>
      <c r="E93" t="s">
        <v>1332</v>
      </c>
      <c r="F93" s="17">
        <v>44959</v>
      </c>
      <c r="H93" s="17"/>
      <c r="I93">
        <v>9654149656</v>
      </c>
      <c r="J93" t="s">
        <v>249</v>
      </c>
      <c r="K93" s="17">
        <v>35247</v>
      </c>
      <c r="L93">
        <v>30</v>
      </c>
      <c r="M93" t="s">
        <v>1354</v>
      </c>
      <c r="N93" t="s">
        <v>1345</v>
      </c>
      <c r="O93" t="s">
        <v>249</v>
      </c>
      <c r="P93" t="s">
        <v>1620</v>
      </c>
      <c r="Q93" s="17">
        <v>45223</v>
      </c>
      <c r="S93" t="s">
        <v>1621</v>
      </c>
      <c r="T93" t="s">
        <v>1480</v>
      </c>
      <c r="V93" t="s">
        <v>1355</v>
      </c>
      <c r="W93" t="s">
        <v>1356</v>
      </c>
      <c r="X93" t="s">
        <v>249</v>
      </c>
      <c r="Y93" t="s">
        <v>249</v>
      </c>
      <c r="Z93" t="s">
        <v>249</v>
      </c>
      <c r="AA93" t="s">
        <v>249</v>
      </c>
      <c r="AB93" t="s">
        <v>249</v>
      </c>
      <c r="AC93" t="s">
        <v>249</v>
      </c>
      <c r="AD93" t="s">
        <v>249</v>
      </c>
    </row>
    <row r="94" spans="1:30" hidden="1" x14ac:dyDescent="0.35">
      <c r="A94" t="s">
        <v>1330</v>
      </c>
      <c r="B94" t="s">
        <v>1475</v>
      </c>
      <c r="C94" t="s">
        <v>1622</v>
      </c>
      <c r="D94" t="s">
        <v>1623</v>
      </c>
      <c r="E94" t="s">
        <v>1332</v>
      </c>
      <c r="F94" s="17">
        <v>44956</v>
      </c>
      <c r="H94" s="17"/>
      <c r="I94">
        <v>22829491882</v>
      </c>
      <c r="J94" t="s">
        <v>249</v>
      </c>
      <c r="K94" s="17">
        <v>31518</v>
      </c>
      <c r="L94">
        <v>40</v>
      </c>
      <c r="M94" t="s">
        <v>1349</v>
      </c>
      <c r="N94" t="s">
        <v>1345</v>
      </c>
      <c r="O94" t="s">
        <v>249</v>
      </c>
      <c r="P94" t="s">
        <v>1624</v>
      </c>
      <c r="Q94" s="17">
        <v>45229</v>
      </c>
      <c r="S94" t="s">
        <v>1527</v>
      </c>
      <c r="T94" t="s">
        <v>1480</v>
      </c>
      <c r="V94" t="s">
        <v>1625</v>
      </c>
      <c r="W94" t="s">
        <v>1347</v>
      </c>
      <c r="X94" t="s">
        <v>249</v>
      </c>
      <c r="Y94" t="s">
        <v>249</v>
      </c>
      <c r="Z94" t="s">
        <v>249</v>
      </c>
      <c r="AA94" t="s">
        <v>249</v>
      </c>
      <c r="AB94" t="s">
        <v>249</v>
      </c>
      <c r="AC94" t="s">
        <v>249</v>
      </c>
      <c r="AD94" t="s">
        <v>249</v>
      </c>
    </row>
    <row r="95" spans="1:30" hidden="1" x14ac:dyDescent="0.35">
      <c r="A95" t="s">
        <v>1330</v>
      </c>
      <c r="B95" t="s">
        <v>1475</v>
      </c>
      <c r="C95" t="s">
        <v>1626</v>
      </c>
      <c r="D95" t="s">
        <v>1627</v>
      </c>
      <c r="E95" t="s">
        <v>1332</v>
      </c>
      <c r="F95" s="17">
        <v>45180</v>
      </c>
      <c r="H95" s="17"/>
      <c r="I95" t="s">
        <v>1628</v>
      </c>
      <c r="J95" t="s">
        <v>249</v>
      </c>
      <c r="K95" s="17">
        <v>29030</v>
      </c>
      <c r="L95">
        <v>47</v>
      </c>
      <c r="M95" t="s">
        <v>1344</v>
      </c>
      <c r="N95" t="s">
        <v>1380</v>
      </c>
      <c r="O95" t="s">
        <v>249</v>
      </c>
      <c r="P95" t="s">
        <v>1629</v>
      </c>
      <c r="Q95" s="17">
        <v>45231</v>
      </c>
      <c r="S95" t="s">
        <v>1607</v>
      </c>
      <c r="T95" t="s">
        <v>1480</v>
      </c>
      <c r="V95" t="s">
        <v>1355</v>
      </c>
      <c r="W95" t="s">
        <v>1356</v>
      </c>
      <c r="X95" t="s">
        <v>249</v>
      </c>
      <c r="Y95" t="s">
        <v>249</v>
      </c>
      <c r="Z95" t="s">
        <v>249</v>
      </c>
      <c r="AA95" t="s">
        <v>249</v>
      </c>
      <c r="AB95" t="s">
        <v>249</v>
      </c>
      <c r="AC95" t="s">
        <v>249</v>
      </c>
      <c r="AD95" t="s">
        <v>249</v>
      </c>
    </row>
    <row r="96" spans="1:30" hidden="1" x14ac:dyDescent="0.35">
      <c r="A96" t="s">
        <v>1330</v>
      </c>
      <c r="B96" t="s">
        <v>1475</v>
      </c>
      <c r="C96" t="s">
        <v>1630</v>
      </c>
      <c r="D96" t="s">
        <v>1631</v>
      </c>
      <c r="E96" t="s">
        <v>1332</v>
      </c>
      <c r="F96" s="17">
        <v>45131</v>
      </c>
      <c r="H96" s="17"/>
      <c r="I96" t="s">
        <v>1632</v>
      </c>
      <c r="J96" t="s">
        <v>249</v>
      </c>
      <c r="K96" s="17">
        <v>32119</v>
      </c>
      <c r="L96">
        <v>38</v>
      </c>
      <c r="M96" t="s">
        <v>1349</v>
      </c>
      <c r="N96" t="s">
        <v>1345</v>
      </c>
      <c r="O96" t="s">
        <v>249</v>
      </c>
      <c r="P96" t="s">
        <v>1633</v>
      </c>
      <c r="Q96" s="17">
        <v>45231</v>
      </c>
      <c r="S96" t="s">
        <v>1634</v>
      </c>
      <c r="T96" t="s">
        <v>1480</v>
      </c>
      <c r="V96" t="s">
        <v>1355</v>
      </c>
      <c r="W96" t="s">
        <v>1356</v>
      </c>
      <c r="X96" t="s">
        <v>249</v>
      </c>
      <c r="Y96" t="s">
        <v>249</v>
      </c>
      <c r="Z96" t="s">
        <v>249</v>
      </c>
      <c r="AA96" t="s">
        <v>249</v>
      </c>
      <c r="AB96" t="s">
        <v>249</v>
      </c>
      <c r="AC96" t="s">
        <v>249</v>
      </c>
      <c r="AD96" t="s">
        <v>249</v>
      </c>
    </row>
    <row r="97" spans="1:30" hidden="1" x14ac:dyDescent="0.35">
      <c r="A97" t="s">
        <v>1330</v>
      </c>
      <c r="B97" t="s">
        <v>1475</v>
      </c>
      <c r="C97" t="s">
        <v>1635</v>
      </c>
      <c r="D97" t="s">
        <v>1636</v>
      </c>
      <c r="E97" t="s">
        <v>1332</v>
      </c>
      <c r="F97" s="17">
        <v>45203</v>
      </c>
      <c r="H97" s="17"/>
      <c r="I97" t="s">
        <v>1637</v>
      </c>
      <c r="J97" t="s">
        <v>249</v>
      </c>
      <c r="K97" s="17">
        <v>27025</v>
      </c>
      <c r="L97">
        <v>52</v>
      </c>
      <c r="M97" t="s">
        <v>1564</v>
      </c>
      <c r="N97" t="s">
        <v>1380</v>
      </c>
      <c r="O97" t="s">
        <v>249</v>
      </c>
      <c r="P97" t="s">
        <v>1638</v>
      </c>
      <c r="Q97" s="17">
        <v>45236</v>
      </c>
      <c r="S97" t="s">
        <v>1639</v>
      </c>
      <c r="T97" t="s">
        <v>1480</v>
      </c>
      <c r="V97" t="s">
        <v>1640</v>
      </c>
      <c r="W97" t="s">
        <v>1347</v>
      </c>
      <c r="X97" t="s">
        <v>249</v>
      </c>
      <c r="Y97" t="s">
        <v>249</v>
      </c>
      <c r="Z97" t="s">
        <v>249</v>
      </c>
      <c r="AA97" t="s">
        <v>249</v>
      </c>
      <c r="AB97" t="s">
        <v>249</v>
      </c>
      <c r="AC97" t="s">
        <v>249</v>
      </c>
      <c r="AD97" t="s">
        <v>249</v>
      </c>
    </row>
    <row r="98" spans="1:30" hidden="1" x14ac:dyDescent="0.35">
      <c r="A98" t="s">
        <v>1330</v>
      </c>
      <c r="B98" t="s">
        <v>1475</v>
      </c>
      <c r="C98" t="s">
        <v>1641</v>
      </c>
      <c r="D98" t="s">
        <v>1642</v>
      </c>
      <c r="E98" t="s">
        <v>1332</v>
      </c>
      <c r="F98" s="17">
        <v>45048</v>
      </c>
      <c r="H98" s="17"/>
      <c r="I98">
        <v>9531306656</v>
      </c>
      <c r="J98" t="s">
        <v>249</v>
      </c>
      <c r="K98" s="17">
        <v>32745</v>
      </c>
      <c r="L98">
        <v>37</v>
      </c>
      <c r="M98" t="s">
        <v>1349</v>
      </c>
      <c r="N98" t="s">
        <v>1345</v>
      </c>
      <c r="O98" t="s">
        <v>249</v>
      </c>
      <c r="P98" t="s">
        <v>1643</v>
      </c>
      <c r="Q98" s="17">
        <v>45236</v>
      </c>
      <c r="S98" t="s">
        <v>1644</v>
      </c>
      <c r="T98" t="s">
        <v>1480</v>
      </c>
      <c r="V98" t="s">
        <v>1355</v>
      </c>
      <c r="W98" t="s">
        <v>1356</v>
      </c>
      <c r="X98" t="s">
        <v>249</v>
      </c>
      <c r="Y98" t="s">
        <v>249</v>
      </c>
      <c r="Z98" t="s">
        <v>249</v>
      </c>
      <c r="AA98" t="s">
        <v>249</v>
      </c>
      <c r="AB98" t="s">
        <v>249</v>
      </c>
      <c r="AC98" t="s">
        <v>249</v>
      </c>
      <c r="AD98" t="s">
        <v>249</v>
      </c>
    </row>
    <row r="99" spans="1:30" hidden="1" x14ac:dyDescent="0.35">
      <c r="A99" t="s">
        <v>1330</v>
      </c>
      <c r="B99" t="s">
        <v>1475</v>
      </c>
      <c r="C99" t="s">
        <v>1645</v>
      </c>
      <c r="D99" t="s">
        <v>1646</v>
      </c>
      <c r="E99" t="s">
        <v>1332</v>
      </c>
      <c r="F99" s="17">
        <v>45217</v>
      </c>
      <c r="H99" s="17"/>
      <c r="I99" t="s">
        <v>1647</v>
      </c>
      <c r="J99" t="s">
        <v>249</v>
      </c>
      <c r="K99" s="17">
        <v>31068</v>
      </c>
      <c r="L99">
        <v>41</v>
      </c>
      <c r="M99" t="s">
        <v>1344</v>
      </c>
      <c r="N99" t="s">
        <v>1345</v>
      </c>
      <c r="O99" t="s">
        <v>249</v>
      </c>
      <c r="P99" t="s">
        <v>1648</v>
      </c>
      <c r="Q99" s="17">
        <v>45239</v>
      </c>
      <c r="S99" t="s">
        <v>1607</v>
      </c>
      <c r="T99" t="s">
        <v>1480</v>
      </c>
      <c r="V99" t="s">
        <v>1649</v>
      </c>
      <c r="W99" t="s">
        <v>1417</v>
      </c>
      <c r="X99" t="s">
        <v>249</v>
      </c>
      <c r="Y99" t="s">
        <v>249</v>
      </c>
      <c r="Z99" t="s">
        <v>249</v>
      </c>
      <c r="AA99" t="s">
        <v>249</v>
      </c>
      <c r="AB99" t="s">
        <v>249</v>
      </c>
      <c r="AC99" t="s">
        <v>249</v>
      </c>
      <c r="AD99" t="s">
        <v>249</v>
      </c>
    </row>
    <row r="100" spans="1:30" hidden="1" x14ac:dyDescent="0.35">
      <c r="A100" t="s">
        <v>1330</v>
      </c>
      <c r="B100" t="s">
        <v>1475</v>
      </c>
      <c r="C100" t="s">
        <v>1650</v>
      </c>
      <c r="D100" t="s">
        <v>1651</v>
      </c>
      <c r="E100" t="s">
        <v>1332</v>
      </c>
      <c r="F100" s="17">
        <v>45138</v>
      </c>
      <c r="H100" s="17"/>
      <c r="I100" t="s">
        <v>1652</v>
      </c>
      <c r="J100" t="s">
        <v>249</v>
      </c>
      <c r="K100" s="17">
        <v>35221</v>
      </c>
      <c r="L100">
        <v>30</v>
      </c>
      <c r="M100" t="s">
        <v>1354</v>
      </c>
      <c r="N100" t="s">
        <v>1345</v>
      </c>
      <c r="O100" t="s">
        <v>249</v>
      </c>
      <c r="P100" t="s">
        <v>1653</v>
      </c>
      <c r="Q100" s="17">
        <v>45240</v>
      </c>
      <c r="S100" t="s">
        <v>1491</v>
      </c>
      <c r="T100" t="s">
        <v>1480</v>
      </c>
      <c r="V100" t="s">
        <v>1649</v>
      </c>
      <c r="W100" t="s">
        <v>1417</v>
      </c>
      <c r="X100" t="s">
        <v>249</v>
      </c>
      <c r="Y100" t="s">
        <v>249</v>
      </c>
      <c r="Z100" t="s">
        <v>249</v>
      </c>
      <c r="AA100" t="s">
        <v>249</v>
      </c>
      <c r="AB100" t="s">
        <v>249</v>
      </c>
      <c r="AC100" t="s">
        <v>249</v>
      </c>
      <c r="AD100" t="s">
        <v>249</v>
      </c>
    </row>
    <row r="101" spans="1:30" hidden="1" x14ac:dyDescent="0.35">
      <c r="A101" t="s">
        <v>1330</v>
      </c>
      <c r="B101" t="s">
        <v>1475</v>
      </c>
      <c r="C101" t="s">
        <v>1220</v>
      </c>
      <c r="D101" t="s">
        <v>1654</v>
      </c>
      <c r="E101" t="s">
        <v>1332</v>
      </c>
      <c r="F101" s="17">
        <v>45083</v>
      </c>
      <c r="H101" s="17"/>
      <c r="I101">
        <v>45996202204</v>
      </c>
      <c r="J101" t="s">
        <v>249</v>
      </c>
      <c r="K101" s="17">
        <v>27083</v>
      </c>
      <c r="L101">
        <v>52</v>
      </c>
      <c r="M101" t="s">
        <v>1564</v>
      </c>
      <c r="N101" t="s">
        <v>1380</v>
      </c>
      <c r="O101" t="s">
        <v>249</v>
      </c>
      <c r="P101" t="s">
        <v>1655</v>
      </c>
      <c r="Q101" s="17">
        <v>45265</v>
      </c>
      <c r="S101" t="s">
        <v>1656</v>
      </c>
      <c r="T101" t="s">
        <v>1480</v>
      </c>
      <c r="V101" t="s">
        <v>1657</v>
      </c>
      <c r="W101" t="s">
        <v>1382</v>
      </c>
      <c r="X101" t="s">
        <v>249</v>
      </c>
      <c r="Y101" t="s">
        <v>249</v>
      </c>
      <c r="Z101" t="s">
        <v>249</v>
      </c>
      <c r="AA101" t="s">
        <v>249</v>
      </c>
      <c r="AB101" t="s">
        <v>249</v>
      </c>
      <c r="AC101" t="s">
        <v>249</v>
      </c>
      <c r="AD101" t="s">
        <v>249</v>
      </c>
    </row>
    <row r="102" spans="1:30" hidden="1" x14ac:dyDescent="0.35">
      <c r="A102" t="s">
        <v>1330</v>
      </c>
      <c r="B102" t="s">
        <v>1461</v>
      </c>
      <c r="C102" t="s">
        <v>1658</v>
      </c>
      <c r="D102" t="s">
        <v>1659</v>
      </c>
      <c r="E102" t="s">
        <v>1332</v>
      </c>
      <c r="F102" s="17">
        <v>45041</v>
      </c>
      <c r="H102" s="17"/>
      <c r="I102">
        <v>9054989688</v>
      </c>
      <c r="J102" t="s">
        <v>249</v>
      </c>
      <c r="K102" s="17">
        <v>33150</v>
      </c>
      <c r="L102">
        <v>35</v>
      </c>
      <c r="M102" t="s">
        <v>1363</v>
      </c>
      <c r="N102" t="s">
        <v>1345</v>
      </c>
      <c r="O102" t="s">
        <v>249</v>
      </c>
      <c r="P102" t="s">
        <v>1660</v>
      </c>
      <c r="Q102" s="17">
        <v>45281</v>
      </c>
      <c r="S102" t="s">
        <v>1518</v>
      </c>
      <c r="T102" t="s">
        <v>1466</v>
      </c>
      <c r="V102" t="s">
        <v>1661</v>
      </c>
      <c r="W102" t="s">
        <v>1356</v>
      </c>
      <c r="X102" t="s">
        <v>249</v>
      </c>
      <c r="Y102" t="s">
        <v>249</v>
      </c>
      <c r="Z102" t="s">
        <v>249</v>
      </c>
      <c r="AA102" t="s">
        <v>249</v>
      </c>
      <c r="AB102" t="s">
        <v>249</v>
      </c>
      <c r="AC102" t="s">
        <v>249</v>
      </c>
      <c r="AD102" t="s">
        <v>249</v>
      </c>
    </row>
    <row r="103" spans="1:30" hidden="1" x14ac:dyDescent="0.35">
      <c r="A103" t="s">
        <v>1330</v>
      </c>
      <c r="B103">
        <v>0</v>
      </c>
      <c r="C103" t="s">
        <v>1215</v>
      </c>
      <c r="D103" t="s">
        <v>1662</v>
      </c>
      <c r="E103" t="s">
        <v>1332</v>
      </c>
      <c r="F103" s="17">
        <v>44991</v>
      </c>
      <c r="H103" s="17"/>
      <c r="I103">
        <v>7182356651</v>
      </c>
      <c r="J103" t="s">
        <v>249</v>
      </c>
      <c r="K103" s="17">
        <v>30958</v>
      </c>
      <c r="L103">
        <v>41</v>
      </c>
      <c r="M103" t="s">
        <v>1344</v>
      </c>
      <c r="N103" t="s">
        <v>1345</v>
      </c>
      <c r="O103" t="s">
        <v>249</v>
      </c>
      <c r="P103" t="s">
        <v>1663</v>
      </c>
      <c r="Q103" s="17">
        <v>45320</v>
      </c>
      <c r="S103" t="s">
        <v>1507</v>
      </c>
      <c r="T103" t="s">
        <v>249</v>
      </c>
      <c r="V103" t="s">
        <v>1387</v>
      </c>
      <c r="W103" t="s">
        <v>1356</v>
      </c>
      <c r="X103" t="s">
        <v>249</v>
      </c>
      <c r="Y103" t="s">
        <v>249</v>
      </c>
      <c r="Z103" t="s">
        <v>249</v>
      </c>
      <c r="AA103" t="s">
        <v>249</v>
      </c>
      <c r="AB103" t="s">
        <v>249</v>
      </c>
      <c r="AC103" t="s">
        <v>249</v>
      </c>
      <c r="AD103" t="s">
        <v>249</v>
      </c>
    </row>
    <row r="104" spans="1:30" hidden="1" x14ac:dyDescent="0.35">
      <c r="A104" t="s">
        <v>1330</v>
      </c>
      <c r="B104">
        <v>0</v>
      </c>
      <c r="C104" t="s">
        <v>1223</v>
      </c>
      <c r="D104" t="s">
        <v>1664</v>
      </c>
      <c r="E104" t="s">
        <v>1332</v>
      </c>
      <c r="F104" s="17">
        <v>45182</v>
      </c>
      <c r="H104" s="17"/>
      <c r="I104" t="s">
        <v>1665</v>
      </c>
      <c r="J104" t="s">
        <v>249</v>
      </c>
      <c r="K104" s="17">
        <v>35705</v>
      </c>
      <c r="L104">
        <v>28</v>
      </c>
      <c r="M104" t="s">
        <v>1354</v>
      </c>
      <c r="N104" t="s">
        <v>1360</v>
      </c>
      <c r="O104" t="s">
        <v>249</v>
      </c>
      <c r="P104" t="s">
        <v>1666</v>
      </c>
      <c r="Q104" s="17">
        <v>45320</v>
      </c>
      <c r="S104" t="s">
        <v>1607</v>
      </c>
      <c r="T104" t="s">
        <v>249</v>
      </c>
      <c r="V104" t="s">
        <v>1667</v>
      </c>
      <c r="W104" t="s">
        <v>1351</v>
      </c>
      <c r="X104" t="s">
        <v>249</v>
      </c>
      <c r="Y104" t="s">
        <v>249</v>
      </c>
      <c r="Z104" t="s">
        <v>249</v>
      </c>
      <c r="AA104" t="s">
        <v>249</v>
      </c>
      <c r="AB104" t="s">
        <v>249</v>
      </c>
      <c r="AC104" t="s">
        <v>249</v>
      </c>
      <c r="AD104" t="s">
        <v>249</v>
      </c>
    </row>
    <row r="105" spans="1:30" hidden="1" x14ac:dyDescent="0.35">
      <c r="A105" t="s">
        <v>1330</v>
      </c>
      <c r="B105" t="s">
        <v>1461</v>
      </c>
      <c r="C105" t="s">
        <v>1227</v>
      </c>
      <c r="D105" t="s">
        <v>1668</v>
      </c>
      <c r="E105" t="s">
        <v>1332</v>
      </c>
      <c r="F105" s="17">
        <v>44872</v>
      </c>
      <c r="H105" s="17"/>
      <c r="I105">
        <v>9665756605</v>
      </c>
      <c r="J105" t="s">
        <v>249</v>
      </c>
      <c r="K105" s="17">
        <v>32906</v>
      </c>
      <c r="L105">
        <v>36</v>
      </c>
      <c r="M105" t="s">
        <v>1349</v>
      </c>
      <c r="N105" t="s">
        <v>1345</v>
      </c>
      <c r="O105" t="s">
        <v>249</v>
      </c>
      <c r="P105" t="s">
        <v>1669</v>
      </c>
      <c r="Q105" s="17">
        <v>45326</v>
      </c>
      <c r="S105" t="s">
        <v>1547</v>
      </c>
      <c r="T105" t="s">
        <v>1466</v>
      </c>
      <c r="V105" t="s">
        <v>1670</v>
      </c>
      <c r="W105" t="s">
        <v>1356</v>
      </c>
      <c r="X105" t="s">
        <v>249</v>
      </c>
      <c r="Y105" t="s">
        <v>249</v>
      </c>
      <c r="Z105" t="s">
        <v>249</v>
      </c>
      <c r="AA105" t="s">
        <v>249</v>
      </c>
      <c r="AB105" t="s">
        <v>249</v>
      </c>
      <c r="AC105" t="s">
        <v>249</v>
      </c>
      <c r="AD105" t="s">
        <v>249</v>
      </c>
    </row>
    <row r="106" spans="1:30" hidden="1" x14ac:dyDescent="0.35">
      <c r="A106" t="s">
        <v>1330</v>
      </c>
      <c r="B106" t="s">
        <v>1475</v>
      </c>
      <c r="C106" t="s">
        <v>1671</v>
      </c>
      <c r="D106" t="s">
        <v>1672</v>
      </c>
      <c r="E106" t="s">
        <v>1332</v>
      </c>
      <c r="F106" s="17">
        <v>45167</v>
      </c>
      <c r="H106" s="17"/>
      <c r="I106" t="s">
        <v>1673</v>
      </c>
      <c r="J106" t="s">
        <v>249</v>
      </c>
      <c r="K106" s="17">
        <v>33158</v>
      </c>
      <c r="L106">
        <v>35</v>
      </c>
      <c r="M106" t="s">
        <v>1363</v>
      </c>
      <c r="N106" t="s">
        <v>1345</v>
      </c>
      <c r="O106" t="s">
        <v>249</v>
      </c>
      <c r="P106" t="s">
        <v>1674</v>
      </c>
      <c r="Q106" s="17">
        <v>45330</v>
      </c>
      <c r="S106" t="s">
        <v>1607</v>
      </c>
      <c r="T106" t="s">
        <v>1480</v>
      </c>
      <c r="V106" t="s">
        <v>1590</v>
      </c>
      <c r="W106" t="s">
        <v>1382</v>
      </c>
      <c r="X106" t="s">
        <v>249</v>
      </c>
      <c r="Y106" t="s">
        <v>249</v>
      </c>
      <c r="Z106" t="s">
        <v>249</v>
      </c>
      <c r="AA106" t="s">
        <v>249</v>
      </c>
      <c r="AB106" t="s">
        <v>249</v>
      </c>
      <c r="AC106" t="s">
        <v>249</v>
      </c>
      <c r="AD106" t="s">
        <v>249</v>
      </c>
    </row>
    <row r="107" spans="1:30" hidden="1" x14ac:dyDescent="0.35">
      <c r="A107" t="s">
        <v>1330</v>
      </c>
      <c r="B107" t="s">
        <v>1461</v>
      </c>
      <c r="C107" t="s">
        <v>1675</v>
      </c>
      <c r="D107" t="s">
        <v>1676</v>
      </c>
      <c r="E107" t="s">
        <v>1332</v>
      </c>
      <c r="F107" s="17">
        <v>45264</v>
      </c>
      <c r="H107" s="17"/>
      <c r="I107" t="s">
        <v>1677</v>
      </c>
      <c r="J107" t="s">
        <v>249</v>
      </c>
      <c r="K107" s="17">
        <v>33391</v>
      </c>
      <c r="L107">
        <v>35</v>
      </c>
      <c r="M107" t="s">
        <v>1363</v>
      </c>
      <c r="N107" t="s">
        <v>1345</v>
      </c>
      <c r="O107" t="s">
        <v>249</v>
      </c>
      <c r="P107" t="s">
        <v>1678</v>
      </c>
      <c r="Q107" s="17">
        <v>45348</v>
      </c>
      <c r="S107" t="s">
        <v>1679</v>
      </c>
      <c r="T107" t="s">
        <v>1466</v>
      </c>
      <c r="V107" t="s">
        <v>1355</v>
      </c>
      <c r="W107" t="s">
        <v>1356</v>
      </c>
      <c r="X107" t="s">
        <v>249</v>
      </c>
      <c r="Y107" t="s">
        <v>249</v>
      </c>
      <c r="Z107" t="s">
        <v>249</v>
      </c>
      <c r="AA107" t="s">
        <v>249</v>
      </c>
      <c r="AB107" t="s">
        <v>249</v>
      </c>
      <c r="AC107" t="s">
        <v>249</v>
      </c>
      <c r="AD107" t="s">
        <v>249</v>
      </c>
    </row>
    <row r="108" spans="1:30" hidden="1" x14ac:dyDescent="0.35">
      <c r="A108" t="s">
        <v>1330</v>
      </c>
      <c r="B108" t="s">
        <v>1475</v>
      </c>
      <c r="C108" t="s">
        <v>1680</v>
      </c>
      <c r="D108" t="s">
        <v>1681</v>
      </c>
      <c r="E108" t="s">
        <v>1332</v>
      </c>
      <c r="F108" s="17">
        <v>45286</v>
      </c>
      <c r="H108" s="17"/>
      <c r="I108" t="s">
        <v>1682</v>
      </c>
      <c r="J108" t="s">
        <v>249</v>
      </c>
      <c r="K108" s="17">
        <v>26913</v>
      </c>
      <c r="L108">
        <v>52</v>
      </c>
      <c r="M108" t="s">
        <v>1564</v>
      </c>
      <c r="N108" t="s">
        <v>1380</v>
      </c>
      <c r="O108" t="s">
        <v>249</v>
      </c>
      <c r="P108" t="s">
        <v>1683</v>
      </c>
      <c r="Q108" s="17">
        <v>45357</v>
      </c>
      <c r="S108" t="s">
        <v>1684</v>
      </c>
      <c r="T108" t="s">
        <v>1480</v>
      </c>
      <c r="V108" t="s">
        <v>1685</v>
      </c>
      <c r="W108" t="s">
        <v>1347</v>
      </c>
      <c r="X108" t="s">
        <v>249</v>
      </c>
      <c r="Y108" t="s">
        <v>249</v>
      </c>
      <c r="Z108" t="s">
        <v>249</v>
      </c>
      <c r="AA108" t="s">
        <v>249</v>
      </c>
      <c r="AB108" t="s">
        <v>249</v>
      </c>
      <c r="AC108" t="s">
        <v>249</v>
      </c>
      <c r="AD108" t="s">
        <v>249</v>
      </c>
    </row>
    <row r="109" spans="1:30" hidden="1" x14ac:dyDescent="0.35">
      <c r="A109" t="s">
        <v>1330</v>
      </c>
      <c r="B109" t="s">
        <v>1475</v>
      </c>
      <c r="C109" t="s">
        <v>579</v>
      </c>
      <c r="D109" t="s">
        <v>579</v>
      </c>
      <c r="E109" t="s">
        <v>1332</v>
      </c>
      <c r="F109" s="17">
        <v>45985</v>
      </c>
      <c r="H109" s="17"/>
      <c r="I109">
        <v>7545823966</v>
      </c>
      <c r="J109" t="s">
        <v>249</v>
      </c>
      <c r="K109" s="17">
        <v>33636</v>
      </c>
      <c r="L109">
        <v>34</v>
      </c>
      <c r="M109" t="s">
        <v>1363</v>
      </c>
      <c r="N109" t="s">
        <v>1345</v>
      </c>
      <c r="O109" t="s">
        <v>249</v>
      </c>
      <c r="P109" t="s">
        <v>1686</v>
      </c>
      <c r="Q109" s="17">
        <v>45359</v>
      </c>
      <c r="S109" t="s">
        <v>1687</v>
      </c>
      <c r="T109" t="s">
        <v>1480</v>
      </c>
      <c r="V109" t="s">
        <v>1688</v>
      </c>
      <c r="W109" t="s">
        <v>1356</v>
      </c>
      <c r="X109" t="s">
        <v>1575</v>
      </c>
      <c r="Y109" t="s">
        <v>249</v>
      </c>
      <c r="Z109" t="s">
        <v>249</v>
      </c>
      <c r="AA109" t="s">
        <v>249</v>
      </c>
      <c r="AB109" t="s">
        <v>249</v>
      </c>
      <c r="AC109" t="s">
        <v>249</v>
      </c>
      <c r="AD109" t="s">
        <v>249</v>
      </c>
    </row>
    <row r="110" spans="1:30" hidden="1" x14ac:dyDescent="0.35">
      <c r="A110" t="s">
        <v>1330</v>
      </c>
      <c r="B110" t="s">
        <v>1461</v>
      </c>
      <c r="C110" t="s">
        <v>1212</v>
      </c>
      <c r="D110" t="s">
        <v>1689</v>
      </c>
      <c r="E110" t="s">
        <v>1336</v>
      </c>
      <c r="F110" s="17">
        <v>45028</v>
      </c>
      <c r="H110" s="17"/>
      <c r="I110">
        <v>7016655644</v>
      </c>
      <c r="J110" t="s">
        <v>249</v>
      </c>
      <c r="K110" s="17">
        <v>32209</v>
      </c>
      <c r="L110">
        <v>38</v>
      </c>
      <c r="M110" t="s">
        <v>1349</v>
      </c>
      <c r="N110" t="s">
        <v>1345</v>
      </c>
      <c r="O110" t="s">
        <v>249</v>
      </c>
      <c r="P110" t="s">
        <v>1690</v>
      </c>
      <c r="Q110" s="17">
        <v>45362</v>
      </c>
      <c r="S110" t="s">
        <v>1547</v>
      </c>
      <c r="T110" t="s">
        <v>1466</v>
      </c>
      <c r="V110" t="s">
        <v>1691</v>
      </c>
      <c r="W110" t="s">
        <v>1356</v>
      </c>
      <c r="X110" t="s">
        <v>249</v>
      </c>
      <c r="Y110" t="s">
        <v>249</v>
      </c>
      <c r="Z110" t="s">
        <v>249</v>
      </c>
      <c r="AA110" t="s">
        <v>249</v>
      </c>
      <c r="AB110" t="s">
        <v>249</v>
      </c>
      <c r="AC110" t="s">
        <v>249</v>
      </c>
      <c r="AD110" t="s">
        <v>249</v>
      </c>
    </row>
    <row r="111" spans="1:30" hidden="1" x14ac:dyDescent="0.35">
      <c r="A111" t="s">
        <v>1330</v>
      </c>
      <c r="B111" t="s">
        <v>1475</v>
      </c>
      <c r="C111" t="s">
        <v>1692</v>
      </c>
      <c r="D111" t="s">
        <v>1693</v>
      </c>
      <c r="E111" t="s">
        <v>1332</v>
      </c>
      <c r="F111" s="17">
        <v>45279</v>
      </c>
      <c r="H111" s="17"/>
      <c r="I111" t="s">
        <v>1694</v>
      </c>
      <c r="J111" t="s">
        <v>249</v>
      </c>
      <c r="K111" s="17">
        <v>29284</v>
      </c>
      <c r="L111">
        <v>46</v>
      </c>
      <c r="M111" t="s">
        <v>1344</v>
      </c>
      <c r="N111" t="s">
        <v>1345</v>
      </c>
      <c r="O111" t="s">
        <v>1695</v>
      </c>
      <c r="P111" t="s">
        <v>1696</v>
      </c>
      <c r="Q111" s="17">
        <v>45365</v>
      </c>
      <c r="S111" t="s">
        <v>1566</v>
      </c>
      <c r="T111" t="s">
        <v>1480</v>
      </c>
      <c r="V111" t="s">
        <v>1590</v>
      </c>
      <c r="W111" t="s">
        <v>1382</v>
      </c>
      <c r="X111" t="s">
        <v>249</v>
      </c>
      <c r="Y111" t="s">
        <v>249</v>
      </c>
      <c r="Z111" t="s">
        <v>249</v>
      </c>
      <c r="AA111" t="s">
        <v>249</v>
      </c>
      <c r="AB111" t="s">
        <v>249</v>
      </c>
      <c r="AC111" t="s">
        <v>249</v>
      </c>
      <c r="AD111" t="s">
        <v>249</v>
      </c>
    </row>
    <row r="112" spans="1:30" hidden="1" x14ac:dyDescent="0.35">
      <c r="A112" t="s">
        <v>1330</v>
      </c>
      <c r="B112" t="s">
        <v>1461</v>
      </c>
      <c r="C112" t="s">
        <v>1697</v>
      </c>
      <c r="D112" t="s">
        <v>1698</v>
      </c>
      <c r="E112" t="s">
        <v>1332</v>
      </c>
      <c r="F112" s="17">
        <v>44797</v>
      </c>
      <c r="H112" s="17"/>
      <c r="I112">
        <v>10389174688</v>
      </c>
      <c r="J112" t="s">
        <v>249</v>
      </c>
      <c r="K112" s="17">
        <v>32794</v>
      </c>
      <c r="L112">
        <v>36</v>
      </c>
      <c r="M112" t="s">
        <v>1349</v>
      </c>
      <c r="N112" t="s">
        <v>1345</v>
      </c>
      <c r="O112" t="s">
        <v>1699</v>
      </c>
      <c r="P112" t="s">
        <v>1700</v>
      </c>
      <c r="Q112" s="17">
        <v>45365</v>
      </c>
      <c r="S112" t="s">
        <v>1701</v>
      </c>
      <c r="T112" t="s">
        <v>1466</v>
      </c>
      <c r="V112" t="s">
        <v>1355</v>
      </c>
      <c r="W112" t="s">
        <v>1356</v>
      </c>
      <c r="X112" t="s">
        <v>249</v>
      </c>
      <c r="Y112" t="s">
        <v>249</v>
      </c>
      <c r="Z112" t="s">
        <v>249</v>
      </c>
      <c r="AA112" t="s">
        <v>249</v>
      </c>
      <c r="AB112" t="s">
        <v>249</v>
      </c>
      <c r="AC112" t="s">
        <v>249</v>
      </c>
      <c r="AD112" t="s">
        <v>249</v>
      </c>
    </row>
    <row r="113" spans="1:30" hidden="1" x14ac:dyDescent="0.35">
      <c r="A113" t="s">
        <v>1330</v>
      </c>
      <c r="B113" t="s">
        <v>1475</v>
      </c>
      <c r="C113" t="s">
        <v>1702</v>
      </c>
      <c r="D113" t="s">
        <v>1703</v>
      </c>
      <c r="E113" t="s">
        <v>1332</v>
      </c>
      <c r="F113" s="17">
        <v>44237</v>
      </c>
      <c r="H113" s="17"/>
      <c r="I113">
        <v>2654416178</v>
      </c>
      <c r="J113" t="s">
        <v>249</v>
      </c>
      <c r="K113" s="17">
        <v>32515</v>
      </c>
      <c r="L113">
        <v>37</v>
      </c>
      <c r="M113" t="s">
        <v>1349</v>
      </c>
      <c r="N113" t="s">
        <v>1345</v>
      </c>
      <c r="O113" t="s">
        <v>1704</v>
      </c>
      <c r="P113" t="s">
        <v>1705</v>
      </c>
      <c r="Q113" s="17">
        <v>45366</v>
      </c>
      <c r="S113" t="s">
        <v>1706</v>
      </c>
      <c r="T113" t="s">
        <v>1480</v>
      </c>
      <c r="V113" t="s">
        <v>90</v>
      </c>
      <c r="W113" t="s">
        <v>1378</v>
      </c>
      <c r="X113" t="s">
        <v>249</v>
      </c>
      <c r="Y113" t="s">
        <v>249</v>
      </c>
      <c r="Z113" t="s">
        <v>249</v>
      </c>
      <c r="AA113" t="s">
        <v>249</v>
      </c>
      <c r="AB113" t="s">
        <v>249</v>
      </c>
      <c r="AC113" t="s">
        <v>249</v>
      </c>
      <c r="AD113" t="s">
        <v>249</v>
      </c>
    </row>
    <row r="114" spans="1:30" hidden="1" x14ac:dyDescent="0.35">
      <c r="A114" t="s">
        <v>1330</v>
      </c>
      <c r="B114" t="s">
        <v>1475</v>
      </c>
      <c r="C114" t="s">
        <v>1707</v>
      </c>
      <c r="D114" t="s">
        <v>1708</v>
      </c>
      <c r="E114" t="s">
        <v>1332</v>
      </c>
      <c r="F114" s="17">
        <v>44319</v>
      </c>
      <c r="H114" s="17"/>
      <c r="I114">
        <v>12410803725</v>
      </c>
      <c r="J114" t="s">
        <v>249</v>
      </c>
      <c r="K114" s="17">
        <v>31990</v>
      </c>
      <c r="L114">
        <v>39</v>
      </c>
      <c r="M114" t="s">
        <v>1349</v>
      </c>
      <c r="N114" t="s">
        <v>1345</v>
      </c>
      <c r="O114" t="s">
        <v>1709</v>
      </c>
      <c r="P114" t="s">
        <v>1710</v>
      </c>
      <c r="Q114" s="17">
        <v>45383</v>
      </c>
      <c r="S114" t="s">
        <v>1711</v>
      </c>
      <c r="T114" t="s">
        <v>1480</v>
      </c>
      <c r="V114" t="s">
        <v>1439</v>
      </c>
      <c r="W114" t="s">
        <v>1356</v>
      </c>
      <c r="X114" t="s">
        <v>249</v>
      </c>
      <c r="Y114" t="s">
        <v>249</v>
      </c>
      <c r="Z114" t="s">
        <v>249</v>
      </c>
      <c r="AA114" t="s">
        <v>249</v>
      </c>
      <c r="AB114" t="s">
        <v>249</v>
      </c>
      <c r="AC114" t="s">
        <v>249</v>
      </c>
      <c r="AD114" t="s">
        <v>249</v>
      </c>
    </row>
    <row r="115" spans="1:30" hidden="1" x14ac:dyDescent="0.35">
      <c r="A115" t="s">
        <v>1330</v>
      </c>
      <c r="B115" t="s">
        <v>1475</v>
      </c>
      <c r="C115" t="s">
        <v>1712</v>
      </c>
      <c r="D115" t="s">
        <v>1713</v>
      </c>
      <c r="E115" t="s">
        <v>1332</v>
      </c>
      <c r="F115" s="17">
        <v>44454</v>
      </c>
      <c r="H115" s="17"/>
      <c r="I115">
        <v>80132340534</v>
      </c>
      <c r="J115" t="s">
        <v>249</v>
      </c>
      <c r="K115" s="17">
        <v>30119</v>
      </c>
      <c r="L115">
        <v>44</v>
      </c>
      <c r="M115" t="s">
        <v>1344</v>
      </c>
      <c r="N115" t="s">
        <v>1345</v>
      </c>
      <c r="O115" t="s">
        <v>249</v>
      </c>
      <c r="P115" t="s">
        <v>1714</v>
      </c>
      <c r="Q115" s="17">
        <v>45393</v>
      </c>
      <c r="S115" t="s">
        <v>1485</v>
      </c>
      <c r="T115" t="s">
        <v>1480</v>
      </c>
      <c r="V115" t="s">
        <v>1715</v>
      </c>
      <c r="W115" t="s">
        <v>1347</v>
      </c>
      <c r="X115" t="s">
        <v>249</v>
      </c>
      <c r="Y115" t="s">
        <v>249</v>
      </c>
      <c r="Z115" t="s">
        <v>249</v>
      </c>
      <c r="AA115" t="s">
        <v>249</v>
      </c>
      <c r="AB115" t="s">
        <v>249</v>
      </c>
      <c r="AC115" t="s">
        <v>249</v>
      </c>
      <c r="AD115" t="s">
        <v>249</v>
      </c>
    </row>
    <row r="116" spans="1:30" hidden="1" x14ac:dyDescent="0.35">
      <c r="A116" t="s">
        <v>1330</v>
      </c>
      <c r="B116" t="s">
        <v>1475</v>
      </c>
      <c r="C116" t="s">
        <v>1716</v>
      </c>
      <c r="D116" t="s">
        <v>1717</v>
      </c>
      <c r="E116" t="s">
        <v>1332</v>
      </c>
      <c r="F116" s="17">
        <v>45133</v>
      </c>
      <c r="H116" s="17"/>
      <c r="I116" t="s">
        <v>1718</v>
      </c>
      <c r="J116" t="s">
        <v>249</v>
      </c>
      <c r="K116" s="17">
        <v>32254</v>
      </c>
      <c r="L116">
        <v>38</v>
      </c>
      <c r="M116" t="s">
        <v>1349</v>
      </c>
      <c r="N116" t="s">
        <v>1345</v>
      </c>
      <c r="O116" t="s">
        <v>1719</v>
      </c>
      <c r="P116" t="s">
        <v>1720</v>
      </c>
      <c r="Q116" s="17">
        <v>45394</v>
      </c>
      <c r="S116" t="s">
        <v>1511</v>
      </c>
      <c r="T116" t="s">
        <v>1480</v>
      </c>
      <c r="V116" t="s">
        <v>1721</v>
      </c>
      <c r="W116" t="s">
        <v>1722</v>
      </c>
      <c r="X116" t="s">
        <v>249</v>
      </c>
      <c r="Y116" t="s">
        <v>249</v>
      </c>
      <c r="Z116" t="s">
        <v>249</v>
      </c>
      <c r="AA116" t="s">
        <v>249</v>
      </c>
      <c r="AB116" t="s">
        <v>249</v>
      </c>
      <c r="AC116" t="s">
        <v>249</v>
      </c>
      <c r="AD116" t="s">
        <v>249</v>
      </c>
    </row>
    <row r="117" spans="1:30" hidden="1" x14ac:dyDescent="0.35">
      <c r="A117" t="s">
        <v>1330</v>
      </c>
      <c r="B117" t="s">
        <v>1475</v>
      </c>
      <c r="C117" t="s">
        <v>1231</v>
      </c>
      <c r="D117" t="s">
        <v>1723</v>
      </c>
      <c r="E117" t="s">
        <v>1332</v>
      </c>
      <c r="F117" s="17">
        <v>44952</v>
      </c>
      <c r="H117" s="17"/>
      <c r="I117">
        <v>11386471607</v>
      </c>
      <c r="J117" t="s">
        <v>249</v>
      </c>
      <c r="K117" s="17">
        <v>33135</v>
      </c>
      <c r="L117">
        <v>35</v>
      </c>
      <c r="M117" t="s">
        <v>1363</v>
      </c>
      <c r="N117" t="s">
        <v>1345</v>
      </c>
      <c r="O117" t="s">
        <v>1724</v>
      </c>
      <c r="P117" t="s">
        <v>1725</v>
      </c>
      <c r="Q117" s="17">
        <v>45401</v>
      </c>
      <c r="S117" t="s">
        <v>1511</v>
      </c>
      <c r="T117" t="s">
        <v>1480</v>
      </c>
      <c r="V117" t="s">
        <v>1726</v>
      </c>
      <c r="W117" t="s">
        <v>1356</v>
      </c>
      <c r="X117" t="s">
        <v>249</v>
      </c>
      <c r="Y117" t="s">
        <v>249</v>
      </c>
      <c r="Z117" t="s">
        <v>249</v>
      </c>
      <c r="AA117" t="s">
        <v>249</v>
      </c>
      <c r="AB117" t="s">
        <v>249</v>
      </c>
      <c r="AC117" t="s">
        <v>249</v>
      </c>
      <c r="AD117" t="s">
        <v>249</v>
      </c>
    </row>
    <row r="118" spans="1:30" hidden="1" x14ac:dyDescent="0.35">
      <c r="A118" t="s">
        <v>1330</v>
      </c>
      <c r="B118" t="s">
        <v>1475</v>
      </c>
      <c r="C118" t="s">
        <v>1727</v>
      </c>
      <c r="D118" t="s">
        <v>1728</v>
      </c>
      <c r="E118" t="s">
        <v>1332</v>
      </c>
      <c r="F118" s="17">
        <v>45048</v>
      </c>
      <c r="H118" s="17"/>
      <c r="I118">
        <v>10760966621</v>
      </c>
      <c r="J118" t="s">
        <v>249</v>
      </c>
      <c r="K118" s="17">
        <v>33645</v>
      </c>
      <c r="L118">
        <v>34</v>
      </c>
      <c r="M118" t="s">
        <v>1363</v>
      </c>
      <c r="N118" t="s">
        <v>1345</v>
      </c>
      <c r="O118" t="s">
        <v>1729</v>
      </c>
      <c r="P118" t="s">
        <v>1730</v>
      </c>
      <c r="Q118" s="17">
        <v>45401</v>
      </c>
      <c r="S118" t="s">
        <v>1511</v>
      </c>
      <c r="T118" t="s">
        <v>1480</v>
      </c>
      <c r="V118" t="s">
        <v>1670</v>
      </c>
      <c r="W118" t="s">
        <v>1356</v>
      </c>
      <c r="X118" t="s">
        <v>249</v>
      </c>
      <c r="Y118" t="s">
        <v>249</v>
      </c>
      <c r="Z118" t="s">
        <v>249</v>
      </c>
      <c r="AA118" t="s">
        <v>249</v>
      </c>
      <c r="AB118" t="s">
        <v>249</v>
      </c>
      <c r="AC118" t="s">
        <v>249</v>
      </c>
      <c r="AD118" t="s">
        <v>249</v>
      </c>
    </row>
    <row r="119" spans="1:30" hidden="1" x14ac:dyDescent="0.35">
      <c r="A119" t="s">
        <v>1330</v>
      </c>
      <c r="B119" t="s">
        <v>1461</v>
      </c>
      <c r="C119" t="s">
        <v>1731</v>
      </c>
      <c r="D119" t="s">
        <v>1732</v>
      </c>
      <c r="E119" t="s">
        <v>1332</v>
      </c>
      <c r="F119" s="17">
        <v>45258</v>
      </c>
      <c r="H119" s="17"/>
      <c r="I119" t="s">
        <v>1733</v>
      </c>
      <c r="J119" t="s">
        <v>249</v>
      </c>
      <c r="K119" s="17">
        <v>35257</v>
      </c>
      <c r="L119">
        <v>30</v>
      </c>
      <c r="M119" t="s">
        <v>1354</v>
      </c>
      <c r="N119" t="s">
        <v>1345</v>
      </c>
      <c r="O119" t="s">
        <v>1734</v>
      </c>
      <c r="P119" t="s">
        <v>1735</v>
      </c>
      <c r="Q119" s="17">
        <v>45415</v>
      </c>
      <c r="S119" t="s">
        <v>1736</v>
      </c>
      <c r="T119" t="s">
        <v>1466</v>
      </c>
      <c r="V119" t="s">
        <v>1590</v>
      </c>
      <c r="W119" t="s">
        <v>1382</v>
      </c>
      <c r="X119" t="s">
        <v>249</v>
      </c>
      <c r="Y119" t="s">
        <v>249</v>
      </c>
      <c r="Z119" t="s">
        <v>249</v>
      </c>
      <c r="AA119" t="s">
        <v>249</v>
      </c>
      <c r="AB119" t="s">
        <v>249</v>
      </c>
      <c r="AC119" t="s">
        <v>249</v>
      </c>
      <c r="AD119" t="s">
        <v>249</v>
      </c>
    </row>
    <row r="120" spans="1:30" hidden="1" x14ac:dyDescent="0.35">
      <c r="A120" t="s">
        <v>1330</v>
      </c>
      <c r="B120" t="s">
        <v>1475</v>
      </c>
      <c r="C120" t="s">
        <v>1737</v>
      </c>
      <c r="D120" t="s">
        <v>1738</v>
      </c>
      <c r="E120" t="s">
        <v>1332</v>
      </c>
      <c r="F120" s="17">
        <v>45404</v>
      </c>
      <c r="H120" s="17"/>
      <c r="I120" t="s">
        <v>1739</v>
      </c>
      <c r="J120" t="s">
        <v>249</v>
      </c>
      <c r="K120" s="17">
        <v>30182</v>
      </c>
      <c r="L120">
        <v>44</v>
      </c>
      <c r="M120" t="s">
        <v>1344</v>
      </c>
      <c r="N120" t="s">
        <v>1345</v>
      </c>
      <c r="O120" t="s">
        <v>1740</v>
      </c>
      <c r="P120" t="s">
        <v>1741</v>
      </c>
      <c r="Q120" s="17">
        <v>45420</v>
      </c>
      <c r="S120" t="s">
        <v>1527</v>
      </c>
      <c r="T120" t="s">
        <v>1480</v>
      </c>
      <c r="V120" t="s">
        <v>1355</v>
      </c>
      <c r="W120" t="s">
        <v>1356</v>
      </c>
      <c r="X120" t="s">
        <v>249</v>
      </c>
      <c r="Y120" t="s">
        <v>249</v>
      </c>
      <c r="Z120" t="s">
        <v>249</v>
      </c>
      <c r="AA120" t="s">
        <v>249</v>
      </c>
      <c r="AB120" t="s">
        <v>249</v>
      </c>
      <c r="AC120" t="s">
        <v>249</v>
      </c>
      <c r="AD120" t="s">
        <v>249</v>
      </c>
    </row>
    <row r="121" spans="1:30" hidden="1" x14ac:dyDescent="0.35">
      <c r="A121" t="s">
        <v>1330</v>
      </c>
      <c r="B121" t="s">
        <v>1475</v>
      </c>
      <c r="C121" t="s">
        <v>1241</v>
      </c>
      <c r="D121" t="s">
        <v>1742</v>
      </c>
      <c r="E121" t="s">
        <v>1336</v>
      </c>
      <c r="F121" s="17">
        <v>44957</v>
      </c>
      <c r="H121" s="17"/>
      <c r="I121">
        <v>11356697674</v>
      </c>
      <c r="J121" t="s">
        <v>249</v>
      </c>
      <c r="K121" s="17">
        <v>33904</v>
      </c>
      <c r="L121">
        <v>33</v>
      </c>
      <c r="M121" t="s">
        <v>1363</v>
      </c>
      <c r="N121" t="s">
        <v>1345</v>
      </c>
      <c r="O121" t="s">
        <v>1743</v>
      </c>
      <c r="P121" t="s">
        <v>1744</v>
      </c>
      <c r="Q121" s="17">
        <v>45422</v>
      </c>
      <c r="S121" t="s">
        <v>1491</v>
      </c>
      <c r="T121" t="s">
        <v>1480</v>
      </c>
      <c r="V121" t="s">
        <v>1355</v>
      </c>
      <c r="W121" t="s">
        <v>1356</v>
      </c>
      <c r="X121" t="s">
        <v>249</v>
      </c>
      <c r="Y121" t="s">
        <v>249</v>
      </c>
      <c r="Z121" t="s">
        <v>249</v>
      </c>
      <c r="AA121" t="s">
        <v>249</v>
      </c>
      <c r="AB121" t="s">
        <v>249</v>
      </c>
      <c r="AC121" t="s">
        <v>249</v>
      </c>
      <c r="AD121" t="s">
        <v>249</v>
      </c>
    </row>
    <row r="122" spans="1:30" hidden="1" x14ac:dyDescent="0.35">
      <c r="A122" t="s">
        <v>1330</v>
      </c>
      <c r="B122" t="s">
        <v>1475</v>
      </c>
      <c r="C122" t="s">
        <v>1745</v>
      </c>
      <c r="D122" t="s">
        <v>1746</v>
      </c>
      <c r="E122" t="s">
        <v>1332</v>
      </c>
      <c r="F122" s="17">
        <v>45377</v>
      </c>
      <c r="H122" s="17"/>
      <c r="I122" t="s">
        <v>1747</v>
      </c>
      <c r="J122" t="s">
        <v>249</v>
      </c>
      <c r="K122" s="17">
        <v>30535</v>
      </c>
      <c r="L122">
        <v>43</v>
      </c>
      <c r="M122" t="s">
        <v>1344</v>
      </c>
      <c r="N122" t="s">
        <v>1345</v>
      </c>
      <c r="O122" t="s">
        <v>1748</v>
      </c>
      <c r="P122" t="s">
        <v>1749</v>
      </c>
      <c r="Q122" s="17">
        <v>45432</v>
      </c>
      <c r="S122" t="s">
        <v>1750</v>
      </c>
      <c r="T122" t="s">
        <v>1480</v>
      </c>
      <c r="V122" t="s">
        <v>1751</v>
      </c>
      <c r="W122" t="s">
        <v>1356</v>
      </c>
      <c r="X122" t="s">
        <v>249</v>
      </c>
      <c r="Y122" t="s">
        <v>249</v>
      </c>
      <c r="Z122" t="s">
        <v>249</v>
      </c>
      <c r="AA122" t="s">
        <v>249</v>
      </c>
      <c r="AB122" t="s">
        <v>249</v>
      </c>
      <c r="AC122" t="s">
        <v>249</v>
      </c>
      <c r="AD122" t="s">
        <v>249</v>
      </c>
    </row>
    <row r="123" spans="1:30" hidden="1" x14ac:dyDescent="0.35">
      <c r="A123" t="s">
        <v>1330</v>
      </c>
      <c r="B123" t="s">
        <v>1475</v>
      </c>
      <c r="C123" t="s">
        <v>1238</v>
      </c>
      <c r="D123" t="s">
        <v>1752</v>
      </c>
      <c r="E123" t="s">
        <v>1332</v>
      </c>
      <c r="F123" s="17">
        <v>44757</v>
      </c>
      <c r="H123" s="17"/>
      <c r="I123">
        <v>2407512219</v>
      </c>
      <c r="J123" t="s">
        <v>249</v>
      </c>
      <c r="K123" s="17">
        <v>34540</v>
      </c>
      <c r="L123">
        <v>32</v>
      </c>
      <c r="M123" t="s">
        <v>1363</v>
      </c>
      <c r="N123" t="s">
        <v>1345</v>
      </c>
      <c r="O123" t="s">
        <v>1753</v>
      </c>
      <c r="P123" t="s">
        <v>1754</v>
      </c>
      <c r="Q123" s="17">
        <v>45432</v>
      </c>
      <c r="S123" t="s">
        <v>1656</v>
      </c>
      <c r="T123" t="s">
        <v>1480</v>
      </c>
      <c r="V123" t="s">
        <v>1416</v>
      </c>
      <c r="W123" t="s">
        <v>1356</v>
      </c>
      <c r="X123" t="s">
        <v>249</v>
      </c>
      <c r="Y123" t="s">
        <v>249</v>
      </c>
      <c r="Z123" t="s">
        <v>249</v>
      </c>
      <c r="AA123" t="s">
        <v>249</v>
      </c>
      <c r="AB123" t="s">
        <v>249</v>
      </c>
      <c r="AC123" t="s">
        <v>249</v>
      </c>
      <c r="AD123" t="s">
        <v>249</v>
      </c>
    </row>
    <row r="124" spans="1:30" hidden="1" x14ac:dyDescent="0.35">
      <c r="A124" t="s">
        <v>1330</v>
      </c>
      <c r="B124" t="s">
        <v>1475</v>
      </c>
      <c r="C124" t="s">
        <v>1755</v>
      </c>
      <c r="D124" t="s">
        <v>1756</v>
      </c>
      <c r="E124" t="s">
        <v>1332</v>
      </c>
      <c r="F124" s="17">
        <v>45295</v>
      </c>
      <c r="H124" s="17"/>
      <c r="I124" t="s">
        <v>1757</v>
      </c>
      <c r="J124" t="s">
        <v>249</v>
      </c>
      <c r="K124" s="17">
        <v>30525</v>
      </c>
      <c r="L124">
        <v>43</v>
      </c>
      <c r="M124" t="s">
        <v>1344</v>
      </c>
      <c r="N124" t="s">
        <v>1345</v>
      </c>
      <c r="O124" t="s">
        <v>1758</v>
      </c>
      <c r="P124" t="s">
        <v>1759</v>
      </c>
      <c r="Q124" s="17">
        <v>45433</v>
      </c>
      <c r="S124" t="s">
        <v>1566</v>
      </c>
      <c r="T124" t="s">
        <v>1480</v>
      </c>
      <c r="V124" t="s">
        <v>1760</v>
      </c>
      <c r="W124" t="s">
        <v>1761</v>
      </c>
      <c r="X124" t="s">
        <v>249</v>
      </c>
      <c r="Y124" t="s">
        <v>249</v>
      </c>
      <c r="Z124" t="s">
        <v>249</v>
      </c>
      <c r="AA124" t="s">
        <v>249</v>
      </c>
      <c r="AB124" t="s">
        <v>249</v>
      </c>
      <c r="AC124" t="s">
        <v>249</v>
      </c>
      <c r="AD124" t="s">
        <v>249</v>
      </c>
    </row>
    <row r="125" spans="1:30" hidden="1" x14ac:dyDescent="0.35">
      <c r="A125" t="s">
        <v>1330</v>
      </c>
      <c r="B125" t="s">
        <v>1475</v>
      </c>
      <c r="C125" t="s">
        <v>1762</v>
      </c>
      <c r="D125" t="s">
        <v>1763</v>
      </c>
      <c r="E125" t="s">
        <v>1336</v>
      </c>
      <c r="F125" s="17">
        <v>44860</v>
      </c>
      <c r="H125" s="17"/>
      <c r="I125">
        <v>12542291675</v>
      </c>
      <c r="J125" t="s">
        <v>249</v>
      </c>
      <c r="K125" s="17">
        <v>35594</v>
      </c>
      <c r="L125">
        <v>29</v>
      </c>
      <c r="M125" t="s">
        <v>1354</v>
      </c>
      <c r="N125" t="s">
        <v>1360</v>
      </c>
      <c r="O125" t="s">
        <v>1764</v>
      </c>
      <c r="P125" t="s">
        <v>1765</v>
      </c>
      <c r="Q125" s="17">
        <v>45454</v>
      </c>
      <c r="S125" t="s">
        <v>1511</v>
      </c>
      <c r="T125" t="s">
        <v>1480</v>
      </c>
      <c r="V125" t="s">
        <v>1210</v>
      </c>
      <c r="W125" t="s">
        <v>1356</v>
      </c>
      <c r="X125" t="s">
        <v>249</v>
      </c>
      <c r="Y125" t="s">
        <v>249</v>
      </c>
      <c r="Z125" t="s">
        <v>249</v>
      </c>
      <c r="AA125" t="s">
        <v>249</v>
      </c>
      <c r="AB125" t="s">
        <v>249</v>
      </c>
      <c r="AC125" t="s">
        <v>249</v>
      </c>
      <c r="AD125" t="s">
        <v>249</v>
      </c>
    </row>
    <row r="126" spans="1:30" hidden="1" x14ac:dyDescent="0.35">
      <c r="A126" t="s">
        <v>1330</v>
      </c>
      <c r="B126" t="s">
        <v>1461</v>
      </c>
      <c r="C126" t="s">
        <v>1766</v>
      </c>
      <c r="D126" t="s">
        <v>1767</v>
      </c>
      <c r="E126" t="s">
        <v>1332</v>
      </c>
      <c r="F126" s="17">
        <v>45187</v>
      </c>
      <c r="H126" s="17"/>
      <c r="I126" t="s">
        <v>1768</v>
      </c>
      <c r="J126" t="s">
        <v>249</v>
      </c>
      <c r="K126" s="17">
        <v>31352</v>
      </c>
      <c r="L126">
        <v>40</v>
      </c>
      <c r="M126" t="s">
        <v>1349</v>
      </c>
      <c r="N126" t="s">
        <v>1345</v>
      </c>
      <c r="O126" t="s">
        <v>1769</v>
      </c>
      <c r="P126" t="s">
        <v>1770</v>
      </c>
      <c r="Q126" s="17">
        <v>45457</v>
      </c>
      <c r="S126" t="s">
        <v>1771</v>
      </c>
      <c r="T126" t="s">
        <v>1466</v>
      </c>
      <c r="V126" t="s">
        <v>1355</v>
      </c>
      <c r="W126" t="s">
        <v>1356</v>
      </c>
      <c r="X126" t="s">
        <v>249</v>
      </c>
      <c r="Y126" t="s">
        <v>249</v>
      </c>
      <c r="Z126" t="s">
        <v>249</v>
      </c>
      <c r="AA126" t="s">
        <v>249</v>
      </c>
      <c r="AB126" t="s">
        <v>249</v>
      </c>
      <c r="AC126" t="s">
        <v>249</v>
      </c>
      <c r="AD126" t="s">
        <v>249</v>
      </c>
    </row>
    <row r="127" spans="1:30" hidden="1" x14ac:dyDescent="0.35">
      <c r="A127" t="s">
        <v>1330</v>
      </c>
      <c r="B127" t="s">
        <v>1475</v>
      </c>
      <c r="C127" t="s">
        <v>1772</v>
      </c>
      <c r="D127" t="s">
        <v>1773</v>
      </c>
      <c r="E127" t="s">
        <v>1332</v>
      </c>
      <c r="F127" s="17">
        <v>45264</v>
      </c>
      <c r="H127" s="17"/>
      <c r="I127" t="s">
        <v>1774</v>
      </c>
      <c r="J127" t="s">
        <v>249</v>
      </c>
      <c r="K127" s="17">
        <v>28851</v>
      </c>
      <c r="L127">
        <v>47</v>
      </c>
      <c r="M127" t="s">
        <v>1344</v>
      </c>
      <c r="N127" t="s">
        <v>1380</v>
      </c>
      <c r="O127" t="s">
        <v>1775</v>
      </c>
      <c r="P127" t="s">
        <v>1776</v>
      </c>
      <c r="Q127" s="17">
        <v>45473</v>
      </c>
      <c r="S127" t="s">
        <v>1656</v>
      </c>
      <c r="T127" t="s">
        <v>1480</v>
      </c>
      <c r="V127" t="s">
        <v>1390</v>
      </c>
      <c r="W127" t="s">
        <v>1351</v>
      </c>
      <c r="X127" t="s">
        <v>249</v>
      </c>
      <c r="Y127" t="s">
        <v>249</v>
      </c>
      <c r="Z127" t="s">
        <v>249</v>
      </c>
      <c r="AA127" t="s">
        <v>249</v>
      </c>
      <c r="AB127" t="s">
        <v>249</v>
      </c>
      <c r="AC127" t="s">
        <v>249</v>
      </c>
      <c r="AD127" t="s">
        <v>249</v>
      </c>
    </row>
    <row r="128" spans="1:30" hidden="1" x14ac:dyDescent="0.35">
      <c r="A128" t="s">
        <v>1330</v>
      </c>
      <c r="B128" t="s">
        <v>1475</v>
      </c>
      <c r="C128" t="s">
        <v>1260</v>
      </c>
      <c r="D128" t="s">
        <v>1777</v>
      </c>
      <c r="E128" t="s">
        <v>1332</v>
      </c>
      <c r="F128" s="17">
        <v>45412</v>
      </c>
      <c r="H128" s="17"/>
      <c r="I128">
        <v>2877479056</v>
      </c>
      <c r="J128" t="s">
        <v>249</v>
      </c>
      <c r="K128" s="17">
        <v>33436</v>
      </c>
      <c r="L128">
        <v>35</v>
      </c>
      <c r="M128" t="s">
        <v>1363</v>
      </c>
      <c r="N128" t="s">
        <v>1345</v>
      </c>
      <c r="O128" t="s">
        <v>1778</v>
      </c>
      <c r="P128" t="s">
        <v>1779</v>
      </c>
      <c r="Q128" s="17">
        <v>45487</v>
      </c>
      <c r="S128" t="s">
        <v>1780</v>
      </c>
      <c r="T128" t="s">
        <v>1480</v>
      </c>
      <c r="V128" t="s">
        <v>1781</v>
      </c>
      <c r="W128" t="s">
        <v>1782</v>
      </c>
      <c r="X128" t="s">
        <v>249</v>
      </c>
      <c r="Y128" t="s">
        <v>249</v>
      </c>
      <c r="Z128" t="s">
        <v>249</v>
      </c>
      <c r="AA128" t="s">
        <v>249</v>
      </c>
      <c r="AB128" t="s">
        <v>249</v>
      </c>
      <c r="AC128" t="s">
        <v>249</v>
      </c>
      <c r="AD128" t="s">
        <v>249</v>
      </c>
    </row>
    <row r="129" spans="1:30" hidden="1" x14ac:dyDescent="0.35">
      <c r="A129" t="s">
        <v>1330</v>
      </c>
      <c r="B129" t="s">
        <v>1475</v>
      </c>
      <c r="C129" t="s">
        <v>1254</v>
      </c>
      <c r="D129" t="s">
        <v>1783</v>
      </c>
      <c r="E129" t="s">
        <v>1332</v>
      </c>
      <c r="F129" s="17">
        <v>45446</v>
      </c>
      <c r="H129" s="17"/>
      <c r="I129" t="s">
        <v>1784</v>
      </c>
      <c r="J129" t="s">
        <v>249</v>
      </c>
      <c r="K129" s="17">
        <v>25182</v>
      </c>
      <c r="L129">
        <v>57</v>
      </c>
      <c r="M129" t="s">
        <v>1564</v>
      </c>
      <c r="N129" t="s">
        <v>1380</v>
      </c>
      <c r="O129" t="s">
        <v>1785</v>
      </c>
      <c r="P129" t="s">
        <v>1786</v>
      </c>
      <c r="Q129" s="17">
        <v>45488</v>
      </c>
      <c r="S129" t="s">
        <v>1787</v>
      </c>
      <c r="T129" t="s">
        <v>1480</v>
      </c>
      <c r="V129" t="s">
        <v>1788</v>
      </c>
      <c r="W129" t="s">
        <v>1789</v>
      </c>
      <c r="X129" t="s">
        <v>249</v>
      </c>
      <c r="Y129" t="s">
        <v>249</v>
      </c>
      <c r="Z129" t="s">
        <v>249</v>
      </c>
      <c r="AA129" t="s">
        <v>249</v>
      </c>
      <c r="AB129" t="s">
        <v>249</v>
      </c>
      <c r="AC129" t="s">
        <v>249</v>
      </c>
      <c r="AD129" t="s">
        <v>249</v>
      </c>
    </row>
    <row r="130" spans="1:30" hidden="1" x14ac:dyDescent="0.35">
      <c r="A130" t="s">
        <v>1330</v>
      </c>
      <c r="B130" t="s">
        <v>1461</v>
      </c>
      <c r="C130" t="s">
        <v>1255</v>
      </c>
      <c r="D130" t="s">
        <v>1790</v>
      </c>
      <c r="E130" t="s">
        <v>1336</v>
      </c>
      <c r="F130" s="17">
        <v>44853</v>
      </c>
      <c r="H130" s="17"/>
      <c r="I130">
        <v>10282622640</v>
      </c>
      <c r="J130" t="s">
        <v>249</v>
      </c>
      <c r="K130" s="17">
        <v>32393</v>
      </c>
      <c r="L130">
        <v>37</v>
      </c>
      <c r="M130" t="s">
        <v>1349</v>
      </c>
      <c r="N130" t="s">
        <v>1345</v>
      </c>
      <c r="O130" t="s">
        <v>1791</v>
      </c>
      <c r="P130" t="s">
        <v>1792</v>
      </c>
      <c r="Q130" s="17">
        <v>45496</v>
      </c>
      <c r="S130" t="s">
        <v>1547</v>
      </c>
      <c r="T130" t="s">
        <v>1466</v>
      </c>
      <c r="V130" t="s">
        <v>1439</v>
      </c>
      <c r="W130" t="s">
        <v>1356</v>
      </c>
      <c r="X130" t="s">
        <v>249</v>
      </c>
      <c r="Y130" t="s">
        <v>249</v>
      </c>
      <c r="Z130" t="s">
        <v>249</v>
      </c>
      <c r="AA130" t="s">
        <v>249</v>
      </c>
      <c r="AB130" t="s">
        <v>249</v>
      </c>
      <c r="AC130" t="s">
        <v>249</v>
      </c>
      <c r="AD130" t="s">
        <v>249</v>
      </c>
    </row>
    <row r="131" spans="1:30" hidden="1" x14ac:dyDescent="0.35">
      <c r="A131" t="s">
        <v>1330</v>
      </c>
      <c r="B131" t="s">
        <v>1475</v>
      </c>
      <c r="C131" t="s">
        <v>1793</v>
      </c>
      <c r="D131" t="s">
        <v>1794</v>
      </c>
      <c r="E131" t="s">
        <v>1336</v>
      </c>
      <c r="F131" s="17">
        <v>45148</v>
      </c>
      <c r="H131" s="17"/>
      <c r="I131" t="s">
        <v>1795</v>
      </c>
      <c r="J131" t="s">
        <v>249</v>
      </c>
      <c r="K131" s="17">
        <v>33586</v>
      </c>
      <c r="L131">
        <v>34</v>
      </c>
      <c r="M131" t="s">
        <v>1363</v>
      </c>
      <c r="N131" t="s">
        <v>1345</v>
      </c>
      <c r="O131" t="s">
        <v>1796</v>
      </c>
      <c r="P131" t="s">
        <v>1797</v>
      </c>
      <c r="Q131" s="17">
        <v>45496</v>
      </c>
      <c r="S131" t="s">
        <v>1491</v>
      </c>
      <c r="T131" t="s">
        <v>1480</v>
      </c>
      <c r="V131" t="s">
        <v>1798</v>
      </c>
      <c r="W131" t="s">
        <v>1356</v>
      </c>
      <c r="X131" t="s">
        <v>249</v>
      </c>
      <c r="Y131" t="s">
        <v>249</v>
      </c>
      <c r="Z131" t="s">
        <v>249</v>
      </c>
      <c r="AA131" t="s">
        <v>249</v>
      </c>
      <c r="AB131" t="s">
        <v>249</v>
      </c>
      <c r="AC131" t="s">
        <v>249</v>
      </c>
      <c r="AD131" t="s">
        <v>249</v>
      </c>
    </row>
    <row r="132" spans="1:30" hidden="1" x14ac:dyDescent="0.35">
      <c r="A132" t="s">
        <v>1330</v>
      </c>
      <c r="B132" t="s">
        <v>1475</v>
      </c>
      <c r="C132" t="s">
        <v>1256</v>
      </c>
      <c r="D132" t="s">
        <v>1799</v>
      </c>
      <c r="E132" t="s">
        <v>1332</v>
      </c>
      <c r="F132" s="17">
        <v>44797</v>
      </c>
      <c r="H132" s="17"/>
      <c r="I132">
        <v>6267821633</v>
      </c>
      <c r="J132" t="s">
        <v>249</v>
      </c>
      <c r="K132" s="17">
        <v>33009</v>
      </c>
      <c r="L132">
        <v>36</v>
      </c>
      <c r="M132" t="s">
        <v>1349</v>
      </c>
      <c r="N132" t="s">
        <v>1345</v>
      </c>
      <c r="O132" t="s">
        <v>1800</v>
      </c>
      <c r="P132" t="s">
        <v>1801</v>
      </c>
      <c r="Q132" s="17">
        <v>45504</v>
      </c>
      <c r="S132" t="s">
        <v>1802</v>
      </c>
      <c r="T132" t="s">
        <v>1480</v>
      </c>
      <c r="V132" t="s">
        <v>1439</v>
      </c>
      <c r="W132" t="s">
        <v>1356</v>
      </c>
      <c r="X132" t="s">
        <v>249</v>
      </c>
      <c r="Y132" t="s">
        <v>249</v>
      </c>
      <c r="Z132" t="s">
        <v>249</v>
      </c>
      <c r="AA132" t="s">
        <v>249</v>
      </c>
      <c r="AB132" t="s">
        <v>249</v>
      </c>
      <c r="AC132" t="s">
        <v>249</v>
      </c>
      <c r="AD132" t="s">
        <v>249</v>
      </c>
    </row>
    <row r="133" spans="1:30" hidden="1" x14ac:dyDescent="0.35">
      <c r="A133" t="s">
        <v>1330</v>
      </c>
      <c r="B133" t="s">
        <v>1475</v>
      </c>
      <c r="C133" t="s">
        <v>1803</v>
      </c>
      <c r="D133" t="s">
        <v>1804</v>
      </c>
      <c r="E133" t="s">
        <v>1332</v>
      </c>
      <c r="F133" s="17">
        <v>45419</v>
      </c>
      <c r="H133" s="17"/>
      <c r="I133" t="s">
        <v>1805</v>
      </c>
      <c r="J133" t="s">
        <v>249</v>
      </c>
      <c r="K133" s="17">
        <v>22402</v>
      </c>
      <c r="L133">
        <v>65</v>
      </c>
      <c r="M133" t="s">
        <v>1564</v>
      </c>
      <c r="N133" t="s">
        <v>1380</v>
      </c>
      <c r="O133" t="s">
        <v>1806</v>
      </c>
      <c r="P133" t="s">
        <v>1807</v>
      </c>
      <c r="Q133" s="17">
        <v>45506</v>
      </c>
      <c r="S133" t="s">
        <v>1787</v>
      </c>
      <c r="T133" t="s">
        <v>1480</v>
      </c>
      <c r="V133" t="s">
        <v>1808</v>
      </c>
      <c r="W133" t="s">
        <v>1789</v>
      </c>
      <c r="X133" t="s">
        <v>249</v>
      </c>
      <c r="Y133" t="s">
        <v>249</v>
      </c>
      <c r="Z133" t="s">
        <v>249</v>
      </c>
      <c r="AA133" t="s">
        <v>249</v>
      </c>
      <c r="AB133" t="s">
        <v>249</v>
      </c>
      <c r="AC133" t="s">
        <v>249</v>
      </c>
      <c r="AD133" t="s">
        <v>249</v>
      </c>
    </row>
    <row r="134" spans="1:30" hidden="1" x14ac:dyDescent="0.35">
      <c r="A134" t="s">
        <v>1330</v>
      </c>
      <c r="B134" t="s">
        <v>1475</v>
      </c>
      <c r="C134" t="s">
        <v>1236</v>
      </c>
      <c r="D134" t="s">
        <v>1809</v>
      </c>
      <c r="E134" t="s">
        <v>1332</v>
      </c>
      <c r="F134" s="17">
        <v>45303</v>
      </c>
      <c r="H134" s="17"/>
      <c r="I134">
        <v>82596689049</v>
      </c>
      <c r="J134" t="s">
        <v>249</v>
      </c>
      <c r="K134" s="17">
        <v>30198</v>
      </c>
      <c r="L134">
        <v>43</v>
      </c>
      <c r="M134" t="s">
        <v>1344</v>
      </c>
      <c r="N134" t="s">
        <v>1345</v>
      </c>
      <c r="O134" t="s">
        <v>1810</v>
      </c>
      <c r="P134" t="s">
        <v>1811</v>
      </c>
      <c r="Q134" s="17">
        <v>45511</v>
      </c>
      <c r="S134" t="s">
        <v>1656</v>
      </c>
      <c r="T134" t="s">
        <v>1480</v>
      </c>
      <c r="V134" t="s">
        <v>1812</v>
      </c>
      <c r="W134" t="s">
        <v>1782</v>
      </c>
      <c r="X134" t="s">
        <v>249</v>
      </c>
      <c r="Y134" t="s">
        <v>249</v>
      </c>
      <c r="Z134" t="s">
        <v>249</v>
      </c>
      <c r="AA134" t="s">
        <v>249</v>
      </c>
      <c r="AB134" t="s">
        <v>249</v>
      </c>
      <c r="AC134" t="s">
        <v>249</v>
      </c>
      <c r="AD134" t="s">
        <v>249</v>
      </c>
    </row>
    <row r="135" spans="1:30" hidden="1" x14ac:dyDescent="0.35">
      <c r="A135" t="s">
        <v>1330</v>
      </c>
      <c r="B135" t="s">
        <v>1475</v>
      </c>
      <c r="C135" t="s">
        <v>1252</v>
      </c>
      <c r="D135" t="s">
        <v>1813</v>
      </c>
      <c r="E135" t="s">
        <v>1336</v>
      </c>
      <c r="F135" s="17">
        <v>45350</v>
      </c>
      <c r="H135" s="17"/>
      <c r="I135" t="s">
        <v>1814</v>
      </c>
      <c r="J135" t="s">
        <v>249</v>
      </c>
      <c r="K135" s="17">
        <v>35365</v>
      </c>
      <c r="L135">
        <v>29</v>
      </c>
      <c r="M135" t="s">
        <v>1354</v>
      </c>
      <c r="N135" t="s">
        <v>1345</v>
      </c>
      <c r="O135" t="s">
        <v>1815</v>
      </c>
      <c r="P135" t="s">
        <v>1816</v>
      </c>
      <c r="Q135" s="17">
        <v>45513</v>
      </c>
      <c r="S135" t="s">
        <v>1817</v>
      </c>
      <c r="T135" t="s">
        <v>1480</v>
      </c>
      <c r="V135" t="s">
        <v>1355</v>
      </c>
      <c r="W135" t="s">
        <v>1356</v>
      </c>
      <c r="X135" t="s">
        <v>249</v>
      </c>
      <c r="Y135" t="s">
        <v>249</v>
      </c>
      <c r="Z135" t="s">
        <v>249</v>
      </c>
      <c r="AA135" t="s">
        <v>249</v>
      </c>
      <c r="AB135" t="s">
        <v>249</v>
      </c>
      <c r="AC135" t="s">
        <v>249</v>
      </c>
      <c r="AD135" t="s">
        <v>249</v>
      </c>
    </row>
    <row r="136" spans="1:30" hidden="1" x14ac:dyDescent="0.35">
      <c r="A136" t="s">
        <v>1330</v>
      </c>
      <c r="B136" t="s">
        <v>1461</v>
      </c>
      <c r="C136" t="s">
        <v>1818</v>
      </c>
      <c r="D136" t="s">
        <v>1819</v>
      </c>
      <c r="E136" t="s">
        <v>1336</v>
      </c>
      <c r="F136" s="17">
        <v>44986</v>
      </c>
      <c r="H136" s="17"/>
      <c r="I136">
        <v>521278694</v>
      </c>
      <c r="J136" t="s">
        <v>249</v>
      </c>
      <c r="K136" s="17">
        <v>27155</v>
      </c>
      <c r="L136">
        <v>52</v>
      </c>
      <c r="M136" t="s">
        <v>1564</v>
      </c>
      <c r="N136" t="s">
        <v>1380</v>
      </c>
      <c r="O136" t="s">
        <v>1820</v>
      </c>
      <c r="P136" t="s">
        <v>1821</v>
      </c>
      <c r="Q136" s="17">
        <v>45523</v>
      </c>
      <c r="S136" t="s">
        <v>1822</v>
      </c>
      <c r="T136" t="s">
        <v>1466</v>
      </c>
      <c r="V136" t="s">
        <v>1355</v>
      </c>
      <c r="W136" t="s">
        <v>1356</v>
      </c>
      <c r="X136" t="s">
        <v>249</v>
      </c>
      <c r="Y136" t="s">
        <v>249</v>
      </c>
      <c r="Z136" t="s">
        <v>249</v>
      </c>
      <c r="AA136" t="s">
        <v>249</v>
      </c>
      <c r="AB136" t="s">
        <v>249</v>
      </c>
      <c r="AC136" t="s">
        <v>249</v>
      </c>
      <c r="AD136" t="s">
        <v>249</v>
      </c>
    </row>
    <row r="137" spans="1:30" hidden="1" x14ac:dyDescent="0.35">
      <c r="A137" t="s">
        <v>1330</v>
      </c>
      <c r="B137" t="s">
        <v>1475</v>
      </c>
      <c r="C137" t="s">
        <v>1823</v>
      </c>
      <c r="D137" t="s">
        <v>1824</v>
      </c>
      <c r="E137" t="s">
        <v>1332</v>
      </c>
      <c r="F137" s="17">
        <v>45110</v>
      </c>
      <c r="H137" s="17"/>
      <c r="I137">
        <v>5885241660</v>
      </c>
      <c r="J137" t="s">
        <v>249</v>
      </c>
      <c r="K137" s="17">
        <v>30532</v>
      </c>
      <c r="L137">
        <v>43</v>
      </c>
      <c r="M137" t="s">
        <v>1344</v>
      </c>
      <c r="N137" t="s">
        <v>1345</v>
      </c>
      <c r="O137" t="s">
        <v>1825</v>
      </c>
      <c r="P137" t="s">
        <v>1826</v>
      </c>
      <c r="Q137" s="17">
        <v>45530</v>
      </c>
      <c r="S137" t="s">
        <v>1507</v>
      </c>
      <c r="T137" t="s">
        <v>1480</v>
      </c>
      <c r="V137" t="s">
        <v>1827</v>
      </c>
      <c r="W137" t="s">
        <v>1356</v>
      </c>
      <c r="X137" t="s">
        <v>249</v>
      </c>
      <c r="Y137" t="s">
        <v>249</v>
      </c>
      <c r="Z137" t="s">
        <v>249</v>
      </c>
      <c r="AA137" t="s">
        <v>249</v>
      </c>
      <c r="AB137" t="s">
        <v>249</v>
      </c>
      <c r="AC137" t="s">
        <v>249</v>
      </c>
      <c r="AD137" t="s">
        <v>249</v>
      </c>
    </row>
    <row r="138" spans="1:30" hidden="1" x14ac:dyDescent="0.35">
      <c r="A138" t="s">
        <v>1330</v>
      </c>
      <c r="B138" t="s">
        <v>1475</v>
      </c>
      <c r="C138" t="s">
        <v>1828</v>
      </c>
      <c r="D138" t="s">
        <v>1829</v>
      </c>
      <c r="E138" t="s">
        <v>1336</v>
      </c>
      <c r="F138" s="17">
        <v>45516</v>
      </c>
      <c r="H138" s="17"/>
      <c r="I138" t="s">
        <v>1830</v>
      </c>
      <c r="J138" t="s">
        <v>249</v>
      </c>
      <c r="K138" s="17">
        <v>32787</v>
      </c>
      <c r="L138">
        <v>36</v>
      </c>
      <c r="M138" t="s">
        <v>1349</v>
      </c>
      <c r="N138" t="s">
        <v>1345</v>
      </c>
      <c r="O138" t="s">
        <v>1831</v>
      </c>
      <c r="P138" t="s">
        <v>1832</v>
      </c>
      <c r="Q138" s="17">
        <v>45540</v>
      </c>
      <c r="S138" t="s">
        <v>1507</v>
      </c>
      <c r="T138" t="s">
        <v>1480</v>
      </c>
      <c r="V138" t="s">
        <v>1355</v>
      </c>
      <c r="W138" t="s">
        <v>1356</v>
      </c>
      <c r="X138" t="s">
        <v>249</v>
      </c>
      <c r="Y138" t="s">
        <v>249</v>
      </c>
      <c r="Z138" t="s">
        <v>249</v>
      </c>
      <c r="AA138" t="s">
        <v>249</v>
      </c>
      <c r="AB138" t="s">
        <v>249</v>
      </c>
      <c r="AC138" t="s">
        <v>249</v>
      </c>
      <c r="AD138" t="s">
        <v>249</v>
      </c>
    </row>
    <row r="139" spans="1:30" hidden="1" x14ac:dyDescent="0.35">
      <c r="A139" t="s">
        <v>1330</v>
      </c>
      <c r="B139" t="s">
        <v>1461</v>
      </c>
      <c r="C139" t="s">
        <v>1833</v>
      </c>
      <c r="D139" t="s">
        <v>1834</v>
      </c>
      <c r="E139" t="s">
        <v>1336</v>
      </c>
      <c r="F139" s="17">
        <v>45337</v>
      </c>
      <c r="H139" s="17"/>
      <c r="I139" t="s">
        <v>1835</v>
      </c>
      <c r="J139" t="s">
        <v>249</v>
      </c>
      <c r="K139" s="17">
        <v>33926</v>
      </c>
      <c r="L139">
        <v>33</v>
      </c>
      <c r="M139" t="s">
        <v>1363</v>
      </c>
      <c r="N139" t="s">
        <v>1345</v>
      </c>
      <c r="O139" t="s">
        <v>1836</v>
      </c>
      <c r="P139" t="s">
        <v>1837</v>
      </c>
      <c r="Q139" s="17">
        <v>45544</v>
      </c>
      <c r="S139" t="s">
        <v>1838</v>
      </c>
      <c r="T139" t="s">
        <v>1466</v>
      </c>
      <c r="V139" t="s">
        <v>1355</v>
      </c>
      <c r="W139" t="s">
        <v>1356</v>
      </c>
      <c r="X139" t="s">
        <v>249</v>
      </c>
      <c r="Y139" t="s">
        <v>249</v>
      </c>
      <c r="Z139" t="s">
        <v>249</v>
      </c>
      <c r="AA139" t="s">
        <v>249</v>
      </c>
      <c r="AB139" t="s">
        <v>249</v>
      </c>
      <c r="AC139" t="s">
        <v>249</v>
      </c>
      <c r="AD139" t="s">
        <v>249</v>
      </c>
    </row>
    <row r="140" spans="1:30" hidden="1" x14ac:dyDescent="0.35">
      <c r="A140" t="s">
        <v>1330</v>
      </c>
      <c r="B140" t="s">
        <v>1475</v>
      </c>
      <c r="C140" t="s">
        <v>1839</v>
      </c>
      <c r="D140" t="s">
        <v>1840</v>
      </c>
      <c r="E140" t="s">
        <v>1332</v>
      </c>
      <c r="F140" s="17">
        <v>45463</v>
      </c>
      <c r="H140" s="17"/>
      <c r="I140" t="s">
        <v>1841</v>
      </c>
      <c r="J140" t="s">
        <v>249</v>
      </c>
      <c r="K140" s="17">
        <v>33046</v>
      </c>
      <c r="L140">
        <v>36</v>
      </c>
      <c r="M140" t="s">
        <v>1349</v>
      </c>
      <c r="N140" t="s">
        <v>1345</v>
      </c>
      <c r="O140" t="s">
        <v>1842</v>
      </c>
      <c r="P140" t="s">
        <v>1843</v>
      </c>
      <c r="Q140" s="17">
        <v>45551</v>
      </c>
      <c r="S140" t="s">
        <v>1844</v>
      </c>
      <c r="T140" t="s">
        <v>1480</v>
      </c>
      <c r="V140" t="s">
        <v>1845</v>
      </c>
      <c r="W140" t="s">
        <v>1846</v>
      </c>
      <c r="X140" t="s">
        <v>249</v>
      </c>
      <c r="Y140" t="s">
        <v>249</v>
      </c>
      <c r="Z140" t="s">
        <v>249</v>
      </c>
      <c r="AA140" t="s">
        <v>249</v>
      </c>
      <c r="AB140" t="s">
        <v>249</v>
      </c>
      <c r="AC140" t="s">
        <v>249</v>
      </c>
      <c r="AD140" t="s">
        <v>249</v>
      </c>
    </row>
    <row r="141" spans="1:30" hidden="1" x14ac:dyDescent="0.35">
      <c r="A141" t="s">
        <v>1330</v>
      </c>
      <c r="B141" t="s">
        <v>1475</v>
      </c>
      <c r="C141" t="s">
        <v>1847</v>
      </c>
      <c r="D141" t="s">
        <v>1848</v>
      </c>
      <c r="E141" t="s">
        <v>1332</v>
      </c>
      <c r="F141" s="17">
        <v>45467</v>
      </c>
      <c r="H141" s="17"/>
      <c r="I141" t="s">
        <v>1849</v>
      </c>
      <c r="J141" t="s">
        <v>249</v>
      </c>
      <c r="K141" s="17">
        <v>36695</v>
      </c>
      <c r="L141">
        <v>26</v>
      </c>
      <c r="M141" t="s">
        <v>1354</v>
      </c>
      <c r="N141" t="s">
        <v>1360</v>
      </c>
      <c r="O141" t="s">
        <v>1850</v>
      </c>
      <c r="P141" t="s">
        <v>1851</v>
      </c>
      <c r="Q141" s="17">
        <v>45552</v>
      </c>
      <c r="S141" t="s">
        <v>1656</v>
      </c>
      <c r="T141" t="s">
        <v>1480</v>
      </c>
      <c r="V141" t="s">
        <v>1416</v>
      </c>
      <c r="W141" t="s">
        <v>1417</v>
      </c>
      <c r="X141" t="s">
        <v>249</v>
      </c>
      <c r="Y141" t="s">
        <v>249</v>
      </c>
      <c r="Z141" t="s">
        <v>249</v>
      </c>
      <c r="AA141" t="s">
        <v>249</v>
      </c>
      <c r="AB141" t="s">
        <v>249</v>
      </c>
      <c r="AC141" t="s">
        <v>249</v>
      </c>
      <c r="AD141" t="s">
        <v>249</v>
      </c>
    </row>
    <row r="142" spans="1:30" hidden="1" x14ac:dyDescent="0.35">
      <c r="A142" t="s">
        <v>1330</v>
      </c>
      <c r="B142" t="s">
        <v>1475</v>
      </c>
      <c r="C142" t="s">
        <v>1852</v>
      </c>
      <c r="D142" t="s">
        <v>1853</v>
      </c>
      <c r="E142" t="s">
        <v>1332</v>
      </c>
      <c r="F142" s="17">
        <v>45195</v>
      </c>
      <c r="H142" s="17"/>
      <c r="I142" t="s">
        <v>1854</v>
      </c>
      <c r="J142" t="s">
        <v>249</v>
      </c>
      <c r="K142" s="17">
        <v>33062</v>
      </c>
      <c r="L142">
        <v>36</v>
      </c>
      <c r="M142" t="s">
        <v>1349</v>
      </c>
      <c r="N142" t="s">
        <v>1345</v>
      </c>
      <c r="O142" t="s">
        <v>1855</v>
      </c>
      <c r="P142" t="s">
        <v>1856</v>
      </c>
      <c r="Q142" s="17">
        <v>45562</v>
      </c>
      <c r="S142" t="s">
        <v>1527</v>
      </c>
      <c r="T142" t="s">
        <v>1480</v>
      </c>
      <c r="V142" t="s">
        <v>1857</v>
      </c>
      <c r="W142" t="s">
        <v>1356</v>
      </c>
      <c r="X142" t="s">
        <v>249</v>
      </c>
      <c r="Y142" t="s">
        <v>249</v>
      </c>
      <c r="Z142" t="s">
        <v>249</v>
      </c>
      <c r="AA142" t="s">
        <v>249</v>
      </c>
      <c r="AB142" t="s">
        <v>249</v>
      </c>
      <c r="AC142" t="s">
        <v>249</v>
      </c>
      <c r="AD142" t="s">
        <v>249</v>
      </c>
    </row>
    <row r="143" spans="1:30" hidden="1" x14ac:dyDescent="0.35">
      <c r="A143" t="s">
        <v>1330</v>
      </c>
      <c r="B143" t="s">
        <v>1475</v>
      </c>
      <c r="C143" t="s">
        <v>1263</v>
      </c>
      <c r="D143" t="s">
        <v>1858</v>
      </c>
      <c r="E143" t="s">
        <v>1332</v>
      </c>
      <c r="F143" s="17">
        <v>45505</v>
      </c>
      <c r="H143" s="17"/>
      <c r="I143" t="s">
        <v>1859</v>
      </c>
      <c r="J143" t="s">
        <v>249</v>
      </c>
      <c r="K143" s="17">
        <v>30077</v>
      </c>
      <c r="L143">
        <v>44</v>
      </c>
      <c r="M143" t="s">
        <v>1344</v>
      </c>
      <c r="N143" t="s">
        <v>1345</v>
      </c>
      <c r="O143" t="s">
        <v>1860</v>
      </c>
      <c r="P143" s="107" t="s">
        <v>1861</v>
      </c>
      <c r="Q143" s="17">
        <v>45565</v>
      </c>
      <c r="S143" t="s">
        <v>1644</v>
      </c>
      <c r="T143" t="s">
        <v>1480</v>
      </c>
      <c r="V143" t="s">
        <v>1862</v>
      </c>
      <c r="W143" t="s">
        <v>1417</v>
      </c>
      <c r="X143" t="s">
        <v>249</v>
      </c>
      <c r="Y143" t="s">
        <v>249</v>
      </c>
      <c r="Z143" t="s">
        <v>249</v>
      </c>
      <c r="AA143" t="s">
        <v>249</v>
      </c>
      <c r="AB143" t="s">
        <v>249</v>
      </c>
      <c r="AC143" t="s">
        <v>249</v>
      </c>
      <c r="AD143" t="s">
        <v>249</v>
      </c>
    </row>
    <row r="144" spans="1:30" hidden="1" x14ac:dyDescent="0.35">
      <c r="A144" t="s">
        <v>1330</v>
      </c>
      <c r="B144" t="s">
        <v>1461</v>
      </c>
      <c r="C144" t="s">
        <v>1863</v>
      </c>
      <c r="D144" t="s">
        <v>1864</v>
      </c>
      <c r="E144" t="s">
        <v>1336</v>
      </c>
      <c r="F144" s="17">
        <v>44847</v>
      </c>
      <c r="H144" s="17"/>
      <c r="I144">
        <v>10752659677</v>
      </c>
      <c r="J144" t="s">
        <v>249</v>
      </c>
      <c r="K144" s="17">
        <v>33492</v>
      </c>
      <c r="L144">
        <v>34</v>
      </c>
      <c r="M144" t="s">
        <v>1363</v>
      </c>
      <c r="N144" t="s">
        <v>1345</v>
      </c>
      <c r="O144" t="s">
        <v>1865</v>
      </c>
      <c r="P144" t="s">
        <v>1866</v>
      </c>
      <c r="Q144" s="17">
        <v>45569</v>
      </c>
      <c r="S144" t="s">
        <v>1736</v>
      </c>
      <c r="T144" t="s">
        <v>1466</v>
      </c>
      <c r="V144" t="s">
        <v>1867</v>
      </c>
      <c r="W144" t="s">
        <v>1356</v>
      </c>
      <c r="X144" t="s">
        <v>249</v>
      </c>
      <c r="Y144" t="s">
        <v>249</v>
      </c>
      <c r="Z144" t="s">
        <v>249</v>
      </c>
      <c r="AA144" t="s">
        <v>249</v>
      </c>
      <c r="AB144" t="s">
        <v>249</v>
      </c>
      <c r="AC144" t="s">
        <v>249</v>
      </c>
      <c r="AD144" t="s">
        <v>249</v>
      </c>
    </row>
    <row r="145" spans="1:30" hidden="1" x14ac:dyDescent="0.35">
      <c r="A145" t="s">
        <v>1330</v>
      </c>
      <c r="B145" t="s">
        <v>1475</v>
      </c>
      <c r="C145" t="s">
        <v>1262</v>
      </c>
      <c r="D145" t="s">
        <v>1868</v>
      </c>
      <c r="E145" t="s">
        <v>1336</v>
      </c>
      <c r="F145" s="17">
        <v>44866</v>
      </c>
      <c r="H145" s="17"/>
      <c r="I145">
        <v>10894538683</v>
      </c>
      <c r="J145" t="s">
        <v>249</v>
      </c>
      <c r="K145" s="17">
        <v>33687</v>
      </c>
      <c r="L145">
        <v>34</v>
      </c>
      <c r="M145" t="s">
        <v>1363</v>
      </c>
      <c r="N145" t="s">
        <v>1345</v>
      </c>
      <c r="O145" t="s">
        <v>1869</v>
      </c>
      <c r="P145" t="s">
        <v>1870</v>
      </c>
      <c r="Q145" s="17">
        <v>45596</v>
      </c>
      <c r="S145" t="s">
        <v>1527</v>
      </c>
      <c r="T145" t="s">
        <v>1480</v>
      </c>
      <c r="V145" t="s">
        <v>1361</v>
      </c>
      <c r="W145" t="s">
        <v>1356</v>
      </c>
      <c r="X145" t="s">
        <v>249</v>
      </c>
      <c r="Y145" t="s">
        <v>249</v>
      </c>
      <c r="Z145" t="s">
        <v>249</v>
      </c>
      <c r="AA145" t="s">
        <v>249</v>
      </c>
      <c r="AB145" t="s">
        <v>249</v>
      </c>
      <c r="AC145" t="s">
        <v>249</v>
      </c>
      <c r="AD145" t="s">
        <v>249</v>
      </c>
    </row>
    <row r="146" spans="1:30" hidden="1" x14ac:dyDescent="0.35">
      <c r="A146" t="s">
        <v>1330</v>
      </c>
      <c r="B146" t="s">
        <v>1475</v>
      </c>
      <c r="C146" t="s">
        <v>410</v>
      </c>
      <c r="D146" t="s">
        <v>1871</v>
      </c>
      <c r="E146" t="s">
        <v>1332</v>
      </c>
      <c r="F146" s="17">
        <v>45810</v>
      </c>
      <c r="H146" s="17"/>
      <c r="I146" t="s">
        <v>1872</v>
      </c>
      <c r="J146" t="s">
        <v>249</v>
      </c>
      <c r="K146" s="17">
        <v>32586</v>
      </c>
      <c r="L146">
        <v>37</v>
      </c>
      <c r="M146" t="s">
        <v>1349</v>
      </c>
      <c r="N146" t="s">
        <v>1345</v>
      </c>
      <c r="O146" t="s">
        <v>1873</v>
      </c>
      <c r="P146" t="s">
        <v>1874</v>
      </c>
      <c r="Q146" s="17">
        <v>45610</v>
      </c>
      <c r="S146" t="s">
        <v>1875</v>
      </c>
      <c r="T146" t="s">
        <v>1480</v>
      </c>
      <c r="V146" t="s">
        <v>1876</v>
      </c>
      <c r="W146" t="s">
        <v>1347</v>
      </c>
      <c r="X146" t="s">
        <v>1575</v>
      </c>
      <c r="Y146" t="s">
        <v>249</v>
      </c>
      <c r="Z146" t="s">
        <v>249</v>
      </c>
      <c r="AA146" t="s">
        <v>249</v>
      </c>
      <c r="AB146" t="s">
        <v>249</v>
      </c>
      <c r="AC146" t="s">
        <v>249</v>
      </c>
      <c r="AD146" t="s">
        <v>249</v>
      </c>
    </row>
    <row r="147" spans="1:30" hidden="1" x14ac:dyDescent="0.35">
      <c r="A147" t="s">
        <v>1330</v>
      </c>
      <c r="B147" t="s">
        <v>1475</v>
      </c>
      <c r="C147" t="s">
        <v>1877</v>
      </c>
      <c r="D147" t="s">
        <v>1878</v>
      </c>
      <c r="E147" t="s">
        <v>1332</v>
      </c>
      <c r="F147" s="17">
        <v>45546</v>
      </c>
      <c r="H147" s="17"/>
      <c r="I147" t="s">
        <v>1879</v>
      </c>
      <c r="J147" t="s">
        <v>249</v>
      </c>
      <c r="K147" s="17">
        <v>34784</v>
      </c>
      <c r="L147">
        <v>31</v>
      </c>
      <c r="M147" t="s">
        <v>1363</v>
      </c>
      <c r="N147" t="s">
        <v>1345</v>
      </c>
      <c r="O147" t="s">
        <v>1880</v>
      </c>
      <c r="P147" t="s">
        <v>1881</v>
      </c>
      <c r="Q147" s="17">
        <v>45610</v>
      </c>
      <c r="S147" t="s">
        <v>1882</v>
      </c>
      <c r="T147" t="s">
        <v>249</v>
      </c>
      <c r="V147" t="s">
        <v>1355</v>
      </c>
      <c r="W147" t="s">
        <v>1356</v>
      </c>
      <c r="X147" t="s">
        <v>249</v>
      </c>
      <c r="Y147" t="s">
        <v>249</v>
      </c>
      <c r="Z147" t="s">
        <v>249</v>
      </c>
      <c r="AA147" t="s">
        <v>249</v>
      </c>
      <c r="AB147" t="s">
        <v>249</v>
      </c>
      <c r="AC147" t="s">
        <v>249</v>
      </c>
      <c r="AD147" t="s">
        <v>249</v>
      </c>
    </row>
    <row r="148" spans="1:30" hidden="1" x14ac:dyDescent="0.35">
      <c r="A148" t="s">
        <v>1330</v>
      </c>
      <c r="B148" t="s">
        <v>1475</v>
      </c>
      <c r="C148" t="s">
        <v>1883</v>
      </c>
      <c r="D148" t="s">
        <v>1884</v>
      </c>
      <c r="E148" t="s">
        <v>1332</v>
      </c>
      <c r="F148" s="17">
        <v>45341</v>
      </c>
      <c r="H148" s="17"/>
      <c r="I148" t="s">
        <v>1885</v>
      </c>
      <c r="J148" t="s">
        <v>249</v>
      </c>
      <c r="K148" s="17">
        <v>33228</v>
      </c>
      <c r="L148">
        <v>35</v>
      </c>
      <c r="M148" t="s">
        <v>1363</v>
      </c>
      <c r="N148" t="s">
        <v>1345</v>
      </c>
      <c r="O148" t="s">
        <v>1886</v>
      </c>
      <c r="P148" t="s">
        <v>1887</v>
      </c>
      <c r="Q148" s="17">
        <v>45625</v>
      </c>
      <c r="S148" t="s">
        <v>1888</v>
      </c>
      <c r="T148" t="s">
        <v>1480</v>
      </c>
      <c r="V148" t="s">
        <v>1355</v>
      </c>
      <c r="W148" t="s">
        <v>1356</v>
      </c>
      <c r="X148" t="s">
        <v>249</v>
      </c>
      <c r="Y148" t="s">
        <v>249</v>
      </c>
      <c r="Z148" t="s">
        <v>249</v>
      </c>
      <c r="AA148" t="s">
        <v>249</v>
      </c>
      <c r="AB148" t="s">
        <v>249</v>
      </c>
      <c r="AC148" t="s">
        <v>249</v>
      </c>
      <c r="AD148" t="s">
        <v>249</v>
      </c>
    </row>
    <row r="149" spans="1:30" hidden="1" x14ac:dyDescent="0.35">
      <c r="A149" t="s">
        <v>1330</v>
      </c>
      <c r="B149" t="s">
        <v>1461</v>
      </c>
      <c r="C149" t="s">
        <v>1889</v>
      </c>
      <c r="D149" t="s">
        <v>1890</v>
      </c>
      <c r="E149" t="s">
        <v>1336</v>
      </c>
      <c r="F149" s="17">
        <v>45337</v>
      </c>
      <c r="H149" s="17"/>
      <c r="I149" t="s">
        <v>1891</v>
      </c>
      <c r="J149" t="s">
        <v>249</v>
      </c>
      <c r="K149" s="17">
        <v>34430</v>
      </c>
      <c r="L149">
        <v>32</v>
      </c>
      <c r="M149" t="s">
        <v>1363</v>
      </c>
      <c r="N149" t="s">
        <v>1345</v>
      </c>
      <c r="O149" t="s">
        <v>1892</v>
      </c>
      <c r="P149" t="s">
        <v>1893</v>
      </c>
      <c r="Q149" s="17">
        <v>45632</v>
      </c>
      <c r="S149" t="s">
        <v>1894</v>
      </c>
      <c r="T149" t="s">
        <v>1466</v>
      </c>
      <c r="V149" t="s">
        <v>1355</v>
      </c>
      <c r="W149" t="s">
        <v>1356</v>
      </c>
      <c r="X149" t="s">
        <v>249</v>
      </c>
      <c r="Y149" t="s">
        <v>249</v>
      </c>
      <c r="Z149" t="s">
        <v>249</v>
      </c>
      <c r="AA149" t="s">
        <v>249</v>
      </c>
      <c r="AB149" t="s">
        <v>249</v>
      </c>
      <c r="AC149" t="s">
        <v>249</v>
      </c>
      <c r="AD149" t="s">
        <v>249</v>
      </c>
    </row>
    <row r="150" spans="1:30" hidden="1" x14ac:dyDescent="0.35">
      <c r="A150" t="s">
        <v>1330</v>
      </c>
      <c r="B150" t="s">
        <v>1475</v>
      </c>
      <c r="C150" t="s">
        <v>1279</v>
      </c>
      <c r="D150" t="s">
        <v>1895</v>
      </c>
      <c r="E150" t="s">
        <v>1332</v>
      </c>
      <c r="F150" s="17">
        <v>45222</v>
      </c>
      <c r="H150" s="17"/>
      <c r="I150" t="s">
        <v>1896</v>
      </c>
      <c r="J150" t="s">
        <v>249</v>
      </c>
      <c r="K150" s="17">
        <v>35702</v>
      </c>
      <c r="L150">
        <v>28</v>
      </c>
      <c r="M150" t="s">
        <v>1354</v>
      </c>
      <c r="N150" t="s">
        <v>1360</v>
      </c>
      <c r="O150" t="s">
        <v>1897</v>
      </c>
      <c r="P150" t="s">
        <v>1898</v>
      </c>
      <c r="Q150" s="17">
        <v>45632</v>
      </c>
      <c r="S150" t="s">
        <v>1899</v>
      </c>
      <c r="T150" t="s">
        <v>1480</v>
      </c>
      <c r="V150" t="s">
        <v>1640</v>
      </c>
      <c r="W150" t="s">
        <v>1347</v>
      </c>
      <c r="X150" t="s">
        <v>249</v>
      </c>
      <c r="Y150" t="s">
        <v>249</v>
      </c>
      <c r="Z150" t="s">
        <v>249</v>
      </c>
      <c r="AA150" t="s">
        <v>249</v>
      </c>
      <c r="AB150" t="s">
        <v>249</v>
      </c>
      <c r="AC150" t="s">
        <v>249</v>
      </c>
      <c r="AD150" t="s">
        <v>249</v>
      </c>
    </row>
    <row r="151" spans="1:30" hidden="1" x14ac:dyDescent="0.35">
      <c r="A151" t="s">
        <v>1330</v>
      </c>
      <c r="B151" t="s">
        <v>1461</v>
      </c>
      <c r="C151" t="s">
        <v>1900</v>
      </c>
      <c r="D151" t="s">
        <v>1901</v>
      </c>
      <c r="E151" t="s">
        <v>1336</v>
      </c>
      <c r="F151" s="17">
        <v>45355</v>
      </c>
      <c r="H151" s="17"/>
      <c r="I151" t="s">
        <v>1902</v>
      </c>
      <c r="J151" t="s">
        <v>249</v>
      </c>
      <c r="K151" s="17">
        <v>32987</v>
      </c>
      <c r="L151">
        <v>36</v>
      </c>
      <c r="M151" t="s">
        <v>1349</v>
      </c>
      <c r="N151" t="s">
        <v>1345</v>
      </c>
      <c r="O151" t="s">
        <v>1903</v>
      </c>
      <c r="P151" t="s">
        <v>1904</v>
      </c>
      <c r="Q151" s="17">
        <v>45638</v>
      </c>
      <c r="S151" t="s">
        <v>1905</v>
      </c>
      <c r="T151" t="s">
        <v>1466</v>
      </c>
      <c r="V151" t="s">
        <v>1355</v>
      </c>
      <c r="W151" t="s">
        <v>1356</v>
      </c>
      <c r="X151" t="s">
        <v>249</v>
      </c>
      <c r="Y151" t="s">
        <v>249</v>
      </c>
      <c r="Z151" t="s">
        <v>249</v>
      </c>
      <c r="AA151" t="s">
        <v>249</v>
      </c>
      <c r="AB151" t="s">
        <v>249</v>
      </c>
      <c r="AC151" t="s">
        <v>249</v>
      </c>
      <c r="AD151" t="s">
        <v>249</v>
      </c>
    </row>
    <row r="152" spans="1:30" hidden="1" x14ac:dyDescent="0.35">
      <c r="A152" t="s">
        <v>1330</v>
      </c>
      <c r="B152" t="s">
        <v>1461</v>
      </c>
      <c r="C152" t="s">
        <v>1906</v>
      </c>
      <c r="D152" t="s">
        <v>1907</v>
      </c>
      <c r="E152" t="s">
        <v>1332</v>
      </c>
      <c r="F152" s="17">
        <v>45050</v>
      </c>
      <c r="H152" s="17"/>
      <c r="I152">
        <v>11080038698</v>
      </c>
      <c r="J152" t="s">
        <v>249</v>
      </c>
      <c r="K152" s="17">
        <v>33751</v>
      </c>
      <c r="L152">
        <v>34</v>
      </c>
      <c r="M152" t="s">
        <v>1363</v>
      </c>
      <c r="N152" t="s">
        <v>1345</v>
      </c>
      <c r="O152" t="s">
        <v>1908</v>
      </c>
      <c r="P152" t="s">
        <v>1909</v>
      </c>
      <c r="Q152" s="17">
        <v>45643</v>
      </c>
      <c r="S152" t="s">
        <v>1910</v>
      </c>
      <c r="T152" t="s">
        <v>1466</v>
      </c>
      <c r="V152" t="s">
        <v>1355</v>
      </c>
      <c r="W152" t="s">
        <v>1356</v>
      </c>
      <c r="X152" t="s">
        <v>249</v>
      </c>
      <c r="Y152" t="s">
        <v>249</v>
      </c>
      <c r="Z152" t="s">
        <v>249</v>
      </c>
      <c r="AA152" t="s">
        <v>249</v>
      </c>
      <c r="AB152" t="s">
        <v>249</v>
      </c>
      <c r="AC152" t="s">
        <v>249</v>
      </c>
      <c r="AD152" t="s">
        <v>249</v>
      </c>
    </row>
    <row r="153" spans="1:30" hidden="1" x14ac:dyDescent="0.35">
      <c r="A153" t="s">
        <v>1330</v>
      </c>
      <c r="B153" t="s">
        <v>1475</v>
      </c>
      <c r="C153" t="s">
        <v>1911</v>
      </c>
      <c r="D153" t="s">
        <v>1912</v>
      </c>
      <c r="E153" t="s">
        <v>1332</v>
      </c>
      <c r="F153" s="17">
        <v>45699</v>
      </c>
      <c r="H153" s="17"/>
      <c r="I153" t="s">
        <v>1913</v>
      </c>
      <c r="J153" t="s">
        <v>249</v>
      </c>
      <c r="K153" s="17">
        <v>31619</v>
      </c>
      <c r="L153">
        <v>40</v>
      </c>
      <c r="M153" t="s">
        <v>1349</v>
      </c>
      <c r="N153" t="s">
        <v>1345</v>
      </c>
      <c r="O153" t="s">
        <v>1914</v>
      </c>
      <c r="P153" t="s">
        <v>1915</v>
      </c>
      <c r="Q153" s="17">
        <v>45643</v>
      </c>
      <c r="S153" t="s">
        <v>1916</v>
      </c>
      <c r="T153" t="s">
        <v>1480</v>
      </c>
      <c r="V153" t="s">
        <v>1917</v>
      </c>
      <c r="W153" t="s">
        <v>1356</v>
      </c>
      <c r="X153" t="s">
        <v>1575</v>
      </c>
      <c r="Y153" t="s">
        <v>249</v>
      </c>
      <c r="Z153" t="s">
        <v>249</v>
      </c>
      <c r="AA153" t="s">
        <v>249</v>
      </c>
      <c r="AB153" t="s">
        <v>249</v>
      </c>
      <c r="AC153" t="s">
        <v>249</v>
      </c>
      <c r="AD153" t="s">
        <v>249</v>
      </c>
    </row>
    <row r="154" spans="1:30" hidden="1" x14ac:dyDescent="0.35">
      <c r="A154" t="s">
        <v>1330</v>
      </c>
      <c r="B154" t="s">
        <v>1475</v>
      </c>
      <c r="C154" t="s">
        <v>1918</v>
      </c>
      <c r="D154" t="s">
        <v>1919</v>
      </c>
      <c r="E154" t="s">
        <v>1332</v>
      </c>
      <c r="F154" s="17">
        <v>45587</v>
      </c>
      <c r="H154" s="17"/>
      <c r="I154" t="s">
        <v>1920</v>
      </c>
      <c r="J154" t="s">
        <v>249</v>
      </c>
      <c r="K154" s="17">
        <v>30377</v>
      </c>
      <c r="L154">
        <v>43</v>
      </c>
      <c r="M154" t="s">
        <v>1344</v>
      </c>
      <c r="N154" t="s">
        <v>1345</v>
      </c>
      <c r="O154" t="s">
        <v>1921</v>
      </c>
      <c r="P154" t="s">
        <v>1922</v>
      </c>
      <c r="Q154" s="17">
        <v>45644</v>
      </c>
      <c r="S154" t="s">
        <v>1527</v>
      </c>
      <c r="T154" t="s">
        <v>1480</v>
      </c>
      <c r="V154" t="s">
        <v>1355</v>
      </c>
      <c r="W154" t="s">
        <v>1356</v>
      </c>
      <c r="X154" t="s">
        <v>249</v>
      </c>
      <c r="Y154" t="s">
        <v>249</v>
      </c>
      <c r="Z154" t="s">
        <v>249</v>
      </c>
      <c r="AA154" t="s">
        <v>249</v>
      </c>
      <c r="AB154" t="s">
        <v>249</v>
      </c>
      <c r="AC154" t="s">
        <v>249</v>
      </c>
      <c r="AD154" t="s">
        <v>249</v>
      </c>
    </row>
    <row r="155" spans="1:30" hidden="1" x14ac:dyDescent="0.35">
      <c r="A155" t="s">
        <v>1330</v>
      </c>
      <c r="B155" t="s">
        <v>1475</v>
      </c>
      <c r="C155" t="s">
        <v>1923</v>
      </c>
      <c r="D155" t="s">
        <v>1924</v>
      </c>
      <c r="E155" t="s">
        <v>1332</v>
      </c>
      <c r="F155" s="17">
        <v>45173</v>
      </c>
      <c r="H155" s="17"/>
      <c r="I155" t="s">
        <v>1925</v>
      </c>
      <c r="J155" t="s">
        <v>249</v>
      </c>
      <c r="K155" s="17">
        <v>32661</v>
      </c>
      <c r="L155">
        <v>37</v>
      </c>
      <c r="M155" t="s">
        <v>1349</v>
      </c>
      <c r="N155" t="s">
        <v>1345</v>
      </c>
      <c r="O155" t="s">
        <v>1926</v>
      </c>
      <c r="P155" t="s">
        <v>1927</v>
      </c>
      <c r="Q155" s="17">
        <v>45657</v>
      </c>
      <c r="S155" t="s">
        <v>1527</v>
      </c>
      <c r="T155" t="s">
        <v>1480</v>
      </c>
      <c r="V155" t="s">
        <v>1361</v>
      </c>
      <c r="W155" t="s">
        <v>1356</v>
      </c>
      <c r="X155" t="s">
        <v>249</v>
      </c>
      <c r="Y155" t="s">
        <v>249</v>
      </c>
      <c r="Z155" t="s">
        <v>249</v>
      </c>
      <c r="AA155" t="s">
        <v>249</v>
      </c>
      <c r="AB155" t="s">
        <v>249</v>
      </c>
      <c r="AC155" t="s">
        <v>249</v>
      </c>
      <c r="AD155" t="s">
        <v>249</v>
      </c>
    </row>
    <row r="156" spans="1:30" hidden="1" x14ac:dyDescent="0.35">
      <c r="A156" t="s">
        <v>1330</v>
      </c>
      <c r="B156" t="s">
        <v>1461</v>
      </c>
      <c r="C156" t="s">
        <v>1928</v>
      </c>
      <c r="D156" t="s">
        <v>1929</v>
      </c>
      <c r="E156" t="s">
        <v>1336</v>
      </c>
      <c r="F156" s="17">
        <v>44851</v>
      </c>
      <c r="H156" s="17"/>
      <c r="I156">
        <v>10729970612</v>
      </c>
      <c r="J156" t="s">
        <v>249</v>
      </c>
      <c r="K156" s="17">
        <v>33622</v>
      </c>
      <c r="L156">
        <v>34</v>
      </c>
      <c r="M156" t="s">
        <v>1363</v>
      </c>
      <c r="N156" t="s">
        <v>1345</v>
      </c>
      <c r="O156" t="s">
        <v>1930</v>
      </c>
      <c r="P156" t="s">
        <v>1931</v>
      </c>
      <c r="Q156" s="17">
        <v>45660</v>
      </c>
      <c r="S156" t="s">
        <v>1932</v>
      </c>
      <c r="T156" t="s">
        <v>249</v>
      </c>
      <c r="V156" t="s">
        <v>1933</v>
      </c>
      <c r="W156" t="s">
        <v>1356</v>
      </c>
      <c r="X156" t="s">
        <v>1575</v>
      </c>
      <c r="Y156" t="s">
        <v>249</v>
      </c>
      <c r="Z156" t="s">
        <v>249</v>
      </c>
      <c r="AA156" t="s">
        <v>249</v>
      </c>
      <c r="AB156" t="s">
        <v>249</v>
      </c>
      <c r="AC156" t="s">
        <v>249</v>
      </c>
      <c r="AD156" t="s">
        <v>249</v>
      </c>
    </row>
    <row r="157" spans="1:30" hidden="1" x14ac:dyDescent="0.35">
      <c r="A157" t="s">
        <v>1330</v>
      </c>
      <c r="B157" t="s">
        <v>1475</v>
      </c>
      <c r="C157" t="s">
        <v>1934</v>
      </c>
      <c r="D157" t="s">
        <v>1935</v>
      </c>
      <c r="E157" t="s">
        <v>1332</v>
      </c>
      <c r="F157" s="17">
        <v>45523</v>
      </c>
      <c r="H157" s="17"/>
      <c r="I157" t="s">
        <v>1936</v>
      </c>
      <c r="J157" t="s">
        <v>249</v>
      </c>
      <c r="K157" s="17">
        <v>33819</v>
      </c>
      <c r="L157">
        <v>34</v>
      </c>
      <c r="M157" t="s">
        <v>1363</v>
      </c>
      <c r="N157" t="s">
        <v>1345</v>
      </c>
      <c r="O157" t="s">
        <v>1937</v>
      </c>
      <c r="P157" t="s">
        <v>1938</v>
      </c>
      <c r="Q157" s="17">
        <v>45677</v>
      </c>
      <c r="S157" t="s">
        <v>1787</v>
      </c>
      <c r="T157" t="s">
        <v>249</v>
      </c>
      <c r="V157" t="s">
        <v>1685</v>
      </c>
      <c r="W157" t="s">
        <v>1347</v>
      </c>
      <c r="X157" t="s">
        <v>1575</v>
      </c>
      <c r="Y157" t="s">
        <v>249</v>
      </c>
      <c r="Z157" t="s">
        <v>249</v>
      </c>
      <c r="AA157" t="s">
        <v>249</v>
      </c>
      <c r="AB157" t="s">
        <v>249</v>
      </c>
      <c r="AC157" t="s">
        <v>249</v>
      </c>
      <c r="AD157" t="s">
        <v>249</v>
      </c>
    </row>
    <row r="158" spans="1:30" hidden="1" x14ac:dyDescent="0.35">
      <c r="A158" t="s">
        <v>1330</v>
      </c>
      <c r="B158" t="s">
        <v>1475</v>
      </c>
      <c r="C158" t="s">
        <v>1939</v>
      </c>
      <c r="D158" t="s">
        <v>95</v>
      </c>
      <c r="E158" t="s">
        <v>1332</v>
      </c>
      <c r="F158" s="17">
        <v>44893</v>
      </c>
      <c r="H158" s="17"/>
      <c r="I158">
        <v>11494951622</v>
      </c>
      <c r="J158" t="s">
        <v>249</v>
      </c>
      <c r="K158" s="17">
        <v>35543</v>
      </c>
      <c r="L158">
        <v>29</v>
      </c>
      <c r="M158" t="s">
        <v>1354</v>
      </c>
      <c r="N158" t="s">
        <v>1360</v>
      </c>
      <c r="O158" t="s">
        <v>1940</v>
      </c>
      <c r="P158" t="s">
        <v>96</v>
      </c>
      <c r="Q158" s="17">
        <v>45678</v>
      </c>
      <c r="S158" t="s">
        <v>1941</v>
      </c>
      <c r="T158" t="s">
        <v>249</v>
      </c>
      <c r="V158" t="s">
        <v>1355</v>
      </c>
      <c r="W158" t="s">
        <v>1356</v>
      </c>
      <c r="X158" t="s">
        <v>1942</v>
      </c>
      <c r="Y158" t="s">
        <v>249</v>
      </c>
      <c r="Z158" t="s">
        <v>249</v>
      </c>
      <c r="AA158" t="s">
        <v>249</v>
      </c>
      <c r="AB158" t="s">
        <v>249</v>
      </c>
      <c r="AC158" t="s">
        <v>249</v>
      </c>
      <c r="AD158" t="s">
        <v>249</v>
      </c>
    </row>
    <row r="159" spans="1:30" hidden="1" x14ac:dyDescent="0.35">
      <c r="A159" t="s">
        <v>1330</v>
      </c>
      <c r="B159" t="s">
        <v>1475</v>
      </c>
      <c r="C159" t="s">
        <v>1943</v>
      </c>
      <c r="D159" t="s">
        <v>1944</v>
      </c>
      <c r="E159" t="s">
        <v>1332</v>
      </c>
      <c r="F159" s="17">
        <v>45362</v>
      </c>
      <c r="H159" s="17"/>
      <c r="I159" t="s">
        <v>1945</v>
      </c>
      <c r="J159" t="s">
        <v>249</v>
      </c>
      <c r="K159" s="17">
        <v>34418</v>
      </c>
      <c r="L159">
        <v>32</v>
      </c>
      <c r="M159" t="s">
        <v>1363</v>
      </c>
      <c r="N159" t="s">
        <v>1345</v>
      </c>
      <c r="O159" t="s">
        <v>1946</v>
      </c>
      <c r="P159" t="s">
        <v>1947</v>
      </c>
      <c r="Q159" s="17">
        <v>45685</v>
      </c>
      <c r="S159" t="s">
        <v>1656</v>
      </c>
      <c r="T159" t="s">
        <v>249</v>
      </c>
      <c r="V159" t="s">
        <v>1390</v>
      </c>
      <c r="W159" t="s">
        <v>1351</v>
      </c>
      <c r="X159" t="s">
        <v>1575</v>
      </c>
      <c r="Y159" t="s">
        <v>249</v>
      </c>
      <c r="Z159" t="s">
        <v>249</v>
      </c>
      <c r="AA159" t="s">
        <v>249</v>
      </c>
      <c r="AB159" t="s">
        <v>249</v>
      </c>
      <c r="AC159" t="s">
        <v>249</v>
      </c>
      <c r="AD159" t="s">
        <v>249</v>
      </c>
    </row>
    <row r="160" spans="1:30" hidden="1" x14ac:dyDescent="0.35">
      <c r="A160" t="s">
        <v>1330</v>
      </c>
      <c r="B160" t="s">
        <v>1475</v>
      </c>
      <c r="C160" t="s">
        <v>1948</v>
      </c>
      <c r="D160" t="s">
        <v>1949</v>
      </c>
      <c r="E160" t="s">
        <v>1336</v>
      </c>
      <c r="F160" s="17">
        <v>45306</v>
      </c>
      <c r="H160" s="17"/>
      <c r="I160">
        <v>11254747699</v>
      </c>
      <c r="J160" t="s">
        <v>249</v>
      </c>
      <c r="K160" s="17">
        <v>35281</v>
      </c>
      <c r="L160">
        <v>30</v>
      </c>
      <c r="M160" t="s">
        <v>1354</v>
      </c>
      <c r="N160" t="s">
        <v>1345</v>
      </c>
      <c r="O160" t="s">
        <v>1748</v>
      </c>
      <c r="P160" t="s">
        <v>1950</v>
      </c>
      <c r="Q160" s="17">
        <v>45688</v>
      </c>
      <c r="S160" t="s">
        <v>1951</v>
      </c>
      <c r="T160" t="s">
        <v>249</v>
      </c>
      <c r="V160" t="s">
        <v>1387</v>
      </c>
      <c r="W160" t="s">
        <v>1356</v>
      </c>
      <c r="X160" t="s">
        <v>1575</v>
      </c>
      <c r="Y160" t="s">
        <v>249</v>
      </c>
      <c r="Z160" t="s">
        <v>249</v>
      </c>
      <c r="AA160" t="s">
        <v>249</v>
      </c>
      <c r="AB160" t="s">
        <v>249</v>
      </c>
      <c r="AC160" t="s">
        <v>249</v>
      </c>
      <c r="AD160" t="s">
        <v>249</v>
      </c>
    </row>
    <row r="161" spans="1:30" hidden="1" x14ac:dyDescent="0.35">
      <c r="A161" t="s">
        <v>1330</v>
      </c>
      <c r="B161" t="s">
        <v>1475</v>
      </c>
      <c r="C161" t="s">
        <v>1952</v>
      </c>
      <c r="D161" t="s">
        <v>1953</v>
      </c>
      <c r="E161" t="s">
        <v>1336</v>
      </c>
      <c r="F161" s="17">
        <v>45358</v>
      </c>
      <c r="H161" s="17"/>
      <c r="I161" t="s">
        <v>1954</v>
      </c>
      <c r="J161" t="s">
        <v>249</v>
      </c>
      <c r="K161" s="17">
        <v>35495</v>
      </c>
      <c r="L161">
        <v>29</v>
      </c>
      <c r="M161" t="s">
        <v>1354</v>
      </c>
      <c r="N161" t="s">
        <v>1360</v>
      </c>
      <c r="O161" t="s">
        <v>1955</v>
      </c>
      <c r="P161" t="s">
        <v>1956</v>
      </c>
      <c r="Q161" s="17">
        <v>45688</v>
      </c>
      <c r="S161" t="s">
        <v>1507</v>
      </c>
      <c r="T161" t="s">
        <v>249</v>
      </c>
      <c r="V161" t="s">
        <v>1387</v>
      </c>
      <c r="W161" t="s">
        <v>1356</v>
      </c>
      <c r="X161" t="s">
        <v>1575</v>
      </c>
      <c r="Y161" t="s">
        <v>249</v>
      </c>
      <c r="Z161" t="s">
        <v>249</v>
      </c>
      <c r="AA161" t="s">
        <v>249</v>
      </c>
      <c r="AB161" t="s">
        <v>249</v>
      </c>
      <c r="AC161" t="s">
        <v>249</v>
      </c>
      <c r="AD161" t="s">
        <v>249</v>
      </c>
    </row>
    <row r="162" spans="1:30" hidden="1" x14ac:dyDescent="0.35">
      <c r="A162" t="s">
        <v>1330</v>
      </c>
      <c r="B162" t="s">
        <v>1475</v>
      </c>
      <c r="C162" t="s">
        <v>1957</v>
      </c>
      <c r="D162" t="s">
        <v>1958</v>
      </c>
      <c r="E162" t="s">
        <v>1332</v>
      </c>
      <c r="F162" s="17">
        <v>45572</v>
      </c>
      <c r="H162" s="17"/>
      <c r="I162" t="s">
        <v>1959</v>
      </c>
      <c r="J162" t="s">
        <v>249</v>
      </c>
      <c r="K162" s="17">
        <v>35467</v>
      </c>
      <c r="L162">
        <v>29</v>
      </c>
      <c r="M162" t="s">
        <v>1354</v>
      </c>
      <c r="N162" t="s">
        <v>1360</v>
      </c>
      <c r="O162" t="s">
        <v>1960</v>
      </c>
      <c r="P162" t="s">
        <v>1961</v>
      </c>
      <c r="Q162" s="17">
        <v>45689</v>
      </c>
      <c r="R162" t="s">
        <v>1962</v>
      </c>
      <c r="S162" t="s">
        <v>1963</v>
      </c>
      <c r="T162" t="s">
        <v>1480</v>
      </c>
      <c r="V162" t="s">
        <v>1355</v>
      </c>
      <c r="W162" t="s">
        <v>1356</v>
      </c>
      <c r="X162" t="s">
        <v>1575</v>
      </c>
      <c r="Y162" t="s">
        <v>249</v>
      </c>
      <c r="Z162" t="s">
        <v>249</v>
      </c>
      <c r="AA162" t="s">
        <v>249</v>
      </c>
      <c r="AB162" t="s">
        <v>249</v>
      </c>
      <c r="AC162" t="s">
        <v>249</v>
      </c>
      <c r="AD162" t="s">
        <v>249</v>
      </c>
    </row>
    <row r="163" spans="1:30" hidden="1" x14ac:dyDescent="0.35">
      <c r="A163" t="s">
        <v>1330</v>
      </c>
      <c r="B163" t="s">
        <v>1475</v>
      </c>
      <c r="C163" t="s">
        <v>1288</v>
      </c>
      <c r="D163" t="s">
        <v>1964</v>
      </c>
      <c r="E163" t="s">
        <v>1332</v>
      </c>
      <c r="F163" s="17">
        <v>45362</v>
      </c>
      <c r="H163" s="17"/>
      <c r="I163" t="s">
        <v>1965</v>
      </c>
      <c r="J163" t="s">
        <v>249</v>
      </c>
      <c r="K163" s="17">
        <v>32285</v>
      </c>
      <c r="L163">
        <v>38</v>
      </c>
      <c r="M163" t="s">
        <v>1349</v>
      </c>
      <c r="N163" t="s">
        <v>1345</v>
      </c>
      <c r="O163" t="s">
        <v>1966</v>
      </c>
      <c r="P163" t="s">
        <v>1967</v>
      </c>
      <c r="Q163" s="17">
        <v>45691</v>
      </c>
      <c r="R163" t="s">
        <v>1552</v>
      </c>
      <c r="S163" t="s">
        <v>1507</v>
      </c>
      <c r="T163" t="s">
        <v>1480</v>
      </c>
      <c r="V163" t="s">
        <v>1968</v>
      </c>
      <c r="W163" t="s">
        <v>1356</v>
      </c>
      <c r="X163" t="s">
        <v>1575</v>
      </c>
      <c r="Y163" t="s">
        <v>249</v>
      </c>
      <c r="Z163" t="s">
        <v>249</v>
      </c>
      <c r="AA163" t="s">
        <v>249</v>
      </c>
      <c r="AB163" t="s">
        <v>249</v>
      </c>
      <c r="AC163" t="s">
        <v>249</v>
      </c>
      <c r="AD163" t="s">
        <v>249</v>
      </c>
    </row>
    <row r="164" spans="1:30" hidden="1" x14ac:dyDescent="0.35">
      <c r="A164" t="s">
        <v>1330</v>
      </c>
      <c r="B164" t="s">
        <v>1475</v>
      </c>
      <c r="C164" t="s">
        <v>102</v>
      </c>
      <c r="D164" t="s">
        <v>1969</v>
      </c>
      <c r="E164" t="s">
        <v>1332</v>
      </c>
      <c r="F164" s="17">
        <v>45279</v>
      </c>
      <c r="H164" s="17"/>
      <c r="I164" t="s">
        <v>1970</v>
      </c>
      <c r="J164" t="s">
        <v>249</v>
      </c>
      <c r="K164" s="17">
        <v>26287</v>
      </c>
      <c r="L164">
        <v>54</v>
      </c>
      <c r="M164" t="s">
        <v>1564</v>
      </c>
      <c r="N164" t="s">
        <v>1380</v>
      </c>
      <c r="O164" t="s">
        <v>1971</v>
      </c>
      <c r="P164" t="s">
        <v>1972</v>
      </c>
      <c r="Q164" s="17">
        <v>45692</v>
      </c>
      <c r="S164" t="s">
        <v>1656</v>
      </c>
      <c r="T164" t="s">
        <v>1480</v>
      </c>
      <c r="V164" t="s">
        <v>1590</v>
      </c>
      <c r="W164" t="s">
        <v>1382</v>
      </c>
      <c r="X164" t="s">
        <v>1575</v>
      </c>
      <c r="Y164" t="s">
        <v>249</v>
      </c>
      <c r="Z164" t="s">
        <v>249</v>
      </c>
      <c r="AA164" t="s">
        <v>249</v>
      </c>
      <c r="AB164" t="s">
        <v>249</v>
      </c>
      <c r="AC164" t="s">
        <v>249</v>
      </c>
      <c r="AD164" t="s">
        <v>249</v>
      </c>
    </row>
    <row r="165" spans="1:30" hidden="1" x14ac:dyDescent="0.35">
      <c r="A165" t="s">
        <v>1330</v>
      </c>
      <c r="B165" t="s">
        <v>1475</v>
      </c>
      <c r="C165" t="s">
        <v>1973</v>
      </c>
      <c r="D165" t="s">
        <v>1974</v>
      </c>
      <c r="E165" t="s">
        <v>1332</v>
      </c>
      <c r="F165" s="17">
        <v>45587</v>
      </c>
      <c r="H165" s="17"/>
      <c r="I165" t="s">
        <v>1975</v>
      </c>
      <c r="J165" t="s">
        <v>249</v>
      </c>
      <c r="K165" s="17">
        <v>29769</v>
      </c>
      <c r="L165">
        <v>45</v>
      </c>
      <c r="M165" t="s">
        <v>1344</v>
      </c>
      <c r="N165" t="s">
        <v>1345</v>
      </c>
      <c r="O165" t="s">
        <v>1976</v>
      </c>
      <c r="P165" t="s">
        <v>1977</v>
      </c>
      <c r="Q165" s="17">
        <v>45702</v>
      </c>
      <c r="S165" t="s">
        <v>1978</v>
      </c>
      <c r="T165" t="s">
        <v>1480</v>
      </c>
      <c r="V165" t="s">
        <v>1355</v>
      </c>
      <c r="W165" t="s">
        <v>1356</v>
      </c>
      <c r="X165" t="s">
        <v>1575</v>
      </c>
      <c r="Y165" t="s">
        <v>249</v>
      </c>
      <c r="Z165" t="s">
        <v>249</v>
      </c>
      <c r="AA165" t="s">
        <v>249</v>
      </c>
      <c r="AB165" t="s">
        <v>249</v>
      </c>
      <c r="AC165" t="s">
        <v>249</v>
      </c>
      <c r="AD165" t="s">
        <v>249</v>
      </c>
    </row>
    <row r="166" spans="1:30" hidden="1" x14ac:dyDescent="0.35">
      <c r="A166" t="s">
        <v>1330</v>
      </c>
      <c r="B166" t="s">
        <v>1475</v>
      </c>
      <c r="C166" t="s">
        <v>171</v>
      </c>
      <c r="D166" t="s">
        <v>1979</v>
      </c>
      <c r="E166" t="s">
        <v>1332</v>
      </c>
      <c r="F166" s="17">
        <v>45679</v>
      </c>
      <c r="H166" s="17"/>
      <c r="I166" t="s">
        <v>1980</v>
      </c>
      <c r="J166" t="s">
        <v>249</v>
      </c>
      <c r="K166" s="17">
        <v>30234</v>
      </c>
      <c r="L166">
        <v>43</v>
      </c>
      <c r="M166" t="s">
        <v>1344</v>
      </c>
      <c r="N166" t="s">
        <v>1345</v>
      </c>
      <c r="O166" t="s">
        <v>1981</v>
      </c>
      <c r="P166" t="s">
        <v>1982</v>
      </c>
      <c r="Q166" s="17">
        <v>45708</v>
      </c>
      <c r="S166" t="s">
        <v>1983</v>
      </c>
      <c r="T166" t="s">
        <v>1480</v>
      </c>
      <c r="U166" t="s">
        <v>1984</v>
      </c>
      <c r="V166" t="s">
        <v>1486</v>
      </c>
      <c r="W166" t="s">
        <v>1448</v>
      </c>
      <c r="X166" t="s">
        <v>1575</v>
      </c>
      <c r="Y166" t="s">
        <v>249</v>
      </c>
      <c r="Z166" t="s">
        <v>249</v>
      </c>
      <c r="AA166" t="s">
        <v>249</v>
      </c>
      <c r="AB166" t="s">
        <v>249</v>
      </c>
      <c r="AC166" t="s">
        <v>249</v>
      </c>
      <c r="AD166" t="s">
        <v>249</v>
      </c>
    </row>
    <row r="167" spans="1:30" hidden="1" x14ac:dyDescent="0.35">
      <c r="A167" t="s">
        <v>1330</v>
      </c>
      <c r="B167" t="s">
        <v>1475</v>
      </c>
      <c r="C167" t="s">
        <v>1985</v>
      </c>
      <c r="D167" t="s">
        <v>1985</v>
      </c>
      <c r="E167" t="s">
        <v>1332</v>
      </c>
      <c r="F167" s="17">
        <v>45131</v>
      </c>
      <c r="H167" s="17"/>
      <c r="I167" t="s">
        <v>1986</v>
      </c>
      <c r="J167" t="s">
        <v>249</v>
      </c>
      <c r="K167" s="17">
        <v>31339</v>
      </c>
      <c r="L167">
        <v>40</v>
      </c>
      <c r="M167" t="s">
        <v>1349</v>
      </c>
      <c r="N167" t="s">
        <v>1345</v>
      </c>
      <c r="O167" t="s">
        <v>1987</v>
      </c>
      <c r="P167" t="s">
        <v>1988</v>
      </c>
      <c r="Q167" s="17">
        <v>45716</v>
      </c>
      <c r="R167" t="s">
        <v>1552</v>
      </c>
      <c r="S167" t="s">
        <v>1989</v>
      </c>
      <c r="T167" t="s">
        <v>1480</v>
      </c>
      <c r="V167" t="s">
        <v>1355</v>
      </c>
      <c r="W167" t="s">
        <v>1356</v>
      </c>
      <c r="X167" t="s">
        <v>1575</v>
      </c>
      <c r="Y167" t="s">
        <v>249</v>
      </c>
      <c r="Z167" t="s">
        <v>249</v>
      </c>
      <c r="AA167" t="s">
        <v>249</v>
      </c>
      <c r="AB167" t="s">
        <v>249</v>
      </c>
      <c r="AC167" t="s">
        <v>249</v>
      </c>
      <c r="AD167" t="s">
        <v>249</v>
      </c>
    </row>
    <row r="168" spans="1:30" hidden="1" x14ac:dyDescent="0.35">
      <c r="A168" t="s">
        <v>1330</v>
      </c>
      <c r="B168" t="s">
        <v>1461</v>
      </c>
      <c r="C168" t="s">
        <v>183</v>
      </c>
      <c r="D168" t="s">
        <v>1990</v>
      </c>
      <c r="E168" t="s">
        <v>1332</v>
      </c>
      <c r="F168" s="17">
        <v>45609</v>
      </c>
      <c r="H168" s="17"/>
      <c r="I168" t="s">
        <v>1991</v>
      </c>
      <c r="J168" t="s">
        <v>249</v>
      </c>
      <c r="K168" s="17">
        <v>31840</v>
      </c>
      <c r="L168">
        <v>39</v>
      </c>
      <c r="M168" t="s">
        <v>1349</v>
      </c>
      <c r="N168" t="s">
        <v>1345</v>
      </c>
      <c r="O168" t="s">
        <v>1992</v>
      </c>
      <c r="P168" t="s">
        <v>1993</v>
      </c>
      <c r="Q168" s="17">
        <v>45716</v>
      </c>
      <c r="R168" t="s">
        <v>1962</v>
      </c>
      <c r="S168" t="s">
        <v>1994</v>
      </c>
      <c r="T168" t="s">
        <v>1466</v>
      </c>
      <c r="V168" t="s">
        <v>1590</v>
      </c>
      <c r="W168" t="s">
        <v>1382</v>
      </c>
      <c r="X168" t="s">
        <v>1575</v>
      </c>
      <c r="Y168" t="s">
        <v>249</v>
      </c>
      <c r="Z168" t="s">
        <v>249</v>
      </c>
      <c r="AA168" t="s">
        <v>249</v>
      </c>
      <c r="AB168" t="s">
        <v>249</v>
      </c>
      <c r="AC168" t="s">
        <v>249</v>
      </c>
      <c r="AD168" t="s">
        <v>249</v>
      </c>
    </row>
    <row r="169" spans="1:30" hidden="1" x14ac:dyDescent="0.35">
      <c r="A169" t="s">
        <v>1330</v>
      </c>
      <c r="B169" t="s">
        <v>1475</v>
      </c>
      <c r="C169" t="s">
        <v>1995</v>
      </c>
      <c r="D169" t="s">
        <v>1996</v>
      </c>
      <c r="E169" t="s">
        <v>1332</v>
      </c>
      <c r="F169" s="17">
        <v>44431</v>
      </c>
      <c r="H169" s="17"/>
      <c r="I169">
        <v>12331580669</v>
      </c>
      <c r="J169" t="s">
        <v>249</v>
      </c>
      <c r="K169" s="17">
        <v>34957</v>
      </c>
      <c r="L169">
        <v>30</v>
      </c>
      <c r="M169" t="s">
        <v>1354</v>
      </c>
      <c r="N169" t="s">
        <v>1345</v>
      </c>
      <c r="O169" t="s">
        <v>1997</v>
      </c>
      <c r="P169" t="s">
        <v>1998</v>
      </c>
      <c r="Q169" s="17">
        <v>45716</v>
      </c>
      <c r="R169" t="s">
        <v>1552</v>
      </c>
      <c r="S169" t="s">
        <v>1999</v>
      </c>
      <c r="T169" t="s">
        <v>1480</v>
      </c>
      <c r="V169" t="s">
        <v>1355</v>
      </c>
      <c r="W169" t="s">
        <v>1356</v>
      </c>
      <c r="X169" t="s">
        <v>1575</v>
      </c>
      <c r="Y169" t="s">
        <v>249</v>
      </c>
      <c r="Z169" t="s">
        <v>249</v>
      </c>
      <c r="AA169" t="s">
        <v>249</v>
      </c>
      <c r="AB169" t="s">
        <v>249</v>
      </c>
      <c r="AC169" t="s">
        <v>249</v>
      </c>
      <c r="AD169" t="s">
        <v>249</v>
      </c>
    </row>
    <row r="170" spans="1:30" hidden="1" x14ac:dyDescent="0.35">
      <c r="A170" t="s">
        <v>1330</v>
      </c>
      <c r="B170" t="s">
        <v>1461</v>
      </c>
      <c r="C170" t="s">
        <v>2000</v>
      </c>
      <c r="D170" t="s">
        <v>2001</v>
      </c>
      <c r="E170" t="s">
        <v>1332</v>
      </c>
      <c r="F170" s="17">
        <v>45014</v>
      </c>
      <c r="H170" s="17"/>
      <c r="I170">
        <v>13622882689</v>
      </c>
      <c r="J170" t="s">
        <v>249</v>
      </c>
      <c r="K170" s="17">
        <v>34972</v>
      </c>
      <c r="L170">
        <v>30</v>
      </c>
      <c r="M170" t="s">
        <v>1354</v>
      </c>
      <c r="N170" t="s">
        <v>1345</v>
      </c>
      <c r="O170" t="s">
        <v>2002</v>
      </c>
      <c r="P170" t="s">
        <v>2003</v>
      </c>
      <c r="Q170" s="17">
        <v>45721</v>
      </c>
      <c r="R170" t="s">
        <v>2004</v>
      </c>
      <c r="S170" t="s">
        <v>2005</v>
      </c>
      <c r="T170" t="s">
        <v>1466</v>
      </c>
      <c r="V170" t="s">
        <v>1439</v>
      </c>
      <c r="W170" t="s">
        <v>1356</v>
      </c>
      <c r="X170" t="s">
        <v>1575</v>
      </c>
      <c r="Y170" t="s">
        <v>249</v>
      </c>
      <c r="Z170" t="s">
        <v>249</v>
      </c>
      <c r="AA170" t="s">
        <v>249</v>
      </c>
      <c r="AB170" t="s">
        <v>249</v>
      </c>
      <c r="AC170" t="s">
        <v>249</v>
      </c>
      <c r="AD170" t="s">
        <v>249</v>
      </c>
    </row>
    <row r="171" spans="1:30" hidden="1" x14ac:dyDescent="0.35">
      <c r="A171" t="s">
        <v>1330</v>
      </c>
      <c r="B171" t="s">
        <v>1461</v>
      </c>
      <c r="C171" t="s">
        <v>408</v>
      </c>
      <c r="D171" t="s">
        <v>2006</v>
      </c>
      <c r="E171" t="s">
        <v>1332</v>
      </c>
      <c r="F171" s="17">
        <v>45306</v>
      </c>
      <c r="H171" s="17"/>
      <c r="I171">
        <v>11906946701</v>
      </c>
      <c r="J171" t="s">
        <v>249</v>
      </c>
      <c r="K171" s="17">
        <v>32560</v>
      </c>
      <c r="L171">
        <v>37</v>
      </c>
      <c r="M171" t="s">
        <v>1349</v>
      </c>
      <c r="N171" t="s">
        <v>1345</v>
      </c>
      <c r="O171" t="s">
        <v>2002</v>
      </c>
      <c r="P171" t="s">
        <v>2007</v>
      </c>
      <c r="Q171" s="17">
        <v>45721</v>
      </c>
      <c r="R171" t="s">
        <v>2004</v>
      </c>
      <c r="S171" t="s">
        <v>1656</v>
      </c>
      <c r="T171" t="s">
        <v>1466</v>
      </c>
      <c r="V171" t="s">
        <v>1381</v>
      </c>
      <c r="W171" t="s">
        <v>1382</v>
      </c>
      <c r="X171" t="s">
        <v>1575</v>
      </c>
      <c r="Y171" t="s">
        <v>249</v>
      </c>
      <c r="Z171" t="s">
        <v>249</v>
      </c>
      <c r="AA171" t="s">
        <v>249</v>
      </c>
      <c r="AB171" t="s">
        <v>249</v>
      </c>
      <c r="AC171" t="s">
        <v>249</v>
      </c>
      <c r="AD171" t="s">
        <v>249</v>
      </c>
    </row>
    <row r="172" spans="1:30" hidden="1" x14ac:dyDescent="0.35">
      <c r="A172" t="s">
        <v>1330</v>
      </c>
      <c r="B172" t="s">
        <v>1461</v>
      </c>
      <c r="C172" t="s">
        <v>2008</v>
      </c>
      <c r="D172" t="s">
        <v>2009</v>
      </c>
      <c r="E172" t="s">
        <v>1332</v>
      </c>
      <c r="F172" s="17">
        <v>45279</v>
      </c>
      <c r="H172" s="17"/>
      <c r="I172" t="s">
        <v>2010</v>
      </c>
      <c r="J172" t="s">
        <v>249</v>
      </c>
      <c r="K172" s="17">
        <v>36082</v>
      </c>
      <c r="L172">
        <v>27</v>
      </c>
      <c r="M172" t="s">
        <v>1354</v>
      </c>
      <c r="N172" t="s">
        <v>1360</v>
      </c>
      <c r="O172" t="s">
        <v>2002</v>
      </c>
      <c r="P172" t="s">
        <v>2011</v>
      </c>
      <c r="Q172" s="17">
        <v>45721</v>
      </c>
      <c r="R172" t="s">
        <v>2004</v>
      </c>
      <c r="S172" t="s">
        <v>1978</v>
      </c>
      <c r="T172" t="s">
        <v>1466</v>
      </c>
      <c r="V172" t="s">
        <v>1355</v>
      </c>
      <c r="W172" t="s">
        <v>1356</v>
      </c>
      <c r="X172" t="s">
        <v>1575</v>
      </c>
      <c r="Y172" t="s">
        <v>249</v>
      </c>
      <c r="Z172" t="s">
        <v>249</v>
      </c>
      <c r="AA172" t="s">
        <v>249</v>
      </c>
      <c r="AB172" t="s">
        <v>249</v>
      </c>
      <c r="AC172" t="s">
        <v>249</v>
      </c>
      <c r="AD172" t="s">
        <v>249</v>
      </c>
    </row>
    <row r="173" spans="1:30" hidden="1" x14ac:dyDescent="0.35">
      <c r="A173" t="s">
        <v>1330</v>
      </c>
      <c r="B173" t="s">
        <v>1475</v>
      </c>
      <c r="C173" t="s">
        <v>239</v>
      </c>
      <c r="D173" t="s">
        <v>2012</v>
      </c>
      <c r="E173" t="s">
        <v>1332</v>
      </c>
      <c r="F173" s="17">
        <v>45691</v>
      </c>
      <c r="H173" s="17"/>
      <c r="I173" t="s">
        <v>2013</v>
      </c>
      <c r="J173" t="s">
        <v>249</v>
      </c>
      <c r="K173" s="17">
        <v>25517</v>
      </c>
      <c r="L173">
        <v>56</v>
      </c>
      <c r="M173" t="s">
        <v>1564</v>
      </c>
      <c r="N173" t="s">
        <v>1380</v>
      </c>
      <c r="O173" t="s">
        <v>2014</v>
      </c>
      <c r="P173" s="107" t="s">
        <v>2015</v>
      </c>
      <c r="Q173" s="17">
        <v>45730</v>
      </c>
      <c r="R173" t="s">
        <v>1962</v>
      </c>
      <c r="S173" t="s">
        <v>1750</v>
      </c>
      <c r="T173" t="s">
        <v>1480</v>
      </c>
      <c r="U173" t="s">
        <v>2016</v>
      </c>
      <c r="V173" t="s">
        <v>2017</v>
      </c>
      <c r="W173" t="s">
        <v>1448</v>
      </c>
      <c r="X173" t="s">
        <v>1575</v>
      </c>
      <c r="Y173" t="s">
        <v>249</v>
      </c>
      <c r="Z173" t="s">
        <v>249</v>
      </c>
      <c r="AA173" t="s">
        <v>249</v>
      </c>
      <c r="AB173" t="s">
        <v>249</v>
      </c>
      <c r="AC173" t="s">
        <v>249</v>
      </c>
      <c r="AD173" t="s">
        <v>249</v>
      </c>
    </row>
    <row r="174" spans="1:30" hidden="1" x14ac:dyDescent="0.35">
      <c r="A174" t="s">
        <v>1330</v>
      </c>
      <c r="B174" t="s">
        <v>1461</v>
      </c>
      <c r="C174" t="s">
        <v>2018</v>
      </c>
      <c r="D174" t="s">
        <v>2019</v>
      </c>
      <c r="E174" t="s">
        <v>1332</v>
      </c>
      <c r="F174" s="17">
        <v>45184</v>
      </c>
      <c r="H174" s="17"/>
      <c r="I174" t="s">
        <v>2020</v>
      </c>
      <c r="J174" t="s">
        <v>249</v>
      </c>
      <c r="K174" s="17">
        <v>35183</v>
      </c>
      <c r="L174">
        <v>30</v>
      </c>
      <c r="M174" t="s">
        <v>1354</v>
      </c>
      <c r="N174" t="s">
        <v>1345</v>
      </c>
      <c r="O174" t="s">
        <v>2021</v>
      </c>
      <c r="P174" t="s">
        <v>2022</v>
      </c>
      <c r="Q174" s="17">
        <v>45733</v>
      </c>
      <c r="R174" t="s">
        <v>1962</v>
      </c>
      <c r="S174" t="s">
        <v>2023</v>
      </c>
      <c r="T174" t="s">
        <v>1466</v>
      </c>
      <c r="V174" t="s">
        <v>1355</v>
      </c>
      <c r="W174" t="s">
        <v>1356</v>
      </c>
      <c r="X174" t="s">
        <v>1575</v>
      </c>
      <c r="Y174" t="s">
        <v>249</v>
      </c>
      <c r="Z174" t="s">
        <v>249</v>
      </c>
      <c r="AA174" t="s">
        <v>249</v>
      </c>
      <c r="AB174" t="s">
        <v>249</v>
      </c>
      <c r="AC174" t="s">
        <v>249</v>
      </c>
      <c r="AD174" t="s">
        <v>249</v>
      </c>
    </row>
    <row r="175" spans="1:30" hidden="1" x14ac:dyDescent="0.35">
      <c r="A175" t="s">
        <v>1330</v>
      </c>
      <c r="B175" t="s">
        <v>1475</v>
      </c>
      <c r="C175" t="s">
        <v>232</v>
      </c>
      <c r="D175" t="s">
        <v>2024</v>
      </c>
      <c r="E175" t="s">
        <v>1332</v>
      </c>
      <c r="F175" s="17">
        <v>45691</v>
      </c>
      <c r="H175" s="17"/>
      <c r="I175" t="s">
        <v>2025</v>
      </c>
      <c r="J175" t="s">
        <v>249</v>
      </c>
      <c r="K175" s="17">
        <v>34978</v>
      </c>
      <c r="L175">
        <v>30</v>
      </c>
      <c r="M175" t="s">
        <v>1354</v>
      </c>
      <c r="N175" t="s">
        <v>1345</v>
      </c>
      <c r="O175" t="s">
        <v>2026</v>
      </c>
      <c r="P175" t="s">
        <v>2027</v>
      </c>
      <c r="Q175" s="17">
        <v>45735</v>
      </c>
      <c r="R175" t="s">
        <v>2004</v>
      </c>
      <c r="S175" t="s">
        <v>1750</v>
      </c>
      <c r="T175" t="s">
        <v>1480</v>
      </c>
      <c r="U175" t="s">
        <v>2028</v>
      </c>
      <c r="V175" t="s">
        <v>2029</v>
      </c>
      <c r="W175" t="s">
        <v>1356</v>
      </c>
      <c r="X175" t="s">
        <v>1575</v>
      </c>
      <c r="Y175" t="s">
        <v>249</v>
      </c>
      <c r="Z175" t="s">
        <v>249</v>
      </c>
      <c r="AA175" t="s">
        <v>249</v>
      </c>
      <c r="AB175" t="s">
        <v>249</v>
      </c>
      <c r="AC175" t="s">
        <v>249</v>
      </c>
      <c r="AD175" t="s">
        <v>249</v>
      </c>
    </row>
    <row r="176" spans="1:30" hidden="1" x14ac:dyDescent="0.35">
      <c r="A176" t="s">
        <v>1330</v>
      </c>
      <c r="B176" t="s">
        <v>1475</v>
      </c>
      <c r="C176" t="s">
        <v>195</v>
      </c>
      <c r="D176" t="s">
        <v>2030</v>
      </c>
      <c r="E176" t="s">
        <v>1336</v>
      </c>
      <c r="F176" s="17">
        <v>45663</v>
      </c>
      <c r="G176" t="s">
        <v>2031</v>
      </c>
      <c r="H176" s="17"/>
      <c r="I176">
        <v>9648637660</v>
      </c>
      <c r="J176" t="s">
        <v>249</v>
      </c>
      <c r="K176" s="17">
        <v>35539</v>
      </c>
      <c r="L176">
        <v>29</v>
      </c>
      <c r="M176" t="s">
        <v>1354</v>
      </c>
      <c r="N176" t="s">
        <v>1360</v>
      </c>
      <c r="O176" t="s">
        <v>2032</v>
      </c>
      <c r="P176" t="s">
        <v>2033</v>
      </c>
      <c r="Q176" s="17">
        <v>45737</v>
      </c>
      <c r="R176" t="s">
        <v>1552</v>
      </c>
      <c r="S176" t="s">
        <v>1507</v>
      </c>
      <c r="T176" t="s">
        <v>1480</v>
      </c>
      <c r="V176" t="s">
        <v>1355</v>
      </c>
      <c r="W176" t="s">
        <v>1356</v>
      </c>
      <c r="X176" t="s">
        <v>1575</v>
      </c>
      <c r="Y176" t="s">
        <v>249</v>
      </c>
      <c r="Z176" t="s">
        <v>249</v>
      </c>
      <c r="AA176" t="s">
        <v>249</v>
      </c>
      <c r="AB176" t="s">
        <v>249</v>
      </c>
      <c r="AC176" t="s">
        <v>249</v>
      </c>
      <c r="AD176" t="s">
        <v>249</v>
      </c>
    </row>
    <row r="177" spans="1:30" hidden="1" x14ac:dyDescent="0.35">
      <c r="A177" t="s">
        <v>1330</v>
      </c>
      <c r="B177" t="s">
        <v>1461</v>
      </c>
      <c r="C177" t="s">
        <v>2034</v>
      </c>
      <c r="D177" t="s">
        <v>2035</v>
      </c>
      <c r="E177" t="s">
        <v>1332</v>
      </c>
      <c r="F177" s="17">
        <v>45034</v>
      </c>
      <c r="H177" s="17"/>
      <c r="I177">
        <v>11737030632</v>
      </c>
      <c r="J177" t="s">
        <v>249</v>
      </c>
      <c r="K177" s="17">
        <v>34168</v>
      </c>
      <c r="L177">
        <v>33</v>
      </c>
      <c r="M177" t="s">
        <v>1363</v>
      </c>
      <c r="N177" t="s">
        <v>1345</v>
      </c>
      <c r="O177" t="s">
        <v>2002</v>
      </c>
      <c r="P177" t="s">
        <v>2036</v>
      </c>
      <c r="Q177" s="17">
        <v>45742</v>
      </c>
      <c r="R177" t="s">
        <v>2004</v>
      </c>
      <c r="S177" t="s">
        <v>2037</v>
      </c>
      <c r="T177" t="s">
        <v>1466</v>
      </c>
      <c r="V177" t="s">
        <v>1355</v>
      </c>
      <c r="W177" t="s">
        <v>1356</v>
      </c>
      <c r="X177" t="s">
        <v>1575</v>
      </c>
      <c r="Y177" t="s">
        <v>2038</v>
      </c>
      <c r="Z177" t="s">
        <v>2039</v>
      </c>
      <c r="AA177" t="s">
        <v>2040</v>
      </c>
      <c r="AB177" t="s">
        <v>2041</v>
      </c>
      <c r="AC177" t="s">
        <v>2042</v>
      </c>
      <c r="AD177" t="s">
        <v>2043</v>
      </c>
    </row>
    <row r="178" spans="1:30" hidden="1" x14ac:dyDescent="0.35">
      <c r="A178" t="s">
        <v>1330</v>
      </c>
      <c r="B178" t="s">
        <v>1475</v>
      </c>
      <c r="C178" t="s">
        <v>2044</v>
      </c>
      <c r="D178" t="s">
        <v>2045</v>
      </c>
      <c r="E178" t="s">
        <v>1332</v>
      </c>
      <c r="F178" s="17">
        <v>45566</v>
      </c>
      <c r="H178" s="17"/>
      <c r="I178" t="s">
        <v>2046</v>
      </c>
      <c r="J178" t="s">
        <v>249</v>
      </c>
      <c r="K178" s="17">
        <v>35995</v>
      </c>
      <c r="L178">
        <v>28</v>
      </c>
      <c r="M178" t="s">
        <v>1354</v>
      </c>
      <c r="N178" t="s">
        <v>1360</v>
      </c>
      <c r="O178" t="s">
        <v>2047</v>
      </c>
      <c r="P178" t="s">
        <v>2048</v>
      </c>
      <c r="Q178" s="17">
        <v>45744</v>
      </c>
      <c r="R178" t="s">
        <v>1552</v>
      </c>
      <c r="S178" t="s">
        <v>1511</v>
      </c>
      <c r="T178" t="s">
        <v>1480</v>
      </c>
      <c r="V178" t="s">
        <v>1364</v>
      </c>
      <c r="W178" t="s">
        <v>1356</v>
      </c>
      <c r="X178" t="s">
        <v>1575</v>
      </c>
      <c r="Y178" t="s">
        <v>249</v>
      </c>
      <c r="Z178" t="s">
        <v>249</v>
      </c>
      <c r="AA178" t="s">
        <v>249</v>
      </c>
      <c r="AB178" t="s">
        <v>249</v>
      </c>
      <c r="AC178" t="s">
        <v>249</v>
      </c>
      <c r="AD178" t="s">
        <v>249</v>
      </c>
    </row>
    <row r="179" spans="1:30" hidden="1" x14ac:dyDescent="0.35">
      <c r="A179" t="s">
        <v>1330</v>
      </c>
      <c r="B179" t="s">
        <v>1461</v>
      </c>
      <c r="C179" t="s">
        <v>2049</v>
      </c>
      <c r="D179" t="s">
        <v>2050</v>
      </c>
      <c r="E179" t="s">
        <v>2051</v>
      </c>
      <c r="F179" s="17">
        <v>45698</v>
      </c>
      <c r="H179" s="17"/>
      <c r="I179" t="s">
        <v>2052</v>
      </c>
      <c r="J179" t="s">
        <v>249</v>
      </c>
      <c r="K179" s="17">
        <v>35598</v>
      </c>
      <c r="L179">
        <v>29</v>
      </c>
      <c r="M179" t="s">
        <v>1354</v>
      </c>
      <c r="N179" t="s">
        <v>1360</v>
      </c>
      <c r="O179" t="s">
        <v>2053</v>
      </c>
      <c r="P179" t="s">
        <v>2054</v>
      </c>
      <c r="Q179" s="17">
        <v>45755</v>
      </c>
      <c r="R179" t="s">
        <v>1552</v>
      </c>
      <c r="S179" t="s">
        <v>1603</v>
      </c>
      <c r="T179" t="s">
        <v>1466</v>
      </c>
      <c r="U179" t="s">
        <v>1355</v>
      </c>
      <c r="V179" t="s">
        <v>1355</v>
      </c>
      <c r="W179" t="s">
        <v>1356</v>
      </c>
      <c r="X179" t="s">
        <v>1575</v>
      </c>
      <c r="Y179" t="s">
        <v>249</v>
      </c>
      <c r="Z179" t="s">
        <v>249</v>
      </c>
      <c r="AA179" t="s">
        <v>249</v>
      </c>
      <c r="AB179" t="s">
        <v>249</v>
      </c>
      <c r="AC179" t="s">
        <v>249</v>
      </c>
      <c r="AD179" t="s">
        <v>249</v>
      </c>
    </row>
    <row r="180" spans="1:30" hidden="1" x14ac:dyDescent="0.35">
      <c r="A180" t="s">
        <v>1330</v>
      </c>
      <c r="B180" t="s">
        <v>1461</v>
      </c>
      <c r="C180" t="s">
        <v>2055</v>
      </c>
      <c r="D180" t="s">
        <v>2056</v>
      </c>
      <c r="E180" t="s">
        <v>1332</v>
      </c>
      <c r="F180" s="17">
        <v>45266</v>
      </c>
      <c r="H180" s="17"/>
      <c r="I180" t="s">
        <v>2057</v>
      </c>
      <c r="J180" t="s">
        <v>249</v>
      </c>
      <c r="K180" s="17">
        <v>34780</v>
      </c>
      <c r="L180">
        <v>31</v>
      </c>
      <c r="M180" t="s">
        <v>1363</v>
      </c>
      <c r="N180" t="s">
        <v>1345</v>
      </c>
      <c r="O180" t="s">
        <v>2058</v>
      </c>
      <c r="P180" t="s">
        <v>2059</v>
      </c>
      <c r="Q180" s="17">
        <v>45758</v>
      </c>
      <c r="R180" t="s">
        <v>1552</v>
      </c>
      <c r="S180" t="s">
        <v>2060</v>
      </c>
      <c r="T180" t="s">
        <v>1466</v>
      </c>
      <c r="V180" t="s">
        <v>1355</v>
      </c>
      <c r="W180" t="s">
        <v>1356</v>
      </c>
      <c r="X180" t="s">
        <v>1575</v>
      </c>
      <c r="Y180" t="s">
        <v>249</v>
      </c>
      <c r="Z180" t="s">
        <v>249</v>
      </c>
      <c r="AA180" t="s">
        <v>249</v>
      </c>
      <c r="AB180" t="s">
        <v>249</v>
      </c>
      <c r="AC180" t="s">
        <v>249</v>
      </c>
      <c r="AD180" t="s">
        <v>249</v>
      </c>
    </row>
    <row r="181" spans="1:30" hidden="1" x14ac:dyDescent="0.35">
      <c r="A181" t="s">
        <v>1330</v>
      </c>
      <c r="B181" t="s">
        <v>1475</v>
      </c>
      <c r="C181" t="s">
        <v>2061</v>
      </c>
      <c r="D181" t="s">
        <v>1587</v>
      </c>
      <c r="E181" t="s">
        <v>1332</v>
      </c>
      <c r="F181" s="17">
        <v>45586</v>
      </c>
      <c r="H181" s="17"/>
      <c r="I181" t="s">
        <v>2062</v>
      </c>
      <c r="J181" t="s">
        <v>249</v>
      </c>
      <c r="K181" s="17">
        <v>27247</v>
      </c>
      <c r="L181">
        <v>52</v>
      </c>
      <c r="M181" t="s">
        <v>1564</v>
      </c>
      <c r="N181" t="s">
        <v>1380</v>
      </c>
      <c r="O181" t="s">
        <v>2063</v>
      </c>
      <c r="P181" t="s">
        <v>2064</v>
      </c>
      <c r="Q181" s="17">
        <v>45763</v>
      </c>
      <c r="R181" t="s">
        <v>1962</v>
      </c>
      <c r="S181" t="s">
        <v>1644</v>
      </c>
      <c r="T181" t="s">
        <v>1480</v>
      </c>
      <c r="V181" t="s">
        <v>1355</v>
      </c>
      <c r="W181" t="s">
        <v>1356</v>
      </c>
      <c r="X181" t="s">
        <v>249</v>
      </c>
      <c r="Y181" t="s">
        <v>249</v>
      </c>
      <c r="Z181" t="s">
        <v>249</v>
      </c>
      <c r="AA181" t="s">
        <v>249</v>
      </c>
      <c r="AB181" t="s">
        <v>249</v>
      </c>
      <c r="AC181" t="s">
        <v>249</v>
      </c>
      <c r="AD181" t="s">
        <v>249</v>
      </c>
    </row>
    <row r="182" spans="1:30" hidden="1" x14ac:dyDescent="0.35">
      <c r="A182" t="s">
        <v>1330</v>
      </c>
      <c r="B182" t="s">
        <v>1461</v>
      </c>
      <c r="C182" t="s">
        <v>2065</v>
      </c>
      <c r="D182" t="s">
        <v>2066</v>
      </c>
      <c r="E182" t="s">
        <v>1336</v>
      </c>
      <c r="F182" s="17">
        <v>45588</v>
      </c>
      <c r="H182" s="17"/>
      <c r="I182" t="s">
        <v>2067</v>
      </c>
      <c r="J182" t="s">
        <v>249</v>
      </c>
      <c r="K182" s="17">
        <v>32029</v>
      </c>
      <c r="L182">
        <v>38</v>
      </c>
      <c r="M182" t="s">
        <v>1349</v>
      </c>
      <c r="N182" t="s">
        <v>1345</v>
      </c>
      <c r="O182" t="s">
        <v>2068</v>
      </c>
      <c r="P182" s="107" t="s">
        <v>2069</v>
      </c>
      <c r="Q182" s="17">
        <v>45771</v>
      </c>
      <c r="R182" t="s">
        <v>1552</v>
      </c>
      <c r="S182" t="s">
        <v>2070</v>
      </c>
      <c r="T182" t="s">
        <v>1466</v>
      </c>
      <c r="V182" t="s">
        <v>1355</v>
      </c>
      <c r="W182" t="s">
        <v>1356</v>
      </c>
      <c r="X182" t="s">
        <v>1575</v>
      </c>
      <c r="Y182" t="s">
        <v>249</v>
      </c>
      <c r="Z182" t="s">
        <v>249</v>
      </c>
      <c r="AA182" t="s">
        <v>249</v>
      </c>
      <c r="AB182" t="s">
        <v>249</v>
      </c>
      <c r="AC182" t="s">
        <v>249</v>
      </c>
      <c r="AD182" t="s">
        <v>249</v>
      </c>
    </row>
    <row r="183" spans="1:30" hidden="1" x14ac:dyDescent="0.35">
      <c r="A183" t="s">
        <v>1330</v>
      </c>
      <c r="B183" t="s">
        <v>1475</v>
      </c>
      <c r="C183" t="s">
        <v>258</v>
      </c>
      <c r="D183" t="s">
        <v>2071</v>
      </c>
      <c r="E183" t="s">
        <v>1332</v>
      </c>
      <c r="F183" s="17">
        <v>45699</v>
      </c>
      <c r="H183" s="17"/>
      <c r="I183" t="s">
        <v>2072</v>
      </c>
      <c r="J183" t="s">
        <v>249</v>
      </c>
      <c r="K183" s="17">
        <v>29369</v>
      </c>
      <c r="L183">
        <v>46</v>
      </c>
      <c r="M183" t="s">
        <v>1344</v>
      </c>
      <c r="N183" t="s">
        <v>1345</v>
      </c>
      <c r="O183" t="s">
        <v>2073</v>
      </c>
      <c r="P183" t="s">
        <v>2074</v>
      </c>
      <c r="Q183" s="17">
        <v>45778</v>
      </c>
      <c r="R183" t="s">
        <v>1552</v>
      </c>
      <c r="S183" t="s">
        <v>2075</v>
      </c>
      <c r="T183" t="s">
        <v>1480</v>
      </c>
      <c r="U183" t="s">
        <v>2076</v>
      </c>
      <c r="V183" t="s">
        <v>1649</v>
      </c>
      <c r="W183" t="s">
        <v>1417</v>
      </c>
      <c r="X183" t="s">
        <v>1575</v>
      </c>
      <c r="Y183" t="s">
        <v>249</v>
      </c>
      <c r="Z183" t="s">
        <v>249</v>
      </c>
      <c r="AA183" t="s">
        <v>249</v>
      </c>
      <c r="AB183" t="s">
        <v>249</v>
      </c>
      <c r="AC183" t="s">
        <v>249</v>
      </c>
      <c r="AD183" t="s">
        <v>249</v>
      </c>
    </row>
    <row r="184" spans="1:30" hidden="1" x14ac:dyDescent="0.35">
      <c r="A184" t="s">
        <v>1330</v>
      </c>
      <c r="B184" t="s">
        <v>1475</v>
      </c>
      <c r="C184" t="s">
        <v>365</v>
      </c>
      <c r="D184" t="s">
        <v>2077</v>
      </c>
      <c r="E184" t="s">
        <v>1332</v>
      </c>
      <c r="F184" s="17">
        <v>45337</v>
      </c>
      <c r="H184" s="17"/>
      <c r="I184" t="s">
        <v>2078</v>
      </c>
      <c r="J184" t="s">
        <v>249</v>
      </c>
      <c r="K184" s="17">
        <v>33646</v>
      </c>
      <c r="L184">
        <v>34</v>
      </c>
      <c r="M184" t="s">
        <v>1363</v>
      </c>
      <c r="N184" t="s">
        <v>1345</v>
      </c>
      <c r="O184" t="s">
        <v>2079</v>
      </c>
      <c r="P184" t="s">
        <v>2080</v>
      </c>
      <c r="Q184" s="17">
        <v>45778</v>
      </c>
      <c r="R184" t="s">
        <v>1552</v>
      </c>
      <c r="S184" t="s">
        <v>1899</v>
      </c>
      <c r="T184" t="s">
        <v>1480</v>
      </c>
      <c r="V184" t="s">
        <v>1590</v>
      </c>
      <c r="W184" t="s">
        <v>1382</v>
      </c>
      <c r="X184" t="s">
        <v>1575</v>
      </c>
      <c r="Y184" t="s">
        <v>249</v>
      </c>
      <c r="Z184" t="s">
        <v>249</v>
      </c>
      <c r="AA184" t="s">
        <v>249</v>
      </c>
      <c r="AB184" t="s">
        <v>249</v>
      </c>
      <c r="AC184" t="s">
        <v>249</v>
      </c>
      <c r="AD184" t="s">
        <v>249</v>
      </c>
    </row>
    <row r="185" spans="1:30" hidden="1" x14ac:dyDescent="0.35">
      <c r="A185" t="s">
        <v>1330</v>
      </c>
      <c r="B185" t="s">
        <v>1461</v>
      </c>
      <c r="C185" t="s">
        <v>2081</v>
      </c>
      <c r="D185" t="s">
        <v>2082</v>
      </c>
      <c r="E185" t="s">
        <v>1336</v>
      </c>
      <c r="F185" s="17">
        <v>43440</v>
      </c>
      <c r="H185" s="17"/>
      <c r="I185">
        <v>9032287699</v>
      </c>
      <c r="J185" t="s">
        <v>249</v>
      </c>
      <c r="K185" s="17">
        <v>32240</v>
      </c>
      <c r="L185">
        <v>38</v>
      </c>
      <c r="M185" t="s">
        <v>1349</v>
      </c>
      <c r="N185" t="s">
        <v>1345</v>
      </c>
      <c r="O185" t="s">
        <v>2083</v>
      </c>
      <c r="P185" t="s">
        <v>2084</v>
      </c>
      <c r="Q185" s="17">
        <v>45782</v>
      </c>
      <c r="R185" t="s">
        <v>1962</v>
      </c>
      <c r="S185" t="s">
        <v>2085</v>
      </c>
      <c r="T185" t="s">
        <v>1466</v>
      </c>
      <c r="V185" t="s">
        <v>1355</v>
      </c>
      <c r="W185" t="s">
        <v>1378</v>
      </c>
      <c r="X185" t="s">
        <v>1575</v>
      </c>
      <c r="Y185" t="s">
        <v>249</v>
      </c>
      <c r="Z185" t="s">
        <v>249</v>
      </c>
      <c r="AA185" t="s">
        <v>249</v>
      </c>
      <c r="AB185" t="s">
        <v>249</v>
      </c>
      <c r="AC185" t="s">
        <v>249</v>
      </c>
      <c r="AD185" t="s">
        <v>249</v>
      </c>
    </row>
    <row r="186" spans="1:30" hidden="1" x14ac:dyDescent="0.35">
      <c r="A186" t="s">
        <v>1330</v>
      </c>
      <c r="B186" t="s">
        <v>1475</v>
      </c>
      <c r="C186" t="s">
        <v>2086</v>
      </c>
      <c r="D186" t="s">
        <v>2087</v>
      </c>
      <c r="E186" t="s">
        <v>1332</v>
      </c>
      <c r="F186" s="17">
        <v>45012</v>
      </c>
      <c r="H186" s="17"/>
      <c r="I186">
        <v>11905473680</v>
      </c>
      <c r="J186" t="s">
        <v>249</v>
      </c>
      <c r="K186" s="17">
        <v>34544</v>
      </c>
      <c r="L186">
        <v>32</v>
      </c>
      <c r="M186" t="s">
        <v>1363</v>
      </c>
      <c r="N186" t="s">
        <v>1345</v>
      </c>
      <c r="O186" t="s">
        <v>2088</v>
      </c>
      <c r="P186" t="s">
        <v>2089</v>
      </c>
      <c r="Q186" s="17">
        <v>45785</v>
      </c>
      <c r="R186" t="s">
        <v>1552</v>
      </c>
      <c r="S186" t="s">
        <v>1656</v>
      </c>
      <c r="T186" t="s">
        <v>1480</v>
      </c>
      <c r="V186" t="s">
        <v>1355</v>
      </c>
      <c r="W186" t="s">
        <v>1356</v>
      </c>
      <c r="X186" t="s">
        <v>1575</v>
      </c>
      <c r="Y186" t="s">
        <v>249</v>
      </c>
      <c r="Z186" t="s">
        <v>249</v>
      </c>
      <c r="AA186" t="s">
        <v>249</v>
      </c>
      <c r="AB186" t="s">
        <v>249</v>
      </c>
      <c r="AC186" t="s">
        <v>249</v>
      </c>
      <c r="AD186" t="s">
        <v>249</v>
      </c>
    </row>
    <row r="187" spans="1:30" hidden="1" x14ac:dyDescent="0.35">
      <c r="A187" t="s">
        <v>1330</v>
      </c>
      <c r="B187" t="s">
        <v>1461</v>
      </c>
      <c r="C187" t="s">
        <v>2090</v>
      </c>
      <c r="D187" t="s">
        <v>2091</v>
      </c>
      <c r="E187" t="s">
        <v>1336</v>
      </c>
      <c r="F187" s="17">
        <v>45385</v>
      </c>
      <c r="H187" s="17"/>
      <c r="I187" t="s">
        <v>2092</v>
      </c>
      <c r="J187" t="s">
        <v>249</v>
      </c>
      <c r="K187" s="17">
        <v>35061</v>
      </c>
      <c r="L187">
        <v>30</v>
      </c>
      <c r="M187" t="s">
        <v>1354</v>
      </c>
      <c r="N187" t="s">
        <v>1345</v>
      </c>
      <c r="O187" t="s">
        <v>2093</v>
      </c>
      <c r="P187" t="s">
        <v>2094</v>
      </c>
      <c r="Q187" s="17">
        <v>45797</v>
      </c>
      <c r="R187" t="s">
        <v>1552</v>
      </c>
      <c r="S187" t="s">
        <v>1547</v>
      </c>
      <c r="T187" t="s">
        <v>1466</v>
      </c>
      <c r="V187" t="s">
        <v>944</v>
      </c>
      <c r="W187" t="s">
        <v>1356</v>
      </c>
      <c r="X187" t="s">
        <v>1575</v>
      </c>
      <c r="Y187" t="s">
        <v>249</v>
      </c>
      <c r="Z187" t="s">
        <v>249</v>
      </c>
      <c r="AA187" t="s">
        <v>249</v>
      </c>
      <c r="AB187" t="s">
        <v>249</v>
      </c>
      <c r="AC187" t="s">
        <v>249</v>
      </c>
      <c r="AD187" t="s">
        <v>249</v>
      </c>
    </row>
    <row r="188" spans="1:30" hidden="1" x14ac:dyDescent="0.35">
      <c r="A188" t="s">
        <v>1330</v>
      </c>
      <c r="B188" t="s">
        <v>1461</v>
      </c>
      <c r="C188" t="s">
        <v>82</v>
      </c>
      <c r="D188" t="s">
        <v>2095</v>
      </c>
      <c r="E188" t="s">
        <v>1332</v>
      </c>
      <c r="F188" s="17">
        <v>45040</v>
      </c>
      <c r="H188" s="17"/>
      <c r="I188">
        <v>12615671618</v>
      </c>
      <c r="J188" t="s">
        <v>249</v>
      </c>
      <c r="K188" s="17">
        <v>36539</v>
      </c>
      <c r="L188">
        <v>26</v>
      </c>
      <c r="M188" t="s">
        <v>1354</v>
      </c>
      <c r="N188" t="s">
        <v>1360</v>
      </c>
      <c r="O188" t="s">
        <v>2096</v>
      </c>
      <c r="P188" t="s">
        <v>2097</v>
      </c>
      <c r="Q188" s="17">
        <v>45802</v>
      </c>
      <c r="R188" t="s">
        <v>1552</v>
      </c>
      <c r="S188" t="s">
        <v>1547</v>
      </c>
      <c r="T188" t="s">
        <v>1466</v>
      </c>
      <c r="V188" t="s">
        <v>1361</v>
      </c>
      <c r="W188" t="s">
        <v>1356</v>
      </c>
      <c r="X188" t="s">
        <v>1575</v>
      </c>
      <c r="Y188" t="s">
        <v>249</v>
      </c>
      <c r="Z188" t="s">
        <v>249</v>
      </c>
      <c r="AA188" t="s">
        <v>249</v>
      </c>
      <c r="AB188" t="s">
        <v>249</v>
      </c>
      <c r="AC188" t="s">
        <v>249</v>
      </c>
      <c r="AD188" t="s">
        <v>249</v>
      </c>
    </row>
    <row r="189" spans="1:30" hidden="1" x14ac:dyDescent="0.35">
      <c r="A189" t="s">
        <v>1330</v>
      </c>
      <c r="B189" t="s">
        <v>1475</v>
      </c>
      <c r="C189" t="s">
        <v>344</v>
      </c>
      <c r="D189" t="s">
        <v>2098</v>
      </c>
      <c r="E189" t="s">
        <v>1332</v>
      </c>
      <c r="F189" s="17">
        <v>45566</v>
      </c>
      <c r="H189" s="17"/>
      <c r="I189" t="s">
        <v>2099</v>
      </c>
      <c r="J189" t="s">
        <v>249</v>
      </c>
      <c r="K189" s="17">
        <v>28412</v>
      </c>
      <c r="L189">
        <v>48</v>
      </c>
      <c r="M189" t="s">
        <v>1344</v>
      </c>
      <c r="N189" t="s">
        <v>1380</v>
      </c>
      <c r="O189" t="s">
        <v>2100</v>
      </c>
      <c r="P189" t="s">
        <v>2101</v>
      </c>
      <c r="Q189" s="17">
        <v>45807</v>
      </c>
      <c r="R189" t="s">
        <v>1552</v>
      </c>
      <c r="S189" t="s">
        <v>1491</v>
      </c>
      <c r="T189" t="s">
        <v>1480</v>
      </c>
      <c r="V189" t="s">
        <v>1917</v>
      </c>
      <c r="W189" t="s">
        <v>1356</v>
      </c>
      <c r="X189" t="s">
        <v>1575</v>
      </c>
      <c r="Y189" t="s">
        <v>249</v>
      </c>
      <c r="Z189" t="s">
        <v>249</v>
      </c>
      <c r="AA189" t="s">
        <v>249</v>
      </c>
      <c r="AB189" t="s">
        <v>249</v>
      </c>
      <c r="AC189" t="s">
        <v>249</v>
      </c>
      <c r="AD189" t="s">
        <v>249</v>
      </c>
    </row>
    <row r="190" spans="1:30" hidden="1" x14ac:dyDescent="0.35">
      <c r="A190" t="s">
        <v>1330</v>
      </c>
      <c r="B190" t="s">
        <v>1461</v>
      </c>
      <c r="C190" t="s">
        <v>2102</v>
      </c>
      <c r="D190" t="s">
        <v>2103</v>
      </c>
      <c r="E190" t="s">
        <v>1336</v>
      </c>
      <c r="F190" s="17">
        <v>45691</v>
      </c>
      <c r="H190" s="17"/>
      <c r="I190" t="s">
        <v>2104</v>
      </c>
      <c r="J190" t="s">
        <v>249</v>
      </c>
      <c r="K190" s="17">
        <v>37209</v>
      </c>
      <c r="L190">
        <v>24</v>
      </c>
      <c r="M190" t="s">
        <v>1419</v>
      </c>
      <c r="N190" t="s">
        <v>1360</v>
      </c>
      <c r="O190" t="s">
        <v>2105</v>
      </c>
      <c r="P190" t="s">
        <v>2106</v>
      </c>
      <c r="Q190" s="17">
        <v>45807</v>
      </c>
      <c r="R190" t="s">
        <v>1552</v>
      </c>
      <c r="S190" t="s">
        <v>2107</v>
      </c>
      <c r="T190" t="s">
        <v>1466</v>
      </c>
      <c r="U190" t="s">
        <v>1355</v>
      </c>
      <c r="V190" t="s">
        <v>1355</v>
      </c>
      <c r="W190" t="s">
        <v>1356</v>
      </c>
      <c r="X190" t="s">
        <v>1575</v>
      </c>
      <c r="Y190" t="s">
        <v>249</v>
      </c>
      <c r="Z190" t="s">
        <v>249</v>
      </c>
      <c r="AA190" t="s">
        <v>249</v>
      </c>
      <c r="AB190" t="s">
        <v>249</v>
      </c>
      <c r="AC190" t="s">
        <v>249</v>
      </c>
      <c r="AD190" t="s">
        <v>249</v>
      </c>
    </row>
    <row r="191" spans="1:30" hidden="1" x14ac:dyDescent="0.35">
      <c r="A191" t="s">
        <v>1330</v>
      </c>
      <c r="B191" t="s">
        <v>1475</v>
      </c>
      <c r="C191" t="s">
        <v>2108</v>
      </c>
      <c r="D191" t="s">
        <v>2109</v>
      </c>
      <c r="E191" t="s">
        <v>1332</v>
      </c>
      <c r="F191" s="17">
        <v>45502</v>
      </c>
      <c r="H191" s="17"/>
      <c r="I191">
        <v>2685801030</v>
      </c>
      <c r="J191" t="s">
        <v>249</v>
      </c>
      <c r="K191" s="17">
        <v>33783</v>
      </c>
      <c r="L191">
        <v>34</v>
      </c>
      <c r="M191" t="s">
        <v>1363</v>
      </c>
      <c r="N191" t="s">
        <v>1345</v>
      </c>
      <c r="O191" t="s">
        <v>2110</v>
      </c>
      <c r="P191" t="s">
        <v>2111</v>
      </c>
      <c r="Q191" s="17">
        <v>45809</v>
      </c>
      <c r="R191" t="s">
        <v>1552</v>
      </c>
      <c r="S191" t="s">
        <v>1644</v>
      </c>
      <c r="T191" t="s">
        <v>1480</v>
      </c>
      <c r="V191" t="s">
        <v>2112</v>
      </c>
      <c r="W191" t="s">
        <v>1782</v>
      </c>
      <c r="X191" t="s">
        <v>1575</v>
      </c>
      <c r="Y191" t="s">
        <v>249</v>
      </c>
      <c r="Z191" t="s">
        <v>249</v>
      </c>
      <c r="AA191" t="s">
        <v>249</v>
      </c>
      <c r="AB191" t="s">
        <v>249</v>
      </c>
      <c r="AC191" t="s">
        <v>249</v>
      </c>
      <c r="AD191" t="s">
        <v>249</v>
      </c>
    </row>
    <row r="192" spans="1:30" hidden="1" x14ac:dyDescent="0.35">
      <c r="A192" t="s">
        <v>1330</v>
      </c>
      <c r="B192" t="s">
        <v>1461</v>
      </c>
      <c r="C192" t="s">
        <v>2113</v>
      </c>
      <c r="D192" t="s">
        <v>2114</v>
      </c>
      <c r="E192" t="s">
        <v>1336</v>
      </c>
      <c r="F192" s="17">
        <v>45810</v>
      </c>
      <c r="G192" t="s">
        <v>2115</v>
      </c>
      <c r="H192" s="17"/>
      <c r="I192" t="s">
        <v>2116</v>
      </c>
      <c r="J192" t="s">
        <v>2117</v>
      </c>
      <c r="K192" s="17">
        <v>35086</v>
      </c>
      <c r="L192">
        <v>30</v>
      </c>
      <c r="M192" t="s">
        <v>1354</v>
      </c>
      <c r="N192" t="s">
        <v>1345</v>
      </c>
      <c r="O192" t="s">
        <v>2118</v>
      </c>
      <c r="P192" t="s">
        <v>2119</v>
      </c>
      <c r="Q192" s="17">
        <v>45818</v>
      </c>
      <c r="R192" t="s">
        <v>1552</v>
      </c>
      <c r="S192" t="s">
        <v>249</v>
      </c>
      <c r="T192" t="s">
        <v>249</v>
      </c>
      <c r="U192" t="s">
        <v>2120</v>
      </c>
      <c r="V192" t="s">
        <v>1355</v>
      </c>
      <c r="W192" t="s">
        <v>1356</v>
      </c>
      <c r="X192" t="s">
        <v>1575</v>
      </c>
      <c r="Y192" t="s">
        <v>249</v>
      </c>
      <c r="Z192" t="s">
        <v>249</v>
      </c>
      <c r="AA192" t="s">
        <v>249</v>
      </c>
      <c r="AB192" t="s">
        <v>249</v>
      </c>
      <c r="AC192" t="s">
        <v>249</v>
      </c>
      <c r="AD192" t="s">
        <v>249</v>
      </c>
    </row>
    <row r="193" spans="1:67" hidden="1" x14ac:dyDescent="0.35">
      <c r="A193" t="s">
        <v>1330</v>
      </c>
      <c r="B193" t="s">
        <v>1475</v>
      </c>
      <c r="C193" t="s">
        <v>225</v>
      </c>
      <c r="D193" t="s">
        <v>2121</v>
      </c>
      <c r="E193" t="s">
        <v>1332</v>
      </c>
      <c r="F193" s="17">
        <v>45337</v>
      </c>
      <c r="H193" s="17"/>
      <c r="I193" t="s">
        <v>2122</v>
      </c>
      <c r="J193" t="s">
        <v>249</v>
      </c>
      <c r="K193" s="17">
        <v>35183</v>
      </c>
      <c r="L193">
        <v>30</v>
      </c>
      <c r="M193" t="s">
        <v>1354</v>
      </c>
      <c r="N193" t="s">
        <v>1345</v>
      </c>
      <c r="O193" t="s">
        <v>2123</v>
      </c>
      <c r="P193" t="s">
        <v>2124</v>
      </c>
      <c r="Q193" s="17">
        <v>45835</v>
      </c>
      <c r="R193" t="s">
        <v>1962</v>
      </c>
      <c r="S193" t="s">
        <v>1527</v>
      </c>
      <c r="T193" t="s">
        <v>1480</v>
      </c>
      <c r="V193" t="s">
        <v>2125</v>
      </c>
      <c r="W193" t="s">
        <v>1846</v>
      </c>
      <c r="X193" t="s">
        <v>1575</v>
      </c>
      <c r="Y193" t="s">
        <v>249</v>
      </c>
      <c r="Z193" t="s">
        <v>249</v>
      </c>
      <c r="AA193" t="s">
        <v>249</v>
      </c>
      <c r="AB193" t="s">
        <v>249</v>
      </c>
      <c r="AC193" t="s">
        <v>249</v>
      </c>
      <c r="AD193" t="s">
        <v>249</v>
      </c>
    </row>
    <row r="194" spans="1:67" hidden="1" x14ac:dyDescent="0.35">
      <c r="A194" t="s">
        <v>1330</v>
      </c>
      <c r="B194" t="s">
        <v>1475</v>
      </c>
      <c r="C194" t="s">
        <v>2126</v>
      </c>
      <c r="D194" t="s">
        <v>2127</v>
      </c>
      <c r="E194" t="s">
        <v>1332</v>
      </c>
      <c r="F194" s="17">
        <v>45488</v>
      </c>
      <c r="H194" s="17"/>
      <c r="I194" t="s">
        <v>2128</v>
      </c>
      <c r="J194" t="s">
        <v>249</v>
      </c>
      <c r="K194" s="17">
        <v>34802</v>
      </c>
      <c r="L194">
        <v>31</v>
      </c>
      <c r="M194" t="s">
        <v>1363</v>
      </c>
      <c r="N194" t="s">
        <v>1345</v>
      </c>
      <c r="O194" t="s">
        <v>2129</v>
      </c>
      <c r="P194" t="s">
        <v>2130</v>
      </c>
      <c r="Q194" s="17">
        <v>45848</v>
      </c>
      <c r="R194" t="s">
        <v>1552</v>
      </c>
      <c r="S194" t="s">
        <v>1507</v>
      </c>
      <c r="T194" t="s">
        <v>1480</v>
      </c>
      <c r="V194" t="s">
        <v>2131</v>
      </c>
      <c r="W194" t="s">
        <v>2132</v>
      </c>
      <c r="X194" t="s">
        <v>1575</v>
      </c>
      <c r="Y194" t="s">
        <v>249</v>
      </c>
      <c r="Z194" t="s">
        <v>249</v>
      </c>
      <c r="AA194" t="s">
        <v>249</v>
      </c>
      <c r="AB194" t="s">
        <v>249</v>
      </c>
      <c r="AC194" t="s">
        <v>249</v>
      </c>
      <c r="AD194" t="s">
        <v>249</v>
      </c>
    </row>
    <row r="195" spans="1:67" hidden="1" x14ac:dyDescent="0.35">
      <c r="A195" t="s">
        <v>1330</v>
      </c>
      <c r="B195" t="s">
        <v>1475</v>
      </c>
      <c r="C195" t="s">
        <v>203</v>
      </c>
      <c r="D195" t="s">
        <v>2133</v>
      </c>
      <c r="E195" t="s">
        <v>1336</v>
      </c>
      <c r="F195" s="17">
        <v>45006</v>
      </c>
      <c r="H195" s="17"/>
      <c r="I195">
        <v>8940966643</v>
      </c>
      <c r="J195" t="s">
        <v>249</v>
      </c>
      <c r="K195" s="17">
        <v>32194</v>
      </c>
      <c r="L195">
        <v>38</v>
      </c>
      <c r="M195" t="s">
        <v>1349</v>
      </c>
      <c r="N195" t="s">
        <v>1345</v>
      </c>
      <c r="O195" t="s">
        <v>2134</v>
      </c>
      <c r="P195" t="s">
        <v>2135</v>
      </c>
      <c r="Q195" s="17">
        <v>45852</v>
      </c>
      <c r="R195" t="s">
        <v>1552</v>
      </c>
      <c r="S195" t="s">
        <v>1644</v>
      </c>
      <c r="T195" t="s">
        <v>1480</v>
      </c>
      <c r="V195" t="s">
        <v>2136</v>
      </c>
      <c r="W195" t="s">
        <v>1356</v>
      </c>
      <c r="X195" t="s">
        <v>1575</v>
      </c>
      <c r="Y195" t="s">
        <v>249</v>
      </c>
      <c r="Z195" t="s">
        <v>249</v>
      </c>
      <c r="AA195" t="s">
        <v>249</v>
      </c>
      <c r="AB195" t="s">
        <v>249</v>
      </c>
      <c r="AC195" t="s">
        <v>249</v>
      </c>
      <c r="AD195" t="s">
        <v>249</v>
      </c>
    </row>
    <row r="196" spans="1:67" hidden="1" x14ac:dyDescent="0.35">
      <c r="A196" t="s">
        <v>1330</v>
      </c>
      <c r="B196" t="s">
        <v>1475</v>
      </c>
      <c r="C196" t="s">
        <v>2137</v>
      </c>
      <c r="D196" t="s">
        <v>2138</v>
      </c>
      <c r="E196" t="s">
        <v>1332</v>
      </c>
      <c r="F196" s="17">
        <v>45488</v>
      </c>
      <c r="H196" s="17"/>
      <c r="I196" t="s">
        <v>2139</v>
      </c>
      <c r="J196" t="s">
        <v>249</v>
      </c>
      <c r="K196" s="17">
        <v>30486</v>
      </c>
      <c r="L196">
        <v>43</v>
      </c>
      <c r="M196" t="s">
        <v>1344</v>
      </c>
      <c r="N196" t="s">
        <v>1345</v>
      </c>
      <c r="O196" t="s">
        <v>2140</v>
      </c>
      <c r="P196" t="s">
        <v>2141</v>
      </c>
      <c r="Q196" s="17">
        <v>45856</v>
      </c>
      <c r="R196" t="s">
        <v>1552</v>
      </c>
      <c r="S196" t="s">
        <v>2142</v>
      </c>
      <c r="T196" t="s">
        <v>1480</v>
      </c>
      <c r="V196" t="s">
        <v>2143</v>
      </c>
      <c r="W196" t="s">
        <v>1356</v>
      </c>
      <c r="X196" t="s">
        <v>1575</v>
      </c>
      <c r="Y196" t="s">
        <v>249</v>
      </c>
      <c r="Z196" t="s">
        <v>249</v>
      </c>
      <c r="AA196" t="s">
        <v>249</v>
      </c>
      <c r="AB196" t="s">
        <v>249</v>
      </c>
      <c r="AC196" t="s">
        <v>249</v>
      </c>
      <c r="AD196" t="s">
        <v>249</v>
      </c>
    </row>
    <row r="197" spans="1:67" hidden="1" x14ac:dyDescent="0.35">
      <c r="A197" t="s">
        <v>1330</v>
      </c>
      <c r="B197" t="s">
        <v>1475</v>
      </c>
      <c r="C197" t="s">
        <v>2144</v>
      </c>
      <c r="D197" t="s">
        <v>2145</v>
      </c>
      <c r="E197" t="s">
        <v>1332</v>
      </c>
      <c r="F197" s="17">
        <v>44669</v>
      </c>
      <c r="H197" s="17"/>
      <c r="I197">
        <v>800140540</v>
      </c>
      <c r="J197" t="s">
        <v>249</v>
      </c>
      <c r="K197" s="17">
        <v>30359</v>
      </c>
      <c r="L197">
        <v>43</v>
      </c>
      <c r="M197" t="s">
        <v>1344</v>
      </c>
      <c r="N197" t="s">
        <v>1345</v>
      </c>
      <c r="O197" t="s">
        <v>2146</v>
      </c>
      <c r="P197" t="s">
        <v>2147</v>
      </c>
      <c r="Q197" s="17">
        <v>45856</v>
      </c>
      <c r="R197" t="s">
        <v>1552</v>
      </c>
      <c r="S197" t="s">
        <v>2148</v>
      </c>
      <c r="T197" t="s">
        <v>1480</v>
      </c>
      <c r="V197" t="s">
        <v>1350</v>
      </c>
      <c r="W197" t="s">
        <v>1351</v>
      </c>
      <c r="X197" t="s">
        <v>1575</v>
      </c>
      <c r="Y197" t="s">
        <v>249</v>
      </c>
      <c r="Z197" t="s">
        <v>249</v>
      </c>
      <c r="AA197" t="s">
        <v>249</v>
      </c>
      <c r="AB197" t="s">
        <v>249</v>
      </c>
      <c r="AC197" t="s">
        <v>249</v>
      </c>
      <c r="AD197" t="s">
        <v>249</v>
      </c>
    </row>
    <row r="198" spans="1:67" hidden="1" x14ac:dyDescent="0.35">
      <c r="A198" t="s">
        <v>1330</v>
      </c>
      <c r="B198" t="s">
        <v>1475</v>
      </c>
      <c r="C198" t="s">
        <v>1911</v>
      </c>
      <c r="D198" t="s">
        <v>1912</v>
      </c>
      <c r="E198" t="s">
        <v>1332</v>
      </c>
      <c r="F198" s="17">
        <v>45699</v>
      </c>
      <c r="H198" s="17"/>
      <c r="I198" t="s">
        <v>1913</v>
      </c>
      <c r="J198" t="s">
        <v>249</v>
      </c>
      <c r="K198" s="17">
        <v>31619</v>
      </c>
      <c r="L198">
        <v>40</v>
      </c>
      <c r="M198" t="s">
        <v>1349</v>
      </c>
      <c r="N198" t="s">
        <v>1345</v>
      </c>
      <c r="O198" t="s">
        <v>1914</v>
      </c>
      <c r="P198" t="s">
        <v>1915</v>
      </c>
      <c r="Q198" s="17">
        <v>45861</v>
      </c>
      <c r="R198" t="s">
        <v>1552</v>
      </c>
      <c r="S198" t="s">
        <v>1916</v>
      </c>
      <c r="T198" t="s">
        <v>1480</v>
      </c>
      <c r="U198" t="s">
        <v>2149</v>
      </c>
      <c r="V198" t="s">
        <v>1917</v>
      </c>
      <c r="W198" t="s">
        <v>1356</v>
      </c>
      <c r="X198" t="s">
        <v>1575</v>
      </c>
      <c r="Y198" t="s">
        <v>249</v>
      </c>
      <c r="Z198" t="s">
        <v>249</v>
      </c>
      <c r="AA198" t="s">
        <v>249</v>
      </c>
      <c r="AB198" t="s">
        <v>249</v>
      </c>
      <c r="AC198" t="s">
        <v>249</v>
      </c>
      <c r="AD198" t="s">
        <v>249</v>
      </c>
    </row>
    <row r="199" spans="1:67" hidden="1" x14ac:dyDescent="0.35">
      <c r="A199" t="s">
        <v>1330</v>
      </c>
      <c r="B199" t="s">
        <v>1475</v>
      </c>
      <c r="C199" t="s">
        <v>367</v>
      </c>
      <c r="D199" t="s">
        <v>2150</v>
      </c>
      <c r="E199" t="s">
        <v>1336</v>
      </c>
      <c r="F199" s="17">
        <v>45301</v>
      </c>
      <c r="H199" s="17"/>
      <c r="I199">
        <v>1758889225</v>
      </c>
      <c r="J199" t="s">
        <v>249</v>
      </c>
      <c r="K199" s="17">
        <v>34420</v>
      </c>
      <c r="L199">
        <v>32</v>
      </c>
      <c r="M199" t="s">
        <v>1363</v>
      </c>
      <c r="N199" t="s">
        <v>1345</v>
      </c>
      <c r="O199" t="s">
        <v>2151</v>
      </c>
      <c r="P199" t="s">
        <v>2152</v>
      </c>
      <c r="Q199" s="17">
        <v>45869</v>
      </c>
      <c r="R199" t="s">
        <v>1552</v>
      </c>
      <c r="S199" t="s">
        <v>2153</v>
      </c>
      <c r="T199" t="s">
        <v>1480</v>
      </c>
      <c r="V199" t="s">
        <v>2154</v>
      </c>
      <c r="W199" t="s">
        <v>1417</v>
      </c>
      <c r="X199" t="s">
        <v>1575</v>
      </c>
      <c r="Y199" t="s">
        <v>249</v>
      </c>
      <c r="Z199" t="s">
        <v>249</v>
      </c>
      <c r="AA199" t="s">
        <v>249</v>
      </c>
      <c r="AB199" t="s">
        <v>249</v>
      </c>
      <c r="AC199" t="s">
        <v>249</v>
      </c>
      <c r="AD199" t="s">
        <v>249</v>
      </c>
    </row>
    <row r="200" spans="1:67" ht="348" hidden="1" x14ac:dyDescent="0.35">
      <c r="A200" t="s">
        <v>1330</v>
      </c>
      <c r="B200" t="s">
        <v>1461</v>
      </c>
      <c r="C200" t="s">
        <v>2155</v>
      </c>
      <c r="D200" t="s">
        <v>2156</v>
      </c>
      <c r="E200" t="s">
        <v>1332</v>
      </c>
      <c r="F200" s="17">
        <v>45664</v>
      </c>
      <c r="H200" s="17"/>
      <c r="I200" t="s">
        <v>2157</v>
      </c>
      <c r="J200" t="s">
        <v>249</v>
      </c>
      <c r="K200" s="17">
        <v>25133</v>
      </c>
      <c r="L200">
        <v>57</v>
      </c>
      <c r="M200" t="s">
        <v>1564</v>
      </c>
      <c r="N200" t="s">
        <v>1380</v>
      </c>
      <c r="O200" t="s">
        <v>2158</v>
      </c>
      <c r="P200" t="s">
        <v>2159</v>
      </c>
      <c r="Q200" s="17">
        <v>45888</v>
      </c>
      <c r="R200" t="s">
        <v>1552</v>
      </c>
      <c r="S200" t="s">
        <v>2160</v>
      </c>
      <c r="T200" t="s">
        <v>1466</v>
      </c>
      <c r="V200" t="s">
        <v>1355</v>
      </c>
      <c r="W200" t="s">
        <v>1356</v>
      </c>
      <c r="X200" t="s">
        <v>1575</v>
      </c>
      <c r="Y200" t="s">
        <v>249</v>
      </c>
      <c r="Z200" t="s">
        <v>249</v>
      </c>
      <c r="AA200" t="s">
        <v>249</v>
      </c>
      <c r="AB200" t="s">
        <v>249</v>
      </c>
      <c r="AC200" t="s">
        <v>249</v>
      </c>
      <c r="AD200" t="s">
        <v>249</v>
      </c>
      <c r="BO200" s="105" t="s">
        <v>2161</v>
      </c>
    </row>
    <row r="201" spans="1:67" hidden="1" x14ac:dyDescent="0.35">
      <c r="A201" t="s">
        <v>1330</v>
      </c>
      <c r="B201" t="s">
        <v>1475</v>
      </c>
      <c r="C201" t="s">
        <v>120</v>
      </c>
      <c r="D201" t="s">
        <v>2162</v>
      </c>
      <c r="E201" t="s">
        <v>1332</v>
      </c>
      <c r="F201" s="17">
        <v>45436</v>
      </c>
      <c r="H201" s="17"/>
      <c r="I201" t="s">
        <v>2163</v>
      </c>
      <c r="J201" t="s">
        <v>249</v>
      </c>
      <c r="K201" s="17">
        <v>31313</v>
      </c>
      <c r="L201">
        <v>40</v>
      </c>
      <c r="M201" t="s">
        <v>1349</v>
      </c>
      <c r="N201" t="s">
        <v>1345</v>
      </c>
      <c r="O201" t="s">
        <v>2164</v>
      </c>
      <c r="P201" t="s">
        <v>2165</v>
      </c>
      <c r="Q201" s="17">
        <v>45891</v>
      </c>
      <c r="R201" t="s">
        <v>1552</v>
      </c>
      <c r="S201" t="s">
        <v>1899</v>
      </c>
      <c r="T201" t="s">
        <v>1480</v>
      </c>
      <c r="V201" t="s">
        <v>2166</v>
      </c>
      <c r="W201" t="s">
        <v>1782</v>
      </c>
      <c r="X201" t="s">
        <v>1575</v>
      </c>
      <c r="Y201" t="s">
        <v>249</v>
      </c>
      <c r="Z201" t="s">
        <v>249</v>
      </c>
      <c r="AA201" t="s">
        <v>249</v>
      </c>
      <c r="AB201" t="s">
        <v>249</v>
      </c>
      <c r="AC201" t="s">
        <v>249</v>
      </c>
      <c r="AD201" t="s">
        <v>249</v>
      </c>
    </row>
    <row r="202" spans="1:67" hidden="1" x14ac:dyDescent="0.35">
      <c r="A202" t="s">
        <v>1330</v>
      </c>
      <c r="B202" t="s">
        <v>1475</v>
      </c>
      <c r="C202" t="s">
        <v>320</v>
      </c>
      <c r="D202" t="s">
        <v>2167</v>
      </c>
      <c r="E202" t="s">
        <v>1332</v>
      </c>
      <c r="F202" s="17">
        <v>45218</v>
      </c>
      <c r="H202" s="17"/>
      <c r="I202" t="s">
        <v>2168</v>
      </c>
      <c r="J202" t="s">
        <v>249</v>
      </c>
      <c r="K202" s="17">
        <v>31565</v>
      </c>
      <c r="L202">
        <v>40</v>
      </c>
      <c r="M202" t="s">
        <v>1349</v>
      </c>
      <c r="N202" t="s">
        <v>1345</v>
      </c>
      <c r="O202" t="s">
        <v>2169</v>
      </c>
      <c r="P202" t="s">
        <v>2170</v>
      </c>
      <c r="Q202" s="17">
        <v>45918</v>
      </c>
      <c r="R202" t="s">
        <v>1962</v>
      </c>
      <c r="S202" t="s">
        <v>2171</v>
      </c>
      <c r="T202" t="s">
        <v>1480</v>
      </c>
      <c r="V202" t="s">
        <v>2172</v>
      </c>
      <c r="W202" t="s">
        <v>2173</v>
      </c>
      <c r="X202" t="s">
        <v>1575</v>
      </c>
      <c r="Y202" t="s">
        <v>249</v>
      </c>
      <c r="Z202" t="s">
        <v>249</v>
      </c>
      <c r="AA202" t="s">
        <v>249</v>
      </c>
      <c r="AB202" t="s">
        <v>249</v>
      </c>
      <c r="AC202" t="s">
        <v>249</v>
      </c>
      <c r="AD202" t="s">
        <v>249</v>
      </c>
    </row>
    <row r="203" spans="1:67" hidden="1" x14ac:dyDescent="0.35">
      <c r="A203" t="s">
        <v>1330</v>
      </c>
      <c r="B203" t="s">
        <v>1475</v>
      </c>
      <c r="C203" t="s">
        <v>369</v>
      </c>
      <c r="D203" t="s">
        <v>478</v>
      </c>
      <c r="E203" t="s">
        <v>1332</v>
      </c>
      <c r="F203" s="17">
        <v>45782</v>
      </c>
      <c r="G203" t="s">
        <v>2115</v>
      </c>
      <c r="H203" s="17"/>
      <c r="I203" t="s">
        <v>2174</v>
      </c>
      <c r="J203">
        <v>1261734</v>
      </c>
      <c r="K203" s="17">
        <v>34691</v>
      </c>
      <c r="L203">
        <v>31</v>
      </c>
      <c r="M203" t="s">
        <v>1363</v>
      </c>
      <c r="N203" t="s">
        <v>1345</v>
      </c>
      <c r="O203" t="s">
        <v>2175</v>
      </c>
      <c r="P203" t="s">
        <v>479</v>
      </c>
      <c r="Q203" s="17">
        <v>45924</v>
      </c>
      <c r="S203" t="s">
        <v>2176</v>
      </c>
      <c r="T203" t="s">
        <v>1480</v>
      </c>
      <c r="U203" t="s">
        <v>2177</v>
      </c>
      <c r="V203" t="s">
        <v>2178</v>
      </c>
      <c r="W203" t="s">
        <v>1356</v>
      </c>
      <c r="X203" t="s">
        <v>1942</v>
      </c>
      <c r="Y203" t="s">
        <v>249</v>
      </c>
      <c r="Z203" t="s">
        <v>249</v>
      </c>
      <c r="AA203" t="s">
        <v>249</v>
      </c>
      <c r="AB203" t="s">
        <v>249</v>
      </c>
      <c r="AC203" t="s">
        <v>249</v>
      </c>
      <c r="AD203" t="s">
        <v>249</v>
      </c>
    </row>
    <row r="204" spans="1:67" hidden="1" x14ac:dyDescent="0.35">
      <c r="A204" t="s">
        <v>1330</v>
      </c>
      <c r="B204" t="s">
        <v>1475</v>
      </c>
      <c r="C204" t="s">
        <v>2179</v>
      </c>
      <c r="D204" t="s">
        <v>2180</v>
      </c>
      <c r="E204" t="s">
        <v>1336</v>
      </c>
      <c r="F204" s="17">
        <v>45383</v>
      </c>
      <c r="H204" s="17"/>
      <c r="I204" t="s">
        <v>2181</v>
      </c>
      <c r="J204" t="s">
        <v>249</v>
      </c>
      <c r="K204" s="17">
        <v>33216</v>
      </c>
      <c r="L204">
        <v>35</v>
      </c>
      <c r="M204" t="s">
        <v>1363</v>
      </c>
      <c r="N204" t="s">
        <v>1345</v>
      </c>
      <c r="O204" t="s">
        <v>2182</v>
      </c>
      <c r="P204" t="s">
        <v>2183</v>
      </c>
      <c r="Q204" s="17">
        <v>45930</v>
      </c>
      <c r="R204" t="s">
        <v>1552</v>
      </c>
      <c r="S204" t="s">
        <v>2184</v>
      </c>
      <c r="T204" t="s">
        <v>1480</v>
      </c>
      <c r="V204" t="s">
        <v>2185</v>
      </c>
      <c r="W204" t="s">
        <v>1356</v>
      </c>
      <c r="X204" t="s">
        <v>1575</v>
      </c>
      <c r="Y204" t="s">
        <v>249</v>
      </c>
      <c r="Z204" t="s">
        <v>249</v>
      </c>
      <c r="AA204" t="s">
        <v>249</v>
      </c>
      <c r="AB204" t="s">
        <v>249</v>
      </c>
      <c r="AC204" t="s">
        <v>249</v>
      </c>
      <c r="AD204" t="s">
        <v>249</v>
      </c>
    </row>
    <row r="205" spans="1:67" hidden="1" x14ac:dyDescent="0.35">
      <c r="A205" t="s">
        <v>1330</v>
      </c>
      <c r="B205" t="s">
        <v>1475</v>
      </c>
      <c r="C205" t="s">
        <v>2186</v>
      </c>
      <c r="D205" t="s">
        <v>2187</v>
      </c>
      <c r="E205" t="s">
        <v>1332</v>
      </c>
      <c r="F205" s="17">
        <v>45342</v>
      </c>
      <c r="H205" s="17"/>
      <c r="I205" t="s">
        <v>2188</v>
      </c>
      <c r="J205" t="s">
        <v>249</v>
      </c>
      <c r="K205" s="17">
        <v>28028</v>
      </c>
      <c r="L205">
        <v>49</v>
      </c>
      <c r="M205" t="s">
        <v>1344</v>
      </c>
      <c r="N205" t="s">
        <v>1380</v>
      </c>
      <c r="O205" t="s">
        <v>2189</v>
      </c>
      <c r="P205" t="s">
        <v>2190</v>
      </c>
      <c r="Q205" s="17">
        <v>45950</v>
      </c>
      <c r="S205" t="s">
        <v>2191</v>
      </c>
      <c r="T205" t="s">
        <v>1480</v>
      </c>
      <c r="V205" t="s">
        <v>1355</v>
      </c>
      <c r="W205" t="s">
        <v>1356</v>
      </c>
      <c r="X205" t="s">
        <v>1942</v>
      </c>
      <c r="Y205" t="s">
        <v>249</v>
      </c>
      <c r="Z205" t="s">
        <v>249</v>
      </c>
      <c r="AA205" t="s">
        <v>249</v>
      </c>
      <c r="AB205" t="s">
        <v>249</v>
      </c>
      <c r="AC205" t="s">
        <v>249</v>
      </c>
      <c r="AD205" t="s">
        <v>249</v>
      </c>
    </row>
    <row r="206" spans="1:67" hidden="1" x14ac:dyDescent="0.35">
      <c r="A206" t="s">
        <v>1330</v>
      </c>
      <c r="B206" t="s">
        <v>1475</v>
      </c>
      <c r="C206" t="s">
        <v>260</v>
      </c>
      <c r="D206" t="s">
        <v>2192</v>
      </c>
      <c r="E206" t="s">
        <v>1336</v>
      </c>
      <c r="F206" s="17">
        <v>45516</v>
      </c>
      <c r="H206" s="17"/>
      <c r="I206" t="s">
        <v>2193</v>
      </c>
      <c r="J206" t="s">
        <v>249</v>
      </c>
      <c r="K206" s="17">
        <v>34648</v>
      </c>
      <c r="L206">
        <v>31</v>
      </c>
      <c r="M206" t="s">
        <v>1363</v>
      </c>
      <c r="N206" t="s">
        <v>1345</v>
      </c>
      <c r="O206" t="s">
        <v>2194</v>
      </c>
      <c r="P206" t="s">
        <v>2195</v>
      </c>
      <c r="Q206" s="17">
        <v>45950</v>
      </c>
      <c r="R206" t="s">
        <v>1552</v>
      </c>
      <c r="S206" t="s">
        <v>1507</v>
      </c>
      <c r="T206" t="s">
        <v>1480</v>
      </c>
      <c r="V206" t="s">
        <v>2196</v>
      </c>
      <c r="W206" t="s">
        <v>1356</v>
      </c>
      <c r="X206" t="s">
        <v>1575</v>
      </c>
      <c r="Y206" t="s">
        <v>249</v>
      </c>
      <c r="Z206" t="s">
        <v>249</v>
      </c>
      <c r="AA206" t="s">
        <v>249</v>
      </c>
      <c r="AB206" t="s">
        <v>249</v>
      </c>
      <c r="AC206" t="s">
        <v>249</v>
      </c>
      <c r="AD206" t="s">
        <v>249</v>
      </c>
    </row>
    <row r="207" spans="1:67" hidden="1" x14ac:dyDescent="0.35">
      <c r="A207" t="s">
        <v>1330</v>
      </c>
      <c r="B207" t="s">
        <v>1475</v>
      </c>
      <c r="C207" t="s">
        <v>210</v>
      </c>
      <c r="D207" t="s">
        <v>2197</v>
      </c>
      <c r="E207" t="s">
        <v>1336</v>
      </c>
      <c r="F207" s="17">
        <v>45244</v>
      </c>
      <c r="H207" s="17"/>
      <c r="I207" t="s">
        <v>2198</v>
      </c>
      <c r="J207" t="s">
        <v>249</v>
      </c>
      <c r="K207" s="17">
        <v>34091</v>
      </c>
      <c r="L207">
        <v>33</v>
      </c>
      <c r="M207" t="s">
        <v>1363</v>
      </c>
      <c r="N207" t="s">
        <v>1345</v>
      </c>
      <c r="O207" t="s">
        <v>2199</v>
      </c>
      <c r="P207" t="s">
        <v>2200</v>
      </c>
      <c r="Q207" s="17">
        <v>45971</v>
      </c>
      <c r="R207" t="s">
        <v>1962</v>
      </c>
      <c r="S207" t="s">
        <v>2201</v>
      </c>
      <c r="T207" t="s">
        <v>1480</v>
      </c>
      <c r="V207" t="s">
        <v>1416</v>
      </c>
      <c r="W207" t="s">
        <v>1417</v>
      </c>
      <c r="X207" t="s">
        <v>1575</v>
      </c>
      <c r="Y207" t="s">
        <v>249</v>
      </c>
      <c r="Z207" t="s">
        <v>249</v>
      </c>
      <c r="AA207" t="s">
        <v>249</v>
      </c>
      <c r="AB207" t="s">
        <v>249</v>
      </c>
      <c r="AC207" t="s">
        <v>249</v>
      </c>
      <c r="AD207" t="s">
        <v>249</v>
      </c>
    </row>
    <row r="208" spans="1:67" hidden="1" x14ac:dyDescent="0.35">
      <c r="A208" t="s">
        <v>1330</v>
      </c>
      <c r="B208" t="s">
        <v>1475</v>
      </c>
      <c r="C208" t="s">
        <v>94</v>
      </c>
      <c r="D208" t="s">
        <v>2202</v>
      </c>
      <c r="E208" t="s">
        <v>1336</v>
      </c>
      <c r="F208" s="17">
        <v>44690</v>
      </c>
      <c r="H208" s="17"/>
      <c r="I208">
        <v>11214595600</v>
      </c>
      <c r="J208" t="s">
        <v>249</v>
      </c>
      <c r="K208" s="17">
        <v>34076</v>
      </c>
      <c r="L208">
        <v>33</v>
      </c>
      <c r="M208" t="s">
        <v>1363</v>
      </c>
      <c r="N208" t="s">
        <v>1345</v>
      </c>
      <c r="O208" t="s">
        <v>2203</v>
      </c>
      <c r="P208" s="107" t="s">
        <v>2204</v>
      </c>
      <c r="Q208" s="17">
        <v>45972</v>
      </c>
      <c r="R208" t="s">
        <v>1552</v>
      </c>
      <c r="S208" t="s">
        <v>1527</v>
      </c>
      <c r="T208" t="s">
        <v>1480</v>
      </c>
      <c r="V208" t="s">
        <v>1355</v>
      </c>
      <c r="W208" t="s">
        <v>1356</v>
      </c>
      <c r="X208" t="s">
        <v>1575</v>
      </c>
      <c r="Y208" t="s">
        <v>249</v>
      </c>
      <c r="Z208" t="s">
        <v>249</v>
      </c>
      <c r="AA208" t="s">
        <v>249</v>
      </c>
      <c r="AB208" t="s">
        <v>249</v>
      </c>
      <c r="AC208" t="s">
        <v>249</v>
      </c>
      <c r="AD208" t="s">
        <v>249</v>
      </c>
    </row>
    <row r="209" spans="1:30" hidden="1" x14ac:dyDescent="0.35">
      <c r="A209" t="s">
        <v>1330</v>
      </c>
      <c r="B209" t="s">
        <v>1475</v>
      </c>
      <c r="C209" t="s">
        <v>165</v>
      </c>
      <c r="D209" t="s">
        <v>2205</v>
      </c>
      <c r="E209" t="s">
        <v>1332</v>
      </c>
      <c r="F209" s="17">
        <v>45663</v>
      </c>
      <c r="H209" s="17"/>
      <c r="I209" t="s">
        <v>2206</v>
      </c>
      <c r="J209" t="s">
        <v>249</v>
      </c>
      <c r="K209" s="17">
        <v>30427</v>
      </c>
      <c r="L209">
        <v>43</v>
      </c>
      <c r="M209" t="s">
        <v>1344</v>
      </c>
      <c r="N209" t="s">
        <v>1345</v>
      </c>
      <c r="O209" t="s">
        <v>2207</v>
      </c>
      <c r="P209" t="s">
        <v>2208</v>
      </c>
      <c r="Q209" s="17">
        <v>45975</v>
      </c>
      <c r="R209" t="s">
        <v>1552</v>
      </c>
      <c r="S209" t="s">
        <v>2153</v>
      </c>
      <c r="T209" t="s">
        <v>1480</v>
      </c>
      <c r="V209" t="s">
        <v>1355</v>
      </c>
      <c r="W209" t="s">
        <v>1356</v>
      </c>
      <c r="X209" t="s">
        <v>1575</v>
      </c>
      <c r="Y209" t="s">
        <v>249</v>
      </c>
      <c r="Z209" t="s">
        <v>249</v>
      </c>
      <c r="AA209" t="s">
        <v>249</v>
      </c>
      <c r="AB209" t="s">
        <v>249</v>
      </c>
      <c r="AC209" t="s">
        <v>249</v>
      </c>
      <c r="AD209" t="s">
        <v>249</v>
      </c>
    </row>
    <row r="210" spans="1:30" hidden="1" x14ac:dyDescent="0.35">
      <c r="A210" t="s">
        <v>1330</v>
      </c>
      <c r="B210" t="s">
        <v>1461</v>
      </c>
      <c r="C210" t="s">
        <v>2209</v>
      </c>
      <c r="D210" t="s">
        <v>2210</v>
      </c>
      <c r="E210" t="s">
        <v>1332</v>
      </c>
      <c r="F210" s="17">
        <v>45820</v>
      </c>
      <c r="G210" t="s">
        <v>2115</v>
      </c>
      <c r="H210" s="17"/>
      <c r="I210" t="s">
        <v>2211</v>
      </c>
      <c r="J210" t="s">
        <v>2212</v>
      </c>
      <c r="K210" s="17">
        <v>36593</v>
      </c>
      <c r="L210">
        <v>26</v>
      </c>
      <c r="M210" t="s">
        <v>1354</v>
      </c>
      <c r="N210" t="s">
        <v>1360</v>
      </c>
      <c r="O210" t="s">
        <v>2213</v>
      </c>
      <c r="P210" t="s">
        <v>2214</v>
      </c>
      <c r="Q210" s="17">
        <v>45992</v>
      </c>
      <c r="R210" t="s">
        <v>1552</v>
      </c>
      <c r="S210" t="s">
        <v>2215</v>
      </c>
      <c r="T210" t="s">
        <v>1466</v>
      </c>
      <c r="U210" t="s">
        <v>2216</v>
      </c>
      <c r="V210" t="s">
        <v>1355</v>
      </c>
      <c r="W210" t="s">
        <v>1356</v>
      </c>
      <c r="X210" t="s">
        <v>1575</v>
      </c>
      <c r="Y210" t="s">
        <v>249</v>
      </c>
      <c r="Z210" t="s">
        <v>249</v>
      </c>
      <c r="AA210" t="s">
        <v>249</v>
      </c>
      <c r="AB210" t="s">
        <v>249</v>
      </c>
      <c r="AC210" t="s">
        <v>249</v>
      </c>
      <c r="AD210" t="s">
        <v>249</v>
      </c>
    </row>
    <row r="211" spans="1:30" hidden="1" x14ac:dyDescent="0.35">
      <c r="A211" t="s">
        <v>1330</v>
      </c>
      <c r="B211" t="s">
        <v>1475</v>
      </c>
      <c r="C211" t="s">
        <v>436</v>
      </c>
      <c r="D211" t="s">
        <v>2217</v>
      </c>
      <c r="E211" t="s">
        <v>1332</v>
      </c>
      <c r="F211" s="17">
        <v>45845</v>
      </c>
      <c r="G211" t="s">
        <v>2115</v>
      </c>
      <c r="H211" s="17"/>
      <c r="I211">
        <v>8550294470</v>
      </c>
      <c r="J211">
        <v>1969653</v>
      </c>
      <c r="K211" s="17">
        <v>34311</v>
      </c>
      <c r="L211">
        <v>32</v>
      </c>
      <c r="M211" t="s">
        <v>1363</v>
      </c>
      <c r="N211" t="s">
        <v>1345</v>
      </c>
      <c r="O211" t="s">
        <v>2218</v>
      </c>
      <c r="P211" t="s">
        <v>2219</v>
      </c>
      <c r="Q211" s="17">
        <v>45992</v>
      </c>
      <c r="R211" t="s">
        <v>1552</v>
      </c>
      <c r="S211" t="s">
        <v>2220</v>
      </c>
      <c r="T211" t="s">
        <v>1480</v>
      </c>
      <c r="U211" t="s">
        <v>2221</v>
      </c>
      <c r="V211" t="s">
        <v>2131</v>
      </c>
      <c r="W211" t="s">
        <v>2132</v>
      </c>
      <c r="X211" t="s">
        <v>1575</v>
      </c>
      <c r="Y211" t="s">
        <v>249</v>
      </c>
      <c r="Z211" t="s">
        <v>249</v>
      </c>
      <c r="AA211" t="s">
        <v>249</v>
      </c>
      <c r="AB211" t="s">
        <v>249</v>
      </c>
      <c r="AC211" t="s">
        <v>249</v>
      </c>
      <c r="AD211" t="s">
        <v>249</v>
      </c>
    </row>
    <row r="212" spans="1:30" hidden="1" x14ac:dyDescent="0.35">
      <c r="A212" t="s">
        <v>1330</v>
      </c>
      <c r="B212" t="s">
        <v>1475</v>
      </c>
      <c r="C212" t="s">
        <v>2222</v>
      </c>
      <c r="D212" t="s">
        <v>2223</v>
      </c>
      <c r="E212" t="s">
        <v>1336</v>
      </c>
      <c r="F212" s="17">
        <v>45062</v>
      </c>
      <c r="H212" s="17"/>
      <c r="I212">
        <v>10590238655</v>
      </c>
      <c r="J212" t="s">
        <v>249</v>
      </c>
      <c r="K212" s="17">
        <v>33493</v>
      </c>
      <c r="L212">
        <v>34</v>
      </c>
      <c r="M212" t="s">
        <v>1363</v>
      </c>
      <c r="N212" t="s">
        <v>1345</v>
      </c>
      <c r="O212" t="s">
        <v>2224</v>
      </c>
      <c r="P212" t="s">
        <v>2225</v>
      </c>
      <c r="Q212" s="17">
        <v>46027</v>
      </c>
      <c r="R212" t="s">
        <v>1552</v>
      </c>
      <c r="S212" t="s">
        <v>2201</v>
      </c>
      <c r="T212" t="s">
        <v>249</v>
      </c>
      <c r="V212" t="s">
        <v>1408</v>
      </c>
      <c r="W212" t="s">
        <v>1356</v>
      </c>
      <c r="X212" t="s">
        <v>1575</v>
      </c>
      <c r="Y212" t="s">
        <v>249</v>
      </c>
      <c r="Z212" t="s">
        <v>249</v>
      </c>
      <c r="AA212" t="s">
        <v>249</v>
      </c>
      <c r="AB212" t="s">
        <v>249</v>
      </c>
      <c r="AC212" t="s">
        <v>249</v>
      </c>
      <c r="AD212" t="s">
        <v>249</v>
      </c>
    </row>
    <row r="213" spans="1:30" hidden="1" x14ac:dyDescent="0.35">
      <c r="A213" t="s">
        <v>1330</v>
      </c>
      <c r="B213" t="s">
        <v>1461</v>
      </c>
      <c r="C213" t="s">
        <v>1276</v>
      </c>
      <c r="D213" t="s">
        <v>2226</v>
      </c>
      <c r="E213" t="s">
        <v>1332</v>
      </c>
      <c r="F213" s="17">
        <v>44866</v>
      </c>
      <c r="H213" s="17"/>
      <c r="I213">
        <v>11315459663</v>
      </c>
      <c r="J213" t="s">
        <v>249</v>
      </c>
      <c r="K213" s="17">
        <v>33639</v>
      </c>
      <c r="L213">
        <v>34</v>
      </c>
      <c r="M213" t="s">
        <v>1363</v>
      </c>
      <c r="N213" t="s">
        <v>1345</v>
      </c>
      <c r="O213" t="s">
        <v>2227</v>
      </c>
      <c r="P213" t="s">
        <v>2228</v>
      </c>
      <c r="Q213" s="17">
        <v>46027</v>
      </c>
      <c r="R213" t="s">
        <v>1962</v>
      </c>
      <c r="S213" t="s">
        <v>2229</v>
      </c>
      <c r="T213" t="s">
        <v>249</v>
      </c>
      <c r="V213" t="s">
        <v>1361</v>
      </c>
      <c r="W213" t="s">
        <v>1356</v>
      </c>
      <c r="X213" t="s">
        <v>1575</v>
      </c>
      <c r="Y213" t="s">
        <v>249</v>
      </c>
      <c r="Z213" t="s">
        <v>249</v>
      </c>
      <c r="AA213" t="s">
        <v>249</v>
      </c>
      <c r="AB213" t="s">
        <v>249</v>
      </c>
      <c r="AC213" t="s">
        <v>249</v>
      </c>
      <c r="AD213" t="s">
        <v>249</v>
      </c>
    </row>
    <row r="214" spans="1:30" hidden="1" x14ac:dyDescent="0.35">
      <c r="A214" t="s">
        <v>1330</v>
      </c>
      <c r="B214" t="s">
        <v>1475</v>
      </c>
      <c r="C214" t="s">
        <v>2230</v>
      </c>
      <c r="D214" t="s">
        <v>2231</v>
      </c>
      <c r="E214" t="s">
        <v>1332</v>
      </c>
      <c r="F214" s="17">
        <v>46000</v>
      </c>
      <c r="H214" s="17"/>
      <c r="I214" t="s">
        <v>2232</v>
      </c>
      <c r="J214" t="s">
        <v>2233</v>
      </c>
      <c r="K214" s="17">
        <v>33661</v>
      </c>
      <c r="L214">
        <v>34</v>
      </c>
      <c r="M214" t="s">
        <v>1363</v>
      </c>
      <c r="N214" t="s">
        <v>1345</v>
      </c>
      <c r="O214" t="s">
        <v>2234</v>
      </c>
      <c r="P214" t="s">
        <v>2235</v>
      </c>
      <c r="Q214" s="17">
        <v>46029</v>
      </c>
      <c r="R214" t="s">
        <v>1552</v>
      </c>
      <c r="S214" t="s">
        <v>2236</v>
      </c>
      <c r="T214" t="s">
        <v>249</v>
      </c>
      <c r="X214" t="s">
        <v>1575</v>
      </c>
      <c r="Y214" t="s">
        <v>249</v>
      </c>
      <c r="Z214" t="s">
        <v>249</v>
      </c>
      <c r="AA214" t="s">
        <v>249</v>
      </c>
      <c r="AB214" t="s">
        <v>249</v>
      </c>
      <c r="AC214" t="s">
        <v>249</v>
      </c>
      <c r="AD214" t="s">
        <v>249</v>
      </c>
    </row>
    <row r="215" spans="1:30" hidden="1" x14ac:dyDescent="0.35">
      <c r="A215" t="s">
        <v>1330</v>
      </c>
      <c r="B215" t="s">
        <v>2237</v>
      </c>
      <c r="C215" t="s">
        <v>2238</v>
      </c>
      <c r="D215" t="s">
        <v>2239</v>
      </c>
      <c r="E215" t="s">
        <v>1332</v>
      </c>
      <c r="F215" s="17">
        <v>45873</v>
      </c>
      <c r="G215" t="s">
        <v>2115</v>
      </c>
      <c r="H215" s="17"/>
      <c r="I215" t="s">
        <v>2240</v>
      </c>
      <c r="J215" t="s">
        <v>2241</v>
      </c>
      <c r="K215" s="17">
        <v>26470</v>
      </c>
      <c r="L215">
        <v>54</v>
      </c>
      <c r="M215" t="s">
        <v>1564</v>
      </c>
      <c r="N215" t="s">
        <v>1380</v>
      </c>
      <c r="O215" t="s">
        <v>2242</v>
      </c>
      <c r="P215" t="s">
        <v>2243</v>
      </c>
      <c r="Q215" s="17">
        <v>46076</v>
      </c>
      <c r="R215" t="s">
        <v>1552</v>
      </c>
      <c r="S215" t="s">
        <v>2236</v>
      </c>
      <c r="U215" t="s">
        <v>2244</v>
      </c>
      <c r="V215" t="s">
        <v>1355</v>
      </c>
      <c r="W215" t="s">
        <v>1356</v>
      </c>
      <c r="X215" t="s">
        <v>1575</v>
      </c>
      <c r="Y215" t="s">
        <v>249</v>
      </c>
      <c r="Z215" t="s">
        <v>249</v>
      </c>
      <c r="AA215" t="s">
        <v>249</v>
      </c>
      <c r="AB215" t="s">
        <v>249</v>
      </c>
      <c r="AC215" t="s">
        <v>249</v>
      </c>
      <c r="AD215" t="s">
        <v>249</v>
      </c>
    </row>
    <row r="216" spans="1:30" hidden="1" x14ac:dyDescent="0.35">
      <c r="A216" t="s">
        <v>1330</v>
      </c>
      <c r="B216" t="s">
        <v>2237</v>
      </c>
      <c r="C216" t="s">
        <v>232</v>
      </c>
      <c r="D216" t="s">
        <v>2024</v>
      </c>
      <c r="E216" t="s">
        <v>1332</v>
      </c>
      <c r="F216" s="17">
        <v>45691</v>
      </c>
      <c r="G216" t="s">
        <v>2031</v>
      </c>
      <c r="H216" s="17">
        <v>45736</v>
      </c>
      <c r="I216" t="s">
        <v>2025</v>
      </c>
      <c r="J216" t="s">
        <v>249</v>
      </c>
      <c r="K216" s="17">
        <v>34978</v>
      </c>
      <c r="L216">
        <v>30</v>
      </c>
      <c r="M216" t="s">
        <v>1354</v>
      </c>
      <c r="N216" t="s">
        <v>1345</v>
      </c>
      <c r="O216" t="s">
        <v>2026</v>
      </c>
      <c r="P216" t="s">
        <v>2027</v>
      </c>
      <c r="Q216" s="17">
        <v>46098</v>
      </c>
      <c r="R216" t="s">
        <v>1552</v>
      </c>
      <c r="S216" t="s">
        <v>1750</v>
      </c>
      <c r="T216" t="s">
        <v>1480</v>
      </c>
      <c r="U216" t="s">
        <v>2028</v>
      </c>
      <c r="V216" t="s">
        <v>2029</v>
      </c>
      <c r="W216" t="s">
        <v>1356</v>
      </c>
      <c r="X216" t="s">
        <v>1575</v>
      </c>
      <c r="Y216" t="s">
        <v>249</v>
      </c>
      <c r="Z216" t="s">
        <v>249</v>
      </c>
      <c r="AA216" t="s">
        <v>249</v>
      </c>
      <c r="AB216" t="s">
        <v>249</v>
      </c>
      <c r="AC216" t="s">
        <v>249</v>
      </c>
      <c r="AD216" t="s">
        <v>249</v>
      </c>
    </row>
    <row r="217" spans="1:30" hidden="1" x14ac:dyDescent="0.35">
      <c r="A217" t="s">
        <v>1330</v>
      </c>
      <c r="B217" t="s">
        <v>1475</v>
      </c>
      <c r="C217" t="s">
        <v>565</v>
      </c>
      <c r="D217" t="s">
        <v>2245</v>
      </c>
      <c r="E217" t="s">
        <v>1332</v>
      </c>
      <c r="F217" s="17">
        <v>45957</v>
      </c>
      <c r="H217" s="17"/>
      <c r="I217" t="s">
        <v>2246</v>
      </c>
      <c r="J217" t="s">
        <v>2247</v>
      </c>
      <c r="K217" s="17">
        <v>33738</v>
      </c>
      <c r="L217">
        <v>34</v>
      </c>
      <c r="M217" t="s">
        <v>1363</v>
      </c>
      <c r="N217" t="s">
        <v>1345</v>
      </c>
      <c r="O217" t="s">
        <v>2248</v>
      </c>
      <c r="P217" t="s">
        <v>2249</v>
      </c>
      <c r="Q217" s="17">
        <v>46101</v>
      </c>
      <c r="R217" t="s">
        <v>1552</v>
      </c>
      <c r="S217" t="s">
        <v>2236</v>
      </c>
      <c r="T217" t="s">
        <v>1480</v>
      </c>
      <c r="U217" t="s">
        <v>249</v>
      </c>
      <c r="V217" t="s">
        <v>249</v>
      </c>
      <c r="W217" t="s">
        <v>249</v>
      </c>
      <c r="X217" t="s">
        <v>1575</v>
      </c>
      <c r="Y217" t="s">
        <v>249</v>
      </c>
      <c r="Z217" t="s">
        <v>249</v>
      </c>
      <c r="AA217" t="s">
        <v>249</v>
      </c>
      <c r="AB217" t="s">
        <v>249</v>
      </c>
      <c r="AC217" t="s">
        <v>249</v>
      </c>
      <c r="AD217" t="s">
        <v>249</v>
      </c>
    </row>
    <row r="218" spans="1:30" hidden="1" x14ac:dyDescent="0.35">
      <c r="A218" t="s">
        <v>1330</v>
      </c>
      <c r="B218" t="s">
        <v>1461</v>
      </c>
      <c r="C218" t="s">
        <v>2250</v>
      </c>
      <c r="D218" t="s">
        <v>2251</v>
      </c>
      <c r="E218" t="s">
        <v>1332</v>
      </c>
      <c r="F218" s="17">
        <v>45705</v>
      </c>
      <c r="H218" s="17"/>
      <c r="I218" t="s">
        <v>2252</v>
      </c>
      <c r="J218" t="s">
        <v>249</v>
      </c>
      <c r="K218" s="17">
        <v>35604</v>
      </c>
      <c r="L218">
        <v>29</v>
      </c>
      <c r="M218" t="s">
        <v>1354</v>
      </c>
      <c r="N218" t="s">
        <v>1360</v>
      </c>
      <c r="O218" t="s">
        <v>2253</v>
      </c>
      <c r="P218" t="s">
        <v>2254</v>
      </c>
      <c r="Q218" s="17">
        <v>46104</v>
      </c>
      <c r="R218" t="s">
        <v>1962</v>
      </c>
      <c r="S218" t="s">
        <v>2255</v>
      </c>
      <c r="T218" t="s">
        <v>1466</v>
      </c>
      <c r="U218" t="s">
        <v>2256</v>
      </c>
      <c r="V218" t="s">
        <v>1355</v>
      </c>
      <c r="W218" t="s">
        <v>1356</v>
      </c>
      <c r="X218" t="s">
        <v>1575</v>
      </c>
      <c r="Y218" t="s">
        <v>249</v>
      </c>
      <c r="Z218" t="s">
        <v>249</v>
      </c>
      <c r="AA218" t="s">
        <v>249</v>
      </c>
      <c r="AB218" t="s">
        <v>249</v>
      </c>
      <c r="AC218" t="s">
        <v>249</v>
      </c>
      <c r="AD218" t="s">
        <v>249</v>
      </c>
    </row>
    <row r="219" spans="1:30" hidden="1" x14ac:dyDescent="0.35">
      <c r="A219" t="s">
        <v>1330</v>
      </c>
      <c r="B219" t="s">
        <v>2237</v>
      </c>
      <c r="C219" t="s">
        <v>2008</v>
      </c>
      <c r="D219" t="s">
        <v>2009</v>
      </c>
      <c r="E219" t="s">
        <v>1332</v>
      </c>
      <c r="F219" s="17">
        <v>45722</v>
      </c>
      <c r="G219" t="s">
        <v>2031</v>
      </c>
      <c r="H219" s="17">
        <v>45279</v>
      </c>
      <c r="I219" t="s">
        <v>2010</v>
      </c>
      <c r="J219" t="s">
        <v>249</v>
      </c>
      <c r="K219" s="17">
        <v>36082</v>
      </c>
      <c r="L219">
        <v>27</v>
      </c>
      <c r="M219" t="s">
        <v>1354</v>
      </c>
      <c r="N219" t="s">
        <v>1360</v>
      </c>
      <c r="O219" t="s">
        <v>2002</v>
      </c>
      <c r="P219" t="s">
        <v>2011</v>
      </c>
      <c r="Q219" s="17">
        <v>46104</v>
      </c>
      <c r="R219" t="s">
        <v>1962</v>
      </c>
      <c r="S219" t="s">
        <v>1978</v>
      </c>
      <c r="T219" t="s">
        <v>1480</v>
      </c>
      <c r="U219" t="s">
        <v>2257</v>
      </c>
      <c r="V219" t="s">
        <v>1355</v>
      </c>
      <c r="W219" t="s">
        <v>1356</v>
      </c>
      <c r="X219" t="s">
        <v>1575</v>
      </c>
      <c r="Y219" t="s">
        <v>249</v>
      </c>
      <c r="Z219" t="s">
        <v>249</v>
      </c>
      <c r="AA219" t="s">
        <v>249</v>
      </c>
      <c r="AB219" t="s">
        <v>249</v>
      </c>
      <c r="AC219" t="s">
        <v>249</v>
      </c>
      <c r="AD219" t="s">
        <v>249</v>
      </c>
    </row>
    <row r="220" spans="1:30" hidden="1" x14ac:dyDescent="0.35">
      <c r="A220" t="s">
        <v>1330</v>
      </c>
      <c r="B220" t="s">
        <v>2237</v>
      </c>
      <c r="C220" t="s">
        <v>2258</v>
      </c>
      <c r="D220" t="s">
        <v>2259</v>
      </c>
      <c r="E220" t="s">
        <v>1332</v>
      </c>
      <c r="F220" s="17">
        <v>45937</v>
      </c>
      <c r="H220" s="17"/>
      <c r="I220" t="s">
        <v>2260</v>
      </c>
      <c r="J220" t="s">
        <v>2261</v>
      </c>
      <c r="K220" s="17">
        <v>26214</v>
      </c>
      <c r="L220">
        <v>54</v>
      </c>
      <c r="M220" t="s">
        <v>1564</v>
      </c>
      <c r="N220" t="s">
        <v>1380</v>
      </c>
      <c r="O220" t="s">
        <v>2262</v>
      </c>
      <c r="P220" t="s">
        <v>2263</v>
      </c>
      <c r="Q220" s="17">
        <v>46104</v>
      </c>
      <c r="R220" t="s">
        <v>1552</v>
      </c>
      <c r="S220" t="s">
        <v>2264</v>
      </c>
      <c r="T220" t="s">
        <v>1480</v>
      </c>
      <c r="X220" t="s">
        <v>1575</v>
      </c>
      <c r="Y220" t="s">
        <v>249</v>
      </c>
      <c r="Z220" t="s">
        <v>249</v>
      </c>
      <c r="AA220" t="s">
        <v>249</v>
      </c>
      <c r="AB220" t="s">
        <v>249</v>
      </c>
      <c r="AC220" t="s">
        <v>249</v>
      </c>
      <c r="AD220" t="s">
        <v>249</v>
      </c>
    </row>
    <row r="221" spans="1:30" hidden="1" x14ac:dyDescent="0.35">
      <c r="A221" t="s">
        <v>1330</v>
      </c>
      <c r="B221" t="s">
        <v>2237</v>
      </c>
      <c r="C221" t="s">
        <v>2265</v>
      </c>
      <c r="D221" t="s">
        <v>2266</v>
      </c>
      <c r="E221" t="s">
        <v>1336</v>
      </c>
      <c r="F221" s="17">
        <v>45782</v>
      </c>
      <c r="G221" t="s">
        <v>2115</v>
      </c>
      <c r="H221" s="17"/>
      <c r="I221" t="s">
        <v>2267</v>
      </c>
      <c r="J221" t="s">
        <v>2268</v>
      </c>
      <c r="K221" s="17">
        <v>26168</v>
      </c>
      <c r="L221">
        <v>55</v>
      </c>
      <c r="M221" t="s">
        <v>1564</v>
      </c>
      <c r="N221" t="s">
        <v>1380</v>
      </c>
      <c r="O221" t="s">
        <v>2269</v>
      </c>
      <c r="P221" t="s">
        <v>2270</v>
      </c>
      <c r="Q221" s="17">
        <v>46108</v>
      </c>
      <c r="R221" t="s">
        <v>1962</v>
      </c>
      <c r="S221" t="s">
        <v>2271</v>
      </c>
      <c r="T221" t="s">
        <v>1480</v>
      </c>
      <c r="U221" t="s">
        <v>2272</v>
      </c>
      <c r="V221" t="s">
        <v>1355</v>
      </c>
      <c r="W221" t="s">
        <v>1356</v>
      </c>
      <c r="X221" t="s">
        <v>1942</v>
      </c>
      <c r="Y221" t="s">
        <v>249</v>
      </c>
      <c r="Z221" t="s">
        <v>249</v>
      </c>
      <c r="AA221" t="s">
        <v>249</v>
      </c>
      <c r="AB221" t="s">
        <v>249</v>
      </c>
      <c r="AC221" t="s">
        <v>249</v>
      </c>
      <c r="AD221" t="s">
        <v>249</v>
      </c>
    </row>
    <row r="222" spans="1:30" hidden="1" x14ac:dyDescent="0.35">
      <c r="A222" t="s">
        <v>1330</v>
      </c>
      <c r="B222" t="s">
        <v>2237</v>
      </c>
      <c r="C222" t="s">
        <v>2273</v>
      </c>
      <c r="D222" t="s">
        <v>2274</v>
      </c>
      <c r="E222" t="s">
        <v>1336</v>
      </c>
      <c r="F222" s="17">
        <v>44460</v>
      </c>
      <c r="H222" s="17">
        <v>45568</v>
      </c>
      <c r="I222">
        <v>8715136680</v>
      </c>
      <c r="J222" t="s">
        <v>249</v>
      </c>
      <c r="K222" s="17">
        <v>33386</v>
      </c>
      <c r="L222">
        <v>35</v>
      </c>
      <c r="M222" t="s">
        <v>1363</v>
      </c>
      <c r="N222" t="s">
        <v>1345</v>
      </c>
      <c r="O222" t="s">
        <v>2275</v>
      </c>
      <c r="P222" t="s">
        <v>2276</v>
      </c>
      <c r="Q222" s="17">
        <v>46113</v>
      </c>
      <c r="R222" t="s">
        <v>1962</v>
      </c>
      <c r="S222" t="s">
        <v>2277</v>
      </c>
      <c r="T222" t="s">
        <v>249</v>
      </c>
      <c r="V222" t="s">
        <v>1355</v>
      </c>
      <c r="W222" t="s">
        <v>1356</v>
      </c>
      <c r="X222" t="s">
        <v>1575</v>
      </c>
      <c r="Y222" t="s">
        <v>249</v>
      </c>
      <c r="Z222" t="s">
        <v>249</v>
      </c>
      <c r="AA222" t="s">
        <v>249</v>
      </c>
      <c r="AB222" t="s">
        <v>249</v>
      </c>
      <c r="AC222" t="s">
        <v>249</v>
      </c>
      <c r="AD222" t="s">
        <v>249</v>
      </c>
    </row>
    <row r="223" spans="1:30" hidden="1" x14ac:dyDescent="0.35">
      <c r="A223" t="s">
        <v>1330</v>
      </c>
      <c r="B223" t="s">
        <v>1461</v>
      </c>
      <c r="C223" t="s">
        <v>642</v>
      </c>
      <c r="D223" t="s">
        <v>2278</v>
      </c>
      <c r="E223" t="s">
        <v>1332</v>
      </c>
      <c r="F223" s="17">
        <v>46072</v>
      </c>
      <c r="H223" s="17"/>
      <c r="I223" t="s">
        <v>2279</v>
      </c>
      <c r="J223" t="s">
        <v>2280</v>
      </c>
      <c r="K223" s="17">
        <v>33543</v>
      </c>
      <c r="L223">
        <v>34</v>
      </c>
      <c r="M223" t="s">
        <v>1363</v>
      </c>
      <c r="N223" t="s">
        <v>1345</v>
      </c>
      <c r="O223" t="s">
        <v>2281</v>
      </c>
      <c r="P223" t="s">
        <v>2282</v>
      </c>
      <c r="Q223" s="17">
        <v>46113</v>
      </c>
      <c r="R223" t="s">
        <v>1552</v>
      </c>
      <c r="S223" t="s">
        <v>2283</v>
      </c>
      <c r="T223" t="s">
        <v>249</v>
      </c>
      <c r="X223" t="s">
        <v>1575</v>
      </c>
      <c r="Y223" t="s">
        <v>249</v>
      </c>
      <c r="Z223" t="s">
        <v>249</v>
      </c>
      <c r="AA223" t="s">
        <v>249</v>
      </c>
      <c r="AB223" t="s">
        <v>249</v>
      </c>
      <c r="AC223" t="s">
        <v>249</v>
      </c>
      <c r="AD223" t="s">
        <v>249</v>
      </c>
    </row>
    <row r="224" spans="1:30" hidden="1" x14ac:dyDescent="0.35">
      <c r="A224" t="s">
        <v>1330</v>
      </c>
      <c r="B224" t="s">
        <v>1461</v>
      </c>
      <c r="C224" t="s">
        <v>178</v>
      </c>
      <c r="D224" t="s">
        <v>2284</v>
      </c>
      <c r="E224" t="s">
        <v>1336</v>
      </c>
      <c r="F224" s="17">
        <v>45089</v>
      </c>
      <c r="H224" s="17"/>
      <c r="I224">
        <v>11515251624</v>
      </c>
      <c r="J224" t="s">
        <v>249</v>
      </c>
      <c r="K224" s="17">
        <v>34045</v>
      </c>
      <c r="L224">
        <v>33</v>
      </c>
      <c r="M224" t="s">
        <v>1363</v>
      </c>
      <c r="N224" t="s">
        <v>1345</v>
      </c>
      <c r="O224" t="s">
        <v>2285</v>
      </c>
      <c r="P224" t="s">
        <v>2286</v>
      </c>
      <c r="Q224" s="17">
        <v>46119</v>
      </c>
      <c r="R224" t="s">
        <v>1552</v>
      </c>
      <c r="S224" t="s">
        <v>2287</v>
      </c>
      <c r="T224" t="s">
        <v>249</v>
      </c>
      <c r="V224" t="s">
        <v>1387</v>
      </c>
      <c r="W224" t="s">
        <v>1356</v>
      </c>
      <c r="X224" t="s">
        <v>1575</v>
      </c>
      <c r="Y224" t="s">
        <v>249</v>
      </c>
      <c r="Z224" t="s">
        <v>249</v>
      </c>
      <c r="AA224" t="s">
        <v>249</v>
      </c>
      <c r="AB224" t="s">
        <v>249</v>
      </c>
      <c r="AC224" t="s">
        <v>249</v>
      </c>
      <c r="AD224" t="s">
        <v>249</v>
      </c>
    </row>
    <row r="225" spans="1:30" hidden="1" x14ac:dyDescent="0.35">
      <c r="A225" t="s">
        <v>1330</v>
      </c>
      <c r="B225" t="s">
        <v>1475</v>
      </c>
      <c r="C225" t="s">
        <v>537</v>
      </c>
      <c r="D225" t="s">
        <v>2288</v>
      </c>
      <c r="E225" t="s">
        <v>1332</v>
      </c>
      <c r="F225" s="17">
        <v>45936</v>
      </c>
      <c r="H225" s="17"/>
      <c r="I225" t="s">
        <v>2289</v>
      </c>
      <c r="J225">
        <v>5037561</v>
      </c>
      <c r="K225" s="17">
        <v>32035</v>
      </c>
      <c r="L225">
        <v>38</v>
      </c>
      <c r="M225" t="s">
        <v>1349</v>
      </c>
      <c r="N225" t="s">
        <v>1345</v>
      </c>
      <c r="O225" t="s">
        <v>2290</v>
      </c>
      <c r="P225" t="s">
        <v>2291</v>
      </c>
      <c r="Q225" s="17">
        <v>46125</v>
      </c>
      <c r="R225" t="s">
        <v>1962</v>
      </c>
      <c r="S225" t="s">
        <v>2236</v>
      </c>
      <c r="T225" t="s">
        <v>249</v>
      </c>
      <c r="X225" t="s">
        <v>1575</v>
      </c>
      <c r="Y225" t="s">
        <v>249</v>
      </c>
      <c r="Z225" t="s">
        <v>249</v>
      </c>
      <c r="AA225" t="s">
        <v>249</v>
      </c>
      <c r="AB225" t="s">
        <v>249</v>
      </c>
      <c r="AC225" t="s">
        <v>249</v>
      </c>
      <c r="AD225" t="s">
        <v>249</v>
      </c>
    </row>
    <row r="226" spans="1:30" hidden="1" x14ac:dyDescent="0.35">
      <c r="A226" t="s">
        <v>1330</v>
      </c>
      <c r="B226" t="s">
        <v>1475</v>
      </c>
      <c r="C226" t="s">
        <v>363</v>
      </c>
      <c r="D226" t="s">
        <v>2292</v>
      </c>
      <c r="E226" t="s">
        <v>1332</v>
      </c>
      <c r="F226" s="17">
        <v>45775</v>
      </c>
      <c r="G226" t="s">
        <v>2115</v>
      </c>
      <c r="H226" s="17"/>
      <c r="I226" t="s">
        <v>2293</v>
      </c>
      <c r="J226" t="s">
        <v>2293</v>
      </c>
      <c r="K226" s="17">
        <v>31539</v>
      </c>
      <c r="L226">
        <v>40</v>
      </c>
      <c r="M226" t="s">
        <v>1349</v>
      </c>
      <c r="N226" t="s">
        <v>1345</v>
      </c>
      <c r="O226" t="s">
        <v>2294</v>
      </c>
      <c r="P226" t="s">
        <v>2295</v>
      </c>
      <c r="Q226" s="17">
        <v>46129</v>
      </c>
      <c r="S226" t="s">
        <v>2296</v>
      </c>
      <c r="T226" t="s">
        <v>249</v>
      </c>
      <c r="U226" t="s">
        <v>2297</v>
      </c>
      <c r="V226" t="s">
        <v>2178</v>
      </c>
      <c r="W226" t="s">
        <v>1356</v>
      </c>
      <c r="X226" t="s">
        <v>1575</v>
      </c>
      <c r="Y226" t="s">
        <v>249</v>
      </c>
      <c r="Z226" t="s">
        <v>249</v>
      </c>
      <c r="AA226" t="s">
        <v>249</v>
      </c>
      <c r="AB226" t="s">
        <v>249</v>
      </c>
      <c r="AC226" t="s">
        <v>249</v>
      </c>
      <c r="AD226" t="s">
        <v>249</v>
      </c>
    </row>
    <row r="227" spans="1:30" hidden="1" x14ac:dyDescent="0.35">
      <c r="A227" t="s">
        <v>1330</v>
      </c>
      <c r="B227" t="s">
        <v>2237</v>
      </c>
      <c r="C227" t="s">
        <v>2298</v>
      </c>
      <c r="D227" t="s">
        <v>2299</v>
      </c>
      <c r="E227" t="s">
        <v>1332</v>
      </c>
      <c r="F227" s="17">
        <v>45727</v>
      </c>
      <c r="H227" s="17"/>
      <c r="I227" t="s">
        <v>2300</v>
      </c>
      <c r="J227">
        <v>36704870</v>
      </c>
      <c r="K227" s="17">
        <v>35193</v>
      </c>
      <c r="L227">
        <v>30</v>
      </c>
      <c r="M227" t="s">
        <v>1354</v>
      </c>
      <c r="N227" t="s">
        <v>1345</v>
      </c>
      <c r="O227" t="s">
        <v>2301</v>
      </c>
      <c r="P227" t="s">
        <v>2302</v>
      </c>
      <c r="Q227" s="17">
        <v>46142</v>
      </c>
      <c r="R227" t="s">
        <v>1552</v>
      </c>
      <c r="S227" t="s">
        <v>1978</v>
      </c>
      <c r="T227" t="s">
        <v>249</v>
      </c>
      <c r="U227" t="s">
        <v>1715</v>
      </c>
      <c r="V227" t="s">
        <v>2303</v>
      </c>
      <c r="W227" t="s">
        <v>1347</v>
      </c>
      <c r="X227" t="s">
        <v>1575</v>
      </c>
      <c r="Y227" t="s">
        <v>249</v>
      </c>
      <c r="Z227" t="s">
        <v>249</v>
      </c>
      <c r="AA227" t="s">
        <v>249</v>
      </c>
      <c r="AB227" t="s">
        <v>249</v>
      </c>
      <c r="AC227" t="s">
        <v>249</v>
      </c>
      <c r="AD227" t="s">
        <v>249</v>
      </c>
    </row>
    <row r="228" spans="1:30" hidden="1" x14ac:dyDescent="0.35">
      <c r="A228" t="s">
        <v>1330</v>
      </c>
      <c r="B228" t="s">
        <v>1475</v>
      </c>
      <c r="C228" t="s">
        <v>394</v>
      </c>
      <c r="D228" t="s">
        <v>2304</v>
      </c>
      <c r="E228" t="s">
        <v>1332</v>
      </c>
      <c r="F228" s="17">
        <v>45797</v>
      </c>
      <c r="G228" t="s">
        <v>2115</v>
      </c>
      <c r="H228" s="17"/>
      <c r="I228" t="s">
        <v>2305</v>
      </c>
      <c r="J228" t="s">
        <v>2306</v>
      </c>
      <c r="K228" s="17">
        <v>33364</v>
      </c>
      <c r="L228">
        <v>35</v>
      </c>
      <c r="M228" t="s">
        <v>1363</v>
      </c>
      <c r="N228" t="s">
        <v>1345</v>
      </c>
      <c r="O228" t="s">
        <v>2307</v>
      </c>
      <c r="P228" t="s">
        <v>2308</v>
      </c>
      <c r="Q228" s="17">
        <v>46142</v>
      </c>
      <c r="R228" t="s">
        <v>1552</v>
      </c>
      <c r="S228" t="s">
        <v>2309</v>
      </c>
      <c r="T228" t="s">
        <v>249</v>
      </c>
      <c r="U228" t="s">
        <v>2310</v>
      </c>
      <c r="V228" t="s">
        <v>2311</v>
      </c>
      <c r="W228" t="s">
        <v>1356</v>
      </c>
      <c r="X228" t="s">
        <v>1575</v>
      </c>
      <c r="Y228" t="s">
        <v>249</v>
      </c>
      <c r="Z228" t="s">
        <v>249</v>
      </c>
      <c r="AA228" t="s">
        <v>249</v>
      </c>
      <c r="AB228" t="s">
        <v>249</v>
      </c>
      <c r="AC228" t="s">
        <v>249</v>
      </c>
      <c r="AD228" t="s">
        <v>249</v>
      </c>
    </row>
    <row r="229" spans="1:30" hidden="1" x14ac:dyDescent="0.35">
      <c r="A229" t="s">
        <v>1330</v>
      </c>
      <c r="B229" t="s">
        <v>2237</v>
      </c>
      <c r="C229" t="s">
        <v>561</v>
      </c>
      <c r="D229" t="s">
        <v>2312</v>
      </c>
      <c r="E229" t="s">
        <v>1332</v>
      </c>
      <c r="F229" s="17">
        <v>44908</v>
      </c>
      <c r="H229" s="17"/>
      <c r="I229">
        <v>10553694650</v>
      </c>
      <c r="J229" t="s">
        <v>249</v>
      </c>
      <c r="K229" s="17">
        <v>33514</v>
      </c>
      <c r="L229">
        <v>34</v>
      </c>
      <c r="M229" t="s">
        <v>1363</v>
      </c>
      <c r="N229" t="s">
        <v>1345</v>
      </c>
      <c r="O229" t="s">
        <v>2313</v>
      </c>
      <c r="P229" t="s">
        <v>2314</v>
      </c>
      <c r="Q229" s="17">
        <v>46142</v>
      </c>
      <c r="R229" t="s">
        <v>1552</v>
      </c>
      <c r="S229" t="s">
        <v>1527</v>
      </c>
      <c r="T229" t="s">
        <v>249</v>
      </c>
      <c r="V229" t="s">
        <v>1408</v>
      </c>
      <c r="W229" t="s">
        <v>1356</v>
      </c>
      <c r="X229" t="s">
        <v>1575</v>
      </c>
      <c r="Y229" t="s">
        <v>249</v>
      </c>
      <c r="Z229" t="s">
        <v>249</v>
      </c>
      <c r="AA229" t="s">
        <v>249</v>
      </c>
      <c r="AB229" t="s">
        <v>249</v>
      </c>
      <c r="AC229" t="s">
        <v>249</v>
      </c>
      <c r="AD229" t="s">
        <v>249</v>
      </c>
    </row>
    <row r="230" spans="1:30" hidden="1" x14ac:dyDescent="0.35">
      <c r="A230" t="s">
        <v>1330</v>
      </c>
      <c r="B230" t="s">
        <v>1461</v>
      </c>
      <c r="C230" t="s">
        <v>325</v>
      </c>
      <c r="D230" t="s">
        <v>2315</v>
      </c>
      <c r="E230" t="s">
        <v>1332</v>
      </c>
      <c r="F230" s="17">
        <v>44774</v>
      </c>
      <c r="H230" s="17">
        <v>44622</v>
      </c>
      <c r="I230">
        <v>11446437671</v>
      </c>
      <c r="J230" t="s">
        <v>249</v>
      </c>
      <c r="K230" s="17">
        <v>33571</v>
      </c>
      <c r="L230">
        <v>34</v>
      </c>
      <c r="M230" t="s">
        <v>1363</v>
      </c>
      <c r="N230" t="s">
        <v>1345</v>
      </c>
      <c r="O230" t="s">
        <v>2316</v>
      </c>
      <c r="P230" t="s">
        <v>2317</v>
      </c>
      <c r="Q230" s="17">
        <v>46149</v>
      </c>
      <c r="R230" t="s">
        <v>1552</v>
      </c>
      <c r="S230" t="s">
        <v>2229</v>
      </c>
      <c r="T230" t="s">
        <v>249</v>
      </c>
      <c r="V230" t="s">
        <v>1355</v>
      </c>
      <c r="W230" t="s">
        <v>1356</v>
      </c>
      <c r="X230" t="s">
        <v>1575</v>
      </c>
      <c r="Y230" t="s">
        <v>2318</v>
      </c>
      <c r="Z230" t="s">
        <v>2039</v>
      </c>
      <c r="AA230" t="s">
        <v>2040</v>
      </c>
      <c r="AB230" t="s">
        <v>2041</v>
      </c>
      <c r="AC230" t="s">
        <v>2319</v>
      </c>
      <c r="AD230" t="s">
        <v>2320</v>
      </c>
    </row>
    <row r="231" spans="1:30" hidden="1" x14ac:dyDescent="0.35">
      <c r="A231" t="s">
        <v>1330</v>
      </c>
      <c r="B231" t="s">
        <v>1461</v>
      </c>
      <c r="C231" t="s">
        <v>672</v>
      </c>
      <c r="D231" t="s">
        <v>2321</v>
      </c>
      <c r="E231" t="s">
        <v>1332</v>
      </c>
      <c r="F231" s="17">
        <v>46097</v>
      </c>
      <c r="H231" s="17"/>
      <c r="I231" t="s">
        <v>2322</v>
      </c>
      <c r="J231">
        <v>1117915107</v>
      </c>
      <c r="K231" s="17">
        <v>29382</v>
      </c>
      <c r="L231">
        <v>46</v>
      </c>
      <c r="M231" t="s">
        <v>1344</v>
      </c>
      <c r="N231" t="s">
        <v>1345</v>
      </c>
      <c r="O231" t="s">
        <v>2323</v>
      </c>
      <c r="P231" t="s">
        <v>2324</v>
      </c>
      <c r="Q231" s="17">
        <v>46156</v>
      </c>
      <c r="R231" t="s">
        <v>1962</v>
      </c>
      <c r="S231" t="s">
        <v>249</v>
      </c>
      <c r="T231" t="s">
        <v>249</v>
      </c>
      <c r="X231" t="s">
        <v>1575</v>
      </c>
      <c r="Y231" t="s">
        <v>249</v>
      </c>
      <c r="Z231" t="s">
        <v>249</v>
      </c>
      <c r="AA231" t="s">
        <v>249</v>
      </c>
      <c r="AB231" t="s">
        <v>249</v>
      </c>
      <c r="AC231" t="s">
        <v>249</v>
      </c>
      <c r="AD231" t="s">
        <v>249</v>
      </c>
    </row>
    <row r="232" spans="1:30" hidden="1" x14ac:dyDescent="0.35">
      <c r="A232" t="s">
        <v>1330</v>
      </c>
      <c r="B232" t="s">
        <v>1461</v>
      </c>
      <c r="C232" t="s">
        <v>706</v>
      </c>
      <c r="D232" t="s">
        <v>2325</v>
      </c>
      <c r="E232" t="s">
        <v>1332</v>
      </c>
      <c r="F232" s="17">
        <v>46132</v>
      </c>
      <c r="H232" s="17"/>
      <c r="I232" t="s">
        <v>2326</v>
      </c>
      <c r="J232">
        <v>27768963</v>
      </c>
      <c r="K232" s="17">
        <v>28126</v>
      </c>
      <c r="L232">
        <v>49</v>
      </c>
      <c r="M232" t="s">
        <v>1344</v>
      </c>
      <c r="N232" t="s">
        <v>1380</v>
      </c>
      <c r="O232" t="s">
        <v>2327</v>
      </c>
      <c r="P232" t="s">
        <v>2328</v>
      </c>
      <c r="Q232" s="17">
        <v>46156</v>
      </c>
      <c r="R232" t="s">
        <v>1962</v>
      </c>
      <c r="S232" t="s">
        <v>249</v>
      </c>
      <c r="T232" t="s">
        <v>249</v>
      </c>
      <c r="X232" t="s">
        <v>249</v>
      </c>
      <c r="Y232" t="s">
        <v>249</v>
      </c>
      <c r="Z232" t="s">
        <v>249</v>
      </c>
      <c r="AA232" t="s">
        <v>249</v>
      </c>
      <c r="AB232" t="s">
        <v>249</v>
      </c>
      <c r="AC232" t="s">
        <v>249</v>
      </c>
      <c r="AD232" t="s">
        <v>249</v>
      </c>
    </row>
    <row r="233" spans="1:30" hidden="1" x14ac:dyDescent="0.35">
      <c r="A233" t="s">
        <v>1330</v>
      </c>
      <c r="B233" t="s">
        <v>1475</v>
      </c>
      <c r="C233" t="s">
        <v>292</v>
      </c>
      <c r="D233" t="s">
        <v>431</v>
      </c>
      <c r="E233" t="s">
        <v>1332</v>
      </c>
      <c r="F233" s="17">
        <v>45722</v>
      </c>
      <c r="H233" s="17"/>
      <c r="I233" t="s">
        <v>2329</v>
      </c>
      <c r="J233">
        <v>295711589</v>
      </c>
      <c r="K233" s="17">
        <v>28538</v>
      </c>
      <c r="L233">
        <v>48</v>
      </c>
      <c r="M233" t="s">
        <v>1344</v>
      </c>
      <c r="N233" t="s">
        <v>1380</v>
      </c>
      <c r="O233" t="s">
        <v>2330</v>
      </c>
      <c r="P233" t="s">
        <v>432</v>
      </c>
      <c r="Q233" s="17">
        <v>46160</v>
      </c>
      <c r="R233" t="s">
        <v>1962</v>
      </c>
      <c r="S233" t="s">
        <v>2331</v>
      </c>
      <c r="T233" t="s">
        <v>249</v>
      </c>
      <c r="U233" t="s">
        <v>2332</v>
      </c>
      <c r="V233" t="s">
        <v>2333</v>
      </c>
      <c r="W233" t="s">
        <v>2334</v>
      </c>
      <c r="X233" t="s">
        <v>1942</v>
      </c>
      <c r="Y233" t="s">
        <v>249</v>
      </c>
      <c r="Z233" t="s">
        <v>249</v>
      </c>
      <c r="AA233" t="s">
        <v>249</v>
      </c>
      <c r="AB233" t="s">
        <v>249</v>
      </c>
      <c r="AC233" t="s">
        <v>249</v>
      </c>
      <c r="AD233" t="s">
        <v>249</v>
      </c>
    </row>
    <row r="234" spans="1:30" hidden="1" x14ac:dyDescent="0.35">
      <c r="A234" t="s">
        <v>1330</v>
      </c>
      <c r="B234" t="s">
        <v>1461</v>
      </c>
      <c r="C234" t="s">
        <v>666</v>
      </c>
      <c r="D234" t="s">
        <v>2335</v>
      </c>
      <c r="E234" t="s">
        <v>1332</v>
      </c>
      <c r="F234" s="17">
        <v>46090</v>
      </c>
      <c r="H234" s="17"/>
      <c r="I234" t="s">
        <v>2336</v>
      </c>
      <c r="J234" t="s">
        <v>2337</v>
      </c>
      <c r="K234" s="17">
        <v>32962</v>
      </c>
      <c r="L234">
        <v>36</v>
      </c>
      <c r="M234" t="s">
        <v>1349</v>
      </c>
      <c r="N234" t="s">
        <v>1345</v>
      </c>
      <c r="O234" t="s">
        <v>2338</v>
      </c>
      <c r="P234" t="s">
        <v>2339</v>
      </c>
      <c r="Q234" s="17">
        <v>46164</v>
      </c>
      <c r="R234" t="s">
        <v>1962</v>
      </c>
      <c r="S234" t="s">
        <v>249</v>
      </c>
      <c r="T234" t="s">
        <v>249</v>
      </c>
      <c r="X234" t="s">
        <v>1575</v>
      </c>
      <c r="Y234" t="s">
        <v>249</v>
      </c>
      <c r="Z234" t="s">
        <v>249</v>
      </c>
      <c r="AA234" t="s">
        <v>249</v>
      </c>
      <c r="AB234" t="s">
        <v>249</v>
      </c>
      <c r="AC234" t="s">
        <v>249</v>
      </c>
      <c r="AD234" t="s">
        <v>249</v>
      </c>
    </row>
    <row r="235" spans="1:30" hidden="1" x14ac:dyDescent="0.35">
      <c r="A235" t="s">
        <v>1330</v>
      </c>
      <c r="B235" t="s">
        <v>1461</v>
      </c>
      <c r="C235" t="s">
        <v>700</v>
      </c>
      <c r="D235" t="s">
        <v>2340</v>
      </c>
      <c r="E235" t="s">
        <v>1332</v>
      </c>
      <c r="F235" s="17">
        <v>46113</v>
      </c>
      <c r="H235" s="17"/>
      <c r="I235" t="s">
        <v>2341</v>
      </c>
      <c r="J235">
        <v>25702664</v>
      </c>
      <c r="K235" s="17">
        <v>29493</v>
      </c>
      <c r="L235">
        <v>45</v>
      </c>
      <c r="M235" t="s">
        <v>1344</v>
      </c>
      <c r="N235" t="s">
        <v>1345</v>
      </c>
      <c r="O235" t="s">
        <v>2342</v>
      </c>
      <c r="P235" t="s">
        <v>2343</v>
      </c>
      <c r="Q235" s="17">
        <v>46164</v>
      </c>
      <c r="R235" t="s">
        <v>1962</v>
      </c>
      <c r="S235" t="s">
        <v>249</v>
      </c>
      <c r="T235" t="s">
        <v>249</v>
      </c>
      <c r="X235" t="s">
        <v>1575</v>
      </c>
      <c r="Y235" t="s">
        <v>249</v>
      </c>
      <c r="Z235" t="s">
        <v>249</v>
      </c>
      <c r="AA235" t="s">
        <v>249</v>
      </c>
      <c r="AB235" t="s">
        <v>249</v>
      </c>
      <c r="AC235" t="s">
        <v>249</v>
      </c>
      <c r="AD235" t="s">
        <v>249</v>
      </c>
    </row>
    <row r="236" spans="1:30" hidden="1" x14ac:dyDescent="0.35">
      <c r="A236" t="s">
        <v>1330</v>
      </c>
      <c r="B236" t="s">
        <v>2237</v>
      </c>
      <c r="C236" t="s">
        <v>2344</v>
      </c>
      <c r="D236" t="s">
        <v>2345</v>
      </c>
      <c r="E236" t="s">
        <v>1332</v>
      </c>
      <c r="F236" s="17">
        <v>45985</v>
      </c>
      <c r="H236" s="17"/>
      <c r="I236" t="s">
        <v>2346</v>
      </c>
      <c r="J236" t="s">
        <v>2347</v>
      </c>
      <c r="K236" s="17">
        <v>24946</v>
      </c>
      <c r="L236">
        <v>58</v>
      </c>
      <c r="M236" t="s">
        <v>1564</v>
      </c>
      <c r="N236" t="s">
        <v>1380</v>
      </c>
      <c r="O236" t="s">
        <v>2348</v>
      </c>
      <c r="P236" t="s">
        <v>2349</v>
      </c>
      <c r="Q236" s="17">
        <v>46173</v>
      </c>
      <c r="R236" t="s">
        <v>1552</v>
      </c>
      <c r="S236" t="s">
        <v>249</v>
      </c>
      <c r="T236" t="s">
        <v>249</v>
      </c>
      <c r="U236" t="s">
        <v>249</v>
      </c>
      <c r="V236" t="s">
        <v>249</v>
      </c>
      <c r="W236" t="s">
        <v>249</v>
      </c>
      <c r="X236" t="s">
        <v>1575</v>
      </c>
      <c r="Y236" t="s">
        <v>249</v>
      </c>
      <c r="Z236" t="s">
        <v>249</v>
      </c>
      <c r="AA236" t="s">
        <v>249</v>
      </c>
      <c r="AB236" t="s">
        <v>249</v>
      </c>
      <c r="AC236" t="s">
        <v>249</v>
      </c>
      <c r="AD236" t="s">
        <v>249</v>
      </c>
    </row>
    <row r="237" spans="1:30" hidden="1" x14ac:dyDescent="0.35">
      <c r="A237" t="s">
        <v>1330</v>
      </c>
      <c r="B237" t="s">
        <v>1461</v>
      </c>
      <c r="C237" t="s">
        <v>451</v>
      </c>
      <c r="D237" t="s">
        <v>2350</v>
      </c>
      <c r="E237" t="s">
        <v>1336</v>
      </c>
      <c r="F237" s="17">
        <v>45511</v>
      </c>
      <c r="H237" s="17"/>
      <c r="I237" t="s">
        <v>2351</v>
      </c>
      <c r="J237" t="s">
        <v>249</v>
      </c>
      <c r="K237" s="17">
        <v>35195</v>
      </c>
      <c r="L237">
        <v>30</v>
      </c>
      <c r="M237" t="s">
        <v>1354</v>
      </c>
      <c r="N237" t="s">
        <v>1345</v>
      </c>
      <c r="O237" t="s">
        <v>2352</v>
      </c>
      <c r="P237" t="s">
        <v>2353</v>
      </c>
      <c r="Q237" s="17">
        <v>46195</v>
      </c>
      <c r="R237" t="s">
        <v>1552</v>
      </c>
      <c r="S237" t="s">
        <v>1527</v>
      </c>
      <c r="T237" t="s">
        <v>249</v>
      </c>
      <c r="V237" t="s">
        <v>2354</v>
      </c>
      <c r="W237" t="s">
        <v>1356</v>
      </c>
      <c r="X237" t="s">
        <v>1575</v>
      </c>
      <c r="Y237" t="s">
        <v>249</v>
      </c>
      <c r="Z237" t="s">
        <v>249</v>
      </c>
      <c r="AA237" t="s">
        <v>249</v>
      </c>
      <c r="AB237" t="s">
        <v>249</v>
      </c>
      <c r="AC237" t="s">
        <v>249</v>
      </c>
      <c r="AD237" t="s">
        <v>249</v>
      </c>
    </row>
    <row r="238" spans="1:30" hidden="1" x14ac:dyDescent="0.35">
      <c r="A238" t="s">
        <v>1330</v>
      </c>
      <c r="B238" t="s">
        <v>2237</v>
      </c>
      <c r="C238" t="s">
        <v>2355</v>
      </c>
      <c r="D238" t="s">
        <v>1077</v>
      </c>
      <c r="E238" t="s">
        <v>1332</v>
      </c>
      <c r="F238" s="17">
        <v>45712</v>
      </c>
      <c r="H238" s="17"/>
      <c r="I238" t="s">
        <v>2356</v>
      </c>
      <c r="J238">
        <v>10838481</v>
      </c>
      <c r="K238" s="17">
        <v>30059</v>
      </c>
      <c r="L238">
        <v>44</v>
      </c>
      <c r="M238" t="s">
        <v>1344</v>
      </c>
      <c r="N238" t="s">
        <v>1345</v>
      </c>
      <c r="O238" t="s">
        <v>2357</v>
      </c>
      <c r="P238" t="s">
        <v>1078</v>
      </c>
      <c r="Q238" s="17">
        <v>46195</v>
      </c>
      <c r="R238" t="s">
        <v>1962</v>
      </c>
      <c r="S238" t="s">
        <v>2358</v>
      </c>
      <c r="T238" t="s">
        <v>249</v>
      </c>
      <c r="U238" t="s">
        <v>1355</v>
      </c>
      <c r="V238" t="s">
        <v>1355</v>
      </c>
      <c r="W238" t="s">
        <v>1356</v>
      </c>
      <c r="X238" t="s">
        <v>1942</v>
      </c>
      <c r="Y238" t="s">
        <v>249</v>
      </c>
      <c r="Z238" t="s">
        <v>249</v>
      </c>
      <c r="AA238" t="s">
        <v>249</v>
      </c>
      <c r="AB238" t="s">
        <v>249</v>
      </c>
      <c r="AC238" t="s">
        <v>249</v>
      </c>
      <c r="AD238" t="s">
        <v>249</v>
      </c>
    </row>
    <row r="239" spans="1:30" hidden="1" x14ac:dyDescent="0.35">
      <c r="A239" t="s">
        <v>1330</v>
      </c>
      <c r="B239" t="s">
        <v>2237</v>
      </c>
      <c r="C239" t="s">
        <v>2359</v>
      </c>
      <c r="D239" t="s">
        <v>978</v>
      </c>
      <c r="E239" t="s">
        <v>1332</v>
      </c>
      <c r="F239" s="17">
        <v>45413</v>
      </c>
      <c r="H239" s="17"/>
      <c r="I239" t="s">
        <v>2360</v>
      </c>
      <c r="J239" t="s">
        <v>249</v>
      </c>
      <c r="K239" s="17">
        <v>32441</v>
      </c>
      <c r="L239">
        <v>37</v>
      </c>
      <c r="M239" t="s">
        <v>1349</v>
      </c>
      <c r="N239" t="s">
        <v>1345</v>
      </c>
      <c r="O239" t="s">
        <v>2361</v>
      </c>
      <c r="P239" t="s">
        <v>979</v>
      </c>
      <c r="Q239" s="17">
        <v>46203</v>
      </c>
      <c r="R239" t="s">
        <v>1962</v>
      </c>
      <c r="S239" t="s">
        <v>2362</v>
      </c>
      <c r="T239" t="s">
        <v>249</v>
      </c>
      <c r="V239" t="s">
        <v>1355</v>
      </c>
      <c r="W239" t="s">
        <v>1356</v>
      </c>
      <c r="X239" t="s">
        <v>1942</v>
      </c>
      <c r="Y239" t="s">
        <v>2363</v>
      </c>
      <c r="Z239" t="s">
        <v>2039</v>
      </c>
      <c r="AA239" t="s">
        <v>2040</v>
      </c>
      <c r="AB239" t="s">
        <v>2041</v>
      </c>
      <c r="AC239" t="s">
        <v>2319</v>
      </c>
      <c r="AD239" t="s">
        <v>2319</v>
      </c>
    </row>
    <row r="240" spans="1:30" hidden="1" x14ac:dyDescent="0.35">
      <c r="A240" t="s">
        <v>2364</v>
      </c>
      <c r="B240" t="s">
        <v>1461</v>
      </c>
      <c r="C240" t="s">
        <v>163</v>
      </c>
      <c r="D240" t="s">
        <v>2365</v>
      </c>
      <c r="E240" t="s">
        <v>1332</v>
      </c>
      <c r="F240" s="17">
        <v>44986</v>
      </c>
      <c r="H240" s="17"/>
      <c r="I240">
        <v>6291744589</v>
      </c>
      <c r="J240" t="s">
        <v>249</v>
      </c>
      <c r="K240" s="17">
        <v>34505</v>
      </c>
      <c r="L240">
        <v>32</v>
      </c>
      <c r="M240" t="s">
        <v>1363</v>
      </c>
      <c r="N240" t="s">
        <v>1345</v>
      </c>
      <c r="O240" t="s">
        <v>2366</v>
      </c>
      <c r="P240" t="s">
        <v>2367</v>
      </c>
      <c r="Q240" s="17"/>
      <c r="S240" t="s">
        <v>1507</v>
      </c>
      <c r="T240" t="s">
        <v>1480</v>
      </c>
      <c r="V240" t="s">
        <v>2368</v>
      </c>
      <c r="W240" t="s">
        <v>1846</v>
      </c>
      <c r="X240" t="s">
        <v>249</v>
      </c>
      <c r="Y240" t="s">
        <v>249</v>
      </c>
      <c r="Z240" t="s">
        <v>1577</v>
      </c>
      <c r="AA240" t="s">
        <v>249</v>
      </c>
      <c r="AB240" t="s">
        <v>249</v>
      </c>
      <c r="AC240" t="s">
        <v>249</v>
      </c>
      <c r="AD240" t="s">
        <v>249</v>
      </c>
    </row>
    <row r="241" spans="1:30" hidden="1" x14ac:dyDescent="0.35">
      <c r="A241" t="s">
        <v>2364</v>
      </c>
      <c r="B241" t="s">
        <v>1461</v>
      </c>
      <c r="C241" t="s">
        <v>2369</v>
      </c>
      <c r="D241" t="s">
        <v>2370</v>
      </c>
      <c r="E241" t="s">
        <v>1336</v>
      </c>
      <c r="F241" s="17">
        <v>45797</v>
      </c>
      <c r="G241" t="s">
        <v>2115</v>
      </c>
      <c r="H241" s="17"/>
      <c r="I241" t="s">
        <v>2371</v>
      </c>
      <c r="J241" t="s">
        <v>2372</v>
      </c>
      <c r="K241" s="17">
        <v>26941</v>
      </c>
      <c r="L241">
        <v>52</v>
      </c>
      <c r="M241" t="s">
        <v>1564</v>
      </c>
      <c r="N241" t="s">
        <v>1380</v>
      </c>
      <c r="O241" t="s">
        <v>2373</v>
      </c>
      <c r="P241" t="s">
        <v>2374</v>
      </c>
      <c r="Q241" s="17"/>
      <c r="S241" t="s">
        <v>2070</v>
      </c>
      <c r="T241" t="s">
        <v>1466</v>
      </c>
      <c r="U241" t="s">
        <v>1355</v>
      </c>
      <c r="V241" t="s">
        <v>1355</v>
      </c>
      <c r="W241" t="s">
        <v>1356</v>
      </c>
      <c r="X241" t="s">
        <v>1575</v>
      </c>
      <c r="Y241" t="s">
        <v>2318</v>
      </c>
      <c r="Z241" t="s">
        <v>2039</v>
      </c>
      <c r="AA241" t="s">
        <v>2040</v>
      </c>
      <c r="AB241" t="s">
        <v>2041</v>
      </c>
      <c r="AC241" t="s">
        <v>2319</v>
      </c>
      <c r="AD241" t="s">
        <v>2320</v>
      </c>
    </row>
    <row r="242" spans="1:30" hidden="1" x14ac:dyDescent="0.35">
      <c r="A242" t="s">
        <v>2364</v>
      </c>
      <c r="B242" t="s">
        <v>1461</v>
      </c>
      <c r="C242" t="s">
        <v>157</v>
      </c>
      <c r="D242" t="s">
        <v>157</v>
      </c>
      <c r="E242" t="s">
        <v>1336</v>
      </c>
      <c r="F242" s="17">
        <v>45250</v>
      </c>
      <c r="H242" s="17"/>
      <c r="I242" t="s">
        <v>2375</v>
      </c>
      <c r="J242" t="s">
        <v>2376</v>
      </c>
      <c r="K242" s="17">
        <v>34284</v>
      </c>
      <c r="L242">
        <v>32</v>
      </c>
      <c r="M242" t="s">
        <v>1363</v>
      </c>
      <c r="N242" t="s">
        <v>1345</v>
      </c>
      <c r="O242" t="s">
        <v>2377</v>
      </c>
      <c r="P242" s="107" t="s">
        <v>2378</v>
      </c>
      <c r="Q242" s="17"/>
      <c r="S242" t="s">
        <v>2379</v>
      </c>
      <c r="T242" t="s">
        <v>1466</v>
      </c>
      <c r="V242" t="s">
        <v>941</v>
      </c>
      <c r="W242" t="s">
        <v>1356</v>
      </c>
      <c r="X242" t="s">
        <v>249</v>
      </c>
      <c r="Y242" t="s">
        <v>249</v>
      </c>
      <c r="Z242" t="s">
        <v>2039</v>
      </c>
      <c r="AA242" t="s">
        <v>249</v>
      </c>
      <c r="AB242" t="s">
        <v>249</v>
      </c>
      <c r="AC242" t="s">
        <v>249</v>
      </c>
      <c r="AD242" t="s">
        <v>249</v>
      </c>
    </row>
    <row r="243" spans="1:30" hidden="1" x14ac:dyDescent="0.35">
      <c r="A243" t="s">
        <v>2364</v>
      </c>
      <c r="B243" t="s">
        <v>1461</v>
      </c>
      <c r="C243" t="s">
        <v>2380</v>
      </c>
      <c r="D243" t="s">
        <v>2381</v>
      </c>
      <c r="E243" t="s">
        <v>1336</v>
      </c>
      <c r="F243" s="17">
        <v>45223</v>
      </c>
      <c r="H243" s="17"/>
      <c r="I243" t="s">
        <v>2382</v>
      </c>
      <c r="J243">
        <v>11741672</v>
      </c>
      <c r="K243" s="17">
        <v>35132</v>
      </c>
      <c r="L243">
        <v>30</v>
      </c>
      <c r="M243" t="s">
        <v>1354</v>
      </c>
      <c r="N243" t="s">
        <v>1345</v>
      </c>
      <c r="O243" t="s">
        <v>2383</v>
      </c>
      <c r="P243" t="s">
        <v>2384</v>
      </c>
      <c r="Q243" s="17"/>
      <c r="S243" t="s">
        <v>2385</v>
      </c>
      <c r="T243" t="s">
        <v>1466</v>
      </c>
      <c r="V243" t="s">
        <v>1355</v>
      </c>
      <c r="W243" t="s">
        <v>1356</v>
      </c>
      <c r="X243" t="s">
        <v>1575</v>
      </c>
      <c r="Y243" t="s">
        <v>2386</v>
      </c>
      <c r="Z243" t="s">
        <v>2039</v>
      </c>
      <c r="AA243" t="s">
        <v>2040</v>
      </c>
      <c r="AB243" t="s">
        <v>2041</v>
      </c>
      <c r="AC243" t="s">
        <v>2319</v>
      </c>
      <c r="AD243" t="s">
        <v>2387</v>
      </c>
    </row>
    <row r="244" spans="1:30" hidden="1" x14ac:dyDescent="0.35">
      <c r="A244" t="s">
        <v>2364</v>
      </c>
      <c r="B244" t="s">
        <v>1461</v>
      </c>
      <c r="C244" t="s">
        <v>2388</v>
      </c>
      <c r="D244" t="s">
        <v>2389</v>
      </c>
      <c r="E244" t="s">
        <v>1336</v>
      </c>
      <c r="F244" s="17">
        <v>45754</v>
      </c>
      <c r="G244" t="s">
        <v>2115</v>
      </c>
      <c r="H244" s="17"/>
      <c r="I244" t="s">
        <v>2390</v>
      </c>
      <c r="J244" t="s">
        <v>2391</v>
      </c>
      <c r="K244" s="17">
        <v>32814</v>
      </c>
      <c r="L244">
        <v>36</v>
      </c>
      <c r="M244" t="s">
        <v>1349</v>
      </c>
      <c r="N244" t="s">
        <v>1345</v>
      </c>
      <c r="O244" t="s">
        <v>2392</v>
      </c>
      <c r="P244" t="s">
        <v>2393</v>
      </c>
      <c r="Q244" s="17"/>
      <c r="S244" t="s">
        <v>2394</v>
      </c>
      <c r="T244" t="s">
        <v>1466</v>
      </c>
      <c r="U244" t="s">
        <v>2395</v>
      </c>
      <c r="V244" t="s">
        <v>1355</v>
      </c>
      <c r="W244" t="s">
        <v>1356</v>
      </c>
      <c r="X244" t="s">
        <v>1575</v>
      </c>
      <c r="Y244" t="s">
        <v>2396</v>
      </c>
      <c r="Z244" t="s">
        <v>2039</v>
      </c>
      <c r="AA244" t="s">
        <v>2040</v>
      </c>
      <c r="AB244" t="s">
        <v>2041</v>
      </c>
      <c r="AC244" t="s">
        <v>2397</v>
      </c>
      <c r="AD244" t="s">
        <v>2397</v>
      </c>
    </row>
    <row r="245" spans="1:30" hidden="1" x14ac:dyDescent="0.35">
      <c r="A245" t="s">
        <v>2364</v>
      </c>
      <c r="B245" t="s">
        <v>2237</v>
      </c>
      <c r="C245" t="s">
        <v>2398</v>
      </c>
      <c r="D245" t="s">
        <v>716</v>
      </c>
      <c r="E245" t="s">
        <v>1336</v>
      </c>
      <c r="F245" s="17">
        <v>45201</v>
      </c>
      <c r="H245" s="17"/>
      <c r="I245">
        <v>1167266609</v>
      </c>
      <c r="J245">
        <v>8005418</v>
      </c>
      <c r="K245" s="17">
        <v>28356</v>
      </c>
      <c r="L245">
        <v>49</v>
      </c>
      <c r="M245" t="s">
        <v>1344</v>
      </c>
      <c r="N245" t="s">
        <v>1380</v>
      </c>
      <c r="O245" t="s">
        <v>2399</v>
      </c>
      <c r="P245" t="s">
        <v>2400</v>
      </c>
      <c r="Q245" s="17"/>
      <c r="S245" t="s">
        <v>2401</v>
      </c>
      <c r="T245" t="s">
        <v>1480</v>
      </c>
      <c r="V245" t="s">
        <v>1355</v>
      </c>
      <c r="W245" t="s">
        <v>1356</v>
      </c>
      <c r="X245" t="s">
        <v>1942</v>
      </c>
      <c r="Y245" t="s">
        <v>2402</v>
      </c>
      <c r="Z245" t="s">
        <v>2039</v>
      </c>
      <c r="AA245" t="s">
        <v>2040</v>
      </c>
      <c r="AB245" t="s">
        <v>2041</v>
      </c>
      <c r="AC245" t="s">
        <v>2403</v>
      </c>
      <c r="AD245" t="s">
        <v>2404</v>
      </c>
    </row>
    <row r="246" spans="1:30" hidden="1" x14ac:dyDescent="0.35">
      <c r="A246" t="s">
        <v>2364</v>
      </c>
      <c r="B246" t="s">
        <v>1461</v>
      </c>
      <c r="C246" t="s">
        <v>256</v>
      </c>
      <c r="D246" t="s">
        <v>2405</v>
      </c>
      <c r="E246" t="s">
        <v>1332</v>
      </c>
      <c r="F246" s="17">
        <v>45444</v>
      </c>
      <c r="H246" s="17"/>
      <c r="I246" t="s">
        <v>2406</v>
      </c>
      <c r="J246" t="s">
        <v>249</v>
      </c>
      <c r="K246" s="17">
        <v>37009</v>
      </c>
      <c r="L246">
        <v>25</v>
      </c>
      <c r="M246" t="s">
        <v>1419</v>
      </c>
      <c r="N246" t="s">
        <v>1360</v>
      </c>
      <c r="O246" t="s">
        <v>2407</v>
      </c>
      <c r="P246" t="s">
        <v>2408</v>
      </c>
      <c r="Q246" s="17"/>
      <c r="S246" t="s">
        <v>2409</v>
      </c>
      <c r="T246" t="s">
        <v>1466</v>
      </c>
      <c r="V246" t="s">
        <v>1361</v>
      </c>
      <c r="W246" t="s">
        <v>1356</v>
      </c>
      <c r="X246" t="s">
        <v>1575</v>
      </c>
      <c r="Y246" t="s">
        <v>2363</v>
      </c>
      <c r="Z246" t="s">
        <v>2039</v>
      </c>
      <c r="AA246" t="s">
        <v>2040</v>
      </c>
      <c r="AB246" t="s">
        <v>2041</v>
      </c>
      <c r="AC246" t="s">
        <v>2319</v>
      </c>
      <c r="AD246" t="s">
        <v>2410</v>
      </c>
    </row>
    <row r="247" spans="1:30" hidden="1" x14ac:dyDescent="0.35">
      <c r="A247" t="s">
        <v>2364</v>
      </c>
      <c r="B247" t="s">
        <v>2237</v>
      </c>
      <c r="C247" t="s">
        <v>2411</v>
      </c>
      <c r="D247" t="s">
        <v>2412</v>
      </c>
      <c r="E247" t="s">
        <v>1332</v>
      </c>
      <c r="F247" s="17">
        <v>45474</v>
      </c>
      <c r="H247" s="17"/>
      <c r="I247" t="s">
        <v>2413</v>
      </c>
      <c r="J247" t="s">
        <v>249</v>
      </c>
      <c r="K247" s="17">
        <v>30736</v>
      </c>
      <c r="L247">
        <v>42</v>
      </c>
      <c r="M247" t="s">
        <v>1344</v>
      </c>
      <c r="N247" t="s">
        <v>1345</v>
      </c>
      <c r="O247" t="s">
        <v>2414</v>
      </c>
      <c r="P247" t="s">
        <v>2415</v>
      </c>
      <c r="Q247" s="17"/>
      <c r="S247" t="s">
        <v>1706</v>
      </c>
      <c r="T247" t="s">
        <v>1480</v>
      </c>
      <c r="V247" t="s">
        <v>1640</v>
      </c>
      <c r="W247" t="s">
        <v>1347</v>
      </c>
      <c r="X247" t="s">
        <v>1942</v>
      </c>
      <c r="Y247" t="s">
        <v>2038</v>
      </c>
      <c r="Z247" t="s">
        <v>2039</v>
      </c>
      <c r="AA247" t="s">
        <v>2040</v>
      </c>
      <c r="AB247" t="s">
        <v>2041</v>
      </c>
      <c r="AC247" t="s">
        <v>2042</v>
      </c>
      <c r="AD247" t="s">
        <v>2319</v>
      </c>
    </row>
    <row r="248" spans="1:30" hidden="1" x14ac:dyDescent="0.35">
      <c r="A248" t="s">
        <v>2364</v>
      </c>
      <c r="B248" t="s">
        <v>1461</v>
      </c>
      <c r="C248" t="s">
        <v>331</v>
      </c>
      <c r="D248" t="s">
        <v>2416</v>
      </c>
      <c r="E248" t="s">
        <v>1332</v>
      </c>
      <c r="F248" s="17">
        <v>45117</v>
      </c>
      <c r="H248" s="17"/>
      <c r="I248" t="s">
        <v>2417</v>
      </c>
      <c r="J248" t="s">
        <v>249</v>
      </c>
      <c r="K248" s="17">
        <v>35975</v>
      </c>
      <c r="L248">
        <v>28</v>
      </c>
      <c r="M248" t="s">
        <v>1354</v>
      </c>
      <c r="N248" t="s">
        <v>1360</v>
      </c>
      <c r="O248" t="s">
        <v>2418</v>
      </c>
      <c r="P248" t="s">
        <v>2419</v>
      </c>
      <c r="Q248" s="17"/>
      <c r="S248" t="s">
        <v>2420</v>
      </c>
      <c r="T248" t="s">
        <v>1480</v>
      </c>
      <c r="V248" t="s">
        <v>2421</v>
      </c>
      <c r="W248" t="s">
        <v>1417</v>
      </c>
      <c r="X248" t="s">
        <v>249</v>
      </c>
      <c r="Y248" t="s">
        <v>249</v>
      </c>
      <c r="Z248" t="s">
        <v>1577</v>
      </c>
      <c r="AA248" t="s">
        <v>249</v>
      </c>
      <c r="AB248" t="s">
        <v>249</v>
      </c>
      <c r="AC248" t="s">
        <v>249</v>
      </c>
      <c r="AD248" t="s">
        <v>249</v>
      </c>
    </row>
    <row r="249" spans="1:30" hidden="1" x14ac:dyDescent="0.35">
      <c r="A249" t="s">
        <v>2364</v>
      </c>
      <c r="B249" t="s">
        <v>1461</v>
      </c>
      <c r="C249" t="s">
        <v>754</v>
      </c>
      <c r="D249" t="s">
        <v>2422</v>
      </c>
      <c r="E249" t="s">
        <v>1336</v>
      </c>
      <c r="F249" s="17">
        <v>45140</v>
      </c>
      <c r="H249" s="17"/>
      <c r="I249" t="s">
        <v>2423</v>
      </c>
      <c r="J249" t="s">
        <v>249</v>
      </c>
      <c r="K249" s="17">
        <v>30129</v>
      </c>
      <c r="L249">
        <v>44</v>
      </c>
      <c r="M249" t="s">
        <v>1344</v>
      </c>
      <c r="N249" t="s">
        <v>1345</v>
      </c>
      <c r="O249" t="s">
        <v>2424</v>
      </c>
      <c r="P249" t="s">
        <v>2425</v>
      </c>
      <c r="Q249" s="17"/>
      <c r="S249" t="s">
        <v>2184</v>
      </c>
      <c r="T249" t="s">
        <v>1480</v>
      </c>
      <c r="V249" t="s">
        <v>1210</v>
      </c>
      <c r="W249" t="s">
        <v>1356</v>
      </c>
      <c r="X249" t="s">
        <v>249</v>
      </c>
      <c r="Y249" t="s">
        <v>249</v>
      </c>
      <c r="Z249" t="s">
        <v>1577</v>
      </c>
      <c r="AA249" t="s">
        <v>249</v>
      </c>
      <c r="AB249" t="s">
        <v>249</v>
      </c>
      <c r="AC249" t="s">
        <v>249</v>
      </c>
      <c r="AD249" t="s">
        <v>249</v>
      </c>
    </row>
    <row r="250" spans="1:30" hidden="1" x14ac:dyDescent="0.35">
      <c r="A250" t="s">
        <v>2364</v>
      </c>
      <c r="B250" t="s">
        <v>1475</v>
      </c>
      <c r="C250" t="s">
        <v>217</v>
      </c>
      <c r="D250" t="s">
        <v>2426</v>
      </c>
      <c r="E250" t="s">
        <v>1332</v>
      </c>
      <c r="F250" s="17">
        <v>45684</v>
      </c>
      <c r="H250" s="17"/>
      <c r="I250" t="s">
        <v>2427</v>
      </c>
      <c r="J250">
        <v>14486877</v>
      </c>
      <c r="K250" s="17">
        <v>32033</v>
      </c>
      <c r="L250">
        <v>38</v>
      </c>
      <c r="M250" t="s">
        <v>1349</v>
      </c>
      <c r="N250" t="s">
        <v>1345</v>
      </c>
      <c r="O250" t="s">
        <v>2428</v>
      </c>
      <c r="P250" t="s">
        <v>2429</v>
      </c>
      <c r="Q250" s="17"/>
      <c r="S250" t="s">
        <v>2430</v>
      </c>
      <c r="T250" t="s">
        <v>1480</v>
      </c>
      <c r="U250" t="s">
        <v>2431</v>
      </c>
      <c r="V250" t="s">
        <v>2432</v>
      </c>
      <c r="W250" t="s">
        <v>1347</v>
      </c>
      <c r="X250" t="s">
        <v>249</v>
      </c>
      <c r="Y250" t="s">
        <v>249</v>
      </c>
      <c r="Z250" t="s">
        <v>1577</v>
      </c>
      <c r="AA250" t="s">
        <v>249</v>
      </c>
      <c r="AB250" t="s">
        <v>249</v>
      </c>
      <c r="AC250" t="s">
        <v>249</v>
      </c>
      <c r="AD250" t="s">
        <v>249</v>
      </c>
    </row>
    <row r="251" spans="1:30" hidden="1" x14ac:dyDescent="0.35">
      <c r="A251" t="s">
        <v>2364</v>
      </c>
      <c r="B251" t="s">
        <v>1461</v>
      </c>
      <c r="C251" t="s">
        <v>459</v>
      </c>
      <c r="D251" t="s">
        <v>2433</v>
      </c>
      <c r="E251" t="s">
        <v>1332</v>
      </c>
      <c r="F251" s="17">
        <v>45131</v>
      </c>
      <c r="H251" s="17"/>
      <c r="I251" t="s">
        <v>2434</v>
      </c>
      <c r="J251" t="s">
        <v>249</v>
      </c>
      <c r="K251" s="17">
        <v>36270</v>
      </c>
      <c r="L251">
        <v>27</v>
      </c>
      <c r="M251" t="s">
        <v>1354</v>
      </c>
      <c r="N251" t="s">
        <v>1360</v>
      </c>
      <c r="O251" t="s">
        <v>2435</v>
      </c>
      <c r="P251" t="s">
        <v>2436</v>
      </c>
      <c r="Q251" s="17"/>
      <c r="S251" t="s">
        <v>2184</v>
      </c>
      <c r="T251" t="s">
        <v>1480</v>
      </c>
      <c r="V251" t="s">
        <v>1416</v>
      </c>
      <c r="W251" t="s">
        <v>1417</v>
      </c>
      <c r="X251" t="s">
        <v>249</v>
      </c>
      <c r="Y251" t="s">
        <v>249</v>
      </c>
      <c r="Z251" t="s">
        <v>1577</v>
      </c>
      <c r="AA251" t="s">
        <v>249</v>
      </c>
      <c r="AB251" t="s">
        <v>249</v>
      </c>
      <c r="AC251" t="s">
        <v>249</v>
      </c>
      <c r="AD251" t="s">
        <v>249</v>
      </c>
    </row>
    <row r="252" spans="1:30" hidden="1" x14ac:dyDescent="0.35">
      <c r="A252" t="s">
        <v>2364</v>
      </c>
      <c r="B252" t="s">
        <v>2237</v>
      </c>
      <c r="C252" t="s">
        <v>2000</v>
      </c>
      <c r="D252" t="s">
        <v>2001</v>
      </c>
      <c r="E252" t="s">
        <v>1332</v>
      </c>
      <c r="F252" s="17">
        <v>45722</v>
      </c>
      <c r="G252" t="s">
        <v>2031</v>
      </c>
      <c r="H252" s="17">
        <v>45014</v>
      </c>
      <c r="I252">
        <v>13622882689</v>
      </c>
      <c r="J252" t="s">
        <v>249</v>
      </c>
      <c r="K252" s="17">
        <v>34972</v>
      </c>
      <c r="L252">
        <v>30</v>
      </c>
      <c r="M252" t="s">
        <v>1354</v>
      </c>
      <c r="N252" t="s">
        <v>1345</v>
      </c>
      <c r="O252" t="s">
        <v>2002</v>
      </c>
      <c r="P252" t="s">
        <v>2003</v>
      </c>
      <c r="Q252" s="17"/>
      <c r="S252" t="s">
        <v>2005</v>
      </c>
      <c r="T252" t="s">
        <v>1480</v>
      </c>
      <c r="U252" t="s">
        <v>2437</v>
      </c>
      <c r="V252" t="s">
        <v>1439</v>
      </c>
      <c r="W252" t="s">
        <v>1356</v>
      </c>
      <c r="X252" t="s">
        <v>249</v>
      </c>
      <c r="Y252" t="s">
        <v>249</v>
      </c>
      <c r="Z252" t="s">
        <v>2039</v>
      </c>
      <c r="AA252" t="s">
        <v>249</v>
      </c>
      <c r="AB252" t="s">
        <v>249</v>
      </c>
      <c r="AC252" t="s">
        <v>249</v>
      </c>
      <c r="AD252" t="s">
        <v>249</v>
      </c>
    </row>
    <row r="253" spans="1:30" hidden="1" x14ac:dyDescent="0.35">
      <c r="A253" t="s">
        <v>2364</v>
      </c>
      <c r="B253" t="s">
        <v>1475</v>
      </c>
      <c r="C253" t="s">
        <v>340</v>
      </c>
      <c r="D253" t="s">
        <v>130</v>
      </c>
      <c r="E253" t="s">
        <v>1332</v>
      </c>
      <c r="F253" s="17">
        <v>44750</v>
      </c>
      <c r="H253" s="17"/>
      <c r="I253">
        <v>7798522654</v>
      </c>
      <c r="J253" t="s">
        <v>249</v>
      </c>
      <c r="K253" s="17">
        <v>31304</v>
      </c>
      <c r="L253">
        <v>40</v>
      </c>
      <c r="M253" t="s">
        <v>1349</v>
      </c>
      <c r="N253" t="s">
        <v>1345</v>
      </c>
      <c r="O253" t="s">
        <v>2438</v>
      </c>
      <c r="P253" t="s">
        <v>131</v>
      </c>
      <c r="Q253" s="17"/>
      <c r="S253" t="s">
        <v>2439</v>
      </c>
      <c r="T253" t="s">
        <v>1480</v>
      </c>
      <c r="V253" t="s">
        <v>1355</v>
      </c>
      <c r="W253" t="s">
        <v>1356</v>
      </c>
      <c r="X253" t="s">
        <v>249</v>
      </c>
      <c r="Y253" t="s">
        <v>249</v>
      </c>
      <c r="Z253" t="s">
        <v>2039</v>
      </c>
      <c r="AA253" t="s">
        <v>249</v>
      </c>
      <c r="AB253" t="s">
        <v>249</v>
      </c>
      <c r="AC253" t="s">
        <v>249</v>
      </c>
      <c r="AD253" t="s">
        <v>249</v>
      </c>
    </row>
    <row r="254" spans="1:30" hidden="1" x14ac:dyDescent="0.35">
      <c r="A254" t="s">
        <v>2364</v>
      </c>
      <c r="B254" t="s">
        <v>1461</v>
      </c>
      <c r="C254" t="s">
        <v>306</v>
      </c>
      <c r="D254" t="s">
        <v>2440</v>
      </c>
      <c r="E254" t="s">
        <v>1332</v>
      </c>
      <c r="F254" s="17">
        <v>45198</v>
      </c>
      <c r="H254" s="17"/>
      <c r="I254" t="s">
        <v>2441</v>
      </c>
      <c r="J254" t="s">
        <v>249</v>
      </c>
      <c r="K254" s="17">
        <v>35904</v>
      </c>
      <c r="L254">
        <v>28</v>
      </c>
      <c r="M254" t="s">
        <v>1354</v>
      </c>
      <c r="N254" t="s">
        <v>1360</v>
      </c>
      <c r="O254" t="s">
        <v>2442</v>
      </c>
      <c r="P254" t="s">
        <v>2443</v>
      </c>
      <c r="Q254" s="17"/>
      <c r="S254" t="s">
        <v>1527</v>
      </c>
      <c r="T254" t="s">
        <v>1480</v>
      </c>
      <c r="V254" t="s">
        <v>1416</v>
      </c>
      <c r="W254" t="s">
        <v>1417</v>
      </c>
      <c r="X254" t="s">
        <v>249</v>
      </c>
      <c r="Y254" t="s">
        <v>249</v>
      </c>
      <c r="Z254" t="s">
        <v>1577</v>
      </c>
      <c r="AA254" t="s">
        <v>249</v>
      </c>
      <c r="AB254" t="s">
        <v>249</v>
      </c>
      <c r="AC254" t="s">
        <v>249</v>
      </c>
      <c r="AD254" t="s">
        <v>249</v>
      </c>
    </row>
    <row r="255" spans="1:30" hidden="1" x14ac:dyDescent="0.35">
      <c r="A255" t="s">
        <v>2364</v>
      </c>
      <c r="B255" t="s">
        <v>2237</v>
      </c>
      <c r="C255" t="s">
        <v>2444</v>
      </c>
      <c r="D255" t="s">
        <v>2445</v>
      </c>
      <c r="E255" t="s">
        <v>1332</v>
      </c>
      <c r="F255" s="17">
        <v>44797</v>
      </c>
      <c r="H255" s="17"/>
      <c r="I255">
        <v>10512851603</v>
      </c>
      <c r="J255" t="s">
        <v>249</v>
      </c>
      <c r="K255" s="17">
        <v>33775</v>
      </c>
      <c r="L255">
        <v>34</v>
      </c>
      <c r="M255" t="s">
        <v>1363</v>
      </c>
      <c r="N255" t="s">
        <v>1345</v>
      </c>
      <c r="O255" t="s">
        <v>2446</v>
      </c>
      <c r="P255" t="s">
        <v>2447</v>
      </c>
      <c r="Q255" s="17"/>
      <c r="S255" t="s">
        <v>2448</v>
      </c>
      <c r="T255" t="s">
        <v>1480</v>
      </c>
      <c r="V255" t="s">
        <v>2449</v>
      </c>
      <c r="W255" t="s">
        <v>1356</v>
      </c>
      <c r="X255" t="s">
        <v>1942</v>
      </c>
      <c r="Y255" t="s">
        <v>2363</v>
      </c>
      <c r="Z255" t="s">
        <v>2039</v>
      </c>
      <c r="AA255" t="s">
        <v>2040</v>
      </c>
      <c r="AB255" t="s">
        <v>2041</v>
      </c>
      <c r="AC255" t="s">
        <v>2319</v>
      </c>
      <c r="AD255" t="s">
        <v>2319</v>
      </c>
    </row>
    <row r="256" spans="1:30" hidden="1" x14ac:dyDescent="0.35">
      <c r="A256" t="s">
        <v>2364</v>
      </c>
      <c r="B256" t="s">
        <v>2237</v>
      </c>
      <c r="C256" t="s">
        <v>408</v>
      </c>
      <c r="D256" t="s">
        <v>2006</v>
      </c>
      <c r="E256" t="s">
        <v>1332</v>
      </c>
      <c r="F256" s="17">
        <v>45722</v>
      </c>
      <c r="G256" t="s">
        <v>2031</v>
      </c>
      <c r="H256" s="17">
        <v>45306</v>
      </c>
      <c r="I256">
        <v>11906946701</v>
      </c>
      <c r="J256" t="s">
        <v>249</v>
      </c>
      <c r="K256" s="17">
        <v>32560</v>
      </c>
      <c r="L256">
        <v>37</v>
      </c>
      <c r="M256" t="s">
        <v>1349</v>
      </c>
      <c r="N256" t="s">
        <v>1345</v>
      </c>
      <c r="O256" t="s">
        <v>2002</v>
      </c>
      <c r="P256" t="s">
        <v>2007</v>
      </c>
      <c r="Q256" s="17"/>
      <c r="S256" t="s">
        <v>1656</v>
      </c>
      <c r="T256" t="s">
        <v>1480</v>
      </c>
      <c r="U256" t="s">
        <v>1590</v>
      </c>
      <c r="V256" t="s">
        <v>1381</v>
      </c>
      <c r="W256" t="s">
        <v>1382</v>
      </c>
      <c r="X256" t="s">
        <v>249</v>
      </c>
      <c r="Y256" t="s">
        <v>249</v>
      </c>
      <c r="Z256" t="s">
        <v>2039</v>
      </c>
      <c r="AA256" t="s">
        <v>249</v>
      </c>
      <c r="AB256" t="s">
        <v>249</v>
      </c>
      <c r="AC256" t="s">
        <v>249</v>
      </c>
      <c r="AD256" t="s">
        <v>249</v>
      </c>
    </row>
    <row r="257" spans="1:30" hidden="1" x14ac:dyDescent="0.35">
      <c r="A257" t="s">
        <v>2364</v>
      </c>
      <c r="B257" t="s">
        <v>1461</v>
      </c>
      <c r="C257" t="s">
        <v>387</v>
      </c>
      <c r="D257" t="s">
        <v>2450</v>
      </c>
      <c r="E257" t="s">
        <v>1332</v>
      </c>
      <c r="F257" s="17">
        <v>45792</v>
      </c>
      <c r="G257" t="s">
        <v>2115</v>
      </c>
      <c r="H257" s="17"/>
      <c r="I257" t="s">
        <v>2451</v>
      </c>
      <c r="J257">
        <v>5322965</v>
      </c>
      <c r="K257" s="17">
        <v>32910</v>
      </c>
      <c r="L257">
        <v>36</v>
      </c>
      <c r="M257" t="s">
        <v>1349</v>
      </c>
      <c r="N257" t="s">
        <v>1345</v>
      </c>
      <c r="O257" t="s">
        <v>2452</v>
      </c>
      <c r="P257" t="s">
        <v>2453</v>
      </c>
      <c r="Q257" s="17"/>
      <c r="S257" t="s">
        <v>1875</v>
      </c>
      <c r="T257" t="s">
        <v>1480</v>
      </c>
      <c r="U257" t="s">
        <v>2454</v>
      </c>
      <c r="V257" t="s">
        <v>1355</v>
      </c>
      <c r="W257" t="s">
        <v>1356</v>
      </c>
      <c r="X257" t="s">
        <v>249</v>
      </c>
      <c r="Y257" t="s">
        <v>249</v>
      </c>
      <c r="Z257" t="s">
        <v>1577</v>
      </c>
      <c r="AA257" t="s">
        <v>249</v>
      </c>
      <c r="AB257" t="s">
        <v>249</v>
      </c>
      <c r="AC257" t="s">
        <v>249</v>
      </c>
      <c r="AD257" t="s">
        <v>249</v>
      </c>
    </row>
    <row r="258" spans="1:30" hidden="1" x14ac:dyDescent="0.35">
      <c r="A258" t="s">
        <v>1330</v>
      </c>
      <c r="B258" t="s">
        <v>2237</v>
      </c>
      <c r="C258" t="s">
        <v>391</v>
      </c>
      <c r="D258" t="s">
        <v>355</v>
      </c>
      <c r="E258" t="s">
        <v>1332</v>
      </c>
      <c r="F258" s="17">
        <v>45526</v>
      </c>
      <c r="H258" s="17"/>
      <c r="I258" t="s">
        <v>2455</v>
      </c>
      <c r="J258" t="s">
        <v>249</v>
      </c>
      <c r="K258" s="17">
        <v>33829</v>
      </c>
      <c r="L258">
        <v>34</v>
      </c>
      <c r="M258" t="s">
        <v>1363</v>
      </c>
      <c r="N258" t="s">
        <v>1345</v>
      </c>
      <c r="O258" t="s">
        <v>2456</v>
      </c>
      <c r="P258" t="s">
        <v>356</v>
      </c>
      <c r="Q258" s="17">
        <v>46215</v>
      </c>
      <c r="R258" t="s">
        <v>1962</v>
      </c>
      <c r="S258" t="s">
        <v>2457</v>
      </c>
      <c r="T258" t="s">
        <v>249</v>
      </c>
      <c r="V258" t="s">
        <v>2458</v>
      </c>
      <c r="W258" t="s">
        <v>1846</v>
      </c>
      <c r="X258" t="s">
        <v>1942</v>
      </c>
      <c r="Y258" t="s">
        <v>249</v>
      </c>
      <c r="Z258" t="s">
        <v>249</v>
      </c>
      <c r="AA258" t="s">
        <v>249</v>
      </c>
      <c r="AB258" t="s">
        <v>249</v>
      </c>
      <c r="AC258" t="s">
        <v>249</v>
      </c>
      <c r="AD258" t="s">
        <v>249</v>
      </c>
    </row>
    <row r="259" spans="1:30" hidden="1" x14ac:dyDescent="0.35">
      <c r="A259" t="s">
        <v>2364</v>
      </c>
      <c r="B259" t="s">
        <v>1461</v>
      </c>
      <c r="C259" t="s">
        <v>148</v>
      </c>
      <c r="D259" t="s">
        <v>2459</v>
      </c>
      <c r="E259" t="s">
        <v>1332</v>
      </c>
      <c r="F259" s="17">
        <v>45659</v>
      </c>
      <c r="H259" s="17"/>
      <c r="I259" t="s">
        <v>2460</v>
      </c>
      <c r="J259" t="s">
        <v>249</v>
      </c>
      <c r="K259" s="17">
        <v>31804</v>
      </c>
      <c r="L259">
        <v>39</v>
      </c>
      <c r="M259" t="s">
        <v>1349</v>
      </c>
      <c r="N259" t="s">
        <v>1345</v>
      </c>
      <c r="O259" t="s">
        <v>2461</v>
      </c>
      <c r="P259" t="s">
        <v>2462</v>
      </c>
      <c r="Q259" s="17"/>
      <c r="S259" t="s">
        <v>1507</v>
      </c>
      <c r="T259" t="s">
        <v>1480</v>
      </c>
      <c r="V259" t="s">
        <v>1523</v>
      </c>
      <c r="W259" t="s">
        <v>1356</v>
      </c>
      <c r="X259" t="s">
        <v>1575</v>
      </c>
      <c r="Y259" t="s">
        <v>1576</v>
      </c>
      <c r="Z259" t="s">
        <v>1577</v>
      </c>
      <c r="AA259" t="s">
        <v>2463</v>
      </c>
      <c r="AB259" t="s">
        <v>2041</v>
      </c>
      <c r="AC259" t="s">
        <v>2464</v>
      </c>
      <c r="AD259" t="s">
        <v>2465</v>
      </c>
    </row>
    <row r="260" spans="1:30" hidden="1" x14ac:dyDescent="0.35">
      <c r="A260" t="s">
        <v>2364</v>
      </c>
      <c r="B260" t="s">
        <v>2237</v>
      </c>
      <c r="C260" t="s">
        <v>528</v>
      </c>
      <c r="D260" t="s">
        <v>149</v>
      </c>
      <c r="E260" t="s">
        <v>1332</v>
      </c>
      <c r="F260" s="17">
        <v>44907</v>
      </c>
      <c r="H260" s="17"/>
      <c r="I260">
        <v>11371205680</v>
      </c>
      <c r="J260" t="s">
        <v>249</v>
      </c>
      <c r="K260" s="17">
        <v>33847</v>
      </c>
      <c r="L260">
        <v>33</v>
      </c>
      <c r="M260" t="s">
        <v>1363</v>
      </c>
      <c r="N260" t="s">
        <v>1345</v>
      </c>
      <c r="O260" t="s">
        <v>2466</v>
      </c>
      <c r="P260" t="s">
        <v>151</v>
      </c>
      <c r="Q260" s="17"/>
      <c r="S260" t="s">
        <v>2467</v>
      </c>
      <c r="T260" t="s">
        <v>1480</v>
      </c>
      <c r="V260" t="s">
        <v>1355</v>
      </c>
      <c r="W260" t="s">
        <v>1356</v>
      </c>
      <c r="X260" t="s">
        <v>249</v>
      </c>
      <c r="Y260" t="s">
        <v>249</v>
      </c>
      <c r="Z260" t="s">
        <v>2039</v>
      </c>
      <c r="AA260" t="s">
        <v>249</v>
      </c>
      <c r="AB260" t="s">
        <v>249</v>
      </c>
      <c r="AC260" t="s">
        <v>249</v>
      </c>
      <c r="AD260" t="s">
        <v>249</v>
      </c>
    </row>
    <row r="261" spans="1:30" hidden="1" x14ac:dyDescent="0.35">
      <c r="A261" t="s">
        <v>2364</v>
      </c>
      <c r="B261" t="s">
        <v>1461</v>
      </c>
      <c r="C261" t="s">
        <v>2468</v>
      </c>
      <c r="D261" t="s">
        <v>2469</v>
      </c>
      <c r="E261" t="s">
        <v>1336</v>
      </c>
      <c r="F261" s="17">
        <v>45125</v>
      </c>
      <c r="H261" s="17"/>
      <c r="I261" t="s">
        <v>2470</v>
      </c>
      <c r="J261" t="s">
        <v>249</v>
      </c>
      <c r="K261" s="17">
        <v>32863</v>
      </c>
      <c r="L261">
        <v>36</v>
      </c>
      <c r="M261" t="s">
        <v>1349</v>
      </c>
      <c r="N261" t="s">
        <v>1345</v>
      </c>
      <c r="O261" t="s">
        <v>2471</v>
      </c>
      <c r="P261" t="s">
        <v>2472</v>
      </c>
      <c r="Q261" s="17"/>
      <c r="S261" t="s">
        <v>2473</v>
      </c>
      <c r="T261" t="s">
        <v>1466</v>
      </c>
      <c r="V261" t="s">
        <v>1416</v>
      </c>
      <c r="W261" t="s">
        <v>1417</v>
      </c>
      <c r="X261" t="s">
        <v>1575</v>
      </c>
      <c r="Y261" t="s">
        <v>2318</v>
      </c>
      <c r="Z261" t="s">
        <v>2039</v>
      </c>
      <c r="AA261" t="s">
        <v>2040</v>
      </c>
      <c r="AB261" t="s">
        <v>2041</v>
      </c>
      <c r="AC261" t="s">
        <v>2319</v>
      </c>
      <c r="AD261" t="s">
        <v>2320</v>
      </c>
    </row>
    <row r="262" spans="1:30" hidden="1" x14ac:dyDescent="0.35">
      <c r="A262" t="s">
        <v>2364</v>
      </c>
      <c r="B262" t="s">
        <v>2237</v>
      </c>
      <c r="C262" t="s">
        <v>603</v>
      </c>
      <c r="D262" t="s">
        <v>122</v>
      </c>
      <c r="E262" t="s">
        <v>1332</v>
      </c>
      <c r="F262" s="17">
        <v>44018</v>
      </c>
      <c r="H262" s="17"/>
      <c r="I262">
        <v>13659363766</v>
      </c>
      <c r="J262" t="s">
        <v>249</v>
      </c>
      <c r="K262" s="17">
        <v>33372</v>
      </c>
      <c r="L262">
        <v>35</v>
      </c>
      <c r="M262" t="s">
        <v>1363</v>
      </c>
      <c r="N262" t="s">
        <v>1345</v>
      </c>
      <c r="O262" t="s">
        <v>2474</v>
      </c>
      <c r="P262" t="s">
        <v>124</v>
      </c>
      <c r="Q262" s="17"/>
      <c r="S262" t="s">
        <v>2439</v>
      </c>
      <c r="T262" t="s">
        <v>1480</v>
      </c>
      <c r="V262" t="s">
        <v>2475</v>
      </c>
      <c r="W262" t="s">
        <v>1761</v>
      </c>
      <c r="X262" t="s">
        <v>1942</v>
      </c>
      <c r="Y262" t="s">
        <v>2476</v>
      </c>
      <c r="Z262" t="s">
        <v>2039</v>
      </c>
      <c r="AA262" t="s">
        <v>2040</v>
      </c>
      <c r="AB262" t="s">
        <v>2041</v>
      </c>
      <c r="AC262" t="s">
        <v>2464</v>
      </c>
      <c r="AD262" t="s">
        <v>2319</v>
      </c>
    </row>
    <row r="263" spans="1:30" hidden="1" x14ac:dyDescent="0.35">
      <c r="A263" t="s">
        <v>2364</v>
      </c>
      <c r="B263" t="s">
        <v>2237</v>
      </c>
      <c r="C263" t="s">
        <v>342</v>
      </c>
      <c r="D263" t="s">
        <v>2477</v>
      </c>
      <c r="E263" t="s">
        <v>1332</v>
      </c>
      <c r="F263" s="17">
        <v>44768</v>
      </c>
      <c r="H263" s="17"/>
      <c r="I263">
        <v>9268859793</v>
      </c>
      <c r="J263" t="s">
        <v>249</v>
      </c>
      <c r="K263" s="17">
        <v>29760</v>
      </c>
      <c r="L263">
        <v>45</v>
      </c>
      <c r="M263" t="s">
        <v>1344</v>
      </c>
      <c r="N263" t="s">
        <v>1345</v>
      </c>
      <c r="O263" t="s">
        <v>2478</v>
      </c>
      <c r="P263" t="s">
        <v>2479</v>
      </c>
      <c r="Q263" s="17"/>
      <c r="S263" t="s">
        <v>2480</v>
      </c>
      <c r="T263" t="s">
        <v>1480</v>
      </c>
      <c r="V263" t="s">
        <v>1408</v>
      </c>
      <c r="W263" t="s">
        <v>1356</v>
      </c>
      <c r="X263" t="s">
        <v>249</v>
      </c>
      <c r="Y263" t="s">
        <v>249</v>
      </c>
      <c r="Z263" t="s">
        <v>2039</v>
      </c>
      <c r="AA263" t="s">
        <v>249</v>
      </c>
      <c r="AB263" t="s">
        <v>249</v>
      </c>
      <c r="AC263" t="s">
        <v>249</v>
      </c>
      <c r="AD263" t="s">
        <v>249</v>
      </c>
    </row>
    <row r="264" spans="1:30" hidden="1" x14ac:dyDescent="0.35">
      <c r="A264" t="s">
        <v>2364</v>
      </c>
      <c r="B264" t="s">
        <v>2237</v>
      </c>
      <c r="C264" t="s">
        <v>2481</v>
      </c>
      <c r="D264" t="s">
        <v>2482</v>
      </c>
      <c r="E264" t="s">
        <v>1332</v>
      </c>
      <c r="F264" s="17">
        <v>44697</v>
      </c>
      <c r="H264" s="17"/>
      <c r="I264">
        <v>81289480591</v>
      </c>
      <c r="J264" t="s">
        <v>249</v>
      </c>
      <c r="K264" s="17">
        <v>29285</v>
      </c>
      <c r="L264">
        <v>46</v>
      </c>
      <c r="M264" t="s">
        <v>1344</v>
      </c>
      <c r="N264" t="s">
        <v>1345</v>
      </c>
      <c r="O264" t="s">
        <v>2483</v>
      </c>
      <c r="P264" t="s">
        <v>2484</v>
      </c>
      <c r="Q264" s="17"/>
      <c r="S264" t="s">
        <v>2485</v>
      </c>
      <c r="T264" t="s">
        <v>1480</v>
      </c>
      <c r="V264" t="s">
        <v>1350</v>
      </c>
      <c r="W264" t="s">
        <v>1351</v>
      </c>
      <c r="X264" t="s">
        <v>249</v>
      </c>
      <c r="Y264" t="s">
        <v>249</v>
      </c>
      <c r="Z264" t="s">
        <v>1577</v>
      </c>
      <c r="AA264" t="s">
        <v>249</v>
      </c>
      <c r="AB264" t="s">
        <v>249</v>
      </c>
      <c r="AC264" t="s">
        <v>249</v>
      </c>
      <c r="AD264" t="s">
        <v>249</v>
      </c>
    </row>
    <row r="265" spans="1:30" hidden="1" x14ac:dyDescent="0.35">
      <c r="A265" t="s">
        <v>1330</v>
      </c>
      <c r="B265" t="s">
        <v>1461</v>
      </c>
      <c r="C265" t="s">
        <v>2486</v>
      </c>
      <c r="D265" t="s">
        <v>2487</v>
      </c>
      <c r="E265" t="s">
        <v>1332</v>
      </c>
      <c r="F265" s="17">
        <v>45664</v>
      </c>
      <c r="H265" s="17"/>
      <c r="I265" t="s">
        <v>2488</v>
      </c>
      <c r="J265" t="s">
        <v>249</v>
      </c>
      <c r="K265" s="17">
        <v>31600</v>
      </c>
      <c r="L265">
        <v>40</v>
      </c>
      <c r="M265" t="s">
        <v>1349</v>
      </c>
      <c r="N265" t="s">
        <v>1345</v>
      </c>
      <c r="O265" t="s">
        <v>2489</v>
      </c>
      <c r="P265" t="s">
        <v>2490</v>
      </c>
      <c r="Q265" s="17">
        <v>46204</v>
      </c>
      <c r="S265" t="s">
        <v>2491</v>
      </c>
      <c r="T265" t="s">
        <v>249</v>
      </c>
      <c r="V265" t="s">
        <v>1355</v>
      </c>
      <c r="W265" t="s">
        <v>1356</v>
      </c>
      <c r="X265" t="s">
        <v>1575</v>
      </c>
      <c r="Y265" t="s">
        <v>2318</v>
      </c>
      <c r="Z265" t="s">
        <v>2039</v>
      </c>
      <c r="AA265" t="s">
        <v>2040</v>
      </c>
      <c r="AB265" t="s">
        <v>2041</v>
      </c>
      <c r="AC265" t="s">
        <v>2319</v>
      </c>
      <c r="AD265" t="s">
        <v>2320</v>
      </c>
    </row>
    <row r="266" spans="1:30" hidden="1" x14ac:dyDescent="0.35">
      <c r="A266" t="s">
        <v>2364</v>
      </c>
      <c r="B266" t="s">
        <v>1461</v>
      </c>
      <c r="C266" t="s">
        <v>2492</v>
      </c>
      <c r="D266" t="s">
        <v>2493</v>
      </c>
      <c r="E266" t="s">
        <v>1332</v>
      </c>
      <c r="F266" s="17">
        <v>45250</v>
      </c>
      <c r="H266" s="17"/>
      <c r="I266" t="s">
        <v>2494</v>
      </c>
      <c r="J266" t="s">
        <v>249</v>
      </c>
      <c r="K266" s="17">
        <v>36124</v>
      </c>
      <c r="L266">
        <v>27</v>
      </c>
      <c r="M266" t="s">
        <v>1354</v>
      </c>
      <c r="N266" t="s">
        <v>1360</v>
      </c>
      <c r="O266" t="s">
        <v>2495</v>
      </c>
      <c r="P266" t="s">
        <v>2496</v>
      </c>
      <c r="Q266" s="17"/>
      <c r="S266" t="s">
        <v>1894</v>
      </c>
      <c r="T266" t="s">
        <v>1466</v>
      </c>
      <c r="V266" t="s">
        <v>287</v>
      </c>
      <c r="W266" t="s">
        <v>1356</v>
      </c>
      <c r="X266" t="s">
        <v>1575</v>
      </c>
      <c r="Y266" t="s">
        <v>2402</v>
      </c>
      <c r="Z266" t="s">
        <v>2039</v>
      </c>
      <c r="AA266" t="s">
        <v>2040</v>
      </c>
      <c r="AB266" t="s">
        <v>2041</v>
      </c>
      <c r="AC266" t="s">
        <v>2403</v>
      </c>
      <c r="AD266" t="s">
        <v>2404</v>
      </c>
    </row>
    <row r="267" spans="1:30" hidden="1" x14ac:dyDescent="0.35">
      <c r="A267" t="s">
        <v>2364</v>
      </c>
      <c r="B267" t="s">
        <v>2237</v>
      </c>
      <c r="C267" t="s">
        <v>2497</v>
      </c>
      <c r="D267" t="s">
        <v>2498</v>
      </c>
      <c r="E267" t="s">
        <v>1332</v>
      </c>
      <c r="F267" s="17">
        <v>44881</v>
      </c>
      <c r="H267" s="17"/>
      <c r="I267">
        <v>4885800560</v>
      </c>
      <c r="J267" t="s">
        <v>249</v>
      </c>
      <c r="K267" s="17">
        <v>33687</v>
      </c>
      <c r="L267">
        <v>34</v>
      </c>
      <c r="M267" t="s">
        <v>1363</v>
      </c>
      <c r="N267" t="s">
        <v>1345</v>
      </c>
      <c r="O267" t="s">
        <v>2499</v>
      </c>
      <c r="P267" t="s">
        <v>2500</v>
      </c>
      <c r="Q267" s="17"/>
      <c r="S267" t="s">
        <v>2184</v>
      </c>
      <c r="T267" t="s">
        <v>1480</v>
      </c>
      <c r="V267" t="s">
        <v>2501</v>
      </c>
      <c r="W267" t="s">
        <v>2502</v>
      </c>
      <c r="X267" t="s">
        <v>249</v>
      </c>
      <c r="Y267" t="s">
        <v>249</v>
      </c>
      <c r="Z267" t="s">
        <v>1577</v>
      </c>
      <c r="AA267" t="s">
        <v>249</v>
      </c>
      <c r="AB267" t="s">
        <v>249</v>
      </c>
      <c r="AC267" t="s">
        <v>249</v>
      </c>
      <c r="AD267" t="s">
        <v>249</v>
      </c>
    </row>
    <row r="268" spans="1:30" hidden="1" x14ac:dyDescent="0.35">
      <c r="A268" t="s">
        <v>2364</v>
      </c>
      <c r="B268" t="s">
        <v>1461</v>
      </c>
      <c r="C268" t="s">
        <v>114</v>
      </c>
      <c r="D268" t="s">
        <v>2503</v>
      </c>
      <c r="E268" t="s">
        <v>1332</v>
      </c>
      <c r="F268" s="17">
        <v>45544</v>
      </c>
      <c r="H268" s="17"/>
      <c r="I268" t="s">
        <v>2504</v>
      </c>
      <c r="J268" t="s">
        <v>249</v>
      </c>
      <c r="K268" s="17">
        <v>32889</v>
      </c>
      <c r="L268">
        <v>36</v>
      </c>
      <c r="M268" t="s">
        <v>1349</v>
      </c>
      <c r="N268" t="s">
        <v>1345</v>
      </c>
      <c r="O268" t="s">
        <v>2505</v>
      </c>
      <c r="P268" t="s">
        <v>2506</v>
      </c>
      <c r="Q268" s="17"/>
      <c r="S268" t="s">
        <v>2507</v>
      </c>
      <c r="T268" t="s">
        <v>1480</v>
      </c>
      <c r="V268" t="s">
        <v>1355</v>
      </c>
      <c r="W268" t="s">
        <v>1356</v>
      </c>
      <c r="X268" t="s">
        <v>249</v>
      </c>
      <c r="Y268" t="s">
        <v>249</v>
      </c>
      <c r="Z268" t="s">
        <v>1577</v>
      </c>
      <c r="AA268" t="s">
        <v>249</v>
      </c>
      <c r="AB268" t="s">
        <v>249</v>
      </c>
      <c r="AC268" t="s">
        <v>249</v>
      </c>
      <c r="AD268" t="s">
        <v>249</v>
      </c>
    </row>
    <row r="269" spans="1:30" hidden="1" x14ac:dyDescent="0.35">
      <c r="A269" t="s">
        <v>2364</v>
      </c>
      <c r="B269" t="s">
        <v>1461</v>
      </c>
      <c r="C269" t="s">
        <v>265</v>
      </c>
      <c r="D269" t="s">
        <v>2508</v>
      </c>
      <c r="E269" t="s">
        <v>1332</v>
      </c>
      <c r="F269" s="17">
        <v>45090</v>
      </c>
      <c r="H269" s="17"/>
      <c r="I269">
        <v>41664674845</v>
      </c>
      <c r="J269" t="s">
        <v>249</v>
      </c>
      <c r="K269" s="17">
        <v>35355</v>
      </c>
      <c r="L269">
        <v>29</v>
      </c>
      <c r="M269" t="s">
        <v>1354</v>
      </c>
      <c r="N269" t="s">
        <v>1345</v>
      </c>
      <c r="O269" t="s">
        <v>2509</v>
      </c>
      <c r="P269" t="s">
        <v>2510</v>
      </c>
      <c r="Q269" s="17"/>
      <c r="S269" t="s">
        <v>2184</v>
      </c>
      <c r="T269" t="s">
        <v>1480</v>
      </c>
      <c r="V269" t="s">
        <v>2511</v>
      </c>
      <c r="W269" t="s">
        <v>1347</v>
      </c>
      <c r="X269" t="s">
        <v>1575</v>
      </c>
      <c r="Y269" t="s">
        <v>1576</v>
      </c>
      <c r="Z269" t="s">
        <v>1577</v>
      </c>
      <c r="AA269" t="s">
        <v>1050</v>
      </c>
      <c r="AB269" t="s">
        <v>2512</v>
      </c>
      <c r="AC269" t="s">
        <v>2513</v>
      </c>
      <c r="AD269" t="s">
        <v>2514</v>
      </c>
    </row>
    <row r="270" spans="1:30" hidden="1" x14ac:dyDescent="0.35">
      <c r="A270" t="s">
        <v>2364</v>
      </c>
      <c r="B270" t="s">
        <v>1475</v>
      </c>
      <c r="C270" t="s">
        <v>382</v>
      </c>
      <c r="D270" t="s">
        <v>2515</v>
      </c>
      <c r="E270" t="s">
        <v>1332</v>
      </c>
      <c r="F270" s="17">
        <v>45799</v>
      </c>
      <c r="G270" t="s">
        <v>2115</v>
      </c>
      <c r="H270" s="17"/>
      <c r="I270" t="s">
        <v>2516</v>
      </c>
      <c r="J270">
        <v>505793210</v>
      </c>
      <c r="K270" s="17">
        <v>28725</v>
      </c>
      <c r="L270">
        <v>48</v>
      </c>
      <c r="M270" t="s">
        <v>1344</v>
      </c>
      <c r="N270" t="s">
        <v>1380</v>
      </c>
      <c r="O270" t="s">
        <v>2517</v>
      </c>
      <c r="P270" t="s">
        <v>2518</v>
      </c>
      <c r="Q270" s="17"/>
      <c r="S270" t="s">
        <v>2309</v>
      </c>
      <c r="T270" t="s">
        <v>1480</v>
      </c>
      <c r="U270" t="s">
        <v>2120</v>
      </c>
      <c r="X270" t="s">
        <v>249</v>
      </c>
      <c r="Y270" t="s">
        <v>249</v>
      </c>
      <c r="Z270" t="s">
        <v>1577</v>
      </c>
      <c r="AA270" t="s">
        <v>249</v>
      </c>
      <c r="AB270" t="s">
        <v>249</v>
      </c>
      <c r="AC270" t="s">
        <v>249</v>
      </c>
      <c r="AD270" t="s">
        <v>249</v>
      </c>
    </row>
    <row r="271" spans="1:30" hidden="1" x14ac:dyDescent="0.35">
      <c r="A271" t="s">
        <v>2364</v>
      </c>
      <c r="B271" t="s">
        <v>1461</v>
      </c>
      <c r="C271" t="s">
        <v>2519</v>
      </c>
      <c r="D271" t="s">
        <v>2520</v>
      </c>
      <c r="E271" t="s">
        <v>1336</v>
      </c>
      <c r="F271" s="17">
        <v>45001</v>
      </c>
      <c r="H271" s="17">
        <v>44866</v>
      </c>
      <c r="I271">
        <v>12296194613</v>
      </c>
      <c r="J271" t="s">
        <v>249</v>
      </c>
      <c r="K271" s="17">
        <v>37410</v>
      </c>
      <c r="L271">
        <v>24</v>
      </c>
      <c r="M271" t="s">
        <v>1419</v>
      </c>
      <c r="N271" t="s">
        <v>1360</v>
      </c>
      <c r="O271" t="s">
        <v>2521</v>
      </c>
      <c r="P271" t="s">
        <v>2522</v>
      </c>
      <c r="Q271" s="17"/>
      <c r="S271" t="s">
        <v>2523</v>
      </c>
      <c r="T271" t="s">
        <v>1466</v>
      </c>
      <c r="V271" t="s">
        <v>1361</v>
      </c>
      <c r="W271" t="s">
        <v>1356</v>
      </c>
      <c r="X271" t="s">
        <v>249</v>
      </c>
      <c r="Y271" t="s">
        <v>249</v>
      </c>
      <c r="Z271" t="s">
        <v>2039</v>
      </c>
      <c r="AA271" t="s">
        <v>249</v>
      </c>
      <c r="AB271" t="s">
        <v>249</v>
      </c>
      <c r="AC271" t="s">
        <v>249</v>
      </c>
      <c r="AD271" t="s">
        <v>249</v>
      </c>
    </row>
    <row r="272" spans="1:30" hidden="1" x14ac:dyDescent="0.35">
      <c r="A272" t="s">
        <v>2364</v>
      </c>
      <c r="B272" t="s">
        <v>1461</v>
      </c>
      <c r="C272" t="s">
        <v>373</v>
      </c>
      <c r="D272" t="s">
        <v>2524</v>
      </c>
      <c r="E272" t="s">
        <v>1332</v>
      </c>
      <c r="F272" s="17">
        <v>45450</v>
      </c>
      <c r="H272" s="17"/>
      <c r="I272" t="s">
        <v>2525</v>
      </c>
      <c r="J272" t="s">
        <v>249</v>
      </c>
      <c r="K272" s="17">
        <v>37352</v>
      </c>
      <c r="L272">
        <v>24</v>
      </c>
      <c r="M272" t="s">
        <v>1419</v>
      </c>
      <c r="N272" t="s">
        <v>1360</v>
      </c>
      <c r="O272" t="s">
        <v>2526</v>
      </c>
      <c r="P272" t="s">
        <v>2527</v>
      </c>
      <c r="Q272" s="17"/>
      <c r="S272" t="s">
        <v>2379</v>
      </c>
      <c r="T272" t="s">
        <v>1466</v>
      </c>
      <c r="V272" t="s">
        <v>1361</v>
      </c>
      <c r="W272" t="s">
        <v>1356</v>
      </c>
      <c r="X272" t="s">
        <v>249</v>
      </c>
      <c r="Y272" t="s">
        <v>249</v>
      </c>
      <c r="Z272" t="s">
        <v>1577</v>
      </c>
      <c r="AA272" t="s">
        <v>249</v>
      </c>
      <c r="AB272" t="s">
        <v>249</v>
      </c>
      <c r="AC272" t="s">
        <v>249</v>
      </c>
      <c r="AD272" t="s">
        <v>249</v>
      </c>
    </row>
    <row r="273" spans="1:30" hidden="1" x14ac:dyDescent="0.35">
      <c r="A273" t="s">
        <v>2364</v>
      </c>
      <c r="B273" t="s">
        <v>2237</v>
      </c>
      <c r="C273" t="s">
        <v>1299</v>
      </c>
      <c r="D273" t="s">
        <v>2528</v>
      </c>
      <c r="E273" t="s">
        <v>1332</v>
      </c>
      <c r="F273" s="17">
        <v>45428</v>
      </c>
      <c r="H273" s="17"/>
      <c r="I273" t="s">
        <v>2529</v>
      </c>
      <c r="J273" t="s">
        <v>249</v>
      </c>
      <c r="K273" s="17">
        <v>28479</v>
      </c>
      <c r="L273">
        <v>48</v>
      </c>
      <c r="M273" t="s">
        <v>1344</v>
      </c>
      <c r="N273" t="s">
        <v>1380</v>
      </c>
      <c r="O273" t="s">
        <v>2058</v>
      </c>
      <c r="P273" t="s">
        <v>2530</v>
      </c>
      <c r="Q273" s="17"/>
      <c r="S273" t="s">
        <v>2531</v>
      </c>
      <c r="T273" t="s">
        <v>1480</v>
      </c>
      <c r="V273" t="s">
        <v>1355</v>
      </c>
      <c r="W273" t="s">
        <v>1356</v>
      </c>
      <c r="X273" t="s">
        <v>249</v>
      </c>
      <c r="Y273" t="s">
        <v>249</v>
      </c>
      <c r="Z273" t="s">
        <v>2039</v>
      </c>
      <c r="AA273" t="s">
        <v>249</v>
      </c>
      <c r="AB273" t="s">
        <v>249</v>
      </c>
      <c r="AC273" t="s">
        <v>249</v>
      </c>
      <c r="AD273" t="s">
        <v>249</v>
      </c>
    </row>
    <row r="274" spans="1:30" hidden="1" x14ac:dyDescent="0.35">
      <c r="A274" t="s">
        <v>2364</v>
      </c>
      <c r="B274" t="s">
        <v>1461</v>
      </c>
      <c r="C274" t="s">
        <v>193</v>
      </c>
      <c r="D274" t="s">
        <v>2532</v>
      </c>
      <c r="E274" t="s">
        <v>1332</v>
      </c>
      <c r="F274" s="17">
        <v>45544</v>
      </c>
      <c r="H274" s="17"/>
      <c r="I274" t="s">
        <v>2533</v>
      </c>
      <c r="J274" t="s">
        <v>249</v>
      </c>
      <c r="K274" s="17">
        <v>32632</v>
      </c>
      <c r="L274">
        <v>37</v>
      </c>
      <c r="M274" t="s">
        <v>1349</v>
      </c>
      <c r="N274" t="s">
        <v>1345</v>
      </c>
      <c r="O274" t="s">
        <v>2534</v>
      </c>
      <c r="P274" t="s">
        <v>2535</v>
      </c>
      <c r="Q274" s="17"/>
      <c r="S274" t="s">
        <v>2536</v>
      </c>
      <c r="T274" t="s">
        <v>1480</v>
      </c>
      <c r="V274" t="s">
        <v>1408</v>
      </c>
      <c r="W274" t="s">
        <v>1356</v>
      </c>
      <c r="X274" t="s">
        <v>249</v>
      </c>
      <c r="Y274" t="s">
        <v>249</v>
      </c>
      <c r="Z274" t="s">
        <v>1577</v>
      </c>
      <c r="AA274" t="s">
        <v>249</v>
      </c>
      <c r="AB274" t="s">
        <v>249</v>
      </c>
      <c r="AC274" t="s">
        <v>249</v>
      </c>
      <c r="AD274" t="s">
        <v>249</v>
      </c>
    </row>
    <row r="275" spans="1:30" hidden="1" x14ac:dyDescent="0.35">
      <c r="A275" t="s">
        <v>2364</v>
      </c>
      <c r="B275" t="s">
        <v>1475</v>
      </c>
      <c r="C275" t="s">
        <v>294</v>
      </c>
      <c r="D275" t="s">
        <v>2537</v>
      </c>
      <c r="E275" t="s">
        <v>1332</v>
      </c>
      <c r="F275" s="17">
        <v>45722</v>
      </c>
      <c r="H275" s="17"/>
      <c r="I275" t="s">
        <v>2538</v>
      </c>
      <c r="J275">
        <v>15924951</v>
      </c>
      <c r="K275" s="17">
        <v>32768</v>
      </c>
      <c r="L275">
        <v>36</v>
      </c>
      <c r="M275" t="s">
        <v>1349</v>
      </c>
      <c r="N275" t="s">
        <v>1345</v>
      </c>
      <c r="O275" t="s">
        <v>2539</v>
      </c>
      <c r="P275" t="s">
        <v>2540</v>
      </c>
      <c r="Q275" s="17"/>
      <c r="S275" t="s">
        <v>2236</v>
      </c>
      <c r="T275" t="s">
        <v>1480</v>
      </c>
      <c r="U275" t="s">
        <v>1355</v>
      </c>
      <c r="V275" t="s">
        <v>1355</v>
      </c>
      <c r="W275" t="s">
        <v>1356</v>
      </c>
      <c r="X275" t="s">
        <v>1575</v>
      </c>
      <c r="Y275" t="s">
        <v>1576</v>
      </c>
      <c r="Z275" t="s">
        <v>1577</v>
      </c>
      <c r="AA275" t="s">
        <v>2541</v>
      </c>
      <c r="AB275" t="s">
        <v>2542</v>
      </c>
      <c r="AC275" t="s">
        <v>2464</v>
      </c>
      <c r="AD275" t="s">
        <v>2465</v>
      </c>
    </row>
    <row r="276" spans="1:30" hidden="1" x14ac:dyDescent="0.35">
      <c r="A276" t="s">
        <v>2364</v>
      </c>
      <c r="B276" t="s">
        <v>1475</v>
      </c>
      <c r="C276" t="s">
        <v>653</v>
      </c>
      <c r="D276" t="s">
        <v>2543</v>
      </c>
      <c r="E276" t="s">
        <v>1332</v>
      </c>
      <c r="F276" s="17">
        <v>44980</v>
      </c>
      <c r="H276" s="17"/>
      <c r="I276">
        <v>11338664689</v>
      </c>
      <c r="J276" t="s">
        <v>249</v>
      </c>
      <c r="K276" s="17">
        <v>34435</v>
      </c>
      <c r="L276">
        <v>32</v>
      </c>
      <c r="M276" t="s">
        <v>1363</v>
      </c>
      <c r="N276" t="s">
        <v>1345</v>
      </c>
      <c r="O276" t="s">
        <v>2544</v>
      </c>
      <c r="P276" t="s">
        <v>2545</v>
      </c>
      <c r="Q276" s="17"/>
      <c r="S276" t="s">
        <v>2546</v>
      </c>
      <c r="T276" t="s">
        <v>1480</v>
      </c>
      <c r="V276" t="s">
        <v>944</v>
      </c>
      <c r="W276" t="s">
        <v>1356</v>
      </c>
      <c r="X276" t="s">
        <v>1575</v>
      </c>
      <c r="Y276" t="s">
        <v>1576</v>
      </c>
      <c r="Z276" t="s">
        <v>1577</v>
      </c>
      <c r="AA276" t="s">
        <v>1046</v>
      </c>
      <c r="AB276" t="s">
        <v>2041</v>
      </c>
      <c r="AC276" t="s">
        <v>2513</v>
      </c>
      <c r="AD276" t="s">
        <v>2547</v>
      </c>
    </row>
    <row r="277" spans="1:30" hidden="1" x14ac:dyDescent="0.35">
      <c r="A277" t="s">
        <v>2364</v>
      </c>
      <c r="B277" t="s">
        <v>2237</v>
      </c>
      <c r="C277" t="s">
        <v>496</v>
      </c>
      <c r="D277" t="s">
        <v>539</v>
      </c>
      <c r="E277" t="s">
        <v>1332</v>
      </c>
      <c r="F277" s="17">
        <v>44795</v>
      </c>
      <c r="H277" s="17"/>
      <c r="I277">
        <v>10245213627</v>
      </c>
      <c r="J277" t="s">
        <v>249</v>
      </c>
      <c r="K277" s="17">
        <v>32973</v>
      </c>
      <c r="L277">
        <v>36</v>
      </c>
      <c r="M277" t="s">
        <v>1349</v>
      </c>
      <c r="N277" t="s">
        <v>1345</v>
      </c>
      <c r="O277" t="s">
        <v>2548</v>
      </c>
      <c r="P277" t="s">
        <v>540</v>
      </c>
      <c r="Q277" s="17"/>
      <c r="S277" t="s">
        <v>2467</v>
      </c>
      <c r="T277" t="s">
        <v>1480</v>
      </c>
      <c r="V277" t="s">
        <v>1387</v>
      </c>
      <c r="W277" t="s">
        <v>1356</v>
      </c>
      <c r="X277" t="s">
        <v>249</v>
      </c>
      <c r="Y277" t="s">
        <v>249</v>
      </c>
      <c r="Z277" t="s">
        <v>2039</v>
      </c>
      <c r="AA277" t="s">
        <v>249</v>
      </c>
      <c r="AB277" t="s">
        <v>249</v>
      </c>
      <c r="AC277" t="s">
        <v>249</v>
      </c>
      <c r="AD277" t="s">
        <v>249</v>
      </c>
    </row>
    <row r="278" spans="1:30" hidden="1" x14ac:dyDescent="0.35">
      <c r="A278" t="s">
        <v>2364</v>
      </c>
      <c r="B278" t="s">
        <v>2237</v>
      </c>
      <c r="C278" t="s">
        <v>272</v>
      </c>
      <c r="D278" t="s">
        <v>2549</v>
      </c>
      <c r="E278" t="s">
        <v>1332</v>
      </c>
      <c r="F278" s="17">
        <v>44943</v>
      </c>
      <c r="H278" s="17"/>
      <c r="I278">
        <v>1820999548</v>
      </c>
      <c r="J278">
        <v>20053150</v>
      </c>
      <c r="K278" s="17">
        <v>34069</v>
      </c>
      <c r="L278">
        <v>33</v>
      </c>
      <c r="M278" t="s">
        <v>1363</v>
      </c>
      <c r="N278" t="s">
        <v>1345</v>
      </c>
      <c r="O278" t="s">
        <v>2550</v>
      </c>
      <c r="P278" t="s">
        <v>2551</v>
      </c>
      <c r="Q278" s="17"/>
      <c r="S278" t="s">
        <v>2552</v>
      </c>
      <c r="T278" t="s">
        <v>1480</v>
      </c>
      <c r="V278" t="s">
        <v>2501</v>
      </c>
      <c r="W278" t="s">
        <v>2502</v>
      </c>
      <c r="X278" t="s">
        <v>249</v>
      </c>
      <c r="Y278" t="s">
        <v>249</v>
      </c>
      <c r="Z278" t="s">
        <v>1577</v>
      </c>
      <c r="AA278" t="s">
        <v>249</v>
      </c>
      <c r="AB278" t="s">
        <v>249</v>
      </c>
      <c r="AC278" t="s">
        <v>249</v>
      </c>
      <c r="AD278" t="s">
        <v>249</v>
      </c>
    </row>
    <row r="279" spans="1:30" hidden="1" x14ac:dyDescent="0.35">
      <c r="A279" t="s">
        <v>2364</v>
      </c>
      <c r="B279" t="s">
        <v>2237</v>
      </c>
      <c r="C279" t="s">
        <v>2553</v>
      </c>
      <c r="D279" t="s">
        <v>737</v>
      </c>
      <c r="E279" t="s">
        <v>1332</v>
      </c>
      <c r="F279" s="17">
        <v>44250</v>
      </c>
      <c r="H279" s="17"/>
      <c r="I279">
        <v>4271001511</v>
      </c>
      <c r="J279" t="s">
        <v>249</v>
      </c>
      <c r="K279" s="17">
        <v>31848</v>
      </c>
      <c r="L279">
        <v>39</v>
      </c>
      <c r="M279" t="s">
        <v>1349</v>
      </c>
      <c r="N279" t="s">
        <v>1345</v>
      </c>
      <c r="O279" t="s">
        <v>2554</v>
      </c>
      <c r="P279" t="s">
        <v>790</v>
      </c>
      <c r="Q279" s="17"/>
      <c r="S279" t="s">
        <v>2555</v>
      </c>
      <c r="T279" t="s">
        <v>1480</v>
      </c>
      <c r="V279" t="s">
        <v>1390</v>
      </c>
      <c r="W279" t="s">
        <v>1351</v>
      </c>
      <c r="X279" t="s">
        <v>249</v>
      </c>
      <c r="Y279" t="s">
        <v>249</v>
      </c>
      <c r="Z279" t="s">
        <v>2039</v>
      </c>
      <c r="AA279" t="s">
        <v>249</v>
      </c>
      <c r="AB279" t="s">
        <v>249</v>
      </c>
      <c r="AC279" t="s">
        <v>249</v>
      </c>
      <c r="AD279" t="s">
        <v>249</v>
      </c>
    </row>
    <row r="280" spans="1:30" hidden="1" x14ac:dyDescent="0.35">
      <c r="A280" t="s">
        <v>2364</v>
      </c>
      <c r="B280" t="s">
        <v>1475</v>
      </c>
      <c r="C280" t="s">
        <v>445</v>
      </c>
      <c r="D280" t="s">
        <v>2556</v>
      </c>
      <c r="E280" t="s">
        <v>1332</v>
      </c>
      <c r="F280" s="17">
        <v>45286</v>
      </c>
      <c r="H280" s="17"/>
      <c r="I280">
        <v>9098905609</v>
      </c>
      <c r="J280" t="s">
        <v>249</v>
      </c>
      <c r="K280" s="17">
        <v>32632</v>
      </c>
      <c r="L280">
        <v>37</v>
      </c>
      <c r="M280" t="s">
        <v>1349</v>
      </c>
      <c r="N280" t="s">
        <v>1345</v>
      </c>
      <c r="O280" t="s">
        <v>2557</v>
      </c>
      <c r="P280" t="s">
        <v>2558</v>
      </c>
      <c r="Q280" s="17"/>
      <c r="S280" t="s">
        <v>2559</v>
      </c>
      <c r="T280" t="s">
        <v>1480</v>
      </c>
      <c r="V280" t="s">
        <v>941</v>
      </c>
      <c r="W280" t="s">
        <v>1356</v>
      </c>
      <c r="X280" t="s">
        <v>1575</v>
      </c>
      <c r="Y280" t="s">
        <v>1576</v>
      </c>
      <c r="Z280" t="s">
        <v>1577</v>
      </c>
      <c r="AA280" t="s">
        <v>2002</v>
      </c>
      <c r="AB280" t="s">
        <v>249</v>
      </c>
      <c r="AC280" t="s">
        <v>2464</v>
      </c>
      <c r="AD280" t="s">
        <v>2465</v>
      </c>
    </row>
    <row r="281" spans="1:30" hidden="1" x14ac:dyDescent="0.35">
      <c r="A281" t="s">
        <v>2364</v>
      </c>
      <c r="B281" t="s">
        <v>1461</v>
      </c>
      <c r="C281" t="s">
        <v>234</v>
      </c>
      <c r="D281" t="s">
        <v>2560</v>
      </c>
      <c r="E281" t="s">
        <v>1336</v>
      </c>
      <c r="F281" s="17">
        <v>45565</v>
      </c>
      <c r="H281" s="17"/>
      <c r="I281" t="s">
        <v>2561</v>
      </c>
      <c r="J281" t="s">
        <v>249</v>
      </c>
      <c r="K281" s="17">
        <v>35479</v>
      </c>
      <c r="L281">
        <v>29</v>
      </c>
      <c r="M281" t="s">
        <v>1354</v>
      </c>
      <c r="N281" t="s">
        <v>1360</v>
      </c>
      <c r="O281" t="s">
        <v>2562</v>
      </c>
      <c r="P281" t="s">
        <v>2563</v>
      </c>
      <c r="Q281" s="17"/>
      <c r="S281" t="s">
        <v>2564</v>
      </c>
      <c r="T281" t="s">
        <v>1480</v>
      </c>
      <c r="V281" t="s">
        <v>1788</v>
      </c>
      <c r="W281" t="s">
        <v>1789</v>
      </c>
      <c r="X281" t="s">
        <v>249</v>
      </c>
      <c r="Y281" t="s">
        <v>249</v>
      </c>
      <c r="Z281" t="s">
        <v>1577</v>
      </c>
      <c r="AA281" t="s">
        <v>249</v>
      </c>
      <c r="AB281" t="s">
        <v>249</v>
      </c>
      <c r="AC281" t="s">
        <v>249</v>
      </c>
      <c r="AD281" t="s">
        <v>249</v>
      </c>
    </row>
    <row r="282" spans="1:30" hidden="1" x14ac:dyDescent="0.35">
      <c r="A282" t="s">
        <v>2364</v>
      </c>
      <c r="B282" t="s">
        <v>2237</v>
      </c>
      <c r="C282" t="s">
        <v>2565</v>
      </c>
      <c r="D282" t="s">
        <v>2566</v>
      </c>
      <c r="E282" t="s">
        <v>1332</v>
      </c>
      <c r="F282" s="17">
        <v>45106</v>
      </c>
      <c r="H282" s="17"/>
      <c r="I282">
        <v>6391886644</v>
      </c>
      <c r="J282" t="s">
        <v>249</v>
      </c>
      <c r="K282" s="17">
        <v>31264</v>
      </c>
      <c r="L282">
        <v>41</v>
      </c>
      <c r="M282" t="s">
        <v>1344</v>
      </c>
      <c r="N282" t="s">
        <v>1345</v>
      </c>
      <c r="O282" t="s">
        <v>2567</v>
      </c>
      <c r="P282" t="s">
        <v>2568</v>
      </c>
      <c r="Q282" s="17"/>
      <c r="S282" t="s">
        <v>2569</v>
      </c>
      <c r="T282" t="s">
        <v>1480</v>
      </c>
      <c r="V282" t="s">
        <v>1361</v>
      </c>
      <c r="W282" t="s">
        <v>1356</v>
      </c>
      <c r="X282" t="s">
        <v>1942</v>
      </c>
      <c r="Y282" t="s">
        <v>2318</v>
      </c>
      <c r="Z282" t="s">
        <v>2039</v>
      </c>
      <c r="AA282" t="s">
        <v>2040</v>
      </c>
      <c r="AB282" t="s">
        <v>2041</v>
      </c>
      <c r="AC282" t="s">
        <v>2319</v>
      </c>
      <c r="AD282" t="s">
        <v>2319</v>
      </c>
    </row>
    <row r="283" spans="1:30" hidden="1" x14ac:dyDescent="0.35">
      <c r="A283" t="s">
        <v>2364</v>
      </c>
      <c r="B283" t="s">
        <v>1461</v>
      </c>
      <c r="C283" t="s">
        <v>563</v>
      </c>
      <c r="D283" t="s">
        <v>2570</v>
      </c>
      <c r="E283" t="s">
        <v>1332</v>
      </c>
      <c r="F283" s="17">
        <v>45148</v>
      </c>
      <c r="H283" s="17"/>
      <c r="I283" t="s">
        <v>2571</v>
      </c>
      <c r="J283" t="s">
        <v>249</v>
      </c>
      <c r="K283" s="17">
        <v>34373</v>
      </c>
      <c r="L283">
        <v>32</v>
      </c>
      <c r="M283" t="s">
        <v>1363</v>
      </c>
      <c r="N283" t="s">
        <v>1345</v>
      </c>
      <c r="O283" t="s">
        <v>2572</v>
      </c>
      <c r="P283" t="s">
        <v>2573</v>
      </c>
      <c r="Q283" s="17"/>
      <c r="S283" t="s">
        <v>2485</v>
      </c>
      <c r="T283" t="s">
        <v>1480</v>
      </c>
      <c r="V283" t="s">
        <v>1355</v>
      </c>
      <c r="W283" t="s">
        <v>1356</v>
      </c>
      <c r="X283" t="s">
        <v>1575</v>
      </c>
      <c r="Y283" t="s">
        <v>1576</v>
      </c>
      <c r="Z283" t="s">
        <v>1577</v>
      </c>
      <c r="AA283" t="s">
        <v>2574</v>
      </c>
      <c r="AB283" t="s">
        <v>2575</v>
      </c>
      <c r="AC283" t="s">
        <v>1580</v>
      </c>
      <c r="AD283" t="s">
        <v>1581</v>
      </c>
    </row>
    <row r="284" spans="1:30" hidden="1" x14ac:dyDescent="0.35">
      <c r="A284" t="s">
        <v>2364</v>
      </c>
      <c r="B284" t="s">
        <v>1461</v>
      </c>
      <c r="C284" t="s">
        <v>290</v>
      </c>
      <c r="D284" t="s">
        <v>2576</v>
      </c>
      <c r="E284" t="s">
        <v>1332</v>
      </c>
      <c r="F284" s="17">
        <v>45722</v>
      </c>
      <c r="H284" s="17"/>
      <c r="I284" t="s">
        <v>2577</v>
      </c>
      <c r="J284">
        <v>4348344</v>
      </c>
      <c r="K284" s="17">
        <v>30213</v>
      </c>
      <c r="L284">
        <v>43</v>
      </c>
      <c r="M284" t="s">
        <v>1344</v>
      </c>
      <c r="N284" t="s">
        <v>1345</v>
      </c>
      <c r="O284" t="s">
        <v>2578</v>
      </c>
      <c r="P284" t="s">
        <v>2579</v>
      </c>
      <c r="Q284" s="17"/>
      <c r="S284" t="s">
        <v>2536</v>
      </c>
      <c r="T284" t="s">
        <v>1480</v>
      </c>
      <c r="U284" t="s">
        <v>2580</v>
      </c>
      <c r="V284" t="s">
        <v>2333</v>
      </c>
      <c r="W284" t="s">
        <v>2334</v>
      </c>
      <c r="X284" t="s">
        <v>249</v>
      </c>
      <c r="Y284" t="s">
        <v>249</v>
      </c>
      <c r="Z284" t="s">
        <v>1577</v>
      </c>
      <c r="AA284" t="s">
        <v>249</v>
      </c>
      <c r="AB284" t="s">
        <v>249</v>
      </c>
      <c r="AC284" t="s">
        <v>249</v>
      </c>
      <c r="AD284" t="s">
        <v>249</v>
      </c>
    </row>
    <row r="285" spans="1:30" hidden="1" x14ac:dyDescent="0.35">
      <c r="A285" t="s">
        <v>2364</v>
      </c>
      <c r="B285" t="s">
        <v>2237</v>
      </c>
      <c r="C285" t="s">
        <v>2581</v>
      </c>
      <c r="D285" t="s">
        <v>2582</v>
      </c>
      <c r="E285" t="s">
        <v>1332</v>
      </c>
      <c r="F285" s="17">
        <v>45414</v>
      </c>
      <c r="H285" s="17"/>
      <c r="I285" t="s">
        <v>2583</v>
      </c>
      <c r="J285" t="s">
        <v>249</v>
      </c>
      <c r="K285" s="17">
        <v>32394</v>
      </c>
      <c r="L285">
        <v>37</v>
      </c>
      <c r="M285" t="s">
        <v>1349</v>
      </c>
      <c r="N285" t="s">
        <v>1345</v>
      </c>
      <c r="O285" t="s">
        <v>2584</v>
      </c>
      <c r="P285" t="s">
        <v>2585</v>
      </c>
      <c r="Q285" s="17"/>
      <c r="S285" t="s">
        <v>2586</v>
      </c>
      <c r="T285" t="s">
        <v>1480</v>
      </c>
      <c r="V285" t="s">
        <v>1355</v>
      </c>
      <c r="W285" t="s">
        <v>1356</v>
      </c>
      <c r="X285" t="s">
        <v>249</v>
      </c>
      <c r="Y285" t="s">
        <v>249</v>
      </c>
      <c r="Z285" t="s">
        <v>2039</v>
      </c>
      <c r="AA285" t="s">
        <v>249</v>
      </c>
      <c r="AB285" t="s">
        <v>249</v>
      </c>
      <c r="AC285" t="s">
        <v>249</v>
      </c>
      <c r="AD285" t="s">
        <v>249</v>
      </c>
    </row>
    <row r="286" spans="1:30" hidden="1" x14ac:dyDescent="0.35">
      <c r="A286" t="s">
        <v>2364</v>
      </c>
      <c r="B286" t="s">
        <v>2237</v>
      </c>
      <c r="C286" t="s">
        <v>560</v>
      </c>
      <c r="D286" t="s">
        <v>110</v>
      </c>
      <c r="E286" t="s">
        <v>1332</v>
      </c>
      <c r="F286" s="17">
        <v>44964</v>
      </c>
      <c r="H286" s="17"/>
      <c r="I286">
        <v>12135715611</v>
      </c>
      <c r="J286" t="s">
        <v>249</v>
      </c>
      <c r="K286" s="17">
        <v>34830</v>
      </c>
      <c r="L286">
        <v>31</v>
      </c>
      <c r="M286" t="s">
        <v>1363</v>
      </c>
      <c r="N286" t="s">
        <v>1345</v>
      </c>
      <c r="O286" t="s">
        <v>2587</v>
      </c>
      <c r="P286" t="s">
        <v>1146</v>
      </c>
      <c r="Q286" s="17"/>
      <c r="S286" t="s">
        <v>2184</v>
      </c>
      <c r="T286" t="s">
        <v>1480</v>
      </c>
      <c r="V286" t="s">
        <v>1364</v>
      </c>
      <c r="W286" t="s">
        <v>1356</v>
      </c>
      <c r="X286" t="s">
        <v>249</v>
      </c>
      <c r="Y286" t="s">
        <v>249</v>
      </c>
      <c r="Z286" t="s">
        <v>2039</v>
      </c>
      <c r="AA286" t="s">
        <v>249</v>
      </c>
      <c r="AB286" t="s">
        <v>249</v>
      </c>
      <c r="AC286" t="s">
        <v>249</v>
      </c>
      <c r="AD286" t="s">
        <v>249</v>
      </c>
    </row>
    <row r="287" spans="1:30" hidden="1" x14ac:dyDescent="0.35">
      <c r="A287" t="s">
        <v>2364</v>
      </c>
      <c r="B287" t="s">
        <v>2237</v>
      </c>
      <c r="C287" t="s">
        <v>143</v>
      </c>
      <c r="D287" t="s">
        <v>2588</v>
      </c>
      <c r="E287" t="s">
        <v>1336</v>
      </c>
      <c r="F287" s="17">
        <v>44650</v>
      </c>
      <c r="H287" s="17">
        <v>44998</v>
      </c>
      <c r="I287">
        <v>13075641600</v>
      </c>
      <c r="J287" t="s">
        <v>249</v>
      </c>
      <c r="K287" s="17">
        <v>35216</v>
      </c>
      <c r="L287">
        <v>30</v>
      </c>
      <c r="M287" t="s">
        <v>1354</v>
      </c>
      <c r="N287" t="s">
        <v>1345</v>
      </c>
      <c r="O287" t="s">
        <v>2589</v>
      </c>
      <c r="P287" t="s">
        <v>2590</v>
      </c>
      <c r="Q287" s="17"/>
      <c r="S287" t="s">
        <v>1644</v>
      </c>
      <c r="T287" t="s">
        <v>1480</v>
      </c>
      <c r="V287" t="s">
        <v>1387</v>
      </c>
      <c r="W287" t="s">
        <v>1356</v>
      </c>
      <c r="X287" t="s">
        <v>249</v>
      </c>
      <c r="Y287" t="s">
        <v>249</v>
      </c>
      <c r="Z287" t="s">
        <v>2039</v>
      </c>
      <c r="AA287" t="s">
        <v>249</v>
      </c>
      <c r="AB287" t="s">
        <v>249</v>
      </c>
      <c r="AC287" t="s">
        <v>249</v>
      </c>
      <c r="AD287" t="s">
        <v>249</v>
      </c>
    </row>
    <row r="288" spans="1:30" hidden="1" x14ac:dyDescent="0.35">
      <c r="A288" t="s">
        <v>2364</v>
      </c>
      <c r="B288" t="s">
        <v>2237</v>
      </c>
      <c r="C288" t="s">
        <v>2034</v>
      </c>
      <c r="D288" t="s">
        <v>2035</v>
      </c>
      <c r="E288" t="s">
        <v>1332</v>
      </c>
      <c r="F288" s="17">
        <v>45748</v>
      </c>
      <c r="G288" t="s">
        <v>2031</v>
      </c>
      <c r="H288" s="17">
        <v>45034</v>
      </c>
      <c r="I288">
        <v>11737030632</v>
      </c>
      <c r="J288" t="s">
        <v>249</v>
      </c>
      <c r="K288" s="17">
        <v>34168</v>
      </c>
      <c r="L288">
        <v>33</v>
      </c>
      <c r="M288" t="s">
        <v>1363</v>
      </c>
      <c r="N288" t="s">
        <v>1345</v>
      </c>
      <c r="O288" t="s">
        <v>2002</v>
      </c>
      <c r="P288" t="s">
        <v>2036</v>
      </c>
      <c r="Q288" s="17"/>
      <c r="S288" t="s">
        <v>2037</v>
      </c>
      <c r="T288" t="s">
        <v>1480</v>
      </c>
      <c r="U288" t="s">
        <v>1355</v>
      </c>
      <c r="V288" t="s">
        <v>1355</v>
      </c>
      <c r="W288" t="s">
        <v>1356</v>
      </c>
      <c r="X288" t="s">
        <v>1575</v>
      </c>
      <c r="Y288" t="s">
        <v>2038</v>
      </c>
      <c r="Z288" t="s">
        <v>2039</v>
      </c>
      <c r="AA288" t="s">
        <v>2040</v>
      </c>
      <c r="AB288" t="s">
        <v>2041</v>
      </c>
      <c r="AC288" t="s">
        <v>2042</v>
      </c>
      <c r="AD288" t="s">
        <v>2043</v>
      </c>
    </row>
    <row r="289" spans="1:30" hidden="1" x14ac:dyDescent="0.35">
      <c r="A289" t="s">
        <v>2364</v>
      </c>
      <c r="B289" t="s">
        <v>1475</v>
      </c>
      <c r="C289" t="s">
        <v>2591</v>
      </c>
      <c r="D289" t="s">
        <v>150</v>
      </c>
      <c r="E289" t="s">
        <v>1332</v>
      </c>
      <c r="F289" s="17">
        <v>44797</v>
      </c>
      <c r="H289" s="17"/>
      <c r="I289">
        <v>11032925604</v>
      </c>
      <c r="J289" t="s">
        <v>249</v>
      </c>
      <c r="K289" s="17">
        <v>33356</v>
      </c>
      <c r="L289">
        <v>35</v>
      </c>
      <c r="M289" t="s">
        <v>1363</v>
      </c>
      <c r="N289" t="s">
        <v>1345</v>
      </c>
      <c r="O289" t="s">
        <v>2592</v>
      </c>
      <c r="P289" t="s">
        <v>152</v>
      </c>
      <c r="Q289" s="17"/>
      <c r="S289" t="s">
        <v>2593</v>
      </c>
      <c r="T289" t="s">
        <v>1480</v>
      </c>
      <c r="V289" t="s">
        <v>1387</v>
      </c>
      <c r="W289" t="s">
        <v>1356</v>
      </c>
      <c r="X289" t="s">
        <v>249</v>
      </c>
      <c r="Y289" t="s">
        <v>249</v>
      </c>
      <c r="Z289" t="s">
        <v>2039</v>
      </c>
      <c r="AA289" t="s">
        <v>249</v>
      </c>
      <c r="AB289" t="s">
        <v>249</v>
      </c>
      <c r="AC289" t="s">
        <v>249</v>
      </c>
      <c r="AD289" t="s">
        <v>249</v>
      </c>
    </row>
    <row r="290" spans="1:30" hidden="1" x14ac:dyDescent="0.35">
      <c r="A290" t="s">
        <v>2364</v>
      </c>
      <c r="B290" t="s">
        <v>1461</v>
      </c>
      <c r="C290" t="s">
        <v>2594</v>
      </c>
      <c r="D290" t="s">
        <v>2595</v>
      </c>
      <c r="E290" t="s">
        <v>1336</v>
      </c>
      <c r="F290" s="17">
        <v>45111</v>
      </c>
      <c r="H290" s="17"/>
      <c r="I290">
        <v>14751980602</v>
      </c>
      <c r="J290" t="s">
        <v>249</v>
      </c>
      <c r="K290" s="17">
        <v>35397</v>
      </c>
      <c r="L290">
        <v>29</v>
      </c>
      <c r="M290" t="s">
        <v>1354</v>
      </c>
      <c r="N290" t="s">
        <v>1345</v>
      </c>
      <c r="O290" t="s">
        <v>2596</v>
      </c>
      <c r="P290" t="s">
        <v>2597</v>
      </c>
      <c r="Q290" s="17"/>
      <c r="S290" t="s">
        <v>2385</v>
      </c>
      <c r="T290" t="s">
        <v>1466</v>
      </c>
      <c r="V290" t="s">
        <v>1355</v>
      </c>
      <c r="W290" t="s">
        <v>1356</v>
      </c>
      <c r="X290" t="s">
        <v>1575</v>
      </c>
      <c r="Y290" t="s">
        <v>2386</v>
      </c>
      <c r="Z290" t="s">
        <v>2039</v>
      </c>
      <c r="AA290" t="s">
        <v>2040</v>
      </c>
      <c r="AB290" t="s">
        <v>2041</v>
      </c>
      <c r="AC290" t="s">
        <v>2319</v>
      </c>
      <c r="AD290" t="s">
        <v>2387</v>
      </c>
    </row>
    <row r="291" spans="1:30" hidden="1" x14ac:dyDescent="0.35">
      <c r="A291" t="s">
        <v>2364</v>
      </c>
      <c r="B291" t="s">
        <v>2237</v>
      </c>
      <c r="C291" t="s">
        <v>467</v>
      </c>
      <c r="D291" t="s">
        <v>2598</v>
      </c>
      <c r="E291" t="s">
        <v>1332</v>
      </c>
      <c r="F291" s="17">
        <v>44256</v>
      </c>
      <c r="H291" s="17"/>
      <c r="I291">
        <v>12615675605</v>
      </c>
      <c r="J291" t="s">
        <v>249</v>
      </c>
      <c r="K291" s="17">
        <v>35676</v>
      </c>
      <c r="L291">
        <v>28</v>
      </c>
      <c r="M291" t="s">
        <v>1354</v>
      </c>
      <c r="N291" t="s">
        <v>1360</v>
      </c>
      <c r="O291" t="s">
        <v>2599</v>
      </c>
      <c r="P291" t="s">
        <v>2600</v>
      </c>
      <c r="Q291" s="17"/>
      <c r="S291" t="s">
        <v>1656</v>
      </c>
      <c r="T291" t="s">
        <v>1480</v>
      </c>
      <c r="V291" t="s">
        <v>1361</v>
      </c>
      <c r="W291" t="s">
        <v>1378</v>
      </c>
      <c r="X291" t="s">
        <v>249</v>
      </c>
      <c r="Y291" t="s">
        <v>249</v>
      </c>
      <c r="Z291" t="s">
        <v>2039</v>
      </c>
      <c r="AA291" t="s">
        <v>249</v>
      </c>
      <c r="AB291" t="s">
        <v>249</v>
      </c>
      <c r="AC291" t="s">
        <v>249</v>
      </c>
      <c r="AD291" t="s">
        <v>249</v>
      </c>
    </row>
    <row r="292" spans="1:30" hidden="1" x14ac:dyDescent="0.35">
      <c r="A292" t="s">
        <v>2364</v>
      </c>
      <c r="B292" t="s">
        <v>2237</v>
      </c>
      <c r="C292" t="s">
        <v>244</v>
      </c>
      <c r="D292" t="s">
        <v>83</v>
      </c>
      <c r="E292" t="s">
        <v>1332</v>
      </c>
      <c r="F292" s="17">
        <v>44389</v>
      </c>
      <c r="H292" s="17"/>
      <c r="I292">
        <v>6699290690</v>
      </c>
      <c r="J292" t="s">
        <v>249</v>
      </c>
      <c r="K292" s="17">
        <v>34635</v>
      </c>
      <c r="L292">
        <v>31</v>
      </c>
      <c r="M292" t="s">
        <v>1363</v>
      </c>
      <c r="N292" t="s">
        <v>1345</v>
      </c>
      <c r="O292" t="s">
        <v>2601</v>
      </c>
      <c r="P292" s="107" t="s">
        <v>85</v>
      </c>
      <c r="Q292" s="17"/>
      <c r="S292" t="s">
        <v>2602</v>
      </c>
      <c r="T292" t="s">
        <v>1480</v>
      </c>
      <c r="V292" t="s">
        <v>1361</v>
      </c>
      <c r="W292" t="s">
        <v>1356</v>
      </c>
      <c r="X292" t="s">
        <v>1942</v>
      </c>
      <c r="Y292" t="s">
        <v>2396</v>
      </c>
      <c r="Z292" t="s">
        <v>2039</v>
      </c>
      <c r="AA292" t="s">
        <v>2040</v>
      </c>
      <c r="AB292" t="s">
        <v>2041</v>
      </c>
      <c r="AC292" t="s">
        <v>2319</v>
      </c>
      <c r="AD292" t="s">
        <v>2319</v>
      </c>
    </row>
    <row r="293" spans="1:30" hidden="1" x14ac:dyDescent="0.35">
      <c r="A293" t="s">
        <v>2364</v>
      </c>
      <c r="B293" t="s">
        <v>1461</v>
      </c>
      <c r="C293" t="s">
        <v>552</v>
      </c>
      <c r="D293" t="s">
        <v>2603</v>
      </c>
      <c r="E293" t="s">
        <v>1332</v>
      </c>
      <c r="F293" s="17">
        <v>45474</v>
      </c>
      <c r="H293" s="17"/>
      <c r="I293" t="s">
        <v>2604</v>
      </c>
      <c r="J293" t="s">
        <v>249</v>
      </c>
      <c r="K293" s="17">
        <v>34131</v>
      </c>
      <c r="L293">
        <v>33</v>
      </c>
      <c r="M293" t="s">
        <v>1363</v>
      </c>
      <c r="N293" t="s">
        <v>1345</v>
      </c>
      <c r="O293" t="s">
        <v>2605</v>
      </c>
      <c r="P293" t="s">
        <v>2606</v>
      </c>
      <c r="Q293" s="17"/>
      <c r="S293" t="s">
        <v>1491</v>
      </c>
      <c r="T293" t="s">
        <v>1480</v>
      </c>
      <c r="V293" t="s">
        <v>1361</v>
      </c>
      <c r="W293" t="s">
        <v>1356</v>
      </c>
      <c r="X293" t="s">
        <v>1575</v>
      </c>
      <c r="Y293" t="s">
        <v>1576</v>
      </c>
      <c r="Z293" t="s">
        <v>1577</v>
      </c>
      <c r="AA293" t="s">
        <v>2607</v>
      </c>
      <c r="AB293" t="s">
        <v>2041</v>
      </c>
      <c r="AC293" t="s">
        <v>2608</v>
      </c>
      <c r="AD293" t="s">
        <v>2608</v>
      </c>
    </row>
    <row r="294" spans="1:30" hidden="1" x14ac:dyDescent="0.35">
      <c r="A294" t="s">
        <v>2364</v>
      </c>
      <c r="B294" t="s">
        <v>2237</v>
      </c>
      <c r="C294" t="s">
        <v>410</v>
      </c>
      <c r="D294" t="s">
        <v>2609</v>
      </c>
      <c r="E294" t="s">
        <v>1332</v>
      </c>
      <c r="F294" s="17">
        <v>45810</v>
      </c>
      <c r="G294" t="s">
        <v>2115</v>
      </c>
      <c r="H294" s="17"/>
      <c r="I294" t="s">
        <v>1872</v>
      </c>
      <c r="J294" t="s">
        <v>249</v>
      </c>
      <c r="K294" s="17">
        <v>32586</v>
      </c>
      <c r="L294">
        <v>37</v>
      </c>
      <c r="M294" t="s">
        <v>1349</v>
      </c>
      <c r="N294" t="s">
        <v>1345</v>
      </c>
      <c r="O294" t="s">
        <v>1873</v>
      </c>
      <c r="P294" t="s">
        <v>1874</v>
      </c>
      <c r="Q294" s="17"/>
      <c r="S294" t="s">
        <v>1875</v>
      </c>
      <c r="T294" t="s">
        <v>1480</v>
      </c>
      <c r="U294" t="s">
        <v>2610</v>
      </c>
      <c r="V294" t="s">
        <v>2611</v>
      </c>
      <c r="W294" t="s">
        <v>1382</v>
      </c>
      <c r="X294" t="s">
        <v>249</v>
      </c>
      <c r="Y294" t="s">
        <v>249</v>
      </c>
      <c r="Z294" t="s">
        <v>1577</v>
      </c>
      <c r="AA294" t="s">
        <v>249</v>
      </c>
      <c r="AB294" t="s">
        <v>249</v>
      </c>
      <c r="AC294" t="s">
        <v>249</v>
      </c>
      <c r="AD294" t="s">
        <v>249</v>
      </c>
    </row>
    <row r="295" spans="1:30" hidden="1" x14ac:dyDescent="0.35">
      <c r="A295" t="s">
        <v>2364</v>
      </c>
      <c r="B295" t="s">
        <v>1461</v>
      </c>
      <c r="C295" t="s">
        <v>715</v>
      </c>
      <c r="D295" t="s">
        <v>2612</v>
      </c>
      <c r="E295" t="s">
        <v>1332</v>
      </c>
      <c r="F295" s="17">
        <v>45183</v>
      </c>
      <c r="H295" s="17"/>
      <c r="I295" t="s">
        <v>2613</v>
      </c>
      <c r="J295" t="s">
        <v>249</v>
      </c>
      <c r="K295" s="17">
        <v>34311</v>
      </c>
      <c r="L295">
        <v>32</v>
      </c>
      <c r="M295" t="s">
        <v>1363</v>
      </c>
      <c r="N295" t="s">
        <v>1345</v>
      </c>
      <c r="O295" t="s">
        <v>2614</v>
      </c>
      <c r="P295" t="s">
        <v>2615</v>
      </c>
      <c r="Q295" s="17"/>
      <c r="S295" t="s">
        <v>1527</v>
      </c>
      <c r="T295" t="s">
        <v>1480</v>
      </c>
      <c r="V295" t="s">
        <v>2616</v>
      </c>
      <c r="W295" t="s">
        <v>1356</v>
      </c>
      <c r="X295" t="s">
        <v>1575</v>
      </c>
      <c r="Y295" t="s">
        <v>1576</v>
      </c>
      <c r="Z295" t="s">
        <v>1577</v>
      </c>
      <c r="AA295" t="s">
        <v>2617</v>
      </c>
      <c r="AB295" t="s">
        <v>2002</v>
      </c>
      <c r="AC295" t="s">
        <v>1580</v>
      </c>
      <c r="AD295" t="s">
        <v>1581</v>
      </c>
    </row>
    <row r="296" spans="1:30" hidden="1" x14ac:dyDescent="0.35">
      <c r="A296" t="s">
        <v>2364</v>
      </c>
      <c r="B296" t="s">
        <v>2237</v>
      </c>
      <c r="C296" t="s">
        <v>2618</v>
      </c>
      <c r="D296" t="s">
        <v>2619</v>
      </c>
      <c r="E296" t="s">
        <v>1332</v>
      </c>
      <c r="F296" s="17">
        <v>45524</v>
      </c>
      <c r="H296" s="17"/>
      <c r="I296" t="s">
        <v>2620</v>
      </c>
      <c r="J296">
        <v>16679196</v>
      </c>
      <c r="K296" s="17">
        <v>34238</v>
      </c>
      <c r="L296">
        <v>32</v>
      </c>
      <c r="M296" t="s">
        <v>1363</v>
      </c>
      <c r="N296" t="s">
        <v>1345</v>
      </c>
      <c r="O296" t="s">
        <v>2621</v>
      </c>
      <c r="P296" t="s">
        <v>2622</v>
      </c>
      <c r="Q296" s="17"/>
      <c r="S296" t="s">
        <v>2623</v>
      </c>
      <c r="T296" t="s">
        <v>1480</v>
      </c>
      <c r="V296" t="s">
        <v>2624</v>
      </c>
      <c r="W296" t="s">
        <v>1356</v>
      </c>
      <c r="X296" t="s">
        <v>1575</v>
      </c>
      <c r="Y296" t="s">
        <v>2396</v>
      </c>
      <c r="Z296" t="s">
        <v>2039</v>
      </c>
      <c r="AA296" t="s">
        <v>2040</v>
      </c>
      <c r="AB296" t="s">
        <v>2041</v>
      </c>
      <c r="AC296" t="s">
        <v>2397</v>
      </c>
      <c r="AD296" t="s">
        <v>2397</v>
      </c>
    </row>
    <row r="297" spans="1:30" hidden="1" x14ac:dyDescent="0.35">
      <c r="A297" t="s">
        <v>2364</v>
      </c>
      <c r="B297" t="s">
        <v>1475</v>
      </c>
      <c r="C297" t="s">
        <v>129</v>
      </c>
      <c r="D297" t="s">
        <v>2625</v>
      </c>
      <c r="E297" t="s">
        <v>1332</v>
      </c>
      <c r="F297" s="17">
        <v>45482</v>
      </c>
      <c r="H297" s="17"/>
      <c r="I297" t="s">
        <v>2626</v>
      </c>
      <c r="J297" t="s">
        <v>249</v>
      </c>
      <c r="K297" s="17">
        <v>27545</v>
      </c>
      <c r="L297">
        <v>51</v>
      </c>
      <c r="M297" t="s">
        <v>1564</v>
      </c>
      <c r="N297" t="s">
        <v>1380</v>
      </c>
      <c r="O297" t="s">
        <v>2627</v>
      </c>
      <c r="P297" t="s">
        <v>2628</v>
      </c>
      <c r="Q297" s="17"/>
      <c r="S297" t="s">
        <v>1780</v>
      </c>
      <c r="T297" t="s">
        <v>1480</v>
      </c>
      <c r="V297" t="s">
        <v>2475</v>
      </c>
      <c r="W297" t="s">
        <v>1761</v>
      </c>
      <c r="X297" t="s">
        <v>1575</v>
      </c>
      <c r="Y297" t="s">
        <v>1576</v>
      </c>
      <c r="Z297" t="s">
        <v>1577</v>
      </c>
      <c r="AA297" t="s">
        <v>2617</v>
      </c>
      <c r="AB297" t="s">
        <v>2002</v>
      </c>
      <c r="AC297" t="s">
        <v>1580</v>
      </c>
      <c r="AD297" t="s">
        <v>1581</v>
      </c>
    </row>
    <row r="298" spans="1:30" hidden="1" x14ac:dyDescent="0.35">
      <c r="A298" t="s">
        <v>2364</v>
      </c>
      <c r="B298" t="s">
        <v>2237</v>
      </c>
      <c r="C298" t="s">
        <v>689</v>
      </c>
      <c r="D298" t="s">
        <v>707</v>
      </c>
      <c r="E298" t="s">
        <v>1332</v>
      </c>
      <c r="F298" s="17">
        <v>44939</v>
      </c>
      <c r="H298" s="17"/>
      <c r="I298">
        <v>41623751861</v>
      </c>
      <c r="J298" t="s">
        <v>249</v>
      </c>
      <c r="K298" s="17">
        <v>34208</v>
      </c>
      <c r="L298">
        <v>32</v>
      </c>
      <c r="M298" t="s">
        <v>1363</v>
      </c>
      <c r="N298" t="s">
        <v>1345</v>
      </c>
      <c r="O298" t="s">
        <v>2629</v>
      </c>
      <c r="P298" s="107" t="s">
        <v>1011</v>
      </c>
      <c r="Q298" s="17"/>
      <c r="S298" t="s">
        <v>1566</v>
      </c>
      <c r="T298" t="s">
        <v>1480</v>
      </c>
      <c r="V298" t="s">
        <v>2630</v>
      </c>
      <c r="W298" t="s">
        <v>1347</v>
      </c>
      <c r="X298" t="s">
        <v>249</v>
      </c>
      <c r="Y298" t="s">
        <v>249</v>
      </c>
      <c r="Z298" t="s">
        <v>1577</v>
      </c>
      <c r="AA298" t="s">
        <v>249</v>
      </c>
      <c r="AB298" t="s">
        <v>249</v>
      </c>
      <c r="AC298" t="s">
        <v>249</v>
      </c>
      <c r="AD298" t="s">
        <v>249</v>
      </c>
    </row>
    <row r="299" spans="1:30" hidden="1" x14ac:dyDescent="0.35">
      <c r="A299" t="s">
        <v>2364</v>
      </c>
      <c r="B299" t="s">
        <v>1461</v>
      </c>
      <c r="C299" t="s">
        <v>285</v>
      </c>
      <c r="D299" t="s">
        <v>2631</v>
      </c>
      <c r="E299" t="s">
        <v>1332</v>
      </c>
      <c r="F299" s="17">
        <v>44741</v>
      </c>
      <c r="H299" s="17">
        <v>45578</v>
      </c>
      <c r="I299">
        <v>11567735630</v>
      </c>
      <c r="J299" t="s">
        <v>249</v>
      </c>
      <c r="K299" s="17">
        <v>35453</v>
      </c>
      <c r="L299">
        <v>29</v>
      </c>
      <c r="M299" t="s">
        <v>1354</v>
      </c>
      <c r="N299" t="s">
        <v>1360</v>
      </c>
      <c r="O299" t="s">
        <v>2632</v>
      </c>
      <c r="P299" t="s">
        <v>2633</v>
      </c>
      <c r="Q299" s="17"/>
      <c r="S299" t="s">
        <v>2485</v>
      </c>
      <c r="T299" t="s">
        <v>1480</v>
      </c>
      <c r="V299" t="s">
        <v>2634</v>
      </c>
      <c r="W299" t="s">
        <v>1356</v>
      </c>
      <c r="X299" t="s">
        <v>249</v>
      </c>
      <c r="Y299" t="s">
        <v>249</v>
      </c>
      <c r="Z299" t="s">
        <v>1577</v>
      </c>
      <c r="AA299" t="s">
        <v>249</v>
      </c>
      <c r="AB299" t="s">
        <v>249</v>
      </c>
      <c r="AC299" t="s">
        <v>249</v>
      </c>
      <c r="AD299" t="s">
        <v>249</v>
      </c>
    </row>
    <row r="300" spans="1:30" hidden="1" x14ac:dyDescent="0.35">
      <c r="A300" t="s">
        <v>2364</v>
      </c>
      <c r="B300" t="s">
        <v>1461</v>
      </c>
      <c r="C300" t="s">
        <v>2635</v>
      </c>
      <c r="D300" t="s">
        <v>2636</v>
      </c>
      <c r="E300" t="s">
        <v>1336</v>
      </c>
      <c r="F300" s="17">
        <v>45735</v>
      </c>
      <c r="H300" s="17"/>
      <c r="I300">
        <v>96133465620</v>
      </c>
      <c r="J300">
        <v>6888745</v>
      </c>
      <c r="K300" s="17">
        <v>27577</v>
      </c>
      <c r="L300">
        <v>51</v>
      </c>
      <c r="M300" t="s">
        <v>1564</v>
      </c>
      <c r="N300" t="s">
        <v>1380</v>
      </c>
      <c r="O300" t="s">
        <v>2637</v>
      </c>
      <c r="P300" s="107" t="s">
        <v>2638</v>
      </c>
      <c r="Q300" s="17"/>
      <c r="S300" t="s">
        <v>2639</v>
      </c>
      <c r="T300" t="s">
        <v>1466</v>
      </c>
      <c r="U300" t="s">
        <v>2640</v>
      </c>
      <c r="V300" t="s">
        <v>1355</v>
      </c>
      <c r="W300" t="s">
        <v>1356</v>
      </c>
      <c r="X300" t="s">
        <v>1575</v>
      </c>
      <c r="Y300" t="s">
        <v>2318</v>
      </c>
      <c r="Z300" t="s">
        <v>2039</v>
      </c>
      <c r="AA300" t="s">
        <v>2040</v>
      </c>
      <c r="AB300" t="s">
        <v>2041</v>
      </c>
      <c r="AC300" t="s">
        <v>2319</v>
      </c>
      <c r="AD300" t="s">
        <v>2320</v>
      </c>
    </row>
    <row r="301" spans="1:30" hidden="1" x14ac:dyDescent="0.35">
      <c r="A301" t="s">
        <v>2364</v>
      </c>
      <c r="B301" t="s">
        <v>2237</v>
      </c>
      <c r="C301" t="s">
        <v>137</v>
      </c>
      <c r="D301" t="s">
        <v>2641</v>
      </c>
      <c r="E301" t="s">
        <v>1332</v>
      </c>
      <c r="F301" s="17">
        <v>45369</v>
      </c>
      <c r="H301" s="17"/>
      <c r="I301" t="s">
        <v>2642</v>
      </c>
      <c r="J301" t="s">
        <v>249</v>
      </c>
      <c r="K301" s="17">
        <v>34871</v>
      </c>
      <c r="L301">
        <v>31</v>
      </c>
      <c r="M301" t="s">
        <v>1363</v>
      </c>
      <c r="N301" t="s">
        <v>1345</v>
      </c>
      <c r="O301" t="s">
        <v>2643</v>
      </c>
      <c r="P301" t="s">
        <v>2644</v>
      </c>
      <c r="Q301" s="17"/>
      <c r="S301" t="s">
        <v>2201</v>
      </c>
      <c r="T301" t="s">
        <v>1480</v>
      </c>
      <c r="V301" t="s">
        <v>2645</v>
      </c>
      <c r="W301" t="s">
        <v>1347</v>
      </c>
      <c r="X301" t="s">
        <v>249</v>
      </c>
      <c r="Y301" t="s">
        <v>249</v>
      </c>
      <c r="Z301" t="s">
        <v>2039</v>
      </c>
      <c r="AA301" t="s">
        <v>249</v>
      </c>
      <c r="AB301" t="s">
        <v>249</v>
      </c>
      <c r="AC301" t="s">
        <v>249</v>
      </c>
      <c r="AD301" t="s">
        <v>249</v>
      </c>
    </row>
    <row r="302" spans="1:30" hidden="1" x14ac:dyDescent="0.35">
      <c r="A302" t="s">
        <v>1330</v>
      </c>
      <c r="B302" t="s">
        <v>2237</v>
      </c>
      <c r="C302" t="s">
        <v>2646</v>
      </c>
      <c r="D302" t="s">
        <v>2647</v>
      </c>
      <c r="E302" t="s">
        <v>1332</v>
      </c>
      <c r="F302" s="17">
        <v>44791</v>
      </c>
      <c r="H302" s="17"/>
      <c r="I302">
        <v>12981959697</v>
      </c>
      <c r="J302" t="s">
        <v>249</v>
      </c>
      <c r="K302" s="17">
        <v>35416</v>
      </c>
      <c r="L302">
        <v>29</v>
      </c>
      <c r="M302" t="s">
        <v>1354</v>
      </c>
      <c r="N302" t="s">
        <v>1345</v>
      </c>
      <c r="O302" t="s">
        <v>2648</v>
      </c>
      <c r="P302" t="s">
        <v>2649</v>
      </c>
      <c r="Q302" s="17">
        <v>46227</v>
      </c>
      <c r="S302" t="s">
        <v>2650</v>
      </c>
      <c r="T302" t="s">
        <v>249</v>
      </c>
      <c r="V302" t="s">
        <v>1361</v>
      </c>
      <c r="W302" t="s">
        <v>1356</v>
      </c>
      <c r="X302" t="s">
        <v>1942</v>
      </c>
      <c r="Y302" t="s">
        <v>2386</v>
      </c>
      <c r="Z302" t="s">
        <v>2039</v>
      </c>
      <c r="AA302" t="s">
        <v>2040</v>
      </c>
      <c r="AB302" t="s">
        <v>2041</v>
      </c>
      <c r="AC302" t="s">
        <v>2319</v>
      </c>
      <c r="AD302" t="s">
        <v>2319</v>
      </c>
    </row>
    <row r="303" spans="1:30" hidden="1" x14ac:dyDescent="0.35">
      <c r="A303" t="s">
        <v>2364</v>
      </c>
      <c r="B303" t="s">
        <v>1461</v>
      </c>
      <c r="C303" t="s">
        <v>251</v>
      </c>
      <c r="D303" t="s">
        <v>2651</v>
      </c>
      <c r="E303" t="s">
        <v>1332</v>
      </c>
      <c r="F303" s="17">
        <v>45679</v>
      </c>
      <c r="H303" s="17"/>
      <c r="I303" t="s">
        <v>2652</v>
      </c>
      <c r="J303" t="s">
        <v>249</v>
      </c>
      <c r="K303" s="17">
        <v>35300</v>
      </c>
      <c r="L303">
        <v>30</v>
      </c>
      <c r="M303" t="s">
        <v>1354</v>
      </c>
      <c r="N303" t="s">
        <v>1345</v>
      </c>
      <c r="O303" t="s">
        <v>2653</v>
      </c>
      <c r="P303" t="s">
        <v>2654</v>
      </c>
      <c r="Q303" s="17"/>
      <c r="S303" t="s">
        <v>1527</v>
      </c>
      <c r="T303" t="s">
        <v>1480</v>
      </c>
      <c r="U303" t="s">
        <v>1355</v>
      </c>
      <c r="V303" t="s">
        <v>1439</v>
      </c>
      <c r="W303" t="s">
        <v>1356</v>
      </c>
      <c r="X303" t="s">
        <v>249</v>
      </c>
      <c r="Y303" t="s">
        <v>249</v>
      </c>
      <c r="Z303" t="s">
        <v>2039</v>
      </c>
      <c r="AA303" t="s">
        <v>249</v>
      </c>
      <c r="AB303" t="s">
        <v>249</v>
      </c>
      <c r="AC303" t="s">
        <v>249</v>
      </c>
      <c r="AD303" t="s">
        <v>249</v>
      </c>
    </row>
    <row r="304" spans="1:30" hidden="1" x14ac:dyDescent="0.35">
      <c r="A304" t="s">
        <v>2364</v>
      </c>
      <c r="B304" t="s">
        <v>1461</v>
      </c>
      <c r="C304" t="s">
        <v>188</v>
      </c>
      <c r="D304" t="s">
        <v>2655</v>
      </c>
      <c r="E304" t="s">
        <v>1332</v>
      </c>
      <c r="F304" s="17">
        <v>45222</v>
      </c>
      <c r="H304" s="17"/>
      <c r="I304" t="s">
        <v>2656</v>
      </c>
      <c r="J304" t="s">
        <v>249</v>
      </c>
      <c r="K304" s="17">
        <v>36881</v>
      </c>
      <c r="L304">
        <v>25</v>
      </c>
      <c r="M304" t="s">
        <v>1419</v>
      </c>
      <c r="N304" t="s">
        <v>1360</v>
      </c>
      <c r="O304" t="s">
        <v>2657</v>
      </c>
      <c r="P304" t="s">
        <v>2658</v>
      </c>
      <c r="Q304" s="17"/>
      <c r="S304" t="s">
        <v>2287</v>
      </c>
      <c r="T304" t="s">
        <v>1466</v>
      </c>
      <c r="V304" t="s">
        <v>2659</v>
      </c>
      <c r="W304" t="s">
        <v>1356</v>
      </c>
      <c r="X304" t="s">
        <v>249</v>
      </c>
      <c r="Y304" t="s">
        <v>249</v>
      </c>
      <c r="Z304" t="s">
        <v>2039</v>
      </c>
      <c r="AA304" t="s">
        <v>249</v>
      </c>
      <c r="AB304" t="s">
        <v>249</v>
      </c>
      <c r="AC304" t="s">
        <v>249</v>
      </c>
      <c r="AD304" t="s">
        <v>249</v>
      </c>
    </row>
    <row r="305" spans="1:30" hidden="1" x14ac:dyDescent="0.35">
      <c r="A305" t="s">
        <v>2364</v>
      </c>
      <c r="B305" t="s">
        <v>2237</v>
      </c>
      <c r="C305" t="s">
        <v>2660</v>
      </c>
      <c r="D305" t="s">
        <v>2661</v>
      </c>
      <c r="E305" t="s">
        <v>1332</v>
      </c>
      <c r="F305" s="17">
        <v>45728</v>
      </c>
      <c r="H305" s="17"/>
      <c r="I305" t="s">
        <v>2662</v>
      </c>
      <c r="J305">
        <v>17331306</v>
      </c>
      <c r="K305" s="17">
        <v>34793</v>
      </c>
      <c r="L305">
        <v>31</v>
      </c>
      <c r="M305" t="s">
        <v>1363</v>
      </c>
      <c r="N305" t="s">
        <v>1345</v>
      </c>
      <c r="O305" t="s">
        <v>2663</v>
      </c>
      <c r="P305" t="s">
        <v>2664</v>
      </c>
      <c r="Q305" s="17"/>
      <c r="S305" t="s">
        <v>2665</v>
      </c>
      <c r="T305" t="s">
        <v>1480</v>
      </c>
      <c r="U305" t="s">
        <v>2666</v>
      </c>
      <c r="V305" t="s">
        <v>1355</v>
      </c>
      <c r="W305" t="s">
        <v>1356</v>
      </c>
      <c r="X305" t="s">
        <v>249</v>
      </c>
      <c r="Y305" t="s">
        <v>249</v>
      </c>
      <c r="Z305" t="s">
        <v>2039</v>
      </c>
      <c r="AA305" t="s">
        <v>249</v>
      </c>
      <c r="AB305" t="s">
        <v>249</v>
      </c>
      <c r="AC305" t="s">
        <v>249</v>
      </c>
      <c r="AD305" t="s">
        <v>249</v>
      </c>
    </row>
    <row r="306" spans="1:30" hidden="1" x14ac:dyDescent="0.35">
      <c r="A306" t="s">
        <v>2364</v>
      </c>
      <c r="B306" t="s">
        <v>1461</v>
      </c>
      <c r="C306" t="s">
        <v>2667</v>
      </c>
      <c r="D306" t="s">
        <v>2668</v>
      </c>
      <c r="E306" t="s">
        <v>1336</v>
      </c>
      <c r="F306" s="17">
        <v>45369</v>
      </c>
      <c r="H306" s="17"/>
      <c r="I306" t="s">
        <v>2669</v>
      </c>
      <c r="J306" t="s">
        <v>249</v>
      </c>
      <c r="K306" s="17">
        <v>35854</v>
      </c>
      <c r="L306">
        <v>28</v>
      </c>
      <c r="M306" t="s">
        <v>1354</v>
      </c>
      <c r="N306" t="s">
        <v>1360</v>
      </c>
      <c r="O306" t="s">
        <v>2670</v>
      </c>
      <c r="P306" t="s">
        <v>2671</v>
      </c>
      <c r="Q306" s="17"/>
      <c r="S306" t="s">
        <v>2672</v>
      </c>
      <c r="T306" t="s">
        <v>1466</v>
      </c>
      <c r="V306" t="s">
        <v>1381</v>
      </c>
      <c r="W306" t="s">
        <v>1382</v>
      </c>
      <c r="X306" t="s">
        <v>249</v>
      </c>
      <c r="Y306" t="s">
        <v>249</v>
      </c>
      <c r="Z306" t="s">
        <v>1577</v>
      </c>
      <c r="AA306" t="s">
        <v>249</v>
      </c>
      <c r="AB306" t="s">
        <v>249</v>
      </c>
      <c r="AC306" t="s">
        <v>249</v>
      </c>
      <c r="AD306" t="s">
        <v>249</v>
      </c>
    </row>
    <row r="307" spans="1:30" hidden="1" x14ac:dyDescent="0.35">
      <c r="A307" t="s">
        <v>2364</v>
      </c>
      <c r="B307" t="s">
        <v>1475</v>
      </c>
      <c r="C307" t="s">
        <v>443</v>
      </c>
      <c r="D307" t="s">
        <v>172</v>
      </c>
      <c r="E307" t="s">
        <v>1332</v>
      </c>
      <c r="F307" s="17">
        <v>45000</v>
      </c>
      <c r="H307" s="17"/>
      <c r="I307">
        <v>5714393902</v>
      </c>
      <c r="J307" t="s">
        <v>249</v>
      </c>
      <c r="K307" s="17">
        <v>31734</v>
      </c>
      <c r="L307">
        <v>39</v>
      </c>
      <c r="M307" t="s">
        <v>1349</v>
      </c>
      <c r="N307" t="s">
        <v>1345</v>
      </c>
      <c r="O307" t="s">
        <v>2673</v>
      </c>
      <c r="P307" t="s">
        <v>173</v>
      </c>
      <c r="Q307" s="17"/>
      <c r="S307" t="s">
        <v>1802</v>
      </c>
      <c r="T307" t="s">
        <v>1480</v>
      </c>
      <c r="V307" t="s">
        <v>2674</v>
      </c>
      <c r="W307" t="s">
        <v>1722</v>
      </c>
      <c r="X307" t="s">
        <v>1942</v>
      </c>
      <c r="Y307" t="s">
        <v>2476</v>
      </c>
      <c r="Z307" t="s">
        <v>1577</v>
      </c>
      <c r="AA307" t="s">
        <v>1097</v>
      </c>
      <c r="AB307" t="s">
        <v>2041</v>
      </c>
      <c r="AC307" t="s">
        <v>2513</v>
      </c>
      <c r="AD307" t="s">
        <v>2513</v>
      </c>
    </row>
    <row r="308" spans="1:30" hidden="1" x14ac:dyDescent="0.35">
      <c r="A308" t="s">
        <v>2364</v>
      </c>
      <c r="B308" t="s">
        <v>2237</v>
      </c>
      <c r="C308" t="s">
        <v>419</v>
      </c>
      <c r="D308" t="s">
        <v>84</v>
      </c>
      <c r="E308" t="s">
        <v>1332</v>
      </c>
      <c r="F308" s="17">
        <v>44396</v>
      </c>
      <c r="H308" s="17"/>
      <c r="I308">
        <v>13921893658</v>
      </c>
      <c r="J308" t="s">
        <v>249</v>
      </c>
      <c r="K308" s="17">
        <v>35356</v>
      </c>
      <c r="L308">
        <v>29</v>
      </c>
      <c r="M308" t="s">
        <v>1354</v>
      </c>
      <c r="N308" t="s">
        <v>1345</v>
      </c>
      <c r="O308" t="s">
        <v>2675</v>
      </c>
      <c r="P308" t="s">
        <v>86</v>
      </c>
      <c r="Q308" s="17"/>
      <c r="S308" t="s">
        <v>2676</v>
      </c>
      <c r="T308" t="s">
        <v>1480</v>
      </c>
      <c r="V308" t="s">
        <v>1364</v>
      </c>
      <c r="W308" t="s">
        <v>1356</v>
      </c>
      <c r="X308" t="s">
        <v>249</v>
      </c>
      <c r="Y308" t="s">
        <v>249</v>
      </c>
      <c r="Z308" t="s">
        <v>2039</v>
      </c>
      <c r="AA308" t="s">
        <v>249</v>
      </c>
      <c r="AB308" t="s">
        <v>249</v>
      </c>
      <c r="AC308" t="s">
        <v>249</v>
      </c>
      <c r="AD308" t="s">
        <v>249</v>
      </c>
    </row>
    <row r="309" spans="1:30" hidden="1" x14ac:dyDescent="0.35">
      <c r="A309" t="s">
        <v>2364</v>
      </c>
      <c r="B309" t="s">
        <v>1461</v>
      </c>
      <c r="C309" t="s">
        <v>389</v>
      </c>
      <c r="D309" t="s">
        <v>2677</v>
      </c>
      <c r="E309" t="s">
        <v>1332</v>
      </c>
      <c r="F309" s="17">
        <v>44473</v>
      </c>
      <c r="H309" s="17"/>
      <c r="I309">
        <v>14252311608</v>
      </c>
      <c r="J309" t="s">
        <v>249</v>
      </c>
      <c r="K309" s="17">
        <v>36442</v>
      </c>
      <c r="L309">
        <v>26</v>
      </c>
      <c r="M309" t="s">
        <v>1354</v>
      </c>
      <c r="N309" t="s">
        <v>1360</v>
      </c>
      <c r="O309" t="s">
        <v>2678</v>
      </c>
      <c r="P309" t="s">
        <v>2679</v>
      </c>
      <c r="Q309" s="17"/>
      <c r="S309" t="s">
        <v>2680</v>
      </c>
      <c r="T309" t="s">
        <v>1466</v>
      </c>
      <c r="V309" t="s">
        <v>2681</v>
      </c>
      <c r="W309" t="s">
        <v>1356</v>
      </c>
      <c r="X309" t="s">
        <v>1575</v>
      </c>
      <c r="Y309" t="s">
        <v>1576</v>
      </c>
      <c r="Z309" t="s">
        <v>2002</v>
      </c>
      <c r="AA309" t="s">
        <v>2574</v>
      </c>
      <c r="AB309" t="s">
        <v>2575</v>
      </c>
      <c r="AC309" t="s">
        <v>1580</v>
      </c>
      <c r="AD309" t="s">
        <v>1581</v>
      </c>
    </row>
    <row r="310" spans="1:30" hidden="1" x14ac:dyDescent="0.35">
      <c r="A310" t="s">
        <v>2364</v>
      </c>
      <c r="B310" t="s">
        <v>1461</v>
      </c>
      <c r="C310" t="s">
        <v>489</v>
      </c>
      <c r="D310" t="s">
        <v>2682</v>
      </c>
      <c r="E310" t="s">
        <v>1332</v>
      </c>
      <c r="F310" s="17">
        <v>45397</v>
      </c>
      <c r="H310" s="17"/>
      <c r="I310" t="s">
        <v>2683</v>
      </c>
      <c r="J310" t="s">
        <v>249</v>
      </c>
      <c r="K310" s="17">
        <v>36449</v>
      </c>
      <c r="L310">
        <v>26</v>
      </c>
      <c r="M310" t="s">
        <v>1354</v>
      </c>
      <c r="N310" t="s">
        <v>1360</v>
      </c>
      <c r="O310" t="s">
        <v>2684</v>
      </c>
      <c r="P310" t="s">
        <v>2685</v>
      </c>
      <c r="Q310" s="17"/>
      <c r="S310" t="s">
        <v>2409</v>
      </c>
      <c r="T310" t="s">
        <v>1466</v>
      </c>
      <c r="V310" t="s">
        <v>1548</v>
      </c>
      <c r="W310" t="s">
        <v>1356</v>
      </c>
      <c r="X310" t="s">
        <v>249</v>
      </c>
      <c r="Y310" t="s">
        <v>249</v>
      </c>
      <c r="Z310" t="s">
        <v>2039</v>
      </c>
      <c r="AA310" t="s">
        <v>249</v>
      </c>
      <c r="AB310" t="s">
        <v>249</v>
      </c>
      <c r="AC310" t="s">
        <v>249</v>
      </c>
      <c r="AD310" t="s">
        <v>249</v>
      </c>
    </row>
    <row r="311" spans="1:30" hidden="1" x14ac:dyDescent="0.35">
      <c r="A311" t="s">
        <v>2364</v>
      </c>
      <c r="B311" t="s">
        <v>1475</v>
      </c>
      <c r="C311" t="s">
        <v>595</v>
      </c>
      <c r="D311" t="s">
        <v>2686</v>
      </c>
      <c r="E311" t="s">
        <v>1332</v>
      </c>
      <c r="F311" s="17">
        <v>45140</v>
      </c>
      <c r="H311" s="17"/>
      <c r="I311" t="s">
        <v>2687</v>
      </c>
      <c r="J311" t="s">
        <v>249</v>
      </c>
      <c r="K311" s="17">
        <v>33292</v>
      </c>
      <c r="L311">
        <v>35</v>
      </c>
      <c r="M311" t="s">
        <v>1363</v>
      </c>
      <c r="N311" t="s">
        <v>1345</v>
      </c>
      <c r="O311" t="s">
        <v>2688</v>
      </c>
      <c r="P311" t="s">
        <v>2689</v>
      </c>
      <c r="Q311" s="17"/>
      <c r="S311" t="s">
        <v>2236</v>
      </c>
      <c r="T311" t="s">
        <v>1480</v>
      </c>
      <c r="V311" t="s">
        <v>2690</v>
      </c>
      <c r="W311" t="s">
        <v>1417</v>
      </c>
      <c r="X311" t="s">
        <v>249</v>
      </c>
      <c r="Y311" t="s">
        <v>249</v>
      </c>
      <c r="Z311" t="s">
        <v>1577</v>
      </c>
      <c r="AA311" t="s">
        <v>249</v>
      </c>
      <c r="AB311" t="s">
        <v>249</v>
      </c>
      <c r="AC311" t="s">
        <v>249</v>
      </c>
      <c r="AD311" t="s">
        <v>249</v>
      </c>
    </row>
    <row r="312" spans="1:30" hidden="1" x14ac:dyDescent="0.35">
      <c r="A312" t="s">
        <v>2364</v>
      </c>
      <c r="B312" t="s">
        <v>2691</v>
      </c>
      <c r="C312" t="s">
        <v>2692</v>
      </c>
      <c r="D312" t="s">
        <v>2693</v>
      </c>
      <c r="E312" t="s">
        <v>1332</v>
      </c>
      <c r="F312" s="17">
        <v>43286</v>
      </c>
      <c r="H312" s="17"/>
      <c r="I312">
        <v>1478425652</v>
      </c>
      <c r="J312" t="s">
        <v>2694</v>
      </c>
      <c r="K312" s="17">
        <v>30447</v>
      </c>
      <c r="L312">
        <v>43</v>
      </c>
      <c r="M312" t="s">
        <v>1344</v>
      </c>
      <c r="N312" t="s">
        <v>1345</v>
      </c>
      <c r="O312" t="s">
        <v>2695</v>
      </c>
      <c r="P312" t="s">
        <v>2696</v>
      </c>
      <c r="Q312" s="17"/>
      <c r="S312" t="s">
        <v>2697</v>
      </c>
      <c r="T312" t="s">
        <v>1480</v>
      </c>
      <c r="V312" t="s">
        <v>1355</v>
      </c>
      <c r="W312" t="s">
        <v>1356</v>
      </c>
      <c r="X312" t="s">
        <v>1942</v>
      </c>
      <c r="Y312" t="s">
        <v>2698</v>
      </c>
      <c r="Z312" t="s">
        <v>2039</v>
      </c>
      <c r="AA312" t="s">
        <v>2040</v>
      </c>
      <c r="AB312" t="s">
        <v>2041</v>
      </c>
      <c r="AC312" t="s">
        <v>2699</v>
      </c>
      <c r="AD312" t="s">
        <v>2002</v>
      </c>
    </row>
    <row r="313" spans="1:30" hidden="1" x14ac:dyDescent="0.35">
      <c r="A313" t="s">
        <v>2364</v>
      </c>
      <c r="B313" t="s">
        <v>2691</v>
      </c>
      <c r="C313" t="s">
        <v>2700</v>
      </c>
      <c r="D313" t="s">
        <v>993</v>
      </c>
      <c r="E313" t="s">
        <v>1332</v>
      </c>
      <c r="F313" s="17">
        <v>44044</v>
      </c>
      <c r="H313" s="17"/>
      <c r="I313">
        <v>12327138647</v>
      </c>
      <c r="J313" t="s">
        <v>249</v>
      </c>
      <c r="K313" s="17">
        <v>34628</v>
      </c>
      <c r="L313">
        <v>31</v>
      </c>
      <c r="M313" t="s">
        <v>1363</v>
      </c>
      <c r="N313" t="s">
        <v>1345</v>
      </c>
      <c r="O313" t="s">
        <v>2701</v>
      </c>
      <c r="P313" t="s">
        <v>2702</v>
      </c>
      <c r="Q313" s="17"/>
      <c r="S313" t="s">
        <v>2703</v>
      </c>
      <c r="T313" t="s">
        <v>1480</v>
      </c>
      <c r="V313" t="s">
        <v>1361</v>
      </c>
      <c r="W313" t="s">
        <v>1356</v>
      </c>
      <c r="X313" t="s">
        <v>1942</v>
      </c>
      <c r="Y313" t="s">
        <v>2698</v>
      </c>
      <c r="Z313" t="s">
        <v>2039</v>
      </c>
      <c r="AA313" t="s">
        <v>2040</v>
      </c>
      <c r="AB313" t="s">
        <v>2041</v>
      </c>
      <c r="AC313" t="s">
        <v>2699</v>
      </c>
      <c r="AD313" t="s">
        <v>2704</v>
      </c>
    </row>
    <row r="314" spans="1:30" hidden="1" x14ac:dyDescent="0.35">
      <c r="A314" t="s">
        <v>2364</v>
      </c>
      <c r="B314" t="s">
        <v>1461</v>
      </c>
      <c r="C314" t="s">
        <v>399</v>
      </c>
      <c r="D314" t="s">
        <v>2705</v>
      </c>
      <c r="E314" t="s">
        <v>1332</v>
      </c>
      <c r="F314" s="17">
        <v>44929</v>
      </c>
      <c r="H314" s="17"/>
      <c r="I314">
        <v>13622135603</v>
      </c>
      <c r="J314" t="s">
        <v>249</v>
      </c>
      <c r="K314" s="17">
        <v>35431</v>
      </c>
      <c r="L314">
        <v>29</v>
      </c>
      <c r="M314" t="s">
        <v>1354</v>
      </c>
      <c r="N314" t="s">
        <v>1360</v>
      </c>
      <c r="O314" t="s">
        <v>2706</v>
      </c>
      <c r="P314" t="s">
        <v>2707</v>
      </c>
      <c r="Q314" s="17"/>
      <c r="S314" t="s">
        <v>2236</v>
      </c>
      <c r="T314" t="s">
        <v>1480</v>
      </c>
      <c r="V314" t="s">
        <v>2659</v>
      </c>
      <c r="W314" t="s">
        <v>1356</v>
      </c>
      <c r="X314" t="s">
        <v>249</v>
      </c>
      <c r="Y314" t="s">
        <v>249</v>
      </c>
      <c r="Z314" t="s">
        <v>1577</v>
      </c>
      <c r="AA314" t="s">
        <v>249</v>
      </c>
      <c r="AB314" t="s">
        <v>249</v>
      </c>
      <c r="AC314" t="s">
        <v>249</v>
      </c>
      <c r="AD314" t="s">
        <v>249</v>
      </c>
    </row>
    <row r="315" spans="1:30" hidden="1" x14ac:dyDescent="0.35">
      <c r="A315" t="s">
        <v>2364</v>
      </c>
      <c r="B315" t="s">
        <v>2237</v>
      </c>
      <c r="C315" t="s">
        <v>336</v>
      </c>
      <c r="D315" t="s">
        <v>2708</v>
      </c>
      <c r="E315" t="s">
        <v>1332</v>
      </c>
      <c r="F315" s="17">
        <v>45371</v>
      </c>
      <c r="H315" s="17"/>
      <c r="I315" t="s">
        <v>2709</v>
      </c>
      <c r="J315" t="s">
        <v>249</v>
      </c>
      <c r="K315" s="17">
        <v>34764</v>
      </c>
      <c r="L315">
        <v>31</v>
      </c>
      <c r="M315" t="s">
        <v>1363</v>
      </c>
      <c r="N315" t="s">
        <v>1345</v>
      </c>
      <c r="O315" t="s">
        <v>2710</v>
      </c>
      <c r="P315" t="s">
        <v>2711</v>
      </c>
      <c r="Q315" s="17"/>
      <c r="S315" t="s">
        <v>2485</v>
      </c>
      <c r="T315" t="s">
        <v>1480</v>
      </c>
      <c r="V315" t="s">
        <v>2712</v>
      </c>
      <c r="W315" t="s">
        <v>1347</v>
      </c>
      <c r="X315" t="s">
        <v>249</v>
      </c>
      <c r="Y315" t="s">
        <v>249</v>
      </c>
      <c r="Z315" t="s">
        <v>1577</v>
      </c>
      <c r="AA315" t="s">
        <v>249</v>
      </c>
      <c r="AB315" t="s">
        <v>249</v>
      </c>
      <c r="AC315" t="s">
        <v>249</v>
      </c>
      <c r="AD315" t="s">
        <v>249</v>
      </c>
    </row>
    <row r="316" spans="1:30" hidden="1" x14ac:dyDescent="0.35">
      <c r="A316" t="s">
        <v>2364</v>
      </c>
      <c r="B316" t="s">
        <v>1461</v>
      </c>
      <c r="C316" t="s">
        <v>109</v>
      </c>
      <c r="D316" t="s">
        <v>2713</v>
      </c>
      <c r="E316" t="s">
        <v>1336</v>
      </c>
      <c r="F316" s="17">
        <v>44480</v>
      </c>
      <c r="H316" s="17"/>
      <c r="I316">
        <v>10301797609</v>
      </c>
      <c r="J316" t="s">
        <v>249</v>
      </c>
      <c r="K316" s="17">
        <v>34170</v>
      </c>
      <c r="L316">
        <v>33</v>
      </c>
      <c r="M316" t="s">
        <v>1363</v>
      </c>
      <c r="N316" t="s">
        <v>1345</v>
      </c>
      <c r="O316" t="s">
        <v>2714</v>
      </c>
      <c r="P316" t="s">
        <v>2715</v>
      </c>
      <c r="Q316" s="17"/>
      <c r="S316" t="s">
        <v>2716</v>
      </c>
      <c r="T316" t="s">
        <v>1480</v>
      </c>
      <c r="V316" t="s">
        <v>1408</v>
      </c>
      <c r="W316" t="s">
        <v>1356</v>
      </c>
      <c r="X316" t="s">
        <v>1575</v>
      </c>
      <c r="Y316" t="s">
        <v>1576</v>
      </c>
      <c r="Z316" t="s">
        <v>1577</v>
      </c>
      <c r="AA316" t="s">
        <v>2717</v>
      </c>
      <c r="AB316" t="s">
        <v>2041</v>
      </c>
      <c r="AC316" t="s">
        <v>2513</v>
      </c>
      <c r="AD316" t="s">
        <v>2547</v>
      </c>
    </row>
    <row r="317" spans="1:30" hidden="1" x14ac:dyDescent="0.35">
      <c r="A317" t="s">
        <v>2364</v>
      </c>
      <c r="B317" t="s">
        <v>1461</v>
      </c>
      <c r="C317" t="s">
        <v>2718</v>
      </c>
      <c r="D317" t="s">
        <v>2719</v>
      </c>
      <c r="E317" t="s">
        <v>1332</v>
      </c>
      <c r="F317" s="17">
        <v>45351</v>
      </c>
      <c r="H317" s="17"/>
      <c r="I317" t="s">
        <v>2720</v>
      </c>
      <c r="J317" t="s">
        <v>249</v>
      </c>
      <c r="K317" s="17">
        <v>36458</v>
      </c>
      <c r="L317">
        <v>26</v>
      </c>
      <c r="M317" t="s">
        <v>1354</v>
      </c>
      <c r="N317" t="s">
        <v>1360</v>
      </c>
      <c r="O317" t="s">
        <v>2721</v>
      </c>
      <c r="P317" t="s">
        <v>2722</v>
      </c>
      <c r="Q317" s="17"/>
      <c r="S317" t="s">
        <v>2723</v>
      </c>
      <c r="T317" t="s">
        <v>1466</v>
      </c>
      <c r="V317" t="s">
        <v>1361</v>
      </c>
      <c r="W317" t="s">
        <v>1356</v>
      </c>
      <c r="X317" t="s">
        <v>249</v>
      </c>
      <c r="Y317" t="s">
        <v>249</v>
      </c>
      <c r="Z317" t="s">
        <v>2039</v>
      </c>
      <c r="AA317" t="s">
        <v>249</v>
      </c>
      <c r="AB317" t="s">
        <v>249</v>
      </c>
      <c r="AC317" t="s">
        <v>249</v>
      </c>
      <c r="AD317" t="s">
        <v>249</v>
      </c>
    </row>
    <row r="318" spans="1:30" hidden="1" x14ac:dyDescent="0.35">
      <c r="A318" t="s">
        <v>2364</v>
      </c>
      <c r="B318" t="s">
        <v>1461</v>
      </c>
      <c r="C318" t="s">
        <v>504</v>
      </c>
      <c r="D318" t="s">
        <v>2724</v>
      </c>
      <c r="E318" t="s">
        <v>1332</v>
      </c>
      <c r="F318" s="17">
        <v>45575</v>
      </c>
      <c r="H318" s="17"/>
      <c r="I318" t="s">
        <v>2725</v>
      </c>
      <c r="J318" t="s">
        <v>249</v>
      </c>
      <c r="K318" s="17">
        <v>27874</v>
      </c>
      <c r="L318">
        <v>50</v>
      </c>
      <c r="M318" t="s">
        <v>1344</v>
      </c>
      <c r="N318" t="s">
        <v>1380</v>
      </c>
      <c r="O318" t="s">
        <v>2726</v>
      </c>
      <c r="P318" t="s">
        <v>2727</v>
      </c>
      <c r="Q318" s="17"/>
      <c r="S318" t="s">
        <v>1527</v>
      </c>
      <c r="T318" t="s">
        <v>1480</v>
      </c>
      <c r="V318" t="s">
        <v>1364</v>
      </c>
      <c r="W318" t="s">
        <v>1356</v>
      </c>
      <c r="X318" t="s">
        <v>1575</v>
      </c>
      <c r="Y318" t="s">
        <v>1576</v>
      </c>
      <c r="Z318" t="s">
        <v>1577</v>
      </c>
      <c r="AA318" t="s">
        <v>2728</v>
      </c>
      <c r="AB318" t="s">
        <v>2041</v>
      </c>
      <c r="AC318" t="s">
        <v>2513</v>
      </c>
      <c r="AD318" t="s">
        <v>2547</v>
      </c>
    </row>
    <row r="319" spans="1:30" hidden="1" x14ac:dyDescent="0.35">
      <c r="A319" t="s">
        <v>2364</v>
      </c>
      <c r="B319" t="s">
        <v>1461</v>
      </c>
      <c r="C319" t="s">
        <v>350</v>
      </c>
      <c r="D319" t="s">
        <v>2729</v>
      </c>
      <c r="E319" t="s">
        <v>1332</v>
      </c>
      <c r="F319" s="17">
        <v>45083</v>
      </c>
      <c r="H319" s="17"/>
      <c r="I319">
        <v>10941764605</v>
      </c>
      <c r="J319" t="s">
        <v>249</v>
      </c>
      <c r="K319" s="17">
        <v>33565</v>
      </c>
      <c r="L319">
        <v>34</v>
      </c>
      <c r="M319" t="s">
        <v>1363</v>
      </c>
      <c r="N319" t="s">
        <v>1345</v>
      </c>
      <c r="O319" t="s">
        <v>2730</v>
      </c>
      <c r="P319" t="s">
        <v>2731</v>
      </c>
      <c r="Q319" s="17"/>
      <c r="S319" t="s">
        <v>1656</v>
      </c>
      <c r="T319" t="s">
        <v>1480</v>
      </c>
      <c r="V319" t="s">
        <v>2732</v>
      </c>
      <c r="W319" t="s">
        <v>2173</v>
      </c>
      <c r="X319" t="s">
        <v>1575</v>
      </c>
      <c r="Y319" t="s">
        <v>1576</v>
      </c>
      <c r="Z319" t="s">
        <v>1577</v>
      </c>
      <c r="AA319" t="s">
        <v>2733</v>
      </c>
      <c r="AB319" t="s">
        <v>2734</v>
      </c>
      <c r="AC319" t="s">
        <v>2608</v>
      </c>
      <c r="AD319" t="s">
        <v>2608</v>
      </c>
    </row>
    <row r="320" spans="1:30" hidden="1" x14ac:dyDescent="0.35">
      <c r="A320" t="s">
        <v>2364</v>
      </c>
      <c r="B320" t="s">
        <v>1475</v>
      </c>
      <c r="C320" t="s">
        <v>499</v>
      </c>
      <c r="D320" t="s">
        <v>2735</v>
      </c>
      <c r="E320" t="s">
        <v>1332</v>
      </c>
      <c r="F320" s="17">
        <v>45273</v>
      </c>
      <c r="H320" s="17"/>
      <c r="I320">
        <v>3372779070</v>
      </c>
      <c r="J320" t="s">
        <v>249</v>
      </c>
      <c r="K320" s="17">
        <v>34128</v>
      </c>
      <c r="L320">
        <v>33</v>
      </c>
      <c r="M320" t="s">
        <v>1363</v>
      </c>
      <c r="N320" t="s">
        <v>1345</v>
      </c>
      <c r="O320" t="s">
        <v>2736</v>
      </c>
      <c r="P320" t="s">
        <v>2737</v>
      </c>
      <c r="Q320" s="17"/>
      <c r="S320" t="s">
        <v>2559</v>
      </c>
      <c r="T320" t="s">
        <v>1480</v>
      </c>
      <c r="V320" t="s">
        <v>2738</v>
      </c>
      <c r="W320" t="s">
        <v>1782</v>
      </c>
      <c r="X320" t="s">
        <v>1575</v>
      </c>
      <c r="Y320" t="s">
        <v>1576</v>
      </c>
      <c r="Z320" t="s">
        <v>1577</v>
      </c>
      <c r="AA320" t="s">
        <v>2002</v>
      </c>
      <c r="AB320" t="s">
        <v>249</v>
      </c>
      <c r="AC320" t="s">
        <v>2739</v>
      </c>
      <c r="AD320" t="s">
        <v>2739</v>
      </c>
    </row>
    <row r="321" spans="1:30" hidden="1" x14ac:dyDescent="0.35">
      <c r="A321" t="s">
        <v>2364</v>
      </c>
      <c r="B321" t="s">
        <v>2237</v>
      </c>
      <c r="C321" t="s">
        <v>511</v>
      </c>
      <c r="D321" t="s">
        <v>2740</v>
      </c>
      <c r="E321" t="s">
        <v>1332</v>
      </c>
      <c r="F321" s="17">
        <v>44848</v>
      </c>
      <c r="H321" s="17">
        <v>45566</v>
      </c>
      <c r="I321">
        <v>5533016678</v>
      </c>
      <c r="J321" t="s">
        <v>249</v>
      </c>
      <c r="K321" s="17">
        <v>30009</v>
      </c>
      <c r="L321">
        <v>44</v>
      </c>
      <c r="M321" t="s">
        <v>1344</v>
      </c>
      <c r="N321" t="s">
        <v>1345</v>
      </c>
      <c r="O321" t="s">
        <v>2741</v>
      </c>
      <c r="P321" t="s">
        <v>2742</v>
      </c>
      <c r="Q321" s="17"/>
      <c r="S321" t="s">
        <v>2507</v>
      </c>
      <c r="T321" t="s">
        <v>1480</v>
      </c>
      <c r="V321" t="s">
        <v>2743</v>
      </c>
      <c r="W321" t="s">
        <v>1356</v>
      </c>
      <c r="X321" t="s">
        <v>249</v>
      </c>
      <c r="Y321" t="s">
        <v>249</v>
      </c>
      <c r="Z321" t="s">
        <v>2039</v>
      </c>
      <c r="AA321" t="s">
        <v>249</v>
      </c>
      <c r="AB321" t="s">
        <v>249</v>
      </c>
      <c r="AC321" t="s">
        <v>249</v>
      </c>
      <c r="AD321" t="s">
        <v>249</v>
      </c>
    </row>
    <row r="322" spans="1:30" hidden="1" x14ac:dyDescent="0.35">
      <c r="A322" t="s">
        <v>2364</v>
      </c>
      <c r="B322" t="s">
        <v>2237</v>
      </c>
      <c r="C322" t="s">
        <v>404</v>
      </c>
      <c r="D322" t="s">
        <v>515</v>
      </c>
      <c r="E322" t="s">
        <v>1332</v>
      </c>
      <c r="F322" s="17">
        <v>44986</v>
      </c>
      <c r="H322" s="17"/>
      <c r="I322">
        <v>30054539870</v>
      </c>
      <c r="J322" t="s">
        <v>249</v>
      </c>
      <c r="K322" s="17">
        <v>29689</v>
      </c>
      <c r="L322">
        <v>45</v>
      </c>
      <c r="M322" t="s">
        <v>1344</v>
      </c>
      <c r="N322" t="s">
        <v>1345</v>
      </c>
      <c r="O322" t="s">
        <v>2744</v>
      </c>
      <c r="P322" t="s">
        <v>607</v>
      </c>
      <c r="Q322" s="17"/>
      <c r="S322" t="s">
        <v>2745</v>
      </c>
      <c r="T322" t="s">
        <v>1480</v>
      </c>
      <c r="V322" t="s">
        <v>2746</v>
      </c>
      <c r="W322" t="s">
        <v>1347</v>
      </c>
      <c r="X322" t="s">
        <v>249</v>
      </c>
      <c r="Y322" t="s">
        <v>249</v>
      </c>
      <c r="Z322" t="s">
        <v>2039</v>
      </c>
      <c r="AA322" t="s">
        <v>249</v>
      </c>
      <c r="AB322" t="s">
        <v>249</v>
      </c>
      <c r="AC322" t="s">
        <v>249</v>
      </c>
      <c r="AD322" t="s">
        <v>249</v>
      </c>
    </row>
    <row r="323" spans="1:30" hidden="1" x14ac:dyDescent="0.35">
      <c r="A323" t="s">
        <v>1330</v>
      </c>
      <c r="B323" t="s">
        <v>1475</v>
      </c>
      <c r="C323" t="s">
        <v>280</v>
      </c>
      <c r="D323" t="s">
        <v>2747</v>
      </c>
      <c r="E323" t="s">
        <v>1336</v>
      </c>
      <c r="F323" s="17">
        <v>44407</v>
      </c>
      <c r="H323" s="17"/>
      <c r="I323">
        <v>10677105665</v>
      </c>
      <c r="J323" t="s">
        <v>249</v>
      </c>
      <c r="K323" s="17">
        <v>33305</v>
      </c>
      <c r="L323">
        <v>35</v>
      </c>
      <c r="M323" t="s">
        <v>1363</v>
      </c>
      <c r="N323" t="s">
        <v>1345</v>
      </c>
      <c r="O323" t="s">
        <v>2748</v>
      </c>
      <c r="P323" t="s">
        <v>2749</v>
      </c>
      <c r="Q323" s="17">
        <v>46164</v>
      </c>
      <c r="R323" t="s">
        <v>2750</v>
      </c>
      <c r="S323" t="s">
        <v>2236</v>
      </c>
      <c r="T323" t="s">
        <v>249</v>
      </c>
      <c r="V323" t="s">
        <v>1519</v>
      </c>
      <c r="W323" t="s">
        <v>1356</v>
      </c>
      <c r="X323" t="s">
        <v>1575</v>
      </c>
      <c r="Y323" t="s">
        <v>249</v>
      </c>
      <c r="Z323" t="s">
        <v>249</v>
      </c>
      <c r="AA323" t="s">
        <v>249</v>
      </c>
      <c r="AB323" t="s">
        <v>249</v>
      </c>
      <c r="AC323" t="s">
        <v>249</v>
      </c>
      <c r="AD323" t="s">
        <v>249</v>
      </c>
    </row>
    <row r="324" spans="1:30" hidden="1" x14ac:dyDescent="0.35">
      <c r="A324" t="s">
        <v>2364</v>
      </c>
      <c r="B324" t="s">
        <v>1475</v>
      </c>
      <c r="C324" t="s">
        <v>315</v>
      </c>
      <c r="D324" t="s">
        <v>158</v>
      </c>
      <c r="E324" t="s">
        <v>1332</v>
      </c>
      <c r="F324" s="17">
        <v>44858</v>
      </c>
      <c r="H324" s="17"/>
      <c r="I324">
        <v>11358350710</v>
      </c>
      <c r="J324" t="s">
        <v>249</v>
      </c>
      <c r="K324" s="17">
        <v>31930</v>
      </c>
      <c r="L324">
        <v>39</v>
      </c>
      <c r="M324" t="s">
        <v>1349</v>
      </c>
      <c r="N324" t="s">
        <v>1345</v>
      </c>
      <c r="O324" t="s">
        <v>2751</v>
      </c>
      <c r="P324" t="s">
        <v>159</v>
      </c>
      <c r="Q324" s="17"/>
      <c r="S324" t="s">
        <v>2752</v>
      </c>
      <c r="T324" t="s">
        <v>1480</v>
      </c>
      <c r="V324" t="s">
        <v>2753</v>
      </c>
      <c r="W324" t="s">
        <v>1382</v>
      </c>
      <c r="X324" t="s">
        <v>1942</v>
      </c>
      <c r="Y324" t="s">
        <v>1576</v>
      </c>
      <c r="Z324" t="s">
        <v>1577</v>
      </c>
      <c r="AA324" t="s">
        <v>2607</v>
      </c>
      <c r="AB324" t="s">
        <v>2041</v>
      </c>
      <c r="AC324" t="s">
        <v>2608</v>
      </c>
      <c r="AD324" t="s">
        <v>2608</v>
      </c>
    </row>
    <row r="325" spans="1:30" hidden="1" x14ac:dyDescent="0.35">
      <c r="A325" t="s">
        <v>2364</v>
      </c>
      <c r="B325" t="s">
        <v>1461</v>
      </c>
      <c r="C325" t="s">
        <v>361</v>
      </c>
      <c r="D325" t="s">
        <v>2754</v>
      </c>
      <c r="E325" t="s">
        <v>1332</v>
      </c>
      <c r="F325" s="17">
        <v>44876</v>
      </c>
      <c r="H325" s="17"/>
      <c r="I325">
        <v>6439307606</v>
      </c>
      <c r="J325" t="s">
        <v>249</v>
      </c>
      <c r="K325" s="17">
        <v>31548</v>
      </c>
      <c r="L325">
        <v>40</v>
      </c>
      <c r="M325" t="s">
        <v>1349</v>
      </c>
      <c r="N325" t="s">
        <v>1345</v>
      </c>
      <c r="O325" t="s">
        <v>2755</v>
      </c>
      <c r="P325" t="s">
        <v>2756</v>
      </c>
      <c r="Q325" s="17"/>
      <c r="S325" t="s">
        <v>2559</v>
      </c>
      <c r="T325" t="s">
        <v>1480</v>
      </c>
      <c r="V325" t="s">
        <v>2757</v>
      </c>
      <c r="W325" t="s">
        <v>1356</v>
      </c>
      <c r="X325" t="s">
        <v>249</v>
      </c>
      <c r="Y325" t="s">
        <v>249</v>
      </c>
      <c r="Z325" t="s">
        <v>1577</v>
      </c>
      <c r="AA325" t="s">
        <v>249</v>
      </c>
      <c r="AB325" t="s">
        <v>249</v>
      </c>
      <c r="AC325" t="s">
        <v>249</v>
      </c>
      <c r="AD325" t="s">
        <v>249</v>
      </c>
    </row>
    <row r="326" spans="1:30" hidden="1" x14ac:dyDescent="0.35">
      <c r="A326" t="s">
        <v>2364</v>
      </c>
      <c r="B326" t="s">
        <v>1461</v>
      </c>
      <c r="C326" t="s">
        <v>2758</v>
      </c>
      <c r="D326" t="s">
        <v>2759</v>
      </c>
      <c r="E326" t="s">
        <v>1336</v>
      </c>
      <c r="F326" s="17">
        <v>45691</v>
      </c>
      <c r="H326" s="17"/>
      <c r="I326" t="s">
        <v>2760</v>
      </c>
      <c r="J326" t="s">
        <v>249</v>
      </c>
      <c r="K326" s="17">
        <v>32292</v>
      </c>
      <c r="L326">
        <v>38</v>
      </c>
      <c r="M326" t="s">
        <v>1349</v>
      </c>
      <c r="N326" t="s">
        <v>1345</v>
      </c>
      <c r="O326" t="s">
        <v>2761</v>
      </c>
      <c r="P326" t="s">
        <v>2762</v>
      </c>
      <c r="Q326" s="17"/>
      <c r="S326" t="s">
        <v>2763</v>
      </c>
      <c r="T326" t="s">
        <v>1466</v>
      </c>
      <c r="U326" t="s">
        <v>1355</v>
      </c>
      <c r="V326" t="s">
        <v>1355</v>
      </c>
      <c r="W326" t="s">
        <v>1356</v>
      </c>
      <c r="X326" t="s">
        <v>1575</v>
      </c>
      <c r="Y326" t="s">
        <v>2396</v>
      </c>
      <c r="Z326" t="s">
        <v>2039</v>
      </c>
      <c r="AA326" t="s">
        <v>2040</v>
      </c>
      <c r="AB326" t="s">
        <v>2041</v>
      </c>
      <c r="AC326" t="s">
        <v>2397</v>
      </c>
      <c r="AD326" t="s">
        <v>2397</v>
      </c>
    </row>
    <row r="327" spans="1:30" hidden="1" x14ac:dyDescent="0.35">
      <c r="A327" t="s">
        <v>2364</v>
      </c>
      <c r="B327" t="s">
        <v>2237</v>
      </c>
      <c r="C327" t="s">
        <v>526</v>
      </c>
      <c r="D327" t="s">
        <v>121</v>
      </c>
      <c r="E327" t="s">
        <v>1332</v>
      </c>
      <c r="F327" s="17">
        <v>44144</v>
      </c>
      <c r="H327" s="17"/>
      <c r="I327">
        <v>12508677620</v>
      </c>
      <c r="J327" t="s">
        <v>249</v>
      </c>
      <c r="K327" s="17">
        <v>34490</v>
      </c>
      <c r="L327">
        <v>32</v>
      </c>
      <c r="M327" t="s">
        <v>1363</v>
      </c>
      <c r="N327" t="s">
        <v>1345</v>
      </c>
      <c r="O327" t="s">
        <v>2764</v>
      </c>
      <c r="P327" t="s">
        <v>123</v>
      </c>
      <c r="Q327" s="17"/>
      <c r="S327" t="s">
        <v>2765</v>
      </c>
      <c r="T327" t="s">
        <v>1480</v>
      </c>
      <c r="V327" t="s">
        <v>1361</v>
      </c>
      <c r="W327" t="s">
        <v>1356</v>
      </c>
      <c r="X327" t="s">
        <v>1942</v>
      </c>
      <c r="Y327" t="s">
        <v>2476</v>
      </c>
      <c r="Z327" t="s">
        <v>2039</v>
      </c>
      <c r="AA327" t="s">
        <v>2040</v>
      </c>
      <c r="AB327" t="s">
        <v>2041</v>
      </c>
      <c r="AC327" t="s">
        <v>2464</v>
      </c>
      <c r="AD327" t="s">
        <v>2464</v>
      </c>
    </row>
    <row r="328" spans="1:30" hidden="1" x14ac:dyDescent="0.35">
      <c r="A328" t="s">
        <v>2364</v>
      </c>
      <c r="B328" t="s">
        <v>2237</v>
      </c>
      <c r="C328" t="s">
        <v>354</v>
      </c>
      <c r="D328" t="s">
        <v>103</v>
      </c>
      <c r="E328" t="s">
        <v>1332</v>
      </c>
      <c r="F328" s="17">
        <v>44005</v>
      </c>
      <c r="H328" s="17"/>
      <c r="I328">
        <v>13040755676</v>
      </c>
      <c r="J328" t="s">
        <v>2766</v>
      </c>
      <c r="K328" s="17">
        <v>35567</v>
      </c>
      <c r="L328">
        <v>29</v>
      </c>
      <c r="M328" t="s">
        <v>1354</v>
      </c>
      <c r="N328" t="s">
        <v>1360</v>
      </c>
      <c r="O328" t="s">
        <v>2767</v>
      </c>
      <c r="P328" t="s">
        <v>104</v>
      </c>
      <c r="Q328" s="17"/>
      <c r="S328" t="s">
        <v>2467</v>
      </c>
      <c r="T328" t="s">
        <v>1480</v>
      </c>
      <c r="V328" t="s">
        <v>1361</v>
      </c>
      <c r="W328" t="s">
        <v>1356</v>
      </c>
      <c r="X328" t="s">
        <v>249</v>
      </c>
      <c r="Y328" t="s">
        <v>249</v>
      </c>
      <c r="Z328" t="s">
        <v>2039</v>
      </c>
      <c r="AA328" t="s">
        <v>249</v>
      </c>
      <c r="AB328" t="s">
        <v>249</v>
      </c>
      <c r="AC328" t="s">
        <v>249</v>
      </c>
      <c r="AD328" t="s">
        <v>249</v>
      </c>
    </row>
    <row r="329" spans="1:30" hidden="1" x14ac:dyDescent="0.35">
      <c r="A329" t="s">
        <v>2364</v>
      </c>
      <c r="B329" t="s">
        <v>1461</v>
      </c>
      <c r="C329" t="s">
        <v>270</v>
      </c>
      <c r="D329" t="s">
        <v>2768</v>
      </c>
      <c r="E329" t="s">
        <v>1332</v>
      </c>
      <c r="F329" s="17">
        <v>45708</v>
      </c>
      <c r="H329" s="17"/>
      <c r="I329" t="s">
        <v>2769</v>
      </c>
      <c r="J329">
        <v>7703928</v>
      </c>
      <c r="K329" s="17">
        <v>34191</v>
      </c>
      <c r="L329">
        <v>33</v>
      </c>
      <c r="M329" t="s">
        <v>1363</v>
      </c>
      <c r="N329" t="s">
        <v>1345</v>
      </c>
      <c r="O329" t="s">
        <v>2770</v>
      </c>
      <c r="P329" t="s">
        <v>2771</v>
      </c>
      <c r="Q329" s="17"/>
      <c r="S329" t="s">
        <v>2153</v>
      </c>
      <c r="T329" t="s">
        <v>1480</v>
      </c>
      <c r="U329" t="s">
        <v>2772</v>
      </c>
      <c r="V329" t="s">
        <v>1425</v>
      </c>
      <c r="W329" t="s">
        <v>1373</v>
      </c>
      <c r="X329" t="s">
        <v>249</v>
      </c>
      <c r="Y329" t="s">
        <v>249</v>
      </c>
      <c r="Z329" t="s">
        <v>1577</v>
      </c>
      <c r="AA329" t="s">
        <v>249</v>
      </c>
      <c r="AB329" t="s">
        <v>249</v>
      </c>
      <c r="AC329" t="s">
        <v>249</v>
      </c>
      <c r="AD329" t="s">
        <v>249</v>
      </c>
    </row>
    <row r="330" spans="1:30" hidden="1" x14ac:dyDescent="0.35">
      <c r="A330" t="s">
        <v>2364</v>
      </c>
      <c r="B330" t="s">
        <v>1461</v>
      </c>
      <c r="C330" t="s">
        <v>491</v>
      </c>
      <c r="D330" t="s">
        <v>2773</v>
      </c>
      <c r="E330" t="s">
        <v>1332</v>
      </c>
      <c r="F330" s="17">
        <v>45418</v>
      </c>
      <c r="H330" s="17"/>
      <c r="I330" t="s">
        <v>2774</v>
      </c>
      <c r="J330" t="s">
        <v>249</v>
      </c>
      <c r="K330" s="17">
        <v>34506</v>
      </c>
      <c r="L330">
        <v>32</v>
      </c>
      <c r="M330" t="s">
        <v>1363</v>
      </c>
      <c r="N330" t="s">
        <v>1345</v>
      </c>
      <c r="O330" t="s">
        <v>2775</v>
      </c>
      <c r="P330" t="s">
        <v>2776</v>
      </c>
      <c r="Q330" s="17"/>
      <c r="S330" t="s">
        <v>2777</v>
      </c>
      <c r="T330" t="s">
        <v>1480</v>
      </c>
      <c r="V330" t="s">
        <v>2778</v>
      </c>
      <c r="W330" t="s">
        <v>1356</v>
      </c>
      <c r="X330" t="s">
        <v>249</v>
      </c>
      <c r="Y330" t="s">
        <v>249</v>
      </c>
      <c r="Z330" t="s">
        <v>2039</v>
      </c>
      <c r="AA330" t="s">
        <v>249</v>
      </c>
      <c r="AB330" t="s">
        <v>249</v>
      </c>
      <c r="AC330" t="s">
        <v>249</v>
      </c>
      <c r="AD330" t="s">
        <v>249</v>
      </c>
    </row>
    <row r="331" spans="1:30" hidden="1" x14ac:dyDescent="0.35">
      <c r="A331" t="s">
        <v>2364</v>
      </c>
      <c r="B331" t="s">
        <v>2237</v>
      </c>
      <c r="C331" t="s">
        <v>2779</v>
      </c>
      <c r="D331" t="s">
        <v>2780</v>
      </c>
      <c r="E331" t="s">
        <v>1332</v>
      </c>
      <c r="F331" s="17">
        <v>44917</v>
      </c>
      <c r="H331" s="17"/>
      <c r="I331">
        <v>12575575648</v>
      </c>
      <c r="J331" t="s">
        <v>249</v>
      </c>
      <c r="K331" s="17">
        <v>35181</v>
      </c>
      <c r="L331">
        <v>30</v>
      </c>
      <c r="M331" t="s">
        <v>1354</v>
      </c>
      <c r="N331" t="s">
        <v>1345</v>
      </c>
      <c r="O331" t="s">
        <v>2781</v>
      </c>
      <c r="P331" t="s">
        <v>2782</v>
      </c>
      <c r="Q331" s="17"/>
      <c r="S331" t="s">
        <v>2783</v>
      </c>
      <c r="T331" t="s">
        <v>1480</v>
      </c>
      <c r="V331" t="s">
        <v>1355</v>
      </c>
      <c r="W331" t="s">
        <v>1356</v>
      </c>
      <c r="X331" t="s">
        <v>1942</v>
      </c>
      <c r="Y331" t="s">
        <v>2784</v>
      </c>
      <c r="Z331" t="s">
        <v>2039</v>
      </c>
      <c r="AA331" t="s">
        <v>2040</v>
      </c>
      <c r="AB331" t="s">
        <v>2041</v>
      </c>
      <c r="AC331" t="s">
        <v>2042</v>
      </c>
      <c r="AD331" t="s">
        <v>2785</v>
      </c>
    </row>
    <row r="332" spans="1:30" hidden="1" x14ac:dyDescent="0.35">
      <c r="A332" t="s">
        <v>2364</v>
      </c>
      <c r="B332" t="s">
        <v>1475</v>
      </c>
      <c r="C332" t="s">
        <v>223</v>
      </c>
      <c r="D332" t="s">
        <v>211</v>
      </c>
      <c r="E332" t="s">
        <v>1332</v>
      </c>
      <c r="F332" s="17">
        <v>45523</v>
      </c>
      <c r="H332" s="17"/>
      <c r="I332" t="s">
        <v>2786</v>
      </c>
      <c r="J332" t="s">
        <v>249</v>
      </c>
      <c r="K332" s="17">
        <v>29121</v>
      </c>
      <c r="L332">
        <v>46</v>
      </c>
      <c r="M332" t="s">
        <v>1344</v>
      </c>
      <c r="N332" t="s">
        <v>1380</v>
      </c>
      <c r="O332" t="s">
        <v>2787</v>
      </c>
      <c r="P332" t="s">
        <v>204</v>
      </c>
      <c r="Q332" s="17"/>
      <c r="S332" t="s">
        <v>1566</v>
      </c>
      <c r="T332" t="s">
        <v>1480</v>
      </c>
      <c r="V332" t="s">
        <v>1827</v>
      </c>
      <c r="W332" t="s">
        <v>1356</v>
      </c>
      <c r="X332" t="s">
        <v>249</v>
      </c>
      <c r="Y332" t="s">
        <v>249</v>
      </c>
      <c r="Z332" t="s">
        <v>1577</v>
      </c>
      <c r="AA332" t="s">
        <v>249</v>
      </c>
      <c r="AB332" t="s">
        <v>249</v>
      </c>
      <c r="AC332" t="s">
        <v>249</v>
      </c>
      <c r="AD332" t="s">
        <v>249</v>
      </c>
    </row>
    <row r="333" spans="1:30" hidden="1" x14ac:dyDescent="0.35">
      <c r="A333" t="s">
        <v>2364</v>
      </c>
      <c r="B333" t="s">
        <v>2237</v>
      </c>
      <c r="C333" t="s">
        <v>276</v>
      </c>
      <c r="D333" t="s">
        <v>2788</v>
      </c>
      <c r="E333" t="s">
        <v>1332</v>
      </c>
      <c r="F333" s="17">
        <v>44953</v>
      </c>
      <c r="H333" s="17"/>
      <c r="I333">
        <v>40169349829</v>
      </c>
      <c r="J333" t="s">
        <v>249</v>
      </c>
      <c r="K333" s="17">
        <v>33109</v>
      </c>
      <c r="L333">
        <v>36</v>
      </c>
      <c r="M333" t="s">
        <v>1349</v>
      </c>
      <c r="N333" t="s">
        <v>1345</v>
      </c>
      <c r="O333" t="s">
        <v>2789</v>
      </c>
      <c r="P333" t="s">
        <v>2790</v>
      </c>
      <c r="Q333" s="17"/>
      <c r="S333" t="s">
        <v>2485</v>
      </c>
      <c r="T333" t="s">
        <v>1480</v>
      </c>
      <c r="V333" t="s">
        <v>2791</v>
      </c>
      <c r="W333" t="s">
        <v>1347</v>
      </c>
      <c r="X333" t="s">
        <v>249</v>
      </c>
      <c r="Y333" t="s">
        <v>249</v>
      </c>
      <c r="Z333" t="s">
        <v>2039</v>
      </c>
      <c r="AA333" t="s">
        <v>249</v>
      </c>
      <c r="AB333" t="s">
        <v>249</v>
      </c>
      <c r="AC333" t="s">
        <v>249</v>
      </c>
      <c r="AD333" t="s">
        <v>249</v>
      </c>
    </row>
    <row r="334" spans="1:30" hidden="1" x14ac:dyDescent="0.35">
      <c r="A334" t="s">
        <v>2364</v>
      </c>
      <c r="B334" t="s">
        <v>1475</v>
      </c>
      <c r="C334" t="s">
        <v>600</v>
      </c>
      <c r="D334" t="s">
        <v>2792</v>
      </c>
      <c r="E334" t="s">
        <v>1332</v>
      </c>
      <c r="F334" s="17">
        <v>45001</v>
      </c>
      <c r="H334" s="17"/>
      <c r="I334">
        <v>12069113604</v>
      </c>
      <c r="J334" t="s">
        <v>249</v>
      </c>
      <c r="K334" s="17">
        <v>34428</v>
      </c>
      <c r="L334">
        <v>32</v>
      </c>
      <c r="M334" t="s">
        <v>1363</v>
      </c>
      <c r="N334" t="s">
        <v>1345</v>
      </c>
      <c r="O334" t="s">
        <v>2793</v>
      </c>
      <c r="P334" t="s">
        <v>2794</v>
      </c>
      <c r="Q334" s="17"/>
      <c r="S334" t="s">
        <v>2795</v>
      </c>
      <c r="T334" t="s">
        <v>1480</v>
      </c>
      <c r="V334" t="s">
        <v>1917</v>
      </c>
      <c r="W334" t="s">
        <v>1356</v>
      </c>
      <c r="X334" t="s">
        <v>1575</v>
      </c>
      <c r="Y334" t="s">
        <v>1576</v>
      </c>
      <c r="Z334" t="s">
        <v>1577</v>
      </c>
      <c r="AA334" t="s">
        <v>2002</v>
      </c>
      <c r="AB334" t="s">
        <v>249</v>
      </c>
      <c r="AC334" t="s">
        <v>2513</v>
      </c>
      <c r="AD334" t="s">
        <v>2547</v>
      </c>
    </row>
    <row r="335" spans="1:30" hidden="1" x14ac:dyDescent="0.35">
      <c r="A335" t="s">
        <v>1330</v>
      </c>
      <c r="B335" t="s">
        <v>2237</v>
      </c>
      <c r="C335" t="s">
        <v>2796</v>
      </c>
      <c r="D335" t="s">
        <v>2797</v>
      </c>
      <c r="E335" t="s">
        <v>1336</v>
      </c>
      <c r="F335" s="17">
        <v>45839</v>
      </c>
      <c r="G335" t="s">
        <v>2115</v>
      </c>
      <c r="H335" s="17"/>
      <c r="I335" t="s">
        <v>2798</v>
      </c>
      <c r="J335" t="s">
        <v>2799</v>
      </c>
      <c r="K335" s="17">
        <v>35714</v>
      </c>
      <c r="L335">
        <v>28</v>
      </c>
      <c r="M335" t="s">
        <v>1354</v>
      </c>
      <c r="N335" t="s">
        <v>1360</v>
      </c>
      <c r="O335" t="s">
        <v>2800</v>
      </c>
      <c r="P335" t="s">
        <v>2801</v>
      </c>
      <c r="Q335" s="17">
        <v>46159</v>
      </c>
      <c r="R335" t="s">
        <v>2750</v>
      </c>
      <c r="S335" t="s">
        <v>2802</v>
      </c>
      <c r="T335" t="s">
        <v>249</v>
      </c>
      <c r="U335" t="s">
        <v>2244</v>
      </c>
      <c r="V335" t="s">
        <v>1355</v>
      </c>
      <c r="W335" t="s">
        <v>1356</v>
      </c>
      <c r="X335" t="s">
        <v>1575</v>
      </c>
      <c r="Y335" t="s">
        <v>249</v>
      </c>
      <c r="Z335" t="s">
        <v>249</v>
      </c>
      <c r="AA335" t="s">
        <v>249</v>
      </c>
      <c r="AB335" t="s">
        <v>249</v>
      </c>
      <c r="AC335" t="s">
        <v>249</v>
      </c>
      <c r="AD335" t="s">
        <v>249</v>
      </c>
    </row>
    <row r="336" spans="1:30" hidden="1" x14ac:dyDescent="0.35">
      <c r="A336" t="s">
        <v>1330</v>
      </c>
      <c r="B336" t="s">
        <v>1461</v>
      </c>
      <c r="C336" t="s">
        <v>430</v>
      </c>
      <c r="D336" t="s">
        <v>2803</v>
      </c>
      <c r="E336" t="s">
        <v>1332</v>
      </c>
      <c r="F336" s="17">
        <v>45839</v>
      </c>
      <c r="G336" t="s">
        <v>2115</v>
      </c>
      <c r="H336" s="17"/>
      <c r="I336" t="s">
        <v>2804</v>
      </c>
      <c r="J336">
        <v>6139521</v>
      </c>
      <c r="K336" s="17">
        <v>31243</v>
      </c>
      <c r="L336">
        <v>41</v>
      </c>
      <c r="M336" t="s">
        <v>1344</v>
      </c>
      <c r="N336" t="s">
        <v>1345</v>
      </c>
      <c r="O336" t="s">
        <v>2805</v>
      </c>
      <c r="P336" t="s">
        <v>2806</v>
      </c>
      <c r="Q336" s="17"/>
      <c r="S336" t="s">
        <v>2807</v>
      </c>
      <c r="T336" t="s">
        <v>1480</v>
      </c>
      <c r="U336" t="s">
        <v>2808</v>
      </c>
      <c r="V336" t="s">
        <v>2809</v>
      </c>
      <c r="W336" t="s">
        <v>2334</v>
      </c>
      <c r="X336" t="s">
        <v>1575</v>
      </c>
      <c r="Y336" t="s">
        <v>249</v>
      </c>
      <c r="Z336" t="s">
        <v>249</v>
      </c>
      <c r="AA336" t="s">
        <v>249</v>
      </c>
      <c r="AB336" t="s">
        <v>249</v>
      </c>
      <c r="AC336" t="s">
        <v>249</v>
      </c>
      <c r="AD336" t="s">
        <v>249</v>
      </c>
    </row>
    <row r="337" spans="1:30" hidden="1" x14ac:dyDescent="0.35">
      <c r="A337" t="s">
        <v>2364</v>
      </c>
      <c r="B337" t="s">
        <v>1461</v>
      </c>
      <c r="C337" t="s">
        <v>428</v>
      </c>
      <c r="D337" t="s">
        <v>2810</v>
      </c>
      <c r="E337" t="s">
        <v>1332</v>
      </c>
      <c r="F337" s="17">
        <v>45839</v>
      </c>
      <c r="G337" t="s">
        <v>2115</v>
      </c>
      <c r="H337" s="17"/>
      <c r="I337" t="s">
        <v>2811</v>
      </c>
      <c r="J337" t="s">
        <v>2812</v>
      </c>
      <c r="K337" s="17">
        <v>34417</v>
      </c>
      <c r="L337">
        <v>32</v>
      </c>
      <c r="M337" t="s">
        <v>1363</v>
      </c>
      <c r="N337" t="s">
        <v>1345</v>
      </c>
      <c r="O337" t="s">
        <v>2813</v>
      </c>
      <c r="P337" t="s">
        <v>2814</v>
      </c>
      <c r="Q337" s="17"/>
      <c r="S337" t="s">
        <v>2807</v>
      </c>
      <c r="T337" t="s">
        <v>1480</v>
      </c>
      <c r="U337" t="s">
        <v>2815</v>
      </c>
      <c r="V337" t="s">
        <v>1411</v>
      </c>
      <c r="W337" t="s">
        <v>1347</v>
      </c>
      <c r="X337" t="s">
        <v>249</v>
      </c>
      <c r="Y337" t="s">
        <v>249</v>
      </c>
      <c r="Z337" t="s">
        <v>1577</v>
      </c>
      <c r="AA337" t="s">
        <v>249</v>
      </c>
      <c r="AB337" t="s">
        <v>249</v>
      </c>
      <c r="AC337" t="s">
        <v>249</v>
      </c>
      <c r="AD337" t="s">
        <v>249</v>
      </c>
    </row>
    <row r="338" spans="1:30" hidden="1" x14ac:dyDescent="0.35">
      <c r="A338" t="s">
        <v>2364</v>
      </c>
      <c r="B338" t="s">
        <v>1475</v>
      </c>
      <c r="C338" t="s">
        <v>462</v>
      </c>
      <c r="D338" t="s">
        <v>2816</v>
      </c>
      <c r="E338" t="s">
        <v>1332</v>
      </c>
      <c r="F338" s="17">
        <v>45873</v>
      </c>
      <c r="G338" t="s">
        <v>2115</v>
      </c>
      <c r="H338" s="17"/>
      <c r="I338">
        <v>4910926607</v>
      </c>
      <c r="J338" t="s">
        <v>2817</v>
      </c>
      <c r="K338" s="17">
        <v>28925</v>
      </c>
      <c r="L338">
        <v>47</v>
      </c>
      <c r="M338" t="s">
        <v>1344</v>
      </c>
      <c r="N338" t="s">
        <v>1380</v>
      </c>
      <c r="O338" t="s">
        <v>2818</v>
      </c>
      <c r="P338" t="s">
        <v>2819</v>
      </c>
      <c r="Q338" s="17"/>
      <c r="S338" t="s">
        <v>2309</v>
      </c>
      <c r="T338" t="s">
        <v>1480</v>
      </c>
      <c r="U338" t="s">
        <v>2244</v>
      </c>
      <c r="V338" t="s">
        <v>941</v>
      </c>
      <c r="W338" t="s">
        <v>1356</v>
      </c>
      <c r="X338" t="s">
        <v>1575</v>
      </c>
      <c r="Y338" t="s">
        <v>1576</v>
      </c>
      <c r="Z338" t="s">
        <v>1577</v>
      </c>
      <c r="AA338" t="s">
        <v>2002</v>
      </c>
      <c r="AB338" t="s">
        <v>249</v>
      </c>
      <c r="AC338" t="s">
        <v>2513</v>
      </c>
      <c r="AD338" t="s">
        <v>2547</v>
      </c>
    </row>
    <row r="339" spans="1:30" hidden="1" x14ac:dyDescent="0.35">
      <c r="A339" t="s">
        <v>2364</v>
      </c>
      <c r="B339" t="s">
        <v>1475</v>
      </c>
      <c r="C339" t="s">
        <v>465</v>
      </c>
      <c r="D339" t="s">
        <v>2820</v>
      </c>
      <c r="E339" t="s">
        <v>1332</v>
      </c>
      <c r="F339" s="17">
        <v>45880</v>
      </c>
      <c r="G339" t="s">
        <v>2115</v>
      </c>
      <c r="H339" s="17"/>
      <c r="I339" t="s">
        <v>2821</v>
      </c>
      <c r="J339" t="s">
        <v>2822</v>
      </c>
      <c r="K339" s="17">
        <v>33115</v>
      </c>
      <c r="L339">
        <v>35</v>
      </c>
      <c r="M339" t="s">
        <v>1363</v>
      </c>
      <c r="N339" t="s">
        <v>1345</v>
      </c>
      <c r="O339" t="s">
        <v>2823</v>
      </c>
      <c r="P339" t="s">
        <v>2824</v>
      </c>
      <c r="Q339" s="17"/>
      <c r="S339" t="s">
        <v>2825</v>
      </c>
      <c r="T339" t="s">
        <v>1480</v>
      </c>
      <c r="U339" t="s">
        <v>2272</v>
      </c>
      <c r="V339" t="s">
        <v>2826</v>
      </c>
      <c r="W339" t="s">
        <v>1356</v>
      </c>
      <c r="X339" t="s">
        <v>249</v>
      </c>
      <c r="Y339" t="s">
        <v>249</v>
      </c>
      <c r="Z339" t="s">
        <v>1577</v>
      </c>
      <c r="AA339" t="s">
        <v>249</v>
      </c>
      <c r="AB339" t="s">
        <v>249</v>
      </c>
      <c r="AC339" t="s">
        <v>249</v>
      </c>
      <c r="AD339" t="s">
        <v>249</v>
      </c>
    </row>
    <row r="340" spans="1:30" hidden="1" x14ac:dyDescent="0.35">
      <c r="A340" t="s">
        <v>2364</v>
      </c>
      <c r="B340" t="s">
        <v>1461</v>
      </c>
      <c r="C340" t="s">
        <v>472</v>
      </c>
      <c r="D340" t="s">
        <v>2827</v>
      </c>
      <c r="E340" t="s">
        <v>1336</v>
      </c>
      <c r="F340" s="17">
        <v>45881</v>
      </c>
      <c r="G340" t="s">
        <v>2115</v>
      </c>
      <c r="H340" s="17"/>
      <c r="I340" t="s">
        <v>2828</v>
      </c>
      <c r="J340" t="s">
        <v>2829</v>
      </c>
      <c r="K340" s="17">
        <v>35685</v>
      </c>
      <c r="L340">
        <v>28</v>
      </c>
      <c r="M340" t="s">
        <v>1354</v>
      </c>
      <c r="N340" t="s">
        <v>1360</v>
      </c>
      <c r="O340" t="s">
        <v>2830</v>
      </c>
      <c r="P340" t="s">
        <v>2831</v>
      </c>
      <c r="Q340" s="17"/>
      <c r="S340" t="s">
        <v>2236</v>
      </c>
      <c r="T340" t="s">
        <v>1480</v>
      </c>
      <c r="V340" t="s">
        <v>2832</v>
      </c>
      <c r="W340" t="s">
        <v>2132</v>
      </c>
      <c r="X340" t="s">
        <v>1575</v>
      </c>
      <c r="Y340" t="s">
        <v>1576</v>
      </c>
      <c r="Z340" t="s">
        <v>1577</v>
      </c>
      <c r="AA340" t="s">
        <v>2833</v>
      </c>
      <c r="AB340" t="s">
        <v>2041</v>
      </c>
      <c r="AC340" t="s">
        <v>2513</v>
      </c>
      <c r="AD340" t="s">
        <v>2547</v>
      </c>
    </row>
    <row r="341" spans="1:30" hidden="1" x14ac:dyDescent="0.35">
      <c r="A341" t="s">
        <v>1330</v>
      </c>
      <c r="B341" t="s">
        <v>1461</v>
      </c>
      <c r="C341" t="s">
        <v>2834</v>
      </c>
      <c r="D341" t="s">
        <v>2835</v>
      </c>
      <c r="E341" t="s">
        <v>1336</v>
      </c>
      <c r="F341" s="17">
        <v>45888</v>
      </c>
      <c r="G341" t="s">
        <v>2115</v>
      </c>
      <c r="H341" s="17"/>
      <c r="I341" t="s">
        <v>2836</v>
      </c>
      <c r="J341" t="s">
        <v>2837</v>
      </c>
      <c r="K341" s="17">
        <v>35909</v>
      </c>
      <c r="L341">
        <v>28</v>
      </c>
      <c r="M341" t="s">
        <v>1354</v>
      </c>
      <c r="N341" t="s">
        <v>1360</v>
      </c>
      <c r="O341" t="s">
        <v>2838</v>
      </c>
      <c r="P341" t="s">
        <v>2839</v>
      </c>
      <c r="Q341" s="17">
        <v>46238</v>
      </c>
      <c r="S341" t="s">
        <v>1503</v>
      </c>
      <c r="T341" t="s">
        <v>249</v>
      </c>
      <c r="U341" t="s">
        <v>2244</v>
      </c>
      <c r="V341" t="s">
        <v>1355</v>
      </c>
      <c r="W341" t="s">
        <v>1356</v>
      </c>
      <c r="X341" t="s">
        <v>1575</v>
      </c>
      <c r="Y341" t="s">
        <v>2402</v>
      </c>
      <c r="Z341" t="s">
        <v>2039</v>
      </c>
      <c r="AA341" t="s">
        <v>2040</v>
      </c>
      <c r="AB341" t="s">
        <v>2041</v>
      </c>
      <c r="AC341" t="s">
        <v>2403</v>
      </c>
      <c r="AD341" t="s">
        <v>2404</v>
      </c>
    </row>
    <row r="342" spans="1:30" hidden="1" x14ac:dyDescent="0.35">
      <c r="A342" t="s">
        <v>2364</v>
      </c>
      <c r="B342" t="s">
        <v>1475</v>
      </c>
      <c r="C342" t="s">
        <v>481</v>
      </c>
      <c r="D342" t="s">
        <v>2840</v>
      </c>
      <c r="E342" t="s">
        <v>1332</v>
      </c>
      <c r="F342" s="17">
        <v>45891</v>
      </c>
      <c r="G342" t="s">
        <v>2115</v>
      </c>
      <c r="H342" s="17"/>
      <c r="I342" t="s">
        <v>2841</v>
      </c>
      <c r="J342" t="s">
        <v>2842</v>
      </c>
      <c r="K342" s="17">
        <v>33765</v>
      </c>
      <c r="L342">
        <v>34</v>
      </c>
      <c r="M342" t="s">
        <v>1363</v>
      </c>
      <c r="N342" t="s">
        <v>1345</v>
      </c>
      <c r="O342" t="s">
        <v>2843</v>
      </c>
      <c r="P342" t="s">
        <v>2844</v>
      </c>
      <c r="Q342" s="17"/>
      <c r="S342" t="s">
        <v>2236</v>
      </c>
      <c r="T342" t="s">
        <v>1480</v>
      </c>
      <c r="U342" t="s">
        <v>2845</v>
      </c>
      <c r="X342" t="s">
        <v>1575</v>
      </c>
      <c r="Y342" t="s">
        <v>1576</v>
      </c>
      <c r="Z342" t="s">
        <v>1577</v>
      </c>
      <c r="AA342" t="s">
        <v>2607</v>
      </c>
      <c r="AB342" t="s">
        <v>2041</v>
      </c>
      <c r="AC342" t="s">
        <v>2608</v>
      </c>
      <c r="AD342" t="s">
        <v>2608</v>
      </c>
    </row>
    <row r="343" spans="1:30" hidden="1" x14ac:dyDescent="0.35">
      <c r="A343" t="s">
        <v>2364</v>
      </c>
      <c r="B343" t="s">
        <v>1461</v>
      </c>
      <c r="C343" t="s">
        <v>477</v>
      </c>
      <c r="D343" t="s">
        <v>2846</v>
      </c>
      <c r="E343" t="s">
        <v>1332</v>
      </c>
      <c r="F343" s="17">
        <v>45889</v>
      </c>
      <c r="G343" t="s">
        <v>2115</v>
      </c>
      <c r="H343" s="17"/>
      <c r="I343" t="s">
        <v>2847</v>
      </c>
      <c r="J343">
        <v>7302222</v>
      </c>
      <c r="K343" s="17">
        <v>34405</v>
      </c>
      <c r="L343">
        <v>32</v>
      </c>
      <c r="M343" t="s">
        <v>1363</v>
      </c>
      <c r="N343" t="s">
        <v>1345</v>
      </c>
      <c r="O343" t="s">
        <v>2848</v>
      </c>
      <c r="P343" t="s">
        <v>2849</v>
      </c>
      <c r="Q343" s="17"/>
      <c r="S343" t="s">
        <v>1875</v>
      </c>
      <c r="T343" t="s">
        <v>1480</v>
      </c>
      <c r="U343" t="s">
        <v>2850</v>
      </c>
      <c r="X343" t="s">
        <v>1575</v>
      </c>
      <c r="Y343" t="s">
        <v>1576</v>
      </c>
      <c r="Z343" t="s">
        <v>1577</v>
      </c>
      <c r="AA343" t="s">
        <v>1578</v>
      </c>
      <c r="AB343" t="s">
        <v>1579</v>
      </c>
      <c r="AC343" t="s">
        <v>1580</v>
      </c>
      <c r="AD343" t="s">
        <v>1581</v>
      </c>
    </row>
    <row r="344" spans="1:30" hidden="1" x14ac:dyDescent="0.35">
      <c r="A344" t="s">
        <v>2364</v>
      </c>
      <c r="B344" t="s">
        <v>1461</v>
      </c>
      <c r="C344" t="s">
        <v>2851</v>
      </c>
      <c r="D344" t="s">
        <v>2852</v>
      </c>
      <c r="E344" t="s">
        <v>1332</v>
      </c>
      <c r="F344" s="17">
        <v>45894</v>
      </c>
      <c r="H344" s="17"/>
      <c r="I344">
        <v>9824720642</v>
      </c>
      <c r="J344" t="s">
        <v>2853</v>
      </c>
      <c r="K344" s="17">
        <v>33735</v>
      </c>
      <c r="L344">
        <v>34</v>
      </c>
      <c r="M344" t="s">
        <v>1363</v>
      </c>
      <c r="N344" t="s">
        <v>1345</v>
      </c>
      <c r="O344" t="s">
        <v>2854</v>
      </c>
      <c r="P344" t="s">
        <v>2855</v>
      </c>
      <c r="Q344" s="17"/>
      <c r="S344" t="s">
        <v>2856</v>
      </c>
      <c r="T344" t="s">
        <v>1466</v>
      </c>
      <c r="X344" t="s">
        <v>1575</v>
      </c>
      <c r="Y344" t="s">
        <v>2396</v>
      </c>
      <c r="Z344" t="s">
        <v>2039</v>
      </c>
      <c r="AA344" t="s">
        <v>2040</v>
      </c>
      <c r="AB344" t="s">
        <v>2041</v>
      </c>
      <c r="AC344" t="s">
        <v>2397</v>
      </c>
      <c r="AD344" t="s">
        <v>2397</v>
      </c>
    </row>
    <row r="345" spans="1:30" hidden="1" x14ac:dyDescent="0.35">
      <c r="A345" t="s">
        <v>2364</v>
      </c>
      <c r="B345" t="s">
        <v>1461</v>
      </c>
      <c r="C345" t="s">
        <v>502</v>
      </c>
      <c r="D345" t="s">
        <v>2857</v>
      </c>
      <c r="E345" t="s">
        <v>1332</v>
      </c>
      <c r="F345" s="17">
        <v>45903</v>
      </c>
      <c r="H345" s="17"/>
      <c r="I345" t="s">
        <v>2858</v>
      </c>
      <c r="J345" t="s">
        <v>2859</v>
      </c>
      <c r="K345" s="17">
        <v>33334</v>
      </c>
      <c r="L345">
        <v>35</v>
      </c>
      <c r="M345" t="s">
        <v>1363</v>
      </c>
      <c r="N345" t="s">
        <v>1345</v>
      </c>
      <c r="O345" t="s">
        <v>2860</v>
      </c>
      <c r="P345" t="s">
        <v>2861</v>
      </c>
      <c r="Q345" s="17"/>
      <c r="S345" t="s">
        <v>2220</v>
      </c>
      <c r="T345" t="s">
        <v>1480</v>
      </c>
      <c r="X345" t="s">
        <v>249</v>
      </c>
      <c r="Y345" t="s">
        <v>249</v>
      </c>
      <c r="Z345" t="s">
        <v>2039</v>
      </c>
      <c r="AA345" t="s">
        <v>249</v>
      </c>
      <c r="AB345" t="s">
        <v>249</v>
      </c>
      <c r="AC345" t="s">
        <v>249</v>
      </c>
      <c r="AD345" t="s">
        <v>249</v>
      </c>
    </row>
    <row r="346" spans="1:30" hidden="1" x14ac:dyDescent="0.35">
      <c r="A346" t="s">
        <v>2364</v>
      </c>
      <c r="B346" t="s">
        <v>2237</v>
      </c>
      <c r="C346" t="s">
        <v>2862</v>
      </c>
      <c r="D346" t="s">
        <v>2863</v>
      </c>
      <c r="E346" t="s">
        <v>1332</v>
      </c>
      <c r="F346" s="17">
        <v>45908</v>
      </c>
      <c r="H346" s="17"/>
      <c r="I346" t="s">
        <v>2864</v>
      </c>
      <c r="J346" t="s">
        <v>2865</v>
      </c>
      <c r="K346" s="17">
        <v>32023</v>
      </c>
      <c r="L346">
        <v>38</v>
      </c>
      <c r="M346" t="s">
        <v>1349</v>
      </c>
      <c r="N346" t="s">
        <v>1345</v>
      </c>
      <c r="O346" t="s">
        <v>2866</v>
      </c>
      <c r="P346" t="s">
        <v>2867</v>
      </c>
      <c r="Q346" s="17"/>
      <c r="S346" t="s">
        <v>2531</v>
      </c>
      <c r="T346" t="s">
        <v>1480</v>
      </c>
      <c r="X346" t="s">
        <v>249</v>
      </c>
      <c r="Y346" t="s">
        <v>249</v>
      </c>
      <c r="Z346" t="s">
        <v>2039</v>
      </c>
      <c r="AA346" t="s">
        <v>249</v>
      </c>
      <c r="AB346" t="s">
        <v>249</v>
      </c>
      <c r="AC346" t="s">
        <v>249</v>
      </c>
      <c r="AD346" t="s">
        <v>249</v>
      </c>
    </row>
    <row r="347" spans="1:30" hidden="1" x14ac:dyDescent="0.35">
      <c r="A347" t="s">
        <v>2364</v>
      </c>
      <c r="B347" t="s">
        <v>2237</v>
      </c>
      <c r="C347" t="s">
        <v>2868</v>
      </c>
      <c r="D347" t="s">
        <v>2869</v>
      </c>
      <c r="E347" t="s">
        <v>1336</v>
      </c>
      <c r="F347" s="17">
        <v>45924</v>
      </c>
      <c r="H347" s="17"/>
      <c r="I347" t="s">
        <v>2870</v>
      </c>
      <c r="J347" t="s">
        <v>2871</v>
      </c>
      <c r="K347" s="17">
        <v>32539</v>
      </c>
      <c r="L347">
        <v>37</v>
      </c>
      <c r="M347" t="s">
        <v>1349</v>
      </c>
      <c r="N347" t="s">
        <v>1345</v>
      </c>
      <c r="O347" t="s">
        <v>2872</v>
      </c>
      <c r="P347" t="s">
        <v>2873</v>
      </c>
      <c r="Q347" s="17"/>
      <c r="S347" t="s">
        <v>2874</v>
      </c>
      <c r="T347" t="s">
        <v>1480</v>
      </c>
      <c r="X347" t="s">
        <v>249</v>
      </c>
      <c r="Y347" t="s">
        <v>249</v>
      </c>
      <c r="Z347" t="s">
        <v>2039</v>
      </c>
      <c r="AA347" t="s">
        <v>249</v>
      </c>
      <c r="AB347" t="s">
        <v>249</v>
      </c>
      <c r="AC347" t="s">
        <v>249</v>
      </c>
      <c r="AD347" t="s">
        <v>249</v>
      </c>
    </row>
    <row r="348" spans="1:30" hidden="1" x14ac:dyDescent="0.35">
      <c r="A348" t="s">
        <v>2364</v>
      </c>
      <c r="B348" t="s">
        <v>1475</v>
      </c>
      <c r="C348" t="s">
        <v>520</v>
      </c>
      <c r="D348" t="s">
        <v>2875</v>
      </c>
      <c r="E348" t="s">
        <v>1332</v>
      </c>
      <c r="F348" s="17">
        <v>45922</v>
      </c>
      <c r="H348" s="17"/>
      <c r="I348" t="s">
        <v>2876</v>
      </c>
      <c r="J348">
        <v>399904520105</v>
      </c>
      <c r="K348" s="17">
        <v>35379</v>
      </c>
      <c r="L348">
        <v>29</v>
      </c>
      <c r="M348" t="s">
        <v>1354</v>
      </c>
      <c r="N348" t="s">
        <v>1345</v>
      </c>
      <c r="O348" t="s">
        <v>2877</v>
      </c>
      <c r="P348" t="s">
        <v>2878</v>
      </c>
      <c r="Q348" s="17"/>
      <c r="S348" t="s">
        <v>1511</v>
      </c>
      <c r="T348" t="s">
        <v>1480</v>
      </c>
      <c r="X348" t="s">
        <v>1575</v>
      </c>
      <c r="Y348" t="s">
        <v>1576</v>
      </c>
      <c r="Z348" t="s">
        <v>1577</v>
      </c>
      <c r="AA348" t="s">
        <v>2879</v>
      </c>
      <c r="AB348" t="s">
        <v>2512</v>
      </c>
      <c r="AC348" t="s">
        <v>2739</v>
      </c>
      <c r="AD348" t="s">
        <v>2739</v>
      </c>
    </row>
    <row r="349" spans="1:30" hidden="1" x14ac:dyDescent="0.35">
      <c r="A349" t="s">
        <v>1330</v>
      </c>
      <c r="B349" t="s">
        <v>1475</v>
      </c>
      <c r="C349" t="s">
        <v>545</v>
      </c>
      <c r="D349" t="s">
        <v>2880</v>
      </c>
      <c r="E349" t="s">
        <v>1332</v>
      </c>
      <c r="F349" s="17">
        <v>45931</v>
      </c>
      <c r="H349" s="17"/>
      <c r="I349" t="s">
        <v>2881</v>
      </c>
      <c r="J349">
        <v>2211064</v>
      </c>
      <c r="K349" s="17">
        <v>32189</v>
      </c>
      <c r="L349">
        <v>38</v>
      </c>
      <c r="M349" t="s">
        <v>1349</v>
      </c>
      <c r="N349" t="s">
        <v>1345</v>
      </c>
      <c r="O349" t="s">
        <v>2882</v>
      </c>
      <c r="P349" t="s">
        <v>2883</v>
      </c>
      <c r="Q349" s="17">
        <v>46245</v>
      </c>
      <c r="S349" t="s">
        <v>2236</v>
      </c>
      <c r="T349" t="s">
        <v>249</v>
      </c>
      <c r="X349" t="s">
        <v>1575</v>
      </c>
      <c r="Y349" t="s">
        <v>249</v>
      </c>
      <c r="Z349" t="s">
        <v>1577</v>
      </c>
      <c r="AA349" t="s">
        <v>249</v>
      </c>
      <c r="AB349" t="s">
        <v>249</v>
      </c>
      <c r="AC349" t="s">
        <v>249</v>
      </c>
      <c r="AD349" t="s">
        <v>249</v>
      </c>
    </row>
    <row r="350" spans="1:30" hidden="1" x14ac:dyDescent="0.35">
      <c r="A350" t="s">
        <v>2364</v>
      </c>
      <c r="B350" t="s">
        <v>1461</v>
      </c>
      <c r="C350" t="s">
        <v>543</v>
      </c>
      <c r="D350" t="s">
        <v>2884</v>
      </c>
      <c r="E350" t="s">
        <v>1336</v>
      </c>
      <c r="F350" s="17">
        <v>45944</v>
      </c>
      <c r="H350" s="17"/>
      <c r="I350" t="s">
        <v>2885</v>
      </c>
      <c r="J350" t="s">
        <v>2886</v>
      </c>
      <c r="K350" s="17">
        <v>35496</v>
      </c>
      <c r="L350">
        <v>29</v>
      </c>
      <c r="M350" t="s">
        <v>1354</v>
      </c>
      <c r="N350" t="s">
        <v>1360</v>
      </c>
      <c r="O350" t="s">
        <v>2887</v>
      </c>
      <c r="P350" t="s">
        <v>2888</v>
      </c>
      <c r="Q350" s="17"/>
      <c r="S350" t="s">
        <v>2220</v>
      </c>
      <c r="T350" t="s">
        <v>1480</v>
      </c>
      <c r="X350" t="s">
        <v>249</v>
      </c>
      <c r="Y350" t="s">
        <v>249</v>
      </c>
      <c r="Z350" t="s">
        <v>1577</v>
      </c>
      <c r="AA350" t="s">
        <v>249</v>
      </c>
      <c r="AB350" t="s">
        <v>249</v>
      </c>
      <c r="AC350" t="s">
        <v>249</v>
      </c>
      <c r="AD350" t="s">
        <v>249</v>
      </c>
    </row>
    <row r="351" spans="1:30" hidden="1" x14ac:dyDescent="0.35">
      <c r="A351" t="s">
        <v>2364</v>
      </c>
      <c r="B351" t="s">
        <v>1461</v>
      </c>
      <c r="C351" t="s">
        <v>579</v>
      </c>
      <c r="D351" t="s">
        <v>579</v>
      </c>
      <c r="E351" t="s">
        <v>1332</v>
      </c>
      <c r="F351" s="17">
        <v>45985</v>
      </c>
      <c r="H351" s="17"/>
      <c r="I351">
        <v>7545823966</v>
      </c>
      <c r="J351" t="s">
        <v>249</v>
      </c>
      <c r="K351" s="17">
        <v>33636</v>
      </c>
      <c r="L351">
        <v>34</v>
      </c>
      <c r="M351" t="s">
        <v>1363</v>
      </c>
      <c r="N351" t="s">
        <v>1345</v>
      </c>
      <c r="O351" t="s">
        <v>249</v>
      </c>
      <c r="P351" t="s">
        <v>1686</v>
      </c>
      <c r="Q351" s="17"/>
      <c r="S351" t="s">
        <v>1687</v>
      </c>
      <c r="T351" t="s">
        <v>1480</v>
      </c>
      <c r="V351" t="s">
        <v>249</v>
      </c>
      <c r="W351" t="s">
        <v>249</v>
      </c>
      <c r="X351" t="s">
        <v>249</v>
      </c>
      <c r="Y351" t="s">
        <v>249</v>
      </c>
      <c r="Z351" t="s">
        <v>1577</v>
      </c>
      <c r="AA351" t="s">
        <v>249</v>
      </c>
      <c r="AB351" t="s">
        <v>249</v>
      </c>
      <c r="AC351" t="s">
        <v>249</v>
      </c>
      <c r="AD351" t="s">
        <v>249</v>
      </c>
    </row>
    <row r="352" spans="1:30" hidden="1" x14ac:dyDescent="0.35">
      <c r="A352" t="s">
        <v>2364</v>
      </c>
      <c r="B352" t="s">
        <v>1475</v>
      </c>
      <c r="C352" t="s">
        <v>593</v>
      </c>
      <c r="D352" t="s">
        <v>2889</v>
      </c>
      <c r="E352" t="s">
        <v>1332</v>
      </c>
      <c r="F352" s="17">
        <v>45992</v>
      </c>
      <c r="H352" s="17"/>
      <c r="I352" t="s">
        <v>2890</v>
      </c>
      <c r="J352">
        <v>1849460</v>
      </c>
      <c r="K352" s="17">
        <v>35681</v>
      </c>
      <c r="L352">
        <v>28</v>
      </c>
      <c r="M352" t="s">
        <v>1354</v>
      </c>
      <c r="N352" t="s">
        <v>1360</v>
      </c>
      <c r="O352" t="s">
        <v>2891</v>
      </c>
      <c r="P352" t="s">
        <v>2892</v>
      </c>
      <c r="Q352" s="17"/>
      <c r="S352" t="s">
        <v>2507</v>
      </c>
      <c r="T352" t="s">
        <v>1480</v>
      </c>
      <c r="X352" t="s">
        <v>1575</v>
      </c>
      <c r="Y352" t="s">
        <v>1576</v>
      </c>
      <c r="Z352" t="s">
        <v>1577</v>
      </c>
      <c r="AA352" t="s">
        <v>2893</v>
      </c>
      <c r="AB352" t="s">
        <v>2894</v>
      </c>
      <c r="AC352" t="s">
        <v>2464</v>
      </c>
      <c r="AD352" t="s">
        <v>2465</v>
      </c>
    </row>
    <row r="353" spans="1:30" hidden="1" x14ac:dyDescent="0.35">
      <c r="A353" t="s">
        <v>2364</v>
      </c>
      <c r="B353" t="s">
        <v>1475</v>
      </c>
      <c r="C353" t="s">
        <v>2895</v>
      </c>
      <c r="D353" t="s">
        <v>2896</v>
      </c>
      <c r="E353" t="s">
        <v>1332</v>
      </c>
      <c r="F353" s="17">
        <v>46006</v>
      </c>
      <c r="H353" s="17"/>
      <c r="I353" t="s">
        <v>2897</v>
      </c>
      <c r="J353" t="s">
        <v>2898</v>
      </c>
      <c r="K353" s="17">
        <v>30134</v>
      </c>
      <c r="L353">
        <v>44</v>
      </c>
      <c r="M353" t="s">
        <v>1344</v>
      </c>
      <c r="N353" t="s">
        <v>1345</v>
      </c>
      <c r="O353" t="s">
        <v>2899</v>
      </c>
      <c r="P353" t="s">
        <v>2900</v>
      </c>
      <c r="Q353" s="17"/>
      <c r="S353" t="s">
        <v>2236</v>
      </c>
      <c r="T353" t="s">
        <v>1480</v>
      </c>
      <c r="X353" t="s">
        <v>249</v>
      </c>
      <c r="Y353" t="s">
        <v>249</v>
      </c>
      <c r="Z353" t="s">
        <v>2039</v>
      </c>
      <c r="AA353" t="s">
        <v>249</v>
      </c>
      <c r="AB353" t="s">
        <v>249</v>
      </c>
      <c r="AC353" t="s">
        <v>249</v>
      </c>
      <c r="AD353" t="s">
        <v>249</v>
      </c>
    </row>
    <row r="354" spans="1:30" hidden="1" x14ac:dyDescent="0.35">
      <c r="A354" t="s">
        <v>1330</v>
      </c>
      <c r="B354" t="s">
        <v>1461</v>
      </c>
      <c r="C354" t="s">
        <v>612</v>
      </c>
      <c r="D354" t="s">
        <v>2901</v>
      </c>
      <c r="E354" t="s">
        <v>1332</v>
      </c>
      <c r="F354" s="17">
        <v>46008</v>
      </c>
      <c r="H354" s="17"/>
      <c r="I354">
        <v>9978282696</v>
      </c>
      <c r="J354" t="s">
        <v>2902</v>
      </c>
      <c r="K354" s="17">
        <v>32932</v>
      </c>
      <c r="L354">
        <v>36</v>
      </c>
      <c r="M354" t="s">
        <v>1349</v>
      </c>
      <c r="N354" t="s">
        <v>1345</v>
      </c>
      <c r="O354" t="s">
        <v>2903</v>
      </c>
      <c r="P354" t="s">
        <v>2904</v>
      </c>
      <c r="Q354" s="17">
        <v>46204</v>
      </c>
      <c r="R354" t="s">
        <v>2750</v>
      </c>
      <c r="S354" t="s">
        <v>2905</v>
      </c>
      <c r="T354" t="s">
        <v>249</v>
      </c>
      <c r="X354" t="s">
        <v>1575</v>
      </c>
      <c r="Y354" t="s">
        <v>1576</v>
      </c>
      <c r="Z354" t="s">
        <v>1577</v>
      </c>
      <c r="AA354" t="s">
        <v>2833</v>
      </c>
      <c r="AB354" t="s">
        <v>2041</v>
      </c>
      <c r="AC354" t="s">
        <v>2513</v>
      </c>
      <c r="AD354" t="s">
        <v>2547</v>
      </c>
    </row>
    <row r="355" spans="1:30" x14ac:dyDescent="0.35">
      <c r="A355" t="s">
        <v>2364</v>
      </c>
      <c r="B355" t="s">
        <v>1475</v>
      </c>
      <c r="C355" t="s">
        <v>2906</v>
      </c>
      <c r="D355" t="s">
        <v>307</v>
      </c>
      <c r="E355" t="s">
        <v>1332</v>
      </c>
      <c r="F355" s="17">
        <v>46027</v>
      </c>
      <c r="H355" s="17"/>
      <c r="I355" t="s">
        <v>2907</v>
      </c>
      <c r="J355" t="s">
        <v>2908</v>
      </c>
      <c r="K355" s="17">
        <v>31587</v>
      </c>
      <c r="L355">
        <v>40</v>
      </c>
      <c r="M355" t="s">
        <v>1349</v>
      </c>
      <c r="N355" t="s">
        <v>1345</v>
      </c>
      <c r="O355" t="s">
        <v>2909</v>
      </c>
      <c r="P355" s="107" t="s">
        <v>655</v>
      </c>
      <c r="Q355" s="17"/>
      <c r="S355" t="s">
        <v>2910</v>
      </c>
      <c r="T355" t="s">
        <v>1480</v>
      </c>
      <c r="X355" t="s">
        <v>249</v>
      </c>
      <c r="Y355" t="s">
        <v>249</v>
      </c>
      <c r="Z355" t="s">
        <v>1577</v>
      </c>
      <c r="AA355" t="s">
        <v>249</v>
      </c>
      <c r="AB355" t="s">
        <v>249</v>
      </c>
      <c r="AC355" t="s">
        <v>249</v>
      </c>
      <c r="AD355" t="s">
        <v>249</v>
      </c>
    </row>
    <row r="356" spans="1:30" hidden="1" x14ac:dyDescent="0.35">
      <c r="A356" t="s">
        <v>2364</v>
      </c>
      <c r="B356" t="s">
        <v>2237</v>
      </c>
      <c r="C356" t="s">
        <v>2911</v>
      </c>
      <c r="D356" t="s">
        <v>2912</v>
      </c>
      <c r="E356" t="s">
        <v>1336</v>
      </c>
      <c r="F356" s="17">
        <v>46027</v>
      </c>
      <c r="H356" s="17"/>
      <c r="I356" t="s">
        <v>2913</v>
      </c>
      <c r="J356" t="s">
        <v>2914</v>
      </c>
      <c r="K356" s="17">
        <v>29915</v>
      </c>
      <c r="L356">
        <v>44</v>
      </c>
      <c r="M356" t="s">
        <v>1344</v>
      </c>
      <c r="N356" t="s">
        <v>1345</v>
      </c>
      <c r="O356" t="s">
        <v>2915</v>
      </c>
      <c r="P356" t="s">
        <v>2916</v>
      </c>
      <c r="Q356" s="17"/>
      <c r="S356" t="s">
        <v>249</v>
      </c>
      <c r="T356" t="s">
        <v>1480</v>
      </c>
      <c r="X356" t="s">
        <v>1575</v>
      </c>
      <c r="Y356" t="s">
        <v>2698</v>
      </c>
      <c r="Z356" t="s">
        <v>2039</v>
      </c>
      <c r="AA356" t="s">
        <v>249</v>
      </c>
      <c r="AB356" t="s">
        <v>249</v>
      </c>
      <c r="AC356" t="s">
        <v>2704</v>
      </c>
      <c r="AD356" t="s">
        <v>2704</v>
      </c>
    </row>
    <row r="357" spans="1:30" hidden="1" x14ac:dyDescent="0.35">
      <c r="A357" t="s">
        <v>1330</v>
      </c>
      <c r="B357" t="s">
        <v>1461</v>
      </c>
      <c r="C357" t="s">
        <v>2917</v>
      </c>
      <c r="D357" t="s">
        <v>2918</v>
      </c>
      <c r="E357" t="s">
        <v>1332</v>
      </c>
      <c r="F357" s="17">
        <v>46055</v>
      </c>
      <c r="H357" s="17"/>
      <c r="I357" t="s">
        <v>2919</v>
      </c>
      <c r="J357">
        <v>77097140010</v>
      </c>
      <c r="K357" s="17">
        <v>29955</v>
      </c>
      <c r="L357">
        <v>44</v>
      </c>
      <c r="M357" t="s">
        <v>1344</v>
      </c>
      <c r="N357" t="s">
        <v>1345</v>
      </c>
      <c r="O357" t="s">
        <v>2920</v>
      </c>
      <c r="P357" t="s">
        <v>2921</v>
      </c>
      <c r="Q357" s="17">
        <v>46258</v>
      </c>
      <c r="S357" t="s">
        <v>249</v>
      </c>
      <c r="T357" t="s">
        <v>1466</v>
      </c>
      <c r="X357" t="s">
        <v>1575</v>
      </c>
      <c r="Y357" t="s">
        <v>2318</v>
      </c>
      <c r="Z357" t="s">
        <v>2039</v>
      </c>
      <c r="AA357" t="s">
        <v>2040</v>
      </c>
      <c r="AB357" t="s">
        <v>2041</v>
      </c>
      <c r="AC357" t="s">
        <v>2319</v>
      </c>
      <c r="AD357" t="s">
        <v>2320</v>
      </c>
    </row>
    <row r="358" spans="1:30" hidden="1" x14ac:dyDescent="0.35">
      <c r="A358" t="s">
        <v>2364</v>
      </c>
      <c r="B358" t="s">
        <v>2237</v>
      </c>
      <c r="C358" t="s">
        <v>684</v>
      </c>
      <c r="D358" t="s">
        <v>2922</v>
      </c>
      <c r="E358" t="s">
        <v>1332</v>
      </c>
      <c r="F358" s="17">
        <v>46055</v>
      </c>
      <c r="H358" s="17"/>
      <c r="I358" t="s">
        <v>2923</v>
      </c>
      <c r="J358" t="s">
        <v>2924</v>
      </c>
      <c r="K358" s="17">
        <v>37468</v>
      </c>
      <c r="L358">
        <v>24</v>
      </c>
      <c r="M358" t="s">
        <v>1419</v>
      </c>
      <c r="N358" t="s">
        <v>1360</v>
      </c>
      <c r="O358" t="s">
        <v>2925</v>
      </c>
      <c r="P358" t="s">
        <v>2926</v>
      </c>
      <c r="Q358" s="17"/>
      <c r="S358" t="s">
        <v>2905</v>
      </c>
      <c r="T358" t="s">
        <v>1480</v>
      </c>
      <c r="X358" t="s">
        <v>249</v>
      </c>
      <c r="Y358" t="s">
        <v>249</v>
      </c>
      <c r="Z358" t="s">
        <v>2039</v>
      </c>
      <c r="AA358" t="s">
        <v>249</v>
      </c>
      <c r="AB358" t="s">
        <v>249</v>
      </c>
      <c r="AC358" t="s">
        <v>249</v>
      </c>
      <c r="AD358" t="s">
        <v>249</v>
      </c>
    </row>
    <row r="359" spans="1:30" hidden="1" x14ac:dyDescent="0.35">
      <c r="A359" t="s">
        <v>2364</v>
      </c>
      <c r="B359" t="s">
        <v>2237</v>
      </c>
      <c r="C359" t="s">
        <v>2927</v>
      </c>
      <c r="D359" t="s">
        <v>2928</v>
      </c>
      <c r="E359" t="s">
        <v>1336</v>
      </c>
      <c r="F359" s="17">
        <v>46084</v>
      </c>
      <c r="H359" s="17"/>
      <c r="I359" t="s">
        <v>2929</v>
      </c>
      <c r="J359" t="s">
        <v>2930</v>
      </c>
      <c r="K359" s="17">
        <v>35417</v>
      </c>
      <c r="L359">
        <v>29</v>
      </c>
      <c r="M359" t="s">
        <v>1354</v>
      </c>
      <c r="N359" t="s">
        <v>1345</v>
      </c>
      <c r="O359" t="s">
        <v>2931</v>
      </c>
      <c r="P359" t="s">
        <v>2932</v>
      </c>
      <c r="Q359" s="17"/>
      <c r="S359" t="s">
        <v>249</v>
      </c>
      <c r="T359" t="s">
        <v>1480</v>
      </c>
      <c r="X359" t="s">
        <v>249</v>
      </c>
      <c r="Y359" t="s">
        <v>249</v>
      </c>
      <c r="Z359" t="s">
        <v>2039</v>
      </c>
      <c r="AA359" t="s">
        <v>249</v>
      </c>
      <c r="AB359" t="s">
        <v>249</v>
      </c>
      <c r="AC359" t="s">
        <v>249</v>
      </c>
      <c r="AD359" t="s">
        <v>249</v>
      </c>
    </row>
    <row r="360" spans="1:30" hidden="1" x14ac:dyDescent="0.35">
      <c r="A360" t="s">
        <v>2364</v>
      </c>
      <c r="B360" t="s">
        <v>2237</v>
      </c>
      <c r="C360" t="s">
        <v>657</v>
      </c>
      <c r="D360" t="s">
        <v>1571</v>
      </c>
      <c r="E360" t="s">
        <v>1332</v>
      </c>
      <c r="F360" s="17">
        <v>46090</v>
      </c>
      <c r="H360" s="17"/>
      <c r="I360" t="s">
        <v>1572</v>
      </c>
      <c r="J360">
        <v>42850065</v>
      </c>
      <c r="K360" s="17">
        <v>34726</v>
      </c>
      <c r="L360">
        <v>31</v>
      </c>
      <c r="M360" t="s">
        <v>1363</v>
      </c>
      <c r="N360" t="s">
        <v>1345</v>
      </c>
      <c r="O360" t="s">
        <v>1573</v>
      </c>
      <c r="P360" t="s">
        <v>1574</v>
      </c>
      <c r="Q360" s="17"/>
      <c r="S360" t="s">
        <v>1558</v>
      </c>
      <c r="T360" t="s">
        <v>1480</v>
      </c>
      <c r="X360" t="s">
        <v>1575</v>
      </c>
      <c r="Y360" t="s">
        <v>1576</v>
      </c>
      <c r="Z360" t="s">
        <v>1577</v>
      </c>
      <c r="AA360" t="s">
        <v>1578</v>
      </c>
      <c r="AB360" t="s">
        <v>1579</v>
      </c>
      <c r="AC360" t="s">
        <v>1580</v>
      </c>
      <c r="AD360" t="s">
        <v>1581</v>
      </c>
    </row>
    <row r="361" spans="1:30" hidden="1" x14ac:dyDescent="0.35">
      <c r="A361" t="s">
        <v>2364</v>
      </c>
      <c r="B361" t="s">
        <v>2237</v>
      </c>
      <c r="C361" t="s">
        <v>668</v>
      </c>
      <c r="D361" t="s">
        <v>2933</v>
      </c>
      <c r="E361" t="s">
        <v>1332</v>
      </c>
      <c r="F361" s="17">
        <v>46097</v>
      </c>
      <c r="H361" s="17"/>
      <c r="I361" t="s">
        <v>2934</v>
      </c>
      <c r="J361">
        <v>591539543</v>
      </c>
      <c r="K361" s="17">
        <v>29847</v>
      </c>
      <c r="L361">
        <v>44</v>
      </c>
      <c r="M361" t="s">
        <v>1344</v>
      </c>
      <c r="N361" t="s">
        <v>1345</v>
      </c>
      <c r="O361" t="s">
        <v>2935</v>
      </c>
      <c r="P361" t="s">
        <v>2936</v>
      </c>
      <c r="Q361" s="17"/>
      <c r="S361" t="s">
        <v>249</v>
      </c>
      <c r="T361" t="s">
        <v>1480</v>
      </c>
      <c r="X361" t="s">
        <v>249</v>
      </c>
      <c r="Y361" t="s">
        <v>249</v>
      </c>
      <c r="Z361" t="s">
        <v>1577</v>
      </c>
      <c r="AA361" t="s">
        <v>249</v>
      </c>
      <c r="AB361" t="s">
        <v>249</v>
      </c>
      <c r="AC361" t="s">
        <v>249</v>
      </c>
      <c r="AD361" t="s">
        <v>249</v>
      </c>
    </row>
    <row r="362" spans="1:30" hidden="1" x14ac:dyDescent="0.35">
      <c r="A362" t="s">
        <v>2364</v>
      </c>
      <c r="B362" t="s">
        <v>1475</v>
      </c>
      <c r="C362" t="s">
        <v>2937</v>
      </c>
      <c r="D362" t="s">
        <v>2938</v>
      </c>
      <c r="E362" t="s">
        <v>1332</v>
      </c>
      <c r="F362" s="17">
        <v>46146</v>
      </c>
      <c r="H362" s="17"/>
      <c r="I362" t="s">
        <v>2939</v>
      </c>
      <c r="J362">
        <v>356968789</v>
      </c>
      <c r="K362" s="17">
        <v>34488</v>
      </c>
      <c r="L362">
        <v>32</v>
      </c>
      <c r="M362" t="s">
        <v>1363</v>
      </c>
      <c r="N362" t="s">
        <v>1345</v>
      </c>
      <c r="O362" t="s">
        <v>2940</v>
      </c>
      <c r="P362" t="s">
        <v>2941</v>
      </c>
      <c r="Q362" s="17"/>
      <c r="S362" t="s">
        <v>249</v>
      </c>
      <c r="T362" t="s">
        <v>1480</v>
      </c>
      <c r="X362" t="s">
        <v>249</v>
      </c>
      <c r="Y362" t="s">
        <v>249</v>
      </c>
      <c r="Z362" t="s">
        <v>1577</v>
      </c>
      <c r="AA362" t="s">
        <v>249</v>
      </c>
      <c r="AB362" t="s">
        <v>249</v>
      </c>
      <c r="AC362" t="s">
        <v>249</v>
      </c>
      <c r="AD362" t="s">
        <v>249</v>
      </c>
    </row>
    <row r="363" spans="1:30" hidden="1" x14ac:dyDescent="0.35">
      <c r="A363" t="s">
        <v>2364</v>
      </c>
      <c r="B363" t="s">
        <v>632</v>
      </c>
      <c r="C363" t="s">
        <v>718</v>
      </c>
      <c r="D363" t="s">
        <v>2942</v>
      </c>
      <c r="E363" t="s">
        <v>1332</v>
      </c>
      <c r="F363" s="17">
        <v>46146</v>
      </c>
      <c r="H363" s="17"/>
      <c r="I363" t="s">
        <v>2943</v>
      </c>
      <c r="J363">
        <v>17574531</v>
      </c>
      <c r="K363" s="17">
        <v>34912</v>
      </c>
      <c r="L363">
        <v>31</v>
      </c>
      <c r="M363" t="s">
        <v>1363</v>
      </c>
      <c r="N363" t="s">
        <v>1345</v>
      </c>
      <c r="O363" t="s">
        <v>2944</v>
      </c>
      <c r="P363" t="s">
        <v>2945</v>
      </c>
      <c r="Q363" s="17"/>
      <c r="S363" t="s">
        <v>249</v>
      </c>
      <c r="T363" t="s">
        <v>1480</v>
      </c>
      <c r="X363" t="s">
        <v>1575</v>
      </c>
      <c r="Y363" t="s">
        <v>1576</v>
      </c>
      <c r="Z363" t="s">
        <v>1577</v>
      </c>
      <c r="AA363" t="s">
        <v>1097</v>
      </c>
      <c r="AB363" t="s">
        <v>2041</v>
      </c>
      <c r="AC363" t="s">
        <v>2513</v>
      </c>
      <c r="AD363" t="s">
        <v>2946</v>
      </c>
    </row>
    <row r="364" spans="1:30" hidden="1" x14ac:dyDescent="0.35">
      <c r="A364" t="s">
        <v>2364</v>
      </c>
      <c r="B364" t="s">
        <v>632</v>
      </c>
      <c r="C364" t="s">
        <v>2947</v>
      </c>
      <c r="D364" t="s">
        <v>2948</v>
      </c>
      <c r="E364" t="s">
        <v>1332</v>
      </c>
      <c r="F364" s="17">
        <v>46146</v>
      </c>
      <c r="H364" s="17"/>
      <c r="I364" t="s">
        <v>2949</v>
      </c>
      <c r="J364" t="s">
        <v>2950</v>
      </c>
      <c r="K364" s="17">
        <v>35681</v>
      </c>
      <c r="L364">
        <v>28</v>
      </c>
      <c r="M364" t="s">
        <v>1354</v>
      </c>
      <c r="N364" t="s">
        <v>1360</v>
      </c>
      <c r="O364" t="s">
        <v>2951</v>
      </c>
      <c r="P364" t="s">
        <v>2952</v>
      </c>
      <c r="Q364" s="17"/>
      <c r="S364" t="s">
        <v>249</v>
      </c>
      <c r="T364" t="s">
        <v>1480</v>
      </c>
      <c r="X364" t="s">
        <v>249</v>
      </c>
      <c r="Y364" t="s">
        <v>249</v>
      </c>
      <c r="Z364" t="s">
        <v>2039</v>
      </c>
      <c r="AA364" t="s">
        <v>249</v>
      </c>
      <c r="AB364" t="s">
        <v>249</v>
      </c>
      <c r="AC364" t="s">
        <v>249</v>
      </c>
      <c r="AD364" t="s">
        <v>249</v>
      </c>
    </row>
    <row r="365" spans="1:30" hidden="1" x14ac:dyDescent="0.35">
      <c r="A365" t="s">
        <v>2364</v>
      </c>
      <c r="B365" t="s">
        <v>1461</v>
      </c>
      <c r="C365" t="s">
        <v>725</v>
      </c>
      <c r="D365" t="s">
        <v>2953</v>
      </c>
      <c r="E365" t="s">
        <v>1332</v>
      </c>
      <c r="F365" s="17">
        <v>46160</v>
      </c>
      <c r="H365" s="17"/>
      <c r="I365" t="s">
        <v>2954</v>
      </c>
      <c r="J365" t="s">
        <v>2955</v>
      </c>
      <c r="K365" s="17">
        <v>35764</v>
      </c>
      <c r="L365">
        <v>28</v>
      </c>
      <c r="M365" t="s">
        <v>1354</v>
      </c>
      <c r="N365" t="s">
        <v>1360</v>
      </c>
      <c r="O365" t="s">
        <v>2956</v>
      </c>
      <c r="P365" t="s">
        <v>2957</v>
      </c>
      <c r="Q365" s="17"/>
      <c r="S365" t="s">
        <v>249</v>
      </c>
      <c r="T365" t="s">
        <v>1480</v>
      </c>
      <c r="X365" t="s">
        <v>249</v>
      </c>
      <c r="Y365" t="s">
        <v>249</v>
      </c>
      <c r="Z365" t="s">
        <v>1577</v>
      </c>
      <c r="AA365" t="s">
        <v>249</v>
      </c>
      <c r="AB365" t="s">
        <v>249</v>
      </c>
      <c r="AC365" t="s">
        <v>249</v>
      </c>
      <c r="AD365" t="s">
        <v>249</v>
      </c>
    </row>
    <row r="366" spans="1:30" hidden="1" x14ac:dyDescent="0.35">
      <c r="A366" t="s">
        <v>2364</v>
      </c>
      <c r="B366" t="s">
        <v>632</v>
      </c>
      <c r="C366" t="s">
        <v>2958</v>
      </c>
      <c r="D366" t="s">
        <v>2959</v>
      </c>
      <c r="E366" t="s">
        <v>1332</v>
      </c>
      <c r="F366" s="17">
        <v>46160</v>
      </c>
      <c r="H366" s="17"/>
      <c r="I366" t="s">
        <v>2960</v>
      </c>
      <c r="J366" t="s">
        <v>2961</v>
      </c>
      <c r="K366" s="17">
        <v>29139</v>
      </c>
      <c r="L366">
        <v>46</v>
      </c>
      <c r="M366" t="s">
        <v>1344</v>
      </c>
      <c r="N366" t="s">
        <v>1380</v>
      </c>
      <c r="O366" t="s">
        <v>2962</v>
      </c>
      <c r="P366" t="s">
        <v>2963</v>
      </c>
      <c r="Q366" s="17"/>
      <c r="S366" t="s">
        <v>249</v>
      </c>
      <c r="T366" t="s">
        <v>1480</v>
      </c>
      <c r="X366" t="s">
        <v>249</v>
      </c>
      <c r="Y366" t="s">
        <v>249</v>
      </c>
      <c r="Z366" t="s">
        <v>1577</v>
      </c>
      <c r="AA366" t="s">
        <v>249</v>
      </c>
      <c r="AB366" t="s">
        <v>249</v>
      </c>
      <c r="AC366" t="s">
        <v>249</v>
      </c>
      <c r="AD366" t="s">
        <v>249</v>
      </c>
    </row>
    <row r="367" spans="1:30" hidden="1" x14ac:dyDescent="0.35">
      <c r="A367" t="s">
        <v>2364</v>
      </c>
      <c r="B367" t="s">
        <v>632</v>
      </c>
      <c r="C367" t="s">
        <v>2964</v>
      </c>
      <c r="D367" t="s">
        <v>2965</v>
      </c>
      <c r="E367" t="s">
        <v>1332</v>
      </c>
      <c r="F367" s="17">
        <v>46174</v>
      </c>
      <c r="H367" s="17"/>
      <c r="I367" t="s">
        <v>2966</v>
      </c>
      <c r="J367">
        <v>325338120075</v>
      </c>
      <c r="K367" s="17">
        <v>33998</v>
      </c>
      <c r="L367">
        <v>33</v>
      </c>
      <c r="M367" t="s">
        <v>1363</v>
      </c>
      <c r="N367" t="s">
        <v>1345</v>
      </c>
      <c r="O367" t="s">
        <v>2967</v>
      </c>
      <c r="P367" t="s">
        <v>2968</v>
      </c>
      <c r="Q367" s="17"/>
      <c r="S367" t="s">
        <v>249</v>
      </c>
      <c r="T367" t="s">
        <v>1480</v>
      </c>
      <c r="X367" t="s">
        <v>249</v>
      </c>
      <c r="Y367" t="s">
        <v>249</v>
      </c>
      <c r="Z367" t="s">
        <v>2039</v>
      </c>
      <c r="AA367" t="s">
        <v>2969</v>
      </c>
      <c r="AB367" t="s">
        <v>2512</v>
      </c>
      <c r="AC367" t="s">
        <v>2464</v>
      </c>
      <c r="AD367" t="s">
        <v>2465</v>
      </c>
    </row>
    <row r="368" spans="1:30" hidden="1" x14ac:dyDescent="0.35">
      <c r="A368" t="s">
        <v>2364</v>
      </c>
      <c r="B368" t="s">
        <v>632</v>
      </c>
      <c r="C368" t="s">
        <v>740</v>
      </c>
      <c r="D368" t="s">
        <v>2970</v>
      </c>
      <c r="E368" t="s">
        <v>1332</v>
      </c>
      <c r="F368" s="17">
        <v>46174</v>
      </c>
      <c r="H368" s="17"/>
      <c r="I368" t="s">
        <v>2971</v>
      </c>
      <c r="J368">
        <v>102734</v>
      </c>
      <c r="K368" s="17">
        <v>27752</v>
      </c>
      <c r="L368">
        <v>50</v>
      </c>
      <c r="M368" t="s">
        <v>1344</v>
      </c>
      <c r="N368" t="s">
        <v>1380</v>
      </c>
      <c r="O368" t="s">
        <v>2972</v>
      </c>
      <c r="P368" t="s">
        <v>2973</v>
      </c>
      <c r="Q368" s="17"/>
      <c r="S368" t="s">
        <v>249</v>
      </c>
      <c r="T368" t="s">
        <v>1480</v>
      </c>
      <c r="X368" t="s">
        <v>249</v>
      </c>
      <c r="Y368" t="s">
        <v>249</v>
      </c>
      <c r="Z368" t="s">
        <v>1577</v>
      </c>
      <c r="AA368" t="s">
        <v>2974</v>
      </c>
      <c r="AB368" t="s">
        <v>2975</v>
      </c>
      <c r="AC368" t="s">
        <v>2739</v>
      </c>
      <c r="AD368" t="s">
        <v>249</v>
      </c>
    </row>
    <row r="369" spans="1:30" hidden="1" x14ac:dyDescent="0.35">
      <c r="A369" t="s">
        <v>2364</v>
      </c>
      <c r="B369" t="s">
        <v>632</v>
      </c>
      <c r="C369" t="s">
        <v>749</v>
      </c>
      <c r="D369" t="s">
        <v>2976</v>
      </c>
      <c r="E369" t="s">
        <v>1332</v>
      </c>
      <c r="F369" s="17">
        <v>46174</v>
      </c>
      <c r="H369" s="17"/>
      <c r="I369" t="s">
        <v>2977</v>
      </c>
      <c r="J369">
        <v>2243160</v>
      </c>
      <c r="K369" s="17">
        <v>32040</v>
      </c>
      <c r="L369">
        <v>38</v>
      </c>
      <c r="M369" t="s">
        <v>1349</v>
      </c>
      <c r="N369" t="s">
        <v>1345</v>
      </c>
      <c r="O369" t="s">
        <v>2978</v>
      </c>
      <c r="P369" t="s">
        <v>2979</v>
      </c>
      <c r="Q369" s="17"/>
      <c r="S369" t="s">
        <v>249</v>
      </c>
      <c r="T369" t="s">
        <v>1480</v>
      </c>
      <c r="X369" t="s">
        <v>249</v>
      </c>
      <c r="Y369" t="s">
        <v>249</v>
      </c>
      <c r="Z369" t="s">
        <v>1577</v>
      </c>
      <c r="AA369" t="s">
        <v>2980</v>
      </c>
      <c r="AB369" t="s">
        <v>2981</v>
      </c>
      <c r="AC369" t="s">
        <v>2982</v>
      </c>
      <c r="AD369" t="s">
        <v>249</v>
      </c>
    </row>
    <row r="370" spans="1:30" hidden="1" x14ac:dyDescent="0.35">
      <c r="A370" t="s">
        <v>2364</v>
      </c>
      <c r="B370" t="s">
        <v>632</v>
      </c>
      <c r="C370" t="s">
        <v>731</v>
      </c>
      <c r="D370" t="s">
        <v>2983</v>
      </c>
      <c r="E370" t="s">
        <v>1332</v>
      </c>
      <c r="F370" s="17">
        <v>46174</v>
      </c>
      <c r="H370" s="17"/>
      <c r="I370" t="s">
        <v>2984</v>
      </c>
      <c r="J370">
        <v>34919042</v>
      </c>
      <c r="K370" s="17">
        <v>30120</v>
      </c>
      <c r="L370">
        <v>44</v>
      </c>
      <c r="M370" t="s">
        <v>1344</v>
      </c>
      <c r="N370" t="s">
        <v>1345</v>
      </c>
      <c r="O370" t="s">
        <v>2985</v>
      </c>
      <c r="P370" t="s">
        <v>2986</v>
      </c>
      <c r="Q370" s="17"/>
      <c r="S370" t="s">
        <v>249</v>
      </c>
      <c r="T370" t="s">
        <v>1480</v>
      </c>
      <c r="X370" t="s">
        <v>249</v>
      </c>
      <c r="Y370" t="s">
        <v>249</v>
      </c>
      <c r="Z370" t="s">
        <v>2039</v>
      </c>
      <c r="AA370" t="s">
        <v>2987</v>
      </c>
      <c r="AB370" t="s">
        <v>2981</v>
      </c>
      <c r="AC370" t="s">
        <v>2513</v>
      </c>
      <c r="AD370" t="s">
        <v>249</v>
      </c>
    </row>
    <row r="371" spans="1:30" hidden="1" x14ac:dyDescent="0.35">
      <c r="A371" t="s">
        <v>2364</v>
      </c>
      <c r="B371" t="s">
        <v>632</v>
      </c>
      <c r="C371" t="s">
        <v>736</v>
      </c>
      <c r="D371" t="s">
        <v>2988</v>
      </c>
      <c r="E371" t="s">
        <v>1332</v>
      </c>
      <c r="F371" s="17">
        <v>46174</v>
      </c>
      <c r="H371" s="17"/>
      <c r="I371" t="s">
        <v>2989</v>
      </c>
      <c r="J371">
        <v>1517088275</v>
      </c>
      <c r="K371" s="17">
        <v>30015</v>
      </c>
      <c r="L371">
        <v>44</v>
      </c>
      <c r="M371" t="s">
        <v>1344</v>
      </c>
      <c r="N371" t="s">
        <v>1345</v>
      </c>
      <c r="O371" t="s">
        <v>2990</v>
      </c>
      <c r="P371" t="s">
        <v>2991</v>
      </c>
      <c r="Q371" s="17"/>
      <c r="S371" t="s">
        <v>249</v>
      </c>
      <c r="T371" t="s">
        <v>1480</v>
      </c>
      <c r="X371" t="s">
        <v>249</v>
      </c>
      <c r="Y371" t="s">
        <v>249</v>
      </c>
      <c r="Z371" t="s">
        <v>1577</v>
      </c>
      <c r="AA371" t="s">
        <v>2987</v>
      </c>
      <c r="AB371" t="s">
        <v>2981</v>
      </c>
      <c r="AC371" t="s">
        <v>2739</v>
      </c>
      <c r="AD371" t="s">
        <v>249</v>
      </c>
    </row>
    <row r="372" spans="1:30" hidden="1" x14ac:dyDescent="0.35">
      <c r="A372" t="s">
        <v>1330</v>
      </c>
      <c r="B372" t="s">
        <v>1475</v>
      </c>
      <c r="C372" t="s">
        <v>758</v>
      </c>
      <c r="D372" t="s">
        <v>2992</v>
      </c>
      <c r="E372" t="s">
        <v>1332</v>
      </c>
      <c r="F372" s="17">
        <v>46174</v>
      </c>
      <c r="H372" s="17"/>
      <c r="I372" t="s">
        <v>2993</v>
      </c>
      <c r="J372">
        <v>3423692</v>
      </c>
      <c r="K372" s="17">
        <v>28865</v>
      </c>
      <c r="L372">
        <v>47</v>
      </c>
      <c r="M372" t="s">
        <v>1344</v>
      </c>
      <c r="N372" t="s">
        <v>1380</v>
      </c>
      <c r="O372" t="s">
        <v>2994</v>
      </c>
      <c r="P372" t="s">
        <v>2995</v>
      </c>
      <c r="Q372" s="17">
        <v>46233</v>
      </c>
      <c r="S372" t="s">
        <v>249</v>
      </c>
      <c r="T372" t="s">
        <v>1480</v>
      </c>
      <c r="X372" t="s">
        <v>1575</v>
      </c>
      <c r="Y372" t="s">
        <v>249</v>
      </c>
      <c r="Z372" t="s">
        <v>1577</v>
      </c>
      <c r="AA372" t="s">
        <v>249</v>
      </c>
      <c r="AB372" t="s">
        <v>249</v>
      </c>
      <c r="AC372" t="s">
        <v>2739</v>
      </c>
      <c r="AD372" t="s">
        <v>249</v>
      </c>
    </row>
    <row r="373" spans="1:30" hidden="1" x14ac:dyDescent="0.35">
      <c r="A373" t="s">
        <v>2364</v>
      </c>
      <c r="B373" t="s">
        <v>1475</v>
      </c>
      <c r="C373" t="s">
        <v>2996</v>
      </c>
      <c r="D373" t="s">
        <v>2997</v>
      </c>
      <c r="E373" t="s">
        <v>1332</v>
      </c>
      <c r="F373" s="17">
        <v>46184</v>
      </c>
      <c r="H373" s="17"/>
      <c r="I373" t="s">
        <v>2998</v>
      </c>
      <c r="J373" t="s">
        <v>2999</v>
      </c>
      <c r="K373" s="17">
        <v>29739</v>
      </c>
      <c r="L373">
        <v>45</v>
      </c>
      <c r="M373" t="s">
        <v>1344</v>
      </c>
      <c r="N373" t="s">
        <v>1345</v>
      </c>
      <c r="O373" t="s">
        <v>3000</v>
      </c>
      <c r="P373" t="s">
        <v>3001</v>
      </c>
      <c r="Q373" s="17"/>
      <c r="S373" t="s">
        <v>249</v>
      </c>
      <c r="T373" t="s">
        <v>1480</v>
      </c>
      <c r="X373" t="s">
        <v>249</v>
      </c>
      <c r="Y373" t="s">
        <v>249</v>
      </c>
      <c r="Z373" t="s">
        <v>2039</v>
      </c>
      <c r="AA373" t="s">
        <v>249</v>
      </c>
      <c r="AB373" t="s">
        <v>249</v>
      </c>
      <c r="AC373" t="s">
        <v>249</v>
      </c>
      <c r="AD373" t="s">
        <v>249</v>
      </c>
    </row>
    <row r="374" spans="1:30" hidden="1" x14ac:dyDescent="0.35">
      <c r="A374" t="s">
        <v>2364</v>
      </c>
      <c r="B374" t="s">
        <v>1475</v>
      </c>
      <c r="C374" t="s">
        <v>756</v>
      </c>
      <c r="D374" t="s">
        <v>3002</v>
      </c>
      <c r="E374" t="s">
        <v>1332</v>
      </c>
      <c r="F374" s="17">
        <v>46195</v>
      </c>
      <c r="H374" s="17"/>
      <c r="I374" t="s">
        <v>3003</v>
      </c>
      <c r="J374">
        <v>6035384</v>
      </c>
      <c r="K374" s="17">
        <v>34241</v>
      </c>
      <c r="L374">
        <v>32</v>
      </c>
      <c r="M374" t="s">
        <v>1363</v>
      </c>
      <c r="N374" t="s">
        <v>1345</v>
      </c>
      <c r="O374" t="s">
        <v>3004</v>
      </c>
      <c r="P374" t="s">
        <v>3005</v>
      </c>
      <c r="Q374" s="17"/>
      <c r="S374" t="s">
        <v>249</v>
      </c>
      <c r="T374" t="s">
        <v>1480</v>
      </c>
      <c r="X374" t="s">
        <v>249</v>
      </c>
      <c r="Y374" t="s">
        <v>249</v>
      </c>
      <c r="Z374" t="s">
        <v>1577</v>
      </c>
      <c r="AA374" t="s">
        <v>249</v>
      </c>
      <c r="AB374" t="s">
        <v>249</v>
      </c>
      <c r="AC374" t="s">
        <v>249</v>
      </c>
      <c r="AD374" t="s">
        <v>249</v>
      </c>
    </row>
    <row r="375" spans="1:30" hidden="1" x14ac:dyDescent="0.35">
      <c r="A375" t="s">
        <v>2364</v>
      </c>
      <c r="B375" t="s">
        <v>1475</v>
      </c>
      <c r="C375" t="s">
        <v>3006</v>
      </c>
      <c r="D375" t="s">
        <v>3007</v>
      </c>
      <c r="E375" t="s">
        <v>1336</v>
      </c>
      <c r="F375" s="17">
        <v>46223</v>
      </c>
      <c r="H375" s="17"/>
      <c r="I375" t="s">
        <v>3008</v>
      </c>
      <c r="J375">
        <v>7565110</v>
      </c>
      <c r="K375" s="17">
        <v>27982</v>
      </c>
      <c r="L375">
        <v>50</v>
      </c>
      <c r="M375" t="s">
        <v>1344</v>
      </c>
      <c r="N375" t="s">
        <v>1380</v>
      </c>
      <c r="O375" t="s">
        <v>3009</v>
      </c>
      <c r="P375" t="s">
        <v>3010</v>
      </c>
      <c r="Q375" s="17"/>
      <c r="S375" t="s">
        <v>249</v>
      </c>
      <c r="T375" t="s">
        <v>1480</v>
      </c>
      <c r="X375" t="s">
        <v>249</v>
      </c>
      <c r="Y375" t="s">
        <v>249</v>
      </c>
      <c r="Z375" t="s">
        <v>1577</v>
      </c>
      <c r="AA375" t="s">
        <v>249</v>
      </c>
      <c r="AB375" t="s">
        <v>249</v>
      </c>
      <c r="AC375" t="s">
        <v>249</v>
      </c>
      <c r="AD375" t="s">
        <v>249</v>
      </c>
    </row>
    <row r="376" spans="1:30" hidden="1" x14ac:dyDescent="0.35">
      <c r="A376" t="s">
        <v>2364</v>
      </c>
      <c r="B376" t="s">
        <v>1475</v>
      </c>
      <c r="C376" t="s">
        <v>3011</v>
      </c>
      <c r="D376" t="s">
        <v>3012</v>
      </c>
      <c r="E376" t="s">
        <v>1332</v>
      </c>
      <c r="F376" s="17">
        <v>46230</v>
      </c>
      <c r="H376" s="17"/>
      <c r="I376" t="s">
        <v>3013</v>
      </c>
      <c r="J376">
        <v>1371938</v>
      </c>
      <c r="K376" s="17">
        <v>22597</v>
      </c>
      <c r="L376">
        <v>64</v>
      </c>
      <c r="M376" t="s">
        <v>1564</v>
      </c>
      <c r="N376" t="s">
        <v>1380</v>
      </c>
      <c r="O376" t="s">
        <v>3014</v>
      </c>
      <c r="P376" t="s">
        <v>3015</v>
      </c>
      <c r="Q376" s="17"/>
      <c r="S376" t="s">
        <v>249</v>
      </c>
      <c r="T376" t="s">
        <v>1480</v>
      </c>
      <c r="X376" t="s">
        <v>249</v>
      </c>
      <c r="Y376" t="s">
        <v>249</v>
      </c>
      <c r="Z376" t="s">
        <v>1577</v>
      </c>
      <c r="AA376" t="s">
        <v>249</v>
      </c>
      <c r="AB376" t="s">
        <v>249</v>
      </c>
      <c r="AC376" t="s">
        <v>249</v>
      </c>
      <c r="AD376" t="s">
        <v>249</v>
      </c>
    </row>
    <row r="377" spans="1:30" hidden="1" x14ac:dyDescent="0.35">
      <c r="A377" t="s">
        <v>2364</v>
      </c>
      <c r="B377" t="s">
        <v>1475</v>
      </c>
      <c r="C377" t="s">
        <v>3016</v>
      </c>
      <c r="D377" t="s">
        <v>3017</v>
      </c>
      <c r="E377" t="s">
        <v>1332</v>
      </c>
      <c r="F377" s="17">
        <v>46231</v>
      </c>
      <c r="H377" s="17"/>
      <c r="I377" t="s">
        <v>3018</v>
      </c>
      <c r="J377">
        <v>1581270</v>
      </c>
      <c r="K377" s="17">
        <v>21508</v>
      </c>
      <c r="L377">
        <v>67</v>
      </c>
      <c r="M377" t="s">
        <v>1564</v>
      </c>
      <c r="N377" t="s">
        <v>1380</v>
      </c>
      <c r="O377" t="s">
        <v>3019</v>
      </c>
      <c r="P377" t="s">
        <v>3020</v>
      </c>
      <c r="Q377" s="17"/>
      <c r="S377" t="s">
        <v>249</v>
      </c>
      <c r="T377" t="s">
        <v>1480</v>
      </c>
      <c r="X377" t="s">
        <v>249</v>
      </c>
      <c r="Y377" t="s">
        <v>249</v>
      </c>
      <c r="Z377" t="s">
        <v>1577</v>
      </c>
      <c r="AA377" t="s">
        <v>249</v>
      </c>
      <c r="AB377" t="s">
        <v>249</v>
      </c>
      <c r="AC377" t="s">
        <v>249</v>
      </c>
      <c r="AD377" t="s">
        <v>249</v>
      </c>
    </row>
    <row r="378" spans="1:30" hidden="1" x14ac:dyDescent="0.35">
      <c r="A378" t="s">
        <v>2364</v>
      </c>
      <c r="B378" t="s">
        <v>1475</v>
      </c>
      <c r="C378" t="s">
        <v>3021</v>
      </c>
      <c r="D378" t="s">
        <v>3022</v>
      </c>
      <c r="E378" t="s">
        <v>1332</v>
      </c>
      <c r="F378" s="17">
        <v>46244</v>
      </c>
      <c r="H378" s="17"/>
      <c r="I378" t="s">
        <v>3023</v>
      </c>
      <c r="J378">
        <v>10734056</v>
      </c>
      <c r="K378" s="17">
        <v>31651</v>
      </c>
      <c r="L378">
        <v>39</v>
      </c>
      <c r="M378" t="s">
        <v>1349</v>
      </c>
      <c r="N378" t="s">
        <v>1345</v>
      </c>
      <c r="O378" t="s">
        <v>3024</v>
      </c>
      <c r="P378" t="s">
        <v>3025</v>
      </c>
      <c r="Q378" s="17"/>
      <c r="S378" t="s">
        <v>249</v>
      </c>
      <c r="T378" t="s">
        <v>1480</v>
      </c>
      <c r="X378" t="s">
        <v>249</v>
      </c>
      <c r="Y378" t="s">
        <v>249</v>
      </c>
      <c r="Z378" t="s">
        <v>1577</v>
      </c>
      <c r="AA378" t="s">
        <v>249</v>
      </c>
      <c r="AB378" t="s">
        <v>249</v>
      </c>
      <c r="AC378" t="s">
        <v>249</v>
      </c>
      <c r="AD378" t="s">
        <v>249</v>
      </c>
    </row>
    <row r="379" spans="1:30" hidden="1" x14ac:dyDescent="0.35">
      <c r="A379" t="s">
        <v>2364</v>
      </c>
      <c r="B379" t="s">
        <v>1475</v>
      </c>
      <c r="C379" t="s">
        <v>785</v>
      </c>
      <c r="D379" t="s">
        <v>3026</v>
      </c>
      <c r="E379" t="s">
        <v>1332</v>
      </c>
      <c r="F379" s="17">
        <v>46244</v>
      </c>
      <c r="H379" s="17"/>
      <c r="I379" t="s">
        <v>3027</v>
      </c>
      <c r="J379">
        <v>33339929</v>
      </c>
      <c r="K379" s="17">
        <v>30111</v>
      </c>
      <c r="L379">
        <v>44</v>
      </c>
      <c r="M379" t="s">
        <v>1344</v>
      </c>
      <c r="N379" t="s">
        <v>1345</v>
      </c>
      <c r="O379" t="s">
        <v>3028</v>
      </c>
      <c r="P379" t="s">
        <v>3029</v>
      </c>
      <c r="Q379" s="17"/>
      <c r="S379" t="s">
        <v>249</v>
      </c>
      <c r="T379" t="s">
        <v>1480</v>
      </c>
      <c r="X379" t="s">
        <v>249</v>
      </c>
      <c r="Y379" t="s">
        <v>249</v>
      </c>
      <c r="Z379" t="s">
        <v>1577</v>
      </c>
      <c r="AA379" t="s">
        <v>249</v>
      </c>
      <c r="AB379" t="s">
        <v>249</v>
      </c>
      <c r="AC379" t="s">
        <v>249</v>
      </c>
      <c r="AD379" t="s">
        <v>249</v>
      </c>
    </row>
    <row r="380" spans="1:30" hidden="1" x14ac:dyDescent="0.35">
      <c r="A380" t="s">
        <v>2364</v>
      </c>
      <c r="B380" t="s">
        <v>1461</v>
      </c>
      <c r="C380" t="s">
        <v>3030</v>
      </c>
      <c r="D380" t="s">
        <v>3031</v>
      </c>
      <c r="E380" t="s">
        <v>1336</v>
      </c>
      <c r="F380" s="17">
        <v>46244</v>
      </c>
      <c r="H380" s="17"/>
      <c r="I380" t="s">
        <v>3032</v>
      </c>
      <c r="J380" t="s">
        <v>3033</v>
      </c>
      <c r="K380" s="17">
        <v>28041</v>
      </c>
      <c r="L380">
        <v>49</v>
      </c>
      <c r="M380" t="s">
        <v>1344</v>
      </c>
      <c r="N380" t="s">
        <v>1380</v>
      </c>
      <c r="O380" t="s">
        <v>3034</v>
      </c>
      <c r="P380" t="s">
        <v>3035</v>
      </c>
      <c r="Q380" s="17"/>
      <c r="S380" t="s">
        <v>249</v>
      </c>
      <c r="T380" t="s">
        <v>1466</v>
      </c>
      <c r="X380" t="s">
        <v>249</v>
      </c>
      <c r="Y380" t="s">
        <v>249</v>
      </c>
      <c r="Z380" t="s">
        <v>2039</v>
      </c>
      <c r="AA380" t="s">
        <v>249</v>
      </c>
      <c r="AB380" t="s">
        <v>249</v>
      </c>
      <c r="AC380" t="s">
        <v>249</v>
      </c>
      <c r="AD380" t="s">
        <v>249</v>
      </c>
    </row>
    <row r="381" spans="1:30" hidden="1" x14ac:dyDescent="0.35">
      <c r="A381" t="s">
        <v>2364</v>
      </c>
      <c r="B381" t="s">
        <v>1475</v>
      </c>
      <c r="C381" t="s">
        <v>792</v>
      </c>
      <c r="D381" t="s">
        <v>3036</v>
      </c>
      <c r="E381" t="s">
        <v>1332</v>
      </c>
      <c r="F381" s="17">
        <v>46252</v>
      </c>
      <c r="H381" s="17"/>
      <c r="I381" t="s">
        <v>3037</v>
      </c>
      <c r="J381">
        <v>5994569</v>
      </c>
      <c r="K381" s="17">
        <v>35296</v>
      </c>
      <c r="L381">
        <v>30</v>
      </c>
      <c r="M381" t="s">
        <v>1354</v>
      </c>
      <c r="N381" t="s">
        <v>1345</v>
      </c>
      <c r="O381" t="s">
        <v>3038</v>
      </c>
      <c r="P381" t="s">
        <v>3039</v>
      </c>
      <c r="Q381" s="17"/>
      <c r="S381" t="s">
        <v>249</v>
      </c>
      <c r="T381" t="s">
        <v>1480</v>
      </c>
      <c r="X381" t="s">
        <v>249</v>
      </c>
      <c r="Y381" t="s">
        <v>249</v>
      </c>
      <c r="Z381" t="s">
        <v>1577</v>
      </c>
      <c r="AA381" t="s">
        <v>249</v>
      </c>
      <c r="AB381" t="s">
        <v>249</v>
      </c>
      <c r="AC381" t="s">
        <v>249</v>
      </c>
      <c r="AD381" t="s">
        <v>249</v>
      </c>
    </row>
    <row r="382" spans="1:30" hidden="1" x14ac:dyDescent="0.35">
      <c r="A382" t="s">
        <v>2364</v>
      </c>
      <c r="B382" t="s">
        <v>1475</v>
      </c>
      <c r="C382" t="s">
        <v>3040</v>
      </c>
      <c r="D382" t="s">
        <v>3041</v>
      </c>
      <c r="E382" t="s">
        <v>1332</v>
      </c>
      <c r="F382" s="17">
        <v>46258</v>
      </c>
      <c r="H382" s="17"/>
      <c r="I382" t="s">
        <v>3042</v>
      </c>
      <c r="J382">
        <v>1172533</v>
      </c>
      <c r="K382" s="17">
        <v>21946</v>
      </c>
      <c r="L382">
        <v>66</v>
      </c>
      <c r="M382" t="s">
        <v>1564</v>
      </c>
      <c r="N382" t="s">
        <v>1380</v>
      </c>
      <c r="O382" t="s">
        <v>3043</v>
      </c>
      <c r="P382" t="s">
        <v>249</v>
      </c>
      <c r="Q382" s="17"/>
      <c r="S382" t="s">
        <v>249</v>
      </c>
      <c r="T382" t="s">
        <v>1480</v>
      </c>
      <c r="X382" t="s">
        <v>249</v>
      </c>
      <c r="Y382" t="s">
        <v>249</v>
      </c>
      <c r="Z382" t="s">
        <v>1577</v>
      </c>
      <c r="AA382" t="s">
        <v>249</v>
      </c>
      <c r="AB382" t="s">
        <v>249</v>
      </c>
      <c r="AC382" t="s">
        <v>249</v>
      </c>
      <c r="AD382" t="s">
        <v>249</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A59E-EBFF-4F39-92B1-A14E4CA18835}">
  <dimension ref="A1:D22"/>
  <sheetViews>
    <sheetView workbookViewId="0">
      <selection sqref="A1:D23"/>
    </sheetView>
  </sheetViews>
  <sheetFormatPr defaultRowHeight="14.5" x14ac:dyDescent="0.35"/>
  <cols>
    <col min="1" max="1" width="33.1796875" bestFit="1" customWidth="1"/>
    <col min="2" max="2" width="20.26953125" bestFit="1" customWidth="1"/>
    <col min="3" max="3" width="36.7265625" bestFit="1" customWidth="1"/>
    <col min="4" max="4" width="18" bestFit="1" customWidth="1"/>
  </cols>
  <sheetData>
    <row r="1" spans="1:4" x14ac:dyDescent="0.35">
      <c r="A1" t="s">
        <v>1304</v>
      </c>
      <c r="B1" t="s">
        <v>1305</v>
      </c>
      <c r="C1" t="s">
        <v>1317</v>
      </c>
      <c r="D1" t="s">
        <v>1325</v>
      </c>
    </row>
    <row r="2" spans="1:4" x14ac:dyDescent="0.35">
      <c r="A2" t="s">
        <v>292</v>
      </c>
      <c r="B2" t="s">
        <v>431</v>
      </c>
      <c r="C2" t="s">
        <v>432</v>
      </c>
      <c r="D2" t="s">
        <v>1942</v>
      </c>
    </row>
    <row r="3" spans="1:4" x14ac:dyDescent="0.35">
      <c r="A3" t="s">
        <v>2398</v>
      </c>
      <c r="B3" t="s">
        <v>716</v>
      </c>
      <c r="C3" t="s">
        <v>2400</v>
      </c>
      <c r="D3" t="s">
        <v>1942</v>
      </c>
    </row>
    <row r="4" spans="1:4" x14ac:dyDescent="0.35">
      <c r="A4" t="s">
        <v>2411</v>
      </c>
      <c r="B4" t="s">
        <v>2412</v>
      </c>
      <c r="C4" t="s">
        <v>2415</v>
      </c>
      <c r="D4" t="s">
        <v>1942</v>
      </c>
    </row>
    <row r="5" spans="1:4" x14ac:dyDescent="0.35">
      <c r="A5" t="s">
        <v>2186</v>
      </c>
      <c r="B5" t="s">
        <v>2187</v>
      </c>
      <c r="C5" t="s">
        <v>2190</v>
      </c>
      <c r="D5" t="s">
        <v>1942</v>
      </c>
    </row>
    <row r="6" spans="1:4" x14ac:dyDescent="0.35">
      <c r="A6" t="s">
        <v>1939</v>
      </c>
      <c r="B6" t="s">
        <v>95</v>
      </c>
      <c r="C6" t="s">
        <v>96</v>
      </c>
      <c r="D6" t="s">
        <v>1942</v>
      </c>
    </row>
    <row r="7" spans="1:4" x14ac:dyDescent="0.35">
      <c r="A7" t="s">
        <v>2444</v>
      </c>
      <c r="B7" t="s">
        <v>2445</v>
      </c>
      <c r="C7" t="s">
        <v>2447</v>
      </c>
      <c r="D7" t="s">
        <v>1942</v>
      </c>
    </row>
    <row r="8" spans="1:4" x14ac:dyDescent="0.35">
      <c r="A8" t="s">
        <v>391</v>
      </c>
      <c r="B8" t="s">
        <v>355</v>
      </c>
      <c r="C8" t="s">
        <v>356</v>
      </c>
      <c r="D8" t="s">
        <v>1942</v>
      </c>
    </row>
    <row r="9" spans="1:4" x14ac:dyDescent="0.35">
      <c r="A9" t="s">
        <v>603</v>
      </c>
      <c r="B9" t="s">
        <v>122</v>
      </c>
      <c r="C9" t="s">
        <v>124</v>
      </c>
      <c r="D9" t="s">
        <v>1942</v>
      </c>
    </row>
    <row r="10" spans="1:4" x14ac:dyDescent="0.35">
      <c r="A10" t="s">
        <v>2355</v>
      </c>
      <c r="B10" t="s">
        <v>1077</v>
      </c>
      <c r="C10" t="s">
        <v>1078</v>
      </c>
      <c r="D10" t="s">
        <v>1942</v>
      </c>
    </row>
    <row r="11" spans="1:4" x14ac:dyDescent="0.35">
      <c r="A11" t="s">
        <v>2565</v>
      </c>
      <c r="B11" t="s">
        <v>2566</v>
      </c>
      <c r="C11" t="s">
        <v>2568</v>
      </c>
      <c r="D11" t="s">
        <v>1942</v>
      </c>
    </row>
    <row r="12" spans="1:4" x14ac:dyDescent="0.35">
      <c r="A12" t="s">
        <v>2359</v>
      </c>
      <c r="B12" t="s">
        <v>978</v>
      </c>
      <c r="C12" t="s">
        <v>979</v>
      </c>
      <c r="D12" t="s">
        <v>1942</v>
      </c>
    </row>
    <row r="13" spans="1:4" x14ac:dyDescent="0.35">
      <c r="A13" t="s">
        <v>244</v>
      </c>
      <c r="B13" t="s">
        <v>83</v>
      </c>
      <c r="C13" t="s">
        <v>85</v>
      </c>
      <c r="D13" t="s">
        <v>1942</v>
      </c>
    </row>
    <row r="14" spans="1:4" x14ac:dyDescent="0.35">
      <c r="A14" t="s">
        <v>2265</v>
      </c>
      <c r="B14" t="s">
        <v>2266</v>
      </c>
      <c r="C14" t="s">
        <v>2270</v>
      </c>
      <c r="D14" t="s">
        <v>1942</v>
      </c>
    </row>
    <row r="15" spans="1:4" x14ac:dyDescent="0.35">
      <c r="A15" t="s">
        <v>2646</v>
      </c>
      <c r="B15" t="s">
        <v>2647</v>
      </c>
      <c r="C15" t="s">
        <v>2649</v>
      </c>
      <c r="D15" t="s">
        <v>1942</v>
      </c>
    </row>
    <row r="16" spans="1:4" x14ac:dyDescent="0.35">
      <c r="A16" t="s">
        <v>443</v>
      </c>
      <c r="B16" t="s">
        <v>172</v>
      </c>
      <c r="C16" t="s">
        <v>173</v>
      </c>
      <c r="D16" t="s">
        <v>1942</v>
      </c>
    </row>
    <row r="17" spans="1:4" x14ac:dyDescent="0.35">
      <c r="A17" t="s">
        <v>2692</v>
      </c>
      <c r="B17" t="s">
        <v>2693</v>
      </c>
      <c r="C17" t="s">
        <v>2696</v>
      </c>
      <c r="D17" t="s">
        <v>1942</v>
      </c>
    </row>
    <row r="18" spans="1:4" x14ac:dyDescent="0.35">
      <c r="A18" t="s">
        <v>2700</v>
      </c>
      <c r="B18" t="s">
        <v>993</v>
      </c>
      <c r="C18" t="s">
        <v>2702</v>
      </c>
      <c r="D18" t="s">
        <v>1942</v>
      </c>
    </row>
    <row r="19" spans="1:4" x14ac:dyDescent="0.35">
      <c r="A19" t="s">
        <v>315</v>
      </c>
      <c r="B19" t="s">
        <v>158</v>
      </c>
      <c r="C19" s="107" t="s">
        <v>159</v>
      </c>
      <c r="D19" t="s">
        <v>1942</v>
      </c>
    </row>
    <row r="20" spans="1:4" x14ac:dyDescent="0.35">
      <c r="A20" t="s">
        <v>526</v>
      </c>
      <c r="B20" t="s">
        <v>121</v>
      </c>
      <c r="C20" t="s">
        <v>123</v>
      </c>
      <c r="D20" t="s">
        <v>1942</v>
      </c>
    </row>
    <row r="21" spans="1:4" x14ac:dyDescent="0.35">
      <c r="A21" t="s">
        <v>2779</v>
      </c>
      <c r="B21" t="s">
        <v>2780</v>
      </c>
      <c r="C21" t="s">
        <v>2782</v>
      </c>
      <c r="D21" t="s">
        <v>1942</v>
      </c>
    </row>
    <row r="22" spans="1:4" x14ac:dyDescent="0.35">
      <c r="A22" t="s">
        <v>369</v>
      </c>
      <c r="B22" t="s">
        <v>478</v>
      </c>
      <c r="C22" t="s">
        <v>479</v>
      </c>
      <c r="D22" t="s">
        <v>1942</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35E5-2A56-47E4-BA9D-200AA9900927}">
  <dimension ref="A1:D32"/>
  <sheetViews>
    <sheetView topLeftCell="A7" workbookViewId="0">
      <selection activeCell="P355" sqref="P355"/>
    </sheetView>
  </sheetViews>
  <sheetFormatPr defaultRowHeight="14.5" x14ac:dyDescent="0.35"/>
  <cols>
    <col min="1" max="1" width="32.453125" bestFit="1" customWidth="1"/>
    <col min="2" max="2" width="20.26953125" bestFit="1" customWidth="1"/>
    <col min="3" max="3" width="36.7265625" bestFit="1" customWidth="1"/>
    <col min="4" max="4" width="15.26953125" bestFit="1" customWidth="1"/>
  </cols>
  <sheetData>
    <row r="1" spans="1:4" x14ac:dyDescent="0.35">
      <c r="A1" t="s">
        <v>1304</v>
      </c>
      <c r="B1" t="s">
        <v>1305</v>
      </c>
      <c r="C1" t="s">
        <v>1317</v>
      </c>
      <c r="D1" t="s">
        <v>1325</v>
      </c>
    </row>
    <row r="2" spans="1:4" x14ac:dyDescent="0.35">
      <c r="A2" t="s">
        <v>2398</v>
      </c>
      <c r="B2" t="s">
        <v>716</v>
      </c>
      <c r="C2" t="s">
        <v>2400</v>
      </c>
      <c r="D2" t="s">
        <v>1942</v>
      </c>
    </row>
    <row r="3" spans="1:4" x14ac:dyDescent="0.35">
      <c r="A3" t="s">
        <v>2411</v>
      </c>
      <c r="B3" t="s">
        <v>2412</v>
      </c>
      <c r="C3" t="s">
        <v>2415</v>
      </c>
      <c r="D3" t="s">
        <v>1942</v>
      </c>
    </row>
    <row r="4" spans="1:4" x14ac:dyDescent="0.35">
      <c r="A4" t="s">
        <v>2186</v>
      </c>
      <c r="B4" t="s">
        <v>2187</v>
      </c>
      <c r="C4" t="s">
        <v>2190</v>
      </c>
      <c r="D4" t="s">
        <v>1942</v>
      </c>
    </row>
    <row r="5" spans="1:4" x14ac:dyDescent="0.35">
      <c r="A5" t="s">
        <v>1939</v>
      </c>
      <c r="B5" t="s">
        <v>95</v>
      </c>
      <c r="C5" t="s">
        <v>96</v>
      </c>
      <c r="D5" t="s">
        <v>1942</v>
      </c>
    </row>
    <row r="6" spans="1:4" x14ac:dyDescent="0.35">
      <c r="A6" t="s">
        <v>340</v>
      </c>
      <c r="B6" t="s">
        <v>130</v>
      </c>
      <c r="C6" t="s">
        <v>131</v>
      </c>
      <c r="D6" t="s">
        <v>1942</v>
      </c>
    </row>
    <row r="7" spans="1:4" x14ac:dyDescent="0.35">
      <c r="A7" t="s">
        <v>2444</v>
      </c>
      <c r="B7" t="s">
        <v>2445</v>
      </c>
      <c r="C7" t="s">
        <v>2447</v>
      </c>
      <c r="D7" t="s">
        <v>1942</v>
      </c>
    </row>
    <row r="8" spans="1:4" x14ac:dyDescent="0.35">
      <c r="A8" t="s">
        <v>391</v>
      </c>
      <c r="B8" t="s">
        <v>355</v>
      </c>
      <c r="C8" t="s">
        <v>356</v>
      </c>
      <c r="D8" t="s">
        <v>1942</v>
      </c>
    </row>
    <row r="9" spans="1:4" x14ac:dyDescent="0.35">
      <c r="A9" t="s">
        <v>603</v>
      </c>
      <c r="B9" t="s">
        <v>122</v>
      </c>
      <c r="C9" t="s">
        <v>124</v>
      </c>
      <c r="D9" t="s">
        <v>1942</v>
      </c>
    </row>
    <row r="10" spans="1:4" x14ac:dyDescent="0.35">
      <c r="A10" t="s">
        <v>496</v>
      </c>
      <c r="B10" t="s">
        <v>539</v>
      </c>
      <c r="C10" t="s">
        <v>540</v>
      </c>
      <c r="D10" t="s">
        <v>1942</v>
      </c>
    </row>
    <row r="11" spans="1:4" x14ac:dyDescent="0.35">
      <c r="A11" t="s">
        <v>2355</v>
      </c>
      <c r="B11" t="s">
        <v>1077</v>
      </c>
      <c r="C11" t="s">
        <v>1078</v>
      </c>
      <c r="D11" t="s">
        <v>1942</v>
      </c>
    </row>
    <row r="12" spans="1:4" x14ac:dyDescent="0.35">
      <c r="A12" t="s">
        <v>2565</v>
      </c>
      <c r="B12" t="s">
        <v>2566</v>
      </c>
      <c r="C12" t="s">
        <v>2568</v>
      </c>
      <c r="D12" t="s">
        <v>1942</v>
      </c>
    </row>
    <row r="13" spans="1:4" x14ac:dyDescent="0.35">
      <c r="A13" t="s">
        <v>2581</v>
      </c>
      <c r="B13" t="s">
        <v>2582</v>
      </c>
      <c r="C13" t="s">
        <v>2585</v>
      </c>
      <c r="D13" t="s">
        <v>1942</v>
      </c>
    </row>
    <row r="14" spans="1:4" x14ac:dyDescent="0.35">
      <c r="A14" t="s">
        <v>2359</v>
      </c>
      <c r="B14" t="s">
        <v>978</v>
      </c>
      <c r="C14" t="s">
        <v>979</v>
      </c>
      <c r="D14" t="s">
        <v>1942</v>
      </c>
    </row>
    <row r="15" spans="1:4" x14ac:dyDescent="0.35">
      <c r="A15" t="s">
        <v>2591</v>
      </c>
      <c r="B15" t="s">
        <v>150</v>
      </c>
      <c r="C15" t="s">
        <v>152</v>
      </c>
      <c r="D15" t="s">
        <v>1942</v>
      </c>
    </row>
    <row r="16" spans="1:4" x14ac:dyDescent="0.35">
      <c r="A16" t="s">
        <v>2646</v>
      </c>
      <c r="B16" t="s">
        <v>2647</v>
      </c>
      <c r="C16" t="s">
        <v>2649</v>
      </c>
      <c r="D16" t="s">
        <v>1942</v>
      </c>
    </row>
    <row r="17" spans="1:4" x14ac:dyDescent="0.35">
      <c r="A17" s="108" t="s">
        <v>443</v>
      </c>
      <c r="B17" s="108" t="s">
        <v>172</v>
      </c>
      <c r="C17" s="108" t="s">
        <v>173</v>
      </c>
      <c r="D17" s="108" t="s">
        <v>1942</v>
      </c>
    </row>
    <row r="18" spans="1:4" x14ac:dyDescent="0.35">
      <c r="A18" s="108" t="s">
        <v>2692</v>
      </c>
      <c r="B18" s="108" t="s">
        <v>2693</v>
      </c>
      <c r="C18" s="108" t="s">
        <v>2696</v>
      </c>
      <c r="D18" s="108" t="s">
        <v>1942</v>
      </c>
    </row>
    <row r="19" spans="1:4" x14ac:dyDescent="0.35">
      <c r="A19" s="109" t="s">
        <v>2700</v>
      </c>
      <c r="B19" s="109" t="s">
        <v>993</v>
      </c>
      <c r="C19" s="109" t="s">
        <v>2702</v>
      </c>
      <c r="D19" s="109" t="s">
        <v>1942</v>
      </c>
    </row>
    <row r="20" spans="1:4" x14ac:dyDescent="0.35">
      <c r="A20" s="109" t="s">
        <v>404</v>
      </c>
      <c r="B20" s="109" t="s">
        <v>515</v>
      </c>
      <c r="C20" s="109" t="s">
        <v>607</v>
      </c>
      <c r="D20" s="109" t="s">
        <v>1942</v>
      </c>
    </row>
    <row r="21" spans="1:4" x14ac:dyDescent="0.35">
      <c r="A21" s="109" t="s">
        <v>315</v>
      </c>
      <c r="B21" s="109" t="s">
        <v>158</v>
      </c>
      <c r="C21" s="109" t="s">
        <v>159</v>
      </c>
      <c r="D21" s="109" t="s">
        <v>1942</v>
      </c>
    </row>
    <row r="22" spans="1:4" x14ac:dyDescent="0.35">
      <c r="A22" s="109" t="s">
        <v>2779</v>
      </c>
      <c r="B22" s="109" t="s">
        <v>2780</v>
      </c>
      <c r="C22" s="109" t="s">
        <v>2782</v>
      </c>
      <c r="D22" s="109" t="s">
        <v>1942</v>
      </c>
    </row>
    <row r="23" spans="1:4" x14ac:dyDescent="0.35">
      <c r="A23" s="109" t="s">
        <v>369</v>
      </c>
      <c r="B23" s="109" t="s">
        <v>478</v>
      </c>
      <c r="C23" s="109" t="s">
        <v>479</v>
      </c>
      <c r="D23" s="109" t="s">
        <v>1942</v>
      </c>
    </row>
    <row r="24" spans="1:4" x14ac:dyDescent="0.35">
      <c r="A24" s="109" t="s">
        <v>354</v>
      </c>
      <c r="B24" s="109" t="s">
        <v>726</v>
      </c>
      <c r="C24" s="110" t="s">
        <v>104</v>
      </c>
      <c r="D24" s="109" t="s">
        <v>1942</v>
      </c>
    </row>
    <row r="25" spans="1:4" x14ac:dyDescent="0.35">
      <c r="A25" s="111" t="s">
        <v>560</v>
      </c>
      <c r="B25" s="109" t="s">
        <v>110</v>
      </c>
      <c r="C25" s="112" t="s">
        <v>1146</v>
      </c>
      <c r="D25" s="109" t="s">
        <v>1942</v>
      </c>
    </row>
    <row r="26" spans="1:4" x14ac:dyDescent="0.35">
      <c r="A26" s="109" t="s">
        <v>419</v>
      </c>
      <c r="B26" s="109" t="s">
        <v>84</v>
      </c>
      <c r="C26" s="113" t="s">
        <v>86</v>
      </c>
      <c r="D26" s="109" t="s">
        <v>1942</v>
      </c>
    </row>
    <row r="27" spans="1:4" x14ac:dyDescent="0.35">
      <c r="A27" s="109" t="s">
        <v>528</v>
      </c>
      <c r="B27" s="109" t="s">
        <v>149</v>
      </c>
      <c r="C27" s="113" t="s">
        <v>151</v>
      </c>
      <c r="D27" s="109" t="s">
        <v>1942</v>
      </c>
    </row>
    <row r="28" spans="1:4" x14ac:dyDescent="0.35">
      <c r="A28" s="109" t="s">
        <v>689</v>
      </c>
      <c r="B28" s="109" t="s">
        <v>707</v>
      </c>
      <c r="C28" s="113" t="s">
        <v>1011</v>
      </c>
      <c r="D28" s="109" t="s">
        <v>1942</v>
      </c>
    </row>
    <row r="29" spans="1:4" x14ac:dyDescent="0.35">
      <c r="A29" s="108" t="s">
        <v>526</v>
      </c>
      <c r="B29" s="108" t="s">
        <v>121</v>
      </c>
      <c r="C29" s="114" t="s">
        <v>123</v>
      </c>
      <c r="D29" s="109" t="s">
        <v>1942</v>
      </c>
    </row>
    <row r="30" spans="1:4" x14ac:dyDescent="0.35">
      <c r="A30" s="115" t="s">
        <v>2553</v>
      </c>
      <c r="B30" s="115" t="s">
        <v>737</v>
      </c>
      <c r="C30" s="52" t="s">
        <v>790</v>
      </c>
      <c r="D30" s="109" t="s">
        <v>1942</v>
      </c>
    </row>
    <row r="31" spans="1:4" x14ac:dyDescent="0.35">
      <c r="A31" s="115" t="s">
        <v>307</v>
      </c>
      <c r="B31" s="115" t="s">
        <v>307</v>
      </c>
      <c r="C31" s="52" t="s">
        <v>655</v>
      </c>
      <c r="D31" s="109" t="s">
        <v>1942</v>
      </c>
    </row>
    <row r="32" spans="1:4" x14ac:dyDescent="0.35">
      <c r="A32" s="115" t="s">
        <v>689</v>
      </c>
      <c r="B32" t="s">
        <v>122</v>
      </c>
      <c r="C32" t="s">
        <v>1011</v>
      </c>
      <c r="D32" s="109" t="s">
        <v>1942</v>
      </c>
    </row>
  </sheetData>
  <hyperlinks>
    <hyperlink ref="C26" r:id="rId1" xr:uid="{68317172-227E-427E-B870-D099E316CC0D}"/>
    <hyperlink ref="C27" r:id="rId2" xr:uid="{C0B72341-D172-4097-BF8F-4E3390C4756C}"/>
    <hyperlink ref="C28" r:id="rId3" xr:uid="{6BC212CF-7F72-4965-BE88-C8171B62F518}"/>
    <hyperlink ref="C29" r:id="rId4" xr:uid="{0C82D4E1-6790-4433-8F65-31A7E56D623B}"/>
    <hyperlink ref="C30" r:id="rId5" xr:uid="{B48CF6CE-D92D-4D9C-89AD-CBB63BB7097E}"/>
    <hyperlink ref="C31" r:id="rId6" xr:uid="{BFDD272E-C6D8-4C2F-99EF-01C4AF28ECD9}"/>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195D0-9901-4782-A700-FE3710C4D72B}">
  <dimension ref="A1:V434"/>
  <sheetViews>
    <sheetView workbookViewId="0">
      <selection activeCell="P355" sqref="P355"/>
    </sheetView>
  </sheetViews>
  <sheetFormatPr defaultRowHeight="14.5" x14ac:dyDescent="0.35"/>
  <cols>
    <col min="1" max="1" width="11.1796875" bestFit="1" customWidth="1"/>
    <col min="2" max="2" width="16.453125" bestFit="1" customWidth="1"/>
    <col min="3" max="3" width="12.453125" bestFit="1" customWidth="1"/>
    <col min="4" max="4" width="17.7265625" bestFit="1" customWidth="1"/>
    <col min="5" max="5" width="16.453125" bestFit="1" customWidth="1"/>
    <col min="6" max="6" width="20.26953125" bestFit="1" customWidth="1"/>
    <col min="7" max="7" width="31.54296875" bestFit="1" customWidth="1"/>
    <col min="8" max="8" width="25.7265625" bestFit="1" customWidth="1"/>
    <col min="9" max="9" width="38.26953125" bestFit="1" customWidth="1"/>
    <col min="10" max="10" width="28" bestFit="1" customWidth="1"/>
    <col min="11" max="11" width="18.453125" bestFit="1" customWidth="1"/>
    <col min="12" max="12" width="9.7265625" bestFit="1" customWidth="1"/>
    <col min="13" max="13" width="13.453125" bestFit="1" customWidth="1"/>
    <col min="14" max="14" width="19.81640625" bestFit="1" customWidth="1"/>
    <col min="15" max="15" width="22" bestFit="1" customWidth="1"/>
    <col min="16" max="16" width="21.81640625" bestFit="1" customWidth="1"/>
    <col min="17" max="17" width="22.453125" bestFit="1" customWidth="1"/>
    <col min="18" max="18" width="17.26953125" bestFit="1" customWidth="1"/>
    <col min="19" max="19" width="11.81640625" bestFit="1" customWidth="1"/>
    <col min="20" max="20" width="26.7265625" bestFit="1" customWidth="1"/>
    <col min="21" max="21" width="32.1796875" bestFit="1" customWidth="1"/>
    <col min="22" max="22" width="18.1796875" bestFit="1" customWidth="1"/>
  </cols>
  <sheetData>
    <row r="1" spans="1:22" x14ac:dyDescent="0.35">
      <c r="A1" t="s">
        <v>3044</v>
      </c>
      <c r="B1" t="s">
        <v>3045</v>
      </c>
      <c r="C1" t="s">
        <v>3046</v>
      </c>
      <c r="D1" t="s">
        <v>3047</v>
      </c>
      <c r="E1" t="s">
        <v>36</v>
      </c>
      <c r="F1" t="s">
        <v>35</v>
      </c>
      <c r="G1" t="s">
        <v>3048</v>
      </c>
      <c r="H1" t="s">
        <v>3049</v>
      </c>
      <c r="I1" t="s">
        <v>3050</v>
      </c>
      <c r="J1" t="s">
        <v>3051</v>
      </c>
      <c r="K1" t="s">
        <v>3052</v>
      </c>
      <c r="L1" t="s">
        <v>3053</v>
      </c>
      <c r="M1" t="s">
        <v>3054</v>
      </c>
      <c r="N1" t="s">
        <v>3055</v>
      </c>
      <c r="O1" t="s">
        <v>3056</v>
      </c>
      <c r="P1" t="s">
        <v>3057</v>
      </c>
      <c r="Q1" t="s">
        <v>3058</v>
      </c>
      <c r="R1" t="s">
        <v>3059</v>
      </c>
      <c r="S1" t="s">
        <v>3060</v>
      </c>
      <c r="T1" t="s">
        <v>3061</v>
      </c>
      <c r="U1" t="s">
        <v>3062</v>
      </c>
      <c r="V1" t="s">
        <v>3063</v>
      </c>
    </row>
    <row r="2" spans="1:22" x14ac:dyDescent="0.35">
      <c r="A2" t="s">
        <v>3064</v>
      </c>
      <c r="B2" t="s">
        <v>3065</v>
      </c>
      <c r="C2" t="s">
        <v>3066</v>
      </c>
      <c r="D2" t="s">
        <v>3067</v>
      </c>
      <c r="E2" t="s">
        <v>2513</v>
      </c>
      <c r="F2" t="s">
        <v>2513</v>
      </c>
      <c r="G2" t="s">
        <v>3068</v>
      </c>
      <c r="H2" t="s">
        <v>3069</v>
      </c>
      <c r="I2" t="s">
        <v>132</v>
      </c>
      <c r="J2" t="s">
        <v>3070</v>
      </c>
      <c r="K2">
        <v>0</v>
      </c>
      <c r="L2" t="s">
        <v>3071</v>
      </c>
      <c r="M2">
        <v>8</v>
      </c>
      <c r="N2" s="17">
        <v>44987</v>
      </c>
      <c r="O2" s="17">
        <v>45061</v>
      </c>
      <c r="Q2" t="s">
        <v>2833</v>
      </c>
      <c r="R2" t="s">
        <v>2041</v>
      </c>
      <c r="S2" t="s">
        <v>3072</v>
      </c>
      <c r="T2" t="s">
        <v>3073</v>
      </c>
      <c r="U2" t="s">
        <v>3074</v>
      </c>
      <c r="V2" t="s">
        <v>3075</v>
      </c>
    </row>
    <row r="3" spans="1:22" x14ac:dyDescent="0.35">
      <c r="A3" t="s">
        <v>3076</v>
      </c>
      <c r="B3" t="s">
        <v>3077</v>
      </c>
      <c r="C3" t="s">
        <v>3078</v>
      </c>
      <c r="D3" t="s">
        <v>3067</v>
      </c>
      <c r="E3" t="s">
        <v>249</v>
      </c>
      <c r="F3" t="s">
        <v>249</v>
      </c>
      <c r="G3" t="s">
        <v>3068</v>
      </c>
      <c r="H3" t="s">
        <v>3069</v>
      </c>
      <c r="I3" t="s">
        <v>1082</v>
      </c>
      <c r="J3" t="s">
        <v>3070</v>
      </c>
      <c r="K3">
        <v>0</v>
      </c>
      <c r="L3" t="s">
        <v>3079</v>
      </c>
      <c r="M3">
        <v>8</v>
      </c>
      <c r="N3" s="17">
        <v>45089</v>
      </c>
      <c r="O3" s="17">
        <v>45334</v>
      </c>
      <c r="R3" t="s">
        <v>249</v>
      </c>
      <c r="S3" t="s">
        <v>249</v>
      </c>
      <c r="T3" t="s">
        <v>3076</v>
      </c>
      <c r="U3" t="s">
        <v>3077</v>
      </c>
      <c r="V3" t="s">
        <v>3075</v>
      </c>
    </row>
    <row r="4" spans="1:22" x14ac:dyDescent="0.35">
      <c r="A4" t="s">
        <v>3080</v>
      </c>
      <c r="B4" t="s">
        <v>3081</v>
      </c>
      <c r="C4" t="s">
        <v>3082</v>
      </c>
      <c r="D4" t="s">
        <v>3067</v>
      </c>
      <c r="E4" t="s">
        <v>249</v>
      </c>
      <c r="F4" t="s">
        <v>249</v>
      </c>
      <c r="G4" t="s">
        <v>249</v>
      </c>
      <c r="H4" t="s">
        <v>249</v>
      </c>
      <c r="I4" t="s">
        <v>249</v>
      </c>
      <c r="J4" t="s">
        <v>249</v>
      </c>
      <c r="K4" t="s">
        <v>249</v>
      </c>
      <c r="L4" t="s">
        <v>3071</v>
      </c>
      <c r="M4">
        <v>0</v>
      </c>
      <c r="N4" s="17">
        <v>45169</v>
      </c>
      <c r="O4" s="17">
        <v>45260</v>
      </c>
      <c r="R4" t="s">
        <v>249</v>
      </c>
      <c r="S4" t="s">
        <v>249</v>
      </c>
      <c r="T4" t="s">
        <v>3080</v>
      </c>
      <c r="U4" t="s">
        <v>3081</v>
      </c>
      <c r="V4" t="s">
        <v>249</v>
      </c>
    </row>
    <row r="5" spans="1:22" x14ac:dyDescent="0.35">
      <c r="A5" t="s">
        <v>3083</v>
      </c>
      <c r="B5" t="s">
        <v>3084</v>
      </c>
      <c r="C5" t="s">
        <v>3085</v>
      </c>
      <c r="D5" t="s">
        <v>3067</v>
      </c>
      <c r="E5" t="s">
        <v>2513</v>
      </c>
      <c r="F5" t="s">
        <v>2608</v>
      </c>
      <c r="G5" t="s">
        <v>3086</v>
      </c>
      <c r="H5" t="s">
        <v>3087</v>
      </c>
      <c r="I5" t="s">
        <v>89</v>
      </c>
      <c r="J5" t="s">
        <v>3088</v>
      </c>
      <c r="K5">
        <v>0</v>
      </c>
      <c r="L5" t="s">
        <v>3071</v>
      </c>
      <c r="M5">
        <v>0</v>
      </c>
      <c r="N5" s="17">
        <v>44840</v>
      </c>
      <c r="O5" s="17">
        <v>45163</v>
      </c>
      <c r="P5" t="s">
        <v>3089</v>
      </c>
      <c r="Q5" t="s">
        <v>3090</v>
      </c>
      <c r="R5" t="s">
        <v>2041</v>
      </c>
      <c r="S5" t="s">
        <v>3072</v>
      </c>
      <c r="T5" t="s">
        <v>3091</v>
      </c>
      <c r="U5" t="s">
        <v>3092</v>
      </c>
      <c r="V5" t="s">
        <v>3075</v>
      </c>
    </row>
    <row r="6" spans="1:22" x14ac:dyDescent="0.35">
      <c r="A6" t="s">
        <v>3093</v>
      </c>
      <c r="B6" t="s">
        <v>3094</v>
      </c>
      <c r="C6" t="s">
        <v>3095</v>
      </c>
      <c r="D6" t="s">
        <v>3067</v>
      </c>
      <c r="E6" t="s">
        <v>2513</v>
      </c>
      <c r="F6" t="s">
        <v>2608</v>
      </c>
      <c r="G6" t="s">
        <v>3086</v>
      </c>
      <c r="H6" t="s">
        <v>3087</v>
      </c>
      <c r="I6" t="s">
        <v>89</v>
      </c>
      <c r="J6" t="s">
        <v>3088</v>
      </c>
      <c r="K6">
        <v>0</v>
      </c>
      <c r="L6" t="s">
        <v>3071</v>
      </c>
      <c r="M6">
        <v>0</v>
      </c>
      <c r="N6" s="17">
        <v>44895</v>
      </c>
      <c r="O6" s="17">
        <v>45261</v>
      </c>
      <c r="Q6" t="s">
        <v>2607</v>
      </c>
      <c r="R6" t="s">
        <v>2041</v>
      </c>
      <c r="S6" t="s">
        <v>3072</v>
      </c>
      <c r="T6" t="s">
        <v>3096</v>
      </c>
      <c r="U6" t="s">
        <v>3097</v>
      </c>
      <c r="V6" t="s">
        <v>3075</v>
      </c>
    </row>
    <row r="7" spans="1:22" x14ac:dyDescent="0.35">
      <c r="A7" t="s">
        <v>991</v>
      </c>
      <c r="B7" t="s">
        <v>3098</v>
      </c>
      <c r="C7" t="s">
        <v>3099</v>
      </c>
      <c r="D7" t="s">
        <v>3067</v>
      </c>
      <c r="E7" t="s">
        <v>2464</v>
      </c>
      <c r="F7" t="s">
        <v>2464</v>
      </c>
      <c r="G7" t="s">
        <v>990</v>
      </c>
      <c r="H7" t="s">
        <v>3087</v>
      </c>
      <c r="I7" t="s">
        <v>132</v>
      </c>
      <c r="J7" t="s">
        <v>3070</v>
      </c>
      <c r="K7">
        <v>0</v>
      </c>
      <c r="L7" t="s">
        <v>3079</v>
      </c>
      <c r="M7">
        <v>3</v>
      </c>
      <c r="N7" s="17">
        <v>0</v>
      </c>
      <c r="O7" s="17">
        <v>0</v>
      </c>
      <c r="P7" t="s">
        <v>3100</v>
      </c>
      <c r="Q7" t="s">
        <v>3101</v>
      </c>
      <c r="R7" t="s">
        <v>2041</v>
      </c>
      <c r="S7" t="s">
        <v>3072</v>
      </c>
      <c r="T7" t="s">
        <v>3102</v>
      </c>
      <c r="U7" t="s">
        <v>3103</v>
      </c>
      <c r="V7" t="s">
        <v>3075</v>
      </c>
    </row>
    <row r="8" spans="1:22" x14ac:dyDescent="0.35">
      <c r="A8" t="s">
        <v>3104</v>
      </c>
      <c r="B8" t="s">
        <v>3105</v>
      </c>
      <c r="C8" t="s">
        <v>3106</v>
      </c>
      <c r="D8" t="s">
        <v>3067</v>
      </c>
      <c r="E8" t="s">
        <v>2464</v>
      </c>
      <c r="F8">
        <v>0</v>
      </c>
      <c r="G8" t="s">
        <v>990</v>
      </c>
      <c r="H8" t="s">
        <v>3087</v>
      </c>
      <c r="I8" t="s">
        <v>990</v>
      </c>
      <c r="J8" t="s">
        <v>3107</v>
      </c>
      <c r="K8">
        <v>0</v>
      </c>
      <c r="L8" t="s">
        <v>3108</v>
      </c>
      <c r="M8">
        <v>1</v>
      </c>
      <c r="N8" s="17">
        <v>0</v>
      </c>
      <c r="O8" s="17">
        <v>0</v>
      </c>
      <c r="P8" t="s">
        <v>3109</v>
      </c>
      <c r="Q8" t="s">
        <v>3101</v>
      </c>
      <c r="R8" t="s">
        <v>2041</v>
      </c>
      <c r="S8" t="s">
        <v>3072</v>
      </c>
      <c r="T8" t="s">
        <v>3110</v>
      </c>
      <c r="U8" t="s">
        <v>3111</v>
      </c>
      <c r="V8" t="s">
        <v>3075</v>
      </c>
    </row>
    <row r="9" spans="1:22" x14ac:dyDescent="0.35">
      <c r="A9" t="s">
        <v>3112</v>
      </c>
      <c r="B9" t="s">
        <v>3113</v>
      </c>
      <c r="C9" t="s">
        <v>3114</v>
      </c>
      <c r="D9" t="s">
        <v>3067</v>
      </c>
      <c r="E9" t="s">
        <v>249</v>
      </c>
      <c r="F9" t="s">
        <v>249</v>
      </c>
      <c r="G9" t="s">
        <v>249</v>
      </c>
      <c r="H9" t="s">
        <v>249</v>
      </c>
      <c r="I9" t="s">
        <v>249</v>
      </c>
      <c r="J9" t="s">
        <v>249</v>
      </c>
      <c r="K9" t="s">
        <v>249</v>
      </c>
      <c r="L9" t="s">
        <v>3071</v>
      </c>
      <c r="M9">
        <v>0</v>
      </c>
      <c r="N9" s="17">
        <v>44375</v>
      </c>
      <c r="O9" s="17">
        <v>44772</v>
      </c>
      <c r="R9" t="s">
        <v>249</v>
      </c>
      <c r="S9" t="s">
        <v>249</v>
      </c>
      <c r="T9" t="s">
        <v>3112</v>
      </c>
      <c r="U9" t="s">
        <v>3113</v>
      </c>
      <c r="V9" t="s">
        <v>249</v>
      </c>
    </row>
    <row r="10" spans="1:22" x14ac:dyDescent="0.35">
      <c r="A10" t="s">
        <v>3115</v>
      </c>
      <c r="B10" t="s">
        <v>3116</v>
      </c>
      <c r="C10" t="s">
        <v>3117</v>
      </c>
      <c r="D10" t="s">
        <v>3067</v>
      </c>
      <c r="E10" t="s">
        <v>249</v>
      </c>
      <c r="F10" t="s">
        <v>249</v>
      </c>
      <c r="G10" t="s">
        <v>249</v>
      </c>
      <c r="H10" t="s">
        <v>249</v>
      </c>
      <c r="I10" t="s">
        <v>249</v>
      </c>
      <c r="J10" t="s">
        <v>249</v>
      </c>
      <c r="K10" t="s">
        <v>249</v>
      </c>
      <c r="L10" t="s">
        <v>3071</v>
      </c>
      <c r="M10">
        <v>0</v>
      </c>
      <c r="N10" s="17">
        <v>44566</v>
      </c>
      <c r="O10" s="17">
        <v>44656</v>
      </c>
      <c r="R10" t="s">
        <v>249</v>
      </c>
      <c r="S10" t="s">
        <v>249</v>
      </c>
      <c r="T10" t="s">
        <v>3115</v>
      </c>
      <c r="U10" t="s">
        <v>3116</v>
      </c>
      <c r="V10" t="s">
        <v>249</v>
      </c>
    </row>
    <row r="11" spans="1:22" x14ac:dyDescent="0.35">
      <c r="A11" t="s">
        <v>3118</v>
      </c>
      <c r="B11" t="s">
        <v>3119</v>
      </c>
      <c r="C11" t="s">
        <v>3120</v>
      </c>
      <c r="D11" t="s">
        <v>3067</v>
      </c>
      <c r="E11" t="s">
        <v>1580</v>
      </c>
      <c r="F11" t="s">
        <v>2464</v>
      </c>
      <c r="G11" t="s">
        <v>3121</v>
      </c>
      <c r="H11" t="s">
        <v>3087</v>
      </c>
      <c r="I11" t="s">
        <v>89</v>
      </c>
      <c r="J11" t="s">
        <v>3088</v>
      </c>
      <c r="K11">
        <v>0</v>
      </c>
      <c r="L11" t="s">
        <v>3071</v>
      </c>
      <c r="M11">
        <v>0</v>
      </c>
      <c r="N11" s="17">
        <v>44908</v>
      </c>
      <c r="O11" s="17">
        <v>45107</v>
      </c>
      <c r="P11" t="s">
        <v>3122</v>
      </c>
      <c r="Q11" t="s">
        <v>2607</v>
      </c>
      <c r="R11" t="s">
        <v>2041</v>
      </c>
      <c r="S11" t="s">
        <v>3072</v>
      </c>
      <c r="T11" t="s">
        <v>3123</v>
      </c>
      <c r="U11" t="s">
        <v>3124</v>
      </c>
      <c r="V11" t="s">
        <v>3075</v>
      </c>
    </row>
    <row r="12" spans="1:22" x14ac:dyDescent="0.35">
      <c r="A12" t="s">
        <v>3125</v>
      </c>
      <c r="B12" t="s">
        <v>3126</v>
      </c>
      <c r="C12" t="s">
        <v>3127</v>
      </c>
      <c r="D12" t="s">
        <v>3067</v>
      </c>
      <c r="E12" t="s">
        <v>2513</v>
      </c>
      <c r="F12" t="s">
        <v>3128</v>
      </c>
      <c r="G12" t="s">
        <v>3129</v>
      </c>
      <c r="H12" t="s">
        <v>3130</v>
      </c>
      <c r="I12" t="s">
        <v>3131</v>
      </c>
      <c r="J12" t="s">
        <v>3107</v>
      </c>
      <c r="K12">
        <v>0</v>
      </c>
      <c r="L12" t="s">
        <v>3071</v>
      </c>
      <c r="M12">
        <v>0</v>
      </c>
      <c r="N12" s="17">
        <v>44753</v>
      </c>
      <c r="O12" s="17">
        <v>45260</v>
      </c>
      <c r="Q12" t="s">
        <v>3132</v>
      </c>
      <c r="R12" t="s">
        <v>2041</v>
      </c>
      <c r="S12" t="s">
        <v>3072</v>
      </c>
      <c r="T12" t="s">
        <v>3133</v>
      </c>
      <c r="U12" t="s">
        <v>3134</v>
      </c>
      <c r="V12" t="s">
        <v>3075</v>
      </c>
    </row>
    <row r="13" spans="1:22" x14ac:dyDescent="0.35">
      <c r="A13" t="s">
        <v>3135</v>
      </c>
      <c r="B13" t="s">
        <v>3136</v>
      </c>
      <c r="C13" t="s">
        <v>3137</v>
      </c>
      <c r="D13" t="s">
        <v>3067</v>
      </c>
      <c r="E13" t="s">
        <v>249</v>
      </c>
      <c r="F13" t="s">
        <v>249</v>
      </c>
      <c r="G13" t="s">
        <v>3138</v>
      </c>
      <c r="H13" t="s">
        <v>3139</v>
      </c>
      <c r="I13" t="s">
        <v>3138</v>
      </c>
      <c r="J13" t="s">
        <v>3107</v>
      </c>
      <c r="K13">
        <v>0</v>
      </c>
      <c r="L13" t="s">
        <v>3071</v>
      </c>
      <c r="M13">
        <v>12</v>
      </c>
      <c r="N13" s="17">
        <v>45153</v>
      </c>
      <c r="O13" s="17">
        <v>45534</v>
      </c>
      <c r="Q13" t="s">
        <v>3140</v>
      </c>
      <c r="R13" t="s">
        <v>2041</v>
      </c>
      <c r="S13" t="s">
        <v>3072</v>
      </c>
      <c r="T13" t="s">
        <v>3135</v>
      </c>
      <c r="U13" t="s">
        <v>3136</v>
      </c>
      <c r="V13" t="s">
        <v>3075</v>
      </c>
    </row>
    <row r="14" spans="1:22" x14ac:dyDescent="0.35">
      <c r="A14" t="s">
        <v>3141</v>
      </c>
      <c r="B14" t="s">
        <v>3142</v>
      </c>
      <c r="C14" t="s">
        <v>3143</v>
      </c>
      <c r="D14" t="s">
        <v>3067</v>
      </c>
      <c r="E14" t="s">
        <v>1580</v>
      </c>
      <c r="F14" t="s">
        <v>2946</v>
      </c>
      <c r="G14" t="s">
        <v>252</v>
      </c>
      <c r="H14" t="s">
        <v>3087</v>
      </c>
      <c r="I14" t="s">
        <v>3144</v>
      </c>
      <c r="J14" t="s">
        <v>3088</v>
      </c>
      <c r="K14">
        <v>0</v>
      </c>
      <c r="L14" t="s">
        <v>3079</v>
      </c>
      <c r="M14">
        <v>12</v>
      </c>
      <c r="N14" s="17">
        <v>45149</v>
      </c>
      <c r="O14" s="17">
        <v>45413</v>
      </c>
      <c r="Q14" t="s">
        <v>3145</v>
      </c>
      <c r="R14" t="s">
        <v>2734</v>
      </c>
      <c r="S14" t="s">
        <v>3146</v>
      </c>
      <c r="T14" t="s">
        <v>3147</v>
      </c>
      <c r="U14" t="s">
        <v>3148</v>
      </c>
      <c r="V14" t="s">
        <v>3075</v>
      </c>
    </row>
    <row r="15" spans="1:22" x14ac:dyDescent="0.35">
      <c r="A15" t="s">
        <v>3149</v>
      </c>
      <c r="B15" t="s">
        <v>3150</v>
      </c>
      <c r="C15" t="s">
        <v>3151</v>
      </c>
      <c r="D15" t="s">
        <v>3067</v>
      </c>
      <c r="E15" t="s">
        <v>249</v>
      </c>
      <c r="F15" t="s">
        <v>249</v>
      </c>
      <c r="G15" t="s">
        <v>3152</v>
      </c>
      <c r="H15" t="s">
        <v>3153</v>
      </c>
      <c r="I15" t="s">
        <v>3154</v>
      </c>
      <c r="J15" t="s">
        <v>3155</v>
      </c>
      <c r="K15">
        <v>0</v>
      </c>
      <c r="L15" t="s">
        <v>3071</v>
      </c>
      <c r="M15">
        <v>12</v>
      </c>
      <c r="N15" s="17">
        <v>45145</v>
      </c>
      <c r="O15" s="17">
        <v>45403</v>
      </c>
      <c r="Q15" t="s">
        <v>3156</v>
      </c>
      <c r="R15" t="s">
        <v>2041</v>
      </c>
      <c r="S15" t="s">
        <v>3072</v>
      </c>
      <c r="T15" t="s">
        <v>3149</v>
      </c>
      <c r="U15" t="s">
        <v>3150</v>
      </c>
      <c r="V15" t="s">
        <v>3075</v>
      </c>
    </row>
    <row r="16" spans="1:22" x14ac:dyDescent="0.35">
      <c r="A16" t="s">
        <v>3157</v>
      </c>
      <c r="B16" t="s">
        <v>3158</v>
      </c>
      <c r="C16" t="s">
        <v>3159</v>
      </c>
      <c r="D16" t="s">
        <v>3067</v>
      </c>
      <c r="E16" t="s">
        <v>2513</v>
      </c>
      <c r="F16" t="s">
        <v>3160</v>
      </c>
      <c r="G16" t="s">
        <v>212</v>
      </c>
      <c r="H16" t="s">
        <v>3087</v>
      </c>
      <c r="I16" t="s">
        <v>89</v>
      </c>
      <c r="J16" t="s">
        <v>3088</v>
      </c>
      <c r="K16">
        <v>0</v>
      </c>
      <c r="L16" t="s">
        <v>3071</v>
      </c>
      <c r="M16">
        <v>10</v>
      </c>
      <c r="N16" s="17">
        <v>45044</v>
      </c>
      <c r="O16" s="17">
        <v>45291</v>
      </c>
      <c r="P16" t="s">
        <v>3161</v>
      </c>
      <c r="Q16" t="s">
        <v>3162</v>
      </c>
      <c r="R16" t="s">
        <v>2041</v>
      </c>
      <c r="S16" t="s">
        <v>3072</v>
      </c>
      <c r="T16" t="s">
        <v>3163</v>
      </c>
      <c r="U16" t="s">
        <v>3164</v>
      </c>
      <c r="V16" t="s">
        <v>3075</v>
      </c>
    </row>
    <row r="17" spans="1:22" x14ac:dyDescent="0.35">
      <c r="A17" t="s">
        <v>3165</v>
      </c>
      <c r="B17" t="s">
        <v>3166</v>
      </c>
      <c r="C17" t="s">
        <v>3167</v>
      </c>
      <c r="D17" t="s">
        <v>3067</v>
      </c>
      <c r="E17" t="s">
        <v>2513</v>
      </c>
      <c r="F17" t="s">
        <v>2608</v>
      </c>
      <c r="G17" t="s">
        <v>3168</v>
      </c>
      <c r="H17" t="s">
        <v>3139</v>
      </c>
      <c r="I17" t="s">
        <v>3169</v>
      </c>
      <c r="J17" t="s">
        <v>3155</v>
      </c>
      <c r="K17">
        <v>0</v>
      </c>
      <c r="L17" t="s">
        <v>3071</v>
      </c>
      <c r="M17">
        <v>5</v>
      </c>
      <c r="N17" s="17">
        <v>45007</v>
      </c>
      <c r="O17" s="17">
        <v>45079</v>
      </c>
      <c r="Q17" t="s">
        <v>3170</v>
      </c>
      <c r="R17" t="s">
        <v>3171</v>
      </c>
      <c r="S17" t="s">
        <v>3172</v>
      </c>
      <c r="T17" t="s">
        <v>3173</v>
      </c>
      <c r="U17" t="s">
        <v>3174</v>
      </c>
      <c r="V17" t="s">
        <v>3075</v>
      </c>
    </row>
    <row r="18" spans="1:22" x14ac:dyDescent="0.35">
      <c r="A18" t="s">
        <v>3175</v>
      </c>
      <c r="B18" t="s">
        <v>3176</v>
      </c>
      <c r="C18" t="s">
        <v>3177</v>
      </c>
      <c r="D18" t="s">
        <v>3067</v>
      </c>
      <c r="E18" t="s">
        <v>249</v>
      </c>
      <c r="F18" t="s">
        <v>249</v>
      </c>
      <c r="G18" t="s">
        <v>249</v>
      </c>
      <c r="H18" t="s">
        <v>249</v>
      </c>
      <c r="I18" t="s">
        <v>249</v>
      </c>
      <c r="J18" t="s">
        <v>249</v>
      </c>
      <c r="K18" t="s">
        <v>249</v>
      </c>
      <c r="L18" t="s">
        <v>3071</v>
      </c>
      <c r="M18">
        <v>0</v>
      </c>
      <c r="N18" s="17">
        <v>44788</v>
      </c>
      <c r="O18" s="17">
        <v>44972</v>
      </c>
      <c r="R18" t="s">
        <v>249</v>
      </c>
      <c r="S18" t="s">
        <v>249</v>
      </c>
      <c r="T18" t="s">
        <v>3175</v>
      </c>
      <c r="U18" t="s">
        <v>3176</v>
      </c>
      <c r="V18" t="s">
        <v>249</v>
      </c>
    </row>
    <row r="19" spans="1:22" x14ac:dyDescent="0.35">
      <c r="A19" t="s">
        <v>1232</v>
      </c>
      <c r="B19" t="s">
        <v>3178</v>
      </c>
      <c r="C19" t="s">
        <v>3179</v>
      </c>
      <c r="D19" t="s">
        <v>3067</v>
      </c>
      <c r="E19" t="s">
        <v>2513</v>
      </c>
      <c r="F19" t="s">
        <v>2608</v>
      </c>
      <c r="G19" t="s">
        <v>897</v>
      </c>
      <c r="H19" t="s">
        <v>3180</v>
      </c>
      <c r="I19" t="s">
        <v>89</v>
      </c>
      <c r="J19" t="s">
        <v>3088</v>
      </c>
      <c r="K19">
        <v>0</v>
      </c>
      <c r="L19" t="s">
        <v>3071</v>
      </c>
      <c r="M19">
        <v>8</v>
      </c>
      <c r="N19" s="17">
        <v>45047</v>
      </c>
      <c r="O19" s="17">
        <v>45504</v>
      </c>
      <c r="P19" t="s">
        <v>3181</v>
      </c>
      <c r="Q19" t="s">
        <v>2607</v>
      </c>
      <c r="R19" t="s">
        <v>2041</v>
      </c>
      <c r="S19" t="s">
        <v>3072</v>
      </c>
      <c r="T19" t="s">
        <v>3182</v>
      </c>
      <c r="U19" t="s">
        <v>3183</v>
      </c>
      <c r="V19" t="s">
        <v>3075</v>
      </c>
    </row>
    <row r="20" spans="1:22" x14ac:dyDescent="0.35">
      <c r="A20" t="s">
        <v>3184</v>
      </c>
      <c r="B20" t="s">
        <v>3185</v>
      </c>
      <c r="C20" t="s">
        <v>3186</v>
      </c>
      <c r="D20" t="s">
        <v>3067</v>
      </c>
      <c r="E20" t="s">
        <v>249</v>
      </c>
      <c r="F20" t="s">
        <v>249</v>
      </c>
      <c r="G20" t="s">
        <v>249</v>
      </c>
      <c r="H20" t="s">
        <v>249</v>
      </c>
      <c r="I20" t="s">
        <v>249</v>
      </c>
      <c r="J20" t="s">
        <v>249</v>
      </c>
      <c r="K20" t="s">
        <v>249</v>
      </c>
      <c r="L20" t="s">
        <v>3108</v>
      </c>
      <c r="M20">
        <v>0</v>
      </c>
      <c r="N20" s="17">
        <v>44928</v>
      </c>
      <c r="O20" s="17">
        <v>45048</v>
      </c>
      <c r="R20" t="s">
        <v>249</v>
      </c>
      <c r="S20" t="s">
        <v>249</v>
      </c>
      <c r="T20" t="s">
        <v>3184</v>
      </c>
      <c r="U20" t="s">
        <v>3185</v>
      </c>
      <c r="V20" t="s">
        <v>249</v>
      </c>
    </row>
    <row r="21" spans="1:22" x14ac:dyDescent="0.35">
      <c r="A21" t="s">
        <v>3187</v>
      </c>
      <c r="B21" t="s">
        <v>3188</v>
      </c>
      <c r="C21" t="s">
        <v>3189</v>
      </c>
      <c r="D21" t="s">
        <v>3067</v>
      </c>
      <c r="E21" t="s">
        <v>1580</v>
      </c>
      <c r="F21" t="s">
        <v>3190</v>
      </c>
      <c r="G21" t="s">
        <v>196</v>
      </c>
      <c r="H21" t="s">
        <v>3180</v>
      </c>
      <c r="I21" t="s">
        <v>89</v>
      </c>
      <c r="J21" t="s">
        <v>3088</v>
      </c>
      <c r="K21">
        <v>0</v>
      </c>
      <c r="L21" t="s">
        <v>3071</v>
      </c>
      <c r="M21">
        <v>6</v>
      </c>
      <c r="N21" s="17">
        <v>45103</v>
      </c>
      <c r="O21" s="17">
        <v>45280</v>
      </c>
      <c r="P21" t="s">
        <v>661</v>
      </c>
      <c r="Q21" t="s">
        <v>2728</v>
      </c>
      <c r="R21" t="s">
        <v>2041</v>
      </c>
      <c r="S21" t="s">
        <v>3072</v>
      </c>
      <c r="T21" t="s">
        <v>3191</v>
      </c>
      <c r="U21" t="s">
        <v>3192</v>
      </c>
      <c r="V21" t="s">
        <v>3075</v>
      </c>
    </row>
    <row r="22" spans="1:22" x14ac:dyDescent="0.35">
      <c r="A22" t="s">
        <v>3193</v>
      </c>
      <c r="B22" t="s">
        <v>3194</v>
      </c>
      <c r="C22" t="s">
        <v>3195</v>
      </c>
      <c r="D22" t="s">
        <v>3196</v>
      </c>
      <c r="E22" t="s">
        <v>249</v>
      </c>
      <c r="F22" t="s">
        <v>249</v>
      </c>
      <c r="G22" t="s">
        <v>249</v>
      </c>
      <c r="H22" t="s">
        <v>249</v>
      </c>
      <c r="I22" t="s">
        <v>249</v>
      </c>
      <c r="J22" t="s">
        <v>249</v>
      </c>
      <c r="K22" t="s">
        <v>249</v>
      </c>
      <c r="L22" t="s">
        <v>3071</v>
      </c>
      <c r="M22">
        <v>0</v>
      </c>
      <c r="N22" s="17">
        <v>44200</v>
      </c>
      <c r="O22" s="17">
        <v>44803</v>
      </c>
      <c r="R22" t="s">
        <v>249</v>
      </c>
      <c r="S22" t="s">
        <v>249</v>
      </c>
      <c r="T22" t="s">
        <v>3193</v>
      </c>
      <c r="U22" t="s">
        <v>3194</v>
      </c>
      <c r="V22" t="s">
        <v>249</v>
      </c>
    </row>
    <row r="23" spans="1:22" x14ac:dyDescent="0.35">
      <c r="A23" t="s">
        <v>3197</v>
      </c>
      <c r="B23" t="s">
        <v>3198</v>
      </c>
      <c r="C23" t="s">
        <v>3199</v>
      </c>
      <c r="D23" t="s">
        <v>3196</v>
      </c>
      <c r="E23" t="s">
        <v>249</v>
      </c>
      <c r="F23" t="s">
        <v>249</v>
      </c>
      <c r="G23" t="s">
        <v>3068</v>
      </c>
      <c r="H23" t="s">
        <v>3069</v>
      </c>
      <c r="I23" t="s">
        <v>132</v>
      </c>
      <c r="J23" t="s">
        <v>3070</v>
      </c>
      <c r="K23">
        <v>0</v>
      </c>
      <c r="L23" t="s">
        <v>3071</v>
      </c>
      <c r="M23">
        <v>0</v>
      </c>
      <c r="N23" s="17">
        <v>44718</v>
      </c>
      <c r="O23" s="17">
        <v>44901</v>
      </c>
      <c r="R23" t="s">
        <v>249</v>
      </c>
      <c r="S23" t="s">
        <v>249</v>
      </c>
      <c r="T23" t="s">
        <v>3197</v>
      </c>
      <c r="U23" t="s">
        <v>3198</v>
      </c>
      <c r="V23" t="s">
        <v>3075</v>
      </c>
    </row>
    <row r="24" spans="1:22" x14ac:dyDescent="0.35">
      <c r="A24" t="s">
        <v>3200</v>
      </c>
      <c r="B24" t="s">
        <v>3201</v>
      </c>
      <c r="C24" t="s">
        <v>3202</v>
      </c>
      <c r="D24" t="s">
        <v>3196</v>
      </c>
      <c r="E24" t="s">
        <v>249</v>
      </c>
      <c r="F24" t="s">
        <v>249</v>
      </c>
      <c r="G24" t="s">
        <v>3068</v>
      </c>
      <c r="H24" t="s">
        <v>3069</v>
      </c>
      <c r="I24" t="s">
        <v>89</v>
      </c>
      <c r="J24" t="s">
        <v>3088</v>
      </c>
      <c r="K24">
        <v>0</v>
      </c>
      <c r="L24" t="s">
        <v>3203</v>
      </c>
      <c r="M24">
        <v>0</v>
      </c>
      <c r="N24" s="17">
        <v>44735</v>
      </c>
      <c r="O24" s="17">
        <v>44765</v>
      </c>
      <c r="R24" t="s">
        <v>249</v>
      </c>
      <c r="S24" t="s">
        <v>249</v>
      </c>
      <c r="T24" t="s">
        <v>3200</v>
      </c>
      <c r="U24" t="s">
        <v>3201</v>
      </c>
      <c r="V24" t="s">
        <v>3075</v>
      </c>
    </row>
    <row r="25" spans="1:22" x14ac:dyDescent="0.35">
      <c r="A25" t="s">
        <v>3204</v>
      </c>
      <c r="B25" t="s">
        <v>3205</v>
      </c>
      <c r="C25" t="s">
        <v>3206</v>
      </c>
      <c r="D25" t="s">
        <v>3196</v>
      </c>
      <c r="E25" t="s">
        <v>2513</v>
      </c>
      <c r="F25" t="s">
        <v>2608</v>
      </c>
      <c r="G25" t="s">
        <v>3068</v>
      </c>
      <c r="H25" t="s">
        <v>3069</v>
      </c>
      <c r="I25" t="s">
        <v>89</v>
      </c>
      <c r="J25" t="s">
        <v>3088</v>
      </c>
      <c r="K25">
        <v>0</v>
      </c>
      <c r="L25" t="s">
        <v>3071</v>
      </c>
      <c r="M25">
        <v>0</v>
      </c>
      <c r="N25" s="17">
        <v>44747</v>
      </c>
      <c r="O25" s="17">
        <v>45051</v>
      </c>
      <c r="Q25" t="s">
        <v>3207</v>
      </c>
      <c r="R25" t="s">
        <v>2575</v>
      </c>
      <c r="S25" t="s">
        <v>3172</v>
      </c>
      <c r="T25" t="s">
        <v>3208</v>
      </c>
      <c r="U25" t="s">
        <v>3209</v>
      </c>
      <c r="V25" t="s">
        <v>3075</v>
      </c>
    </row>
    <row r="26" spans="1:22" x14ac:dyDescent="0.35">
      <c r="A26" t="s">
        <v>3210</v>
      </c>
      <c r="B26" t="s">
        <v>3211</v>
      </c>
      <c r="C26" t="s">
        <v>3212</v>
      </c>
      <c r="D26" t="s">
        <v>3196</v>
      </c>
      <c r="E26" t="s">
        <v>249</v>
      </c>
      <c r="F26" t="s">
        <v>249</v>
      </c>
      <c r="G26" t="s">
        <v>249</v>
      </c>
      <c r="H26" t="s">
        <v>249</v>
      </c>
      <c r="I26" t="s">
        <v>249</v>
      </c>
      <c r="J26" t="s">
        <v>249</v>
      </c>
      <c r="K26" t="s">
        <v>249</v>
      </c>
      <c r="L26" t="s">
        <v>3071</v>
      </c>
      <c r="M26">
        <v>0</v>
      </c>
      <c r="N26" s="17">
        <v>44893</v>
      </c>
      <c r="O26" s="17">
        <v>44925</v>
      </c>
      <c r="R26" t="s">
        <v>249</v>
      </c>
      <c r="S26" t="s">
        <v>249</v>
      </c>
      <c r="T26" t="s">
        <v>3210</v>
      </c>
      <c r="U26" t="s">
        <v>3211</v>
      </c>
      <c r="V26" t="s">
        <v>249</v>
      </c>
    </row>
    <row r="27" spans="1:22" x14ac:dyDescent="0.35">
      <c r="A27" t="s">
        <v>3213</v>
      </c>
      <c r="B27" t="s">
        <v>3214</v>
      </c>
      <c r="C27" t="s">
        <v>3215</v>
      </c>
      <c r="D27" t="s">
        <v>3196</v>
      </c>
      <c r="E27" t="s">
        <v>249</v>
      </c>
      <c r="F27" t="s">
        <v>249</v>
      </c>
      <c r="G27" t="s">
        <v>249</v>
      </c>
      <c r="H27" t="s">
        <v>249</v>
      </c>
      <c r="I27" t="s">
        <v>249</v>
      </c>
      <c r="J27" t="s">
        <v>249</v>
      </c>
      <c r="K27" t="s">
        <v>249</v>
      </c>
      <c r="L27" t="s">
        <v>3071</v>
      </c>
      <c r="M27">
        <v>0</v>
      </c>
      <c r="N27" s="17">
        <v>44509</v>
      </c>
      <c r="O27" s="17">
        <v>44607</v>
      </c>
      <c r="R27" t="s">
        <v>249</v>
      </c>
      <c r="S27" t="s">
        <v>249</v>
      </c>
      <c r="T27" t="s">
        <v>3213</v>
      </c>
      <c r="U27" t="s">
        <v>3214</v>
      </c>
      <c r="V27" t="s">
        <v>249</v>
      </c>
    </row>
    <row r="28" spans="1:22" x14ac:dyDescent="0.35">
      <c r="A28" t="s">
        <v>3216</v>
      </c>
      <c r="B28" t="s">
        <v>3217</v>
      </c>
      <c r="C28" t="s">
        <v>3218</v>
      </c>
      <c r="D28" t="s">
        <v>3196</v>
      </c>
      <c r="E28" t="s">
        <v>249</v>
      </c>
      <c r="F28" t="s">
        <v>249</v>
      </c>
      <c r="G28" t="s">
        <v>990</v>
      </c>
      <c r="H28" t="s">
        <v>3087</v>
      </c>
      <c r="I28" t="s">
        <v>132</v>
      </c>
      <c r="J28" t="s">
        <v>3070</v>
      </c>
      <c r="K28">
        <v>0</v>
      </c>
      <c r="L28" t="s">
        <v>3071</v>
      </c>
      <c r="M28">
        <v>0</v>
      </c>
      <c r="N28" s="17">
        <v>44736</v>
      </c>
      <c r="O28" s="17">
        <v>44766</v>
      </c>
      <c r="R28" t="s">
        <v>249</v>
      </c>
      <c r="S28" t="s">
        <v>249</v>
      </c>
      <c r="T28" t="s">
        <v>3216</v>
      </c>
      <c r="U28" t="s">
        <v>3217</v>
      </c>
      <c r="V28" t="s">
        <v>3075</v>
      </c>
    </row>
    <row r="29" spans="1:22" x14ac:dyDescent="0.35">
      <c r="A29" t="s">
        <v>3219</v>
      </c>
      <c r="B29" t="s">
        <v>3220</v>
      </c>
      <c r="C29" t="s">
        <v>3221</v>
      </c>
      <c r="D29" t="s">
        <v>3196</v>
      </c>
      <c r="E29" t="s">
        <v>2699</v>
      </c>
      <c r="F29" t="s">
        <v>3160</v>
      </c>
      <c r="G29" t="s">
        <v>249</v>
      </c>
      <c r="H29" t="s">
        <v>249</v>
      </c>
      <c r="I29" t="s">
        <v>249</v>
      </c>
      <c r="J29" t="s">
        <v>249</v>
      </c>
      <c r="K29" t="s">
        <v>249</v>
      </c>
      <c r="L29" t="s">
        <v>3079</v>
      </c>
      <c r="M29">
        <v>0</v>
      </c>
      <c r="N29" s="17">
        <v>44838</v>
      </c>
      <c r="O29" s="17">
        <v>44942</v>
      </c>
      <c r="R29" t="s">
        <v>249</v>
      </c>
      <c r="S29" t="s">
        <v>249</v>
      </c>
      <c r="T29" t="s">
        <v>3222</v>
      </c>
      <c r="U29" t="s">
        <v>3223</v>
      </c>
      <c r="V29" t="s">
        <v>249</v>
      </c>
    </row>
    <row r="30" spans="1:22" x14ac:dyDescent="0.35">
      <c r="A30" t="s">
        <v>3224</v>
      </c>
      <c r="B30" t="s">
        <v>3225</v>
      </c>
      <c r="C30" t="s">
        <v>3226</v>
      </c>
      <c r="D30" t="s">
        <v>3196</v>
      </c>
      <c r="E30" t="s">
        <v>249</v>
      </c>
      <c r="F30" t="s">
        <v>249</v>
      </c>
      <c r="G30" t="s">
        <v>990</v>
      </c>
      <c r="H30" t="s">
        <v>3087</v>
      </c>
      <c r="I30" t="s">
        <v>990</v>
      </c>
      <c r="J30" t="s">
        <v>3107</v>
      </c>
      <c r="K30">
        <v>0</v>
      </c>
      <c r="L30" t="s">
        <v>3108</v>
      </c>
      <c r="M30">
        <v>0</v>
      </c>
      <c r="N30" s="17">
        <v>44870</v>
      </c>
      <c r="O30" s="17">
        <v>44870</v>
      </c>
      <c r="R30" t="s">
        <v>249</v>
      </c>
      <c r="S30" t="s">
        <v>249</v>
      </c>
      <c r="T30" t="s">
        <v>3224</v>
      </c>
      <c r="U30" t="s">
        <v>3225</v>
      </c>
      <c r="V30" t="s">
        <v>3075</v>
      </c>
    </row>
    <row r="31" spans="1:22" x14ac:dyDescent="0.35">
      <c r="A31" t="s">
        <v>3227</v>
      </c>
      <c r="B31" t="s">
        <v>3228</v>
      </c>
      <c r="C31" t="s">
        <v>3229</v>
      </c>
      <c r="D31" t="s">
        <v>3196</v>
      </c>
      <c r="E31" t="s">
        <v>249</v>
      </c>
      <c r="F31" t="s">
        <v>249</v>
      </c>
      <c r="G31" t="s">
        <v>125</v>
      </c>
      <c r="H31" t="s">
        <v>3087</v>
      </c>
      <c r="I31" t="s">
        <v>3230</v>
      </c>
      <c r="J31" t="s">
        <v>3155</v>
      </c>
      <c r="K31">
        <v>0</v>
      </c>
      <c r="L31" t="s">
        <v>3071</v>
      </c>
      <c r="M31">
        <v>0</v>
      </c>
      <c r="N31" s="17">
        <v>44739</v>
      </c>
      <c r="O31" s="17">
        <v>44769</v>
      </c>
      <c r="R31" t="s">
        <v>249</v>
      </c>
      <c r="S31" t="s">
        <v>249</v>
      </c>
      <c r="T31" t="s">
        <v>3227</v>
      </c>
      <c r="U31" t="s">
        <v>3228</v>
      </c>
      <c r="V31" t="s">
        <v>3075</v>
      </c>
    </row>
    <row r="32" spans="1:22" x14ac:dyDescent="0.35">
      <c r="A32" t="s">
        <v>3231</v>
      </c>
      <c r="B32" t="s">
        <v>3232</v>
      </c>
      <c r="C32" t="s">
        <v>3233</v>
      </c>
      <c r="D32" t="s">
        <v>3196</v>
      </c>
      <c r="E32" t="s">
        <v>249</v>
      </c>
      <c r="F32" t="s">
        <v>249</v>
      </c>
      <c r="G32" t="s">
        <v>249</v>
      </c>
      <c r="H32" t="s">
        <v>249</v>
      </c>
      <c r="I32" t="s">
        <v>249</v>
      </c>
      <c r="J32" t="s">
        <v>249</v>
      </c>
      <c r="K32" t="s">
        <v>249</v>
      </c>
      <c r="L32" t="s">
        <v>3071</v>
      </c>
      <c r="M32">
        <v>0</v>
      </c>
      <c r="N32" s="17">
        <v>44593</v>
      </c>
      <c r="O32" s="17">
        <v>44742</v>
      </c>
      <c r="R32" t="s">
        <v>249</v>
      </c>
      <c r="S32" t="s">
        <v>249</v>
      </c>
      <c r="T32" t="s">
        <v>3231</v>
      </c>
      <c r="U32" t="s">
        <v>3232</v>
      </c>
      <c r="V32" t="s">
        <v>249</v>
      </c>
    </row>
    <row r="33" spans="1:22" x14ac:dyDescent="0.35">
      <c r="A33" t="s">
        <v>3234</v>
      </c>
      <c r="B33" t="s">
        <v>3235</v>
      </c>
      <c r="C33" t="s">
        <v>3236</v>
      </c>
      <c r="D33" t="s">
        <v>3196</v>
      </c>
      <c r="E33" t="s">
        <v>249</v>
      </c>
      <c r="F33" t="s">
        <v>249</v>
      </c>
      <c r="G33" t="s">
        <v>3237</v>
      </c>
      <c r="H33" t="s">
        <v>3087</v>
      </c>
      <c r="I33" t="s">
        <v>89</v>
      </c>
      <c r="J33" t="s">
        <v>3088</v>
      </c>
      <c r="K33">
        <v>0</v>
      </c>
      <c r="L33" t="s">
        <v>3071</v>
      </c>
      <c r="M33">
        <v>0</v>
      </c>
      <c r="N33" s="17">
        <v>44739</v>
      </c>
      <c r="O33" s="17">
        <v>44922</v>
      </c>
      <c r="R33" t="s">
        <v>249</v>
      </c>
      <c r="S33" t="s">
        <v>249</v>
      </c>
      <c r="T33" t="s">
        <v>3234</v>
      </c>
      <c r="U33" t="s">
        <v>3235</v>
      </c>
      <c r="V33" t="s">
        <v>3075</v>
      </c>
    </row>
    <row r="34" spans="1:22" x14ac:dyDescent="0.35">
      <c r="A34" t="s">
        <v>3238</v>
      </c>
      <c r="B34" t="s">
        <v>3239</v>
      </c>
      <c r="C34" t="s">
        <v>3240</v>
      </c>
      <c r="D34" t="s">
        <v>3196</v>
      </c>
      <c r="E34" t="s">
        <v>2513</v>
      </c>
      <c r="F34" t="s">
        <v>2608</v>
      </c>
      <c r="G34" t="s">
        <v>249</v>
      </c>
      <c r="H34" t="s">
        <v>249</v>
      </c>
      <c r="I34" t="s">
        <v>249</v>
      </c>
      <c r="J34" t="s">
        <v>249</v>
      </c>
      <c r="K34" t="s">
        <v>249</v>
      </c>
      <c r="L34" t="s">
        <v>3071</v>
      </c>
      <c r="M34">
        <v>0</v>
      </c>
      <c r="N34" s="17">
        <v>44486</v>
      </c>
      <c r="O34" s="17">
        <v>44668</v>
      </c>
      <c r="R34" t="s">
        <v>249</v>
      </c>
      <c r="S34" t="s">
        <v>249</v>
      </c>
      <c r="T34" t="s">
        <v>3241</v>
      </c>
      <c r="U34" t="s">
        <v>3242</v>
      </c>
      <c r="V34" t="s">
        <v>249</v>
      </c>
    </row>
    <row r="35" spans="1:22" x14ac:dyDescent="0.35">
      <c r="A35" t="s">
        <v>3243</v>
      </c>
      <c r="B35" t="s">
        <v>3244</v>
      </c>
      <c r="C35" t="s">
        <v>3245</v>
      </c>
      <c r="D35" t="s">
        <v>3196</v>
      </c>
      <c r="E35" t="s">
        <v>249</v>
      </c>
      <c r="F35" t="s">
        <v>249</v>
      </c>
      <c r="G35" t="s">
        <v>3246</v>
      </c>
      <c r="H35" t="s">
        <v>3087</v>
      </c>
      <c r="I35" t="s">
        <v>89</v>
      </c>
      <c r="J35" t="s">
        <v>3088</v>
      </c>
      <c r="K35">
        <v>0</v>
      </c>
      <c r="L35" t="s">
        <v>3079</v>
      </c>
      <c r="M35">
        <v>0</v>
      </c>
      <c r="N35" s="17">
        <v>44896</v>
      </c>
      <c r="O35" s="17">
        <v>44985</v>
      </c>
      <c r="R35" t="s">
        <v>249</v>
      </c>
      <c r="S35" t="s">
        <v>249</v>
      </c>
      <c r="T35" t="s">
        <v>3243</v>
      </c>
      <c r="U35" t="s">
        <v>3244</v>
      </c>
      <c r="V35" t="s">
        <v>3075</v>
      </c>
    </row>
    <row r="36" spans="1:22" x14ac:dyDescent="0.35">
      <c r="A36" t="s">
        <v>3247</v>
      </c>
      <c r="B36" t="s">
        <v>3247</v>
      </c>
      <c r="C36" t="s">
        <v>3248</v>
      </c>
      <c r="D36" t="s">
        <v>3196</v>
      </c>
      <c r="E36" t="s">
        <v>249</v>
      </c>
      <c r="F36" t="s">
        <v>249</v>
      </c>
      <c r="G36" t="s">
        <v>3246</v>
      </c>
      <c r="H36" t="s">
        <v>3087</v>
      </c>
      <c r="I36" t="s">
        <v>3246</v>
      </c>
      <c r="J36" t="s">
        <v>3249</v>
      </c>
      <c r="K36">
        <v>0</v>
      </c>
      <c r="L36" t="s">
        <v>3108</v>
      </c>
      <c r="M36">
        <v>0</v>
      </c>
      <c r="N36" s="17">
        <v>44951</v>
      </c>
      <c r="O36" s="17">
        <v>44951</v>
      </c>
      <c r="R36" t="s">
        <v>249</v>
      </c>
      <c r="S36" t="s">
        <v>249</v>
      </c>
      <c r="T36" t="s">
        <v>3247</v>
      </c>
      <c r="U36" t="s">
        <v>3247</v>
      </c>
      <c r="V36" t="s">
        <v>3075</v>
      </c>
    </row>
    <row r="37" spans="1:22" x14ac:dyDescent="0.35">
      <c r="A37" t="s">
        <v>3250</v>
      </c>
      <c r="B37" t="s">
        <v>3251</v>
      </c>
      <c r="C37" t="s">
        <v>3252</v>
      </c>
      <c r="D37" t="s">
        <v>3196</v>
      </c>
      <c r="E37" t="s">
        <v>249</v>
      </c>
      <c r="F37" t="s">
        <v>249</v>
      </c>
      <c r="G37" t="s">
        <v>249</v>
      </c>
      <c r="H37" t="s">
        <v>249</v>
      </c>
      <c r="I37" t="s">
        <v>249</v>
      </c>
      <c r="J37" t="s">
        <v>249</v>
      </c>
      <c r="K37" t="s">
        <v>249</v>
      </c>
      <c r="L37" t="s">
        <v>3071</v>
      </c>
      <c r="M37">
        <v>0</v>
      </c>
      <c r="N37" s="17">
        <v>44274</v>
      </c>
      <c r="O37" s="17">
        <v>44514</v>
      </c>
      <c r="R37" t="s">
        <v>249</v>
      </c>
      <c r="S37" t="s">
        <v>249</v>
      </c>
      <c r="T37" t="s">
        <v>3250</v>
      </c>
      <c r="U37" t="s">
        <v>3251</v>
      </c>
      <c r="V37" t="s">
        <v>249</v>
      </c>
    </row>
    <row r="38" spans="1:22" x14ac:dyDescent="0.35">
      <c r="A38" t="s">
        <v>3253</v>
      </c>
      <c r="B38" t="s">
        <v>3254</v>
      </c>
      <c r="C38" t="s">
        <v>3255</v>
      </c>
      <c r="D38" t="s">
        <v>3196</v>
      </c>
      <c r="E38" t="s">
        <v>2699</v>
      </c>
      <c r="F38" t="s">
        <v>3160</v>
      </c>
      <c r="G38" t="s">
        <v>3256</v>
      </c>
      <c r="H38" t="s">
        <v>3087</v>
      </c>
      <c r="I38" t="s">
        <v>89</v>
      </c>
      <c r="J38" t="s">
        <v>3088</v>
      </c>
      <c r="K38">
        <v>0</v>
      </c>
      <c r="L38" t="s">
        <v>3071</v>
      </c>
      <c r="M38">
        <v>0</v>
      </c>
      <c r="N38" s="17">
        <v>44896</v>
      </c>
      <c r="O38" s="17">
        <v>45196</v>
      </c>
      <c r="R38" t="s">
        <v>249</v>
      </c>
      <c r="S38" t="s">
        <v>249</v>
      </c>
      <c r="T38" t="s">
        <v>3257</v>
      </c>
      <c r="U38" t="s">
        <v>3258</v>
      </c>
      <c r="V38" t="s">
        <v>3075</v>
      </c>
    </row>
    <row r="39" spans="1:22" x14ac:dyDescent="0.35">
      <c r="A39" t="s">
        <v>3259</v>
      </c>
      <c r="B39" t="s">
        <v>3260</v>
      </c>
      <c r="C39" t="s">
        <v>3261</v>
      </c>
      <c r="D39" t="s">
        <v>3196</v>
      </c>
      <c r="E39" t="s">
        <v>249</v>
      </c>
      <c r="F39" t="s">
        <v>249</v>
      </c>
      <c r="G39" t="s">
        <v>3121</v>
      </c>
      <c r="H39" t="s">
        <v>3087</v>
      </c>
      <c r="I39" t="s">
        <v>89</v>
      </c>
      <c r="J39" t="s">
        <v>3088</v>
      </c>
      <c r="K39">
        <v>0</v>
      </c>
      <c r="L39" t="s">
        <v>3071</v>
      </c>
      <c r="M39">
        <v>0</v>
      </c>
      <c r="N39" s="17">
        <v>44902</v>
      </c>
      <c r="O39" s="17">
        <v>44933</v>
      </c>
      <c r="R39" t="s">
        <v>249</v>
      </c>
      <c r="S39" t="s">
        <v>249</v>
      </c>
      <c r="T39" t="s">
        <v>3259</v>
      </c>
      <c r="U39" t="s">
        <v>3260</v>
      </c>
      <c r="V39" t="s">
        <v>3075</v>
      </c>
    </row>
    <row r="40" spans="1:22" x14ac:dyDescent="0.35">
      <c r="A40" t="s">
        <v>3262</v>
      </c>
      <c r="B40" t="s">
        <v>3263</v>
      </c>
      <c r="C40" t="s">
        <v>3264</v>
      </c>
      <c r="D40" t="s">
        <v>3196</v>
      </c>
      <c r="E40" t="s">
        <v>2513</v>
      </c>
      <c r="F40" t="s">
        <v>2608</v>
      </c>
      <c r="G40" t="s">
        <v>249</v>
      </c>
      <c r="H40" t="s">
        <v>249</v>
      </c>
      <c r="I40" t="s">
        <v>249</v>
      </c>
      <c r="J40" t="s">
        <v>249</v>
      </c>
      <c r="K40" t="s">
        <v>249</v>
      </c>
      <c r="L40" t="s">
        <v>3071</v>
      </c>
      <c r="M40">
        <v>0</v>
      </c>
      <c r="N40" s="17">
        <v>44216</v>
      </c>
      <c r="O40" s="17">
        <v>44671</v>
      </c>
      <c r="R40" t="s">
        <v>249</v>
      </c>
      <c r="S40" t="s">
        <v>249</v>
      </c>
      <c r="T40" t="s">
        <v>3265</v>
      </c>
      <c r="U40" t="s">
        <v>3266</v>
      </c>
      <c r="V40" t="s">
        <v>249</v>
      </c>
    </row>
    <row r="41" spans="1:22" x14ac:dyDescent="0.35">
      <c r="A41" t="s">
        <v>3267</v>
      </c>
      <c r="B41" t="s">
        <v>3268</v>
      </c>
      <c r="C41" t="s">
        <v>3269</v>
      </c>
      <c r="D41" t="s">
        <v>3196</v>
      </c>
      <c r="E41" t="s">
        <v>249</v>
      </c>
      <c r="F41" t="s">
        <v>249</v>
      </c>
      <c r="G41" t="s">
        <v>249</v>
      </c>
      <c r="H41" t="s">
        <v>249</v>
      </c>
      <c r="I41" t="s">
        <v>249</v>
      </c>
      <c r="J41" t="s">
        <v>249</v>
      </c>
      <c r="K41" t="s">
        <v>249</v>
      </c>
      <c r="L41" t="s">
        <v>3071</v>
      </c>
      <c r="M41">
        <v>0</v>
      </c>
      <c r="N41" s="17">
        <v>44531</v>
      </c>
      <c r="O41" s="17">
        <v>44711</v>
      </c>
      <c r="R41" t="s">
        <v>249</v>
      </c>
      <c r="S41" t="s">
        <v>249</v>
      </c>
      <c r="T41" t="s">
        <v>3267</v>
      </c>
      <c r="U41" t="s">
        <v>3268</v>
      </c>
      <c r="V41" t="s">
        <v>249</v>
      </c>
    </row>
    <row r="42" spans="1:22" x14ac:dyDescent="0.35">
      <c r="A42" t="s">
        <v>3270</v>
      </c>
      <c r="B42" t="s">
        <v>3271</v>
      </c>
      <c r="C42" t="s">
        <v>3272</v>
      </c>
      <c r="D42" t="s">
        <v>3196</v>
      </c>
      <c r="E42" t="s">
        <v>249</v>
      </c>
      <c r="F42" t="s">
        <v>249</v>
      </c>
      <c r="G42" t="s">
        <v>249</v>
      </c>
      <c r="H42" t="s">
        <v>249</v>
      </c>
      <c r="I42" t="s">
        <v>249</v>
      </c>
      <c r="J42" t="s">
        <v>249</v>
      </c>
      <c r="K42" t="s">
        <v>249</v>
      </c>
      <c r="L42" t="s">
        <v>3071</v>
      </c>
      <c r="M42">
        <v>0</v>
      </c>
      <c r="N42" s="17">
        <v>44620</v>
      </c>
      <c r="O42" s="17">
        <v>45096</v>
      </c>
      <c r="R42" t="s">
        <v>249</v>
      </c>
      <c r="S42" t="s">
        <v>249</v>
      </c>
      <c r="T42" t="s">
        <v>3270</v>
      </c>
      <c r="U42" t="s">
        <v>3271</v>
      </c>
      <c r="V42" t="s">
        <v>249</v>
      </c>
    </row>
    <row r="43" spans="1:22" x14ac:dyDescent="0.35">
      <c r="A43" t="s">
        <v>3273</v>
      </c>
      <c r="B43" t="s">
        <v>3274</v>
      </c>
      <c r="C43" t="s">
        <v>3275</v>
      </c>
      <c r="D43" t="s">
        <v>3196</v>
      </c>
      <c r="E43" t="s">
        <v>249</v>
      </c>
      <c r="F43" t="s">
        <v>249</v>
      </c>
      <c r="G43" t="s">
        <v>249</v>
      </c>
      <c r="H43" t="s">
        <v>249</v>
      </c>
      <c r="I43" t="s">
        <v>249</v>
      </c>
      <c r="J43" t="s">
        <v>249</v>
      </c>
      <c r="K43" t="s">
        <v>249</v>
      </c>
      <c r="L43" t="s">
        <v>3071</v>
      </c>
      <c r="M43">
        <v>0</v>
      </c>
      <c r="N43" s="17">
        <v>44620</v>
      </c>
      <c r="O43" s="17">
        <v>44733</v>
      </c>
      <c r="R43" t="s">
        <v>249</v>
      </c>
      <c r="S43" t="s">
        <v>249</v>
      </c>
      <c r="T43" t="s">
        <v>3273</v>
      </c>
      <c r="U43" t="s">
        <v>3274</v>
      </c>
      <c r="V43" t="s">
        <v>249</v>
      </c>
    </row>
    <row r="44" spans="1:22" x14ac:dyDescent="0.35">
      <c r="A44" t="s">
        <v>3276</v>
      </c>
      <c r="B44" t="s">
        <v>3277</v>
      </c>
      <c r="C44" t="s">
        <v>3278</v>
      </c>
      <c r="D44" t="s">
        <v>3196</v>
      </c>
      <c r="E44" t="s">
        <v>2699</v>
      </c>
      <c r="F44" t="s">
        <v>3160</v>
      </c>
      <c r="G44" t="s">
        <v>249</v>
      </c>
      <c r="H44" t="s">
        <v>249</v>
      </c>
      <c r="I44" t="s">
        <v>249</v>
      </c>
      <c r="J44" t="s">
        <v>249</v>
      </c>
      <c r="K44" t="s">
        <v>249</v>
      </c>
      <c r="L44" t="s">
        <v>3071</v>
      </c>
      <c r="M44">
        <v>0</v>
      </c>
      <c r="N44" s="17">
        <v>44777</v>
      </c>
      <c r="O44" s="17">
        <v>44863</v>
      </c>
      <c r="R44" t="s">
        <v>249</v>
      </c>
      <c r="S44" t="s">
        <v>249</v>
      </c>
      <c r="T44" t="s">
        <v>3279</v>
      </c>
      <c r="U44" t="s">
        <v>3280</v>
      </c>
      <c r="V44" t="s">
        <v>249</v>
      </c>
    </row>
    <row r="45" spans="1:22" x14ac:dyDescent="0.35">
      <c r="A45" t="s">
        <v>3281</v>
      </c>
      <c r="B45" t="s">
        <v>3282</v>
      </c>
      <c r="C45" t="s">
        <v>3283</v>
      </c>
      <c r="D45" t="s">
        <v>3196</v>
      </c>
      <c r="E45" t="s">
        <v>249</v>
      </c>
      <c r="F45" t="s">
        <v>249</v>
      </c>
      <c r="G45" t="s">
        <v>249</v>
      </c>
      <c r="H45" t="s">
        <v>249</v>
      </c>
      <c r="I45" t="s">
        <v>249</v>
      </c>
      <c r="J45" t="s">
        <v>249</v>
      </c>
      <c r="K45" t="s">
        <v>249</v>
      </c>
      <c r="L45" t="s">
        <v>3071</v>
      </c>
      <c r="M45">
        <v>0</v>
      </c>
      <c r="N45" s="17">
        <v>44562</v>
      </c>
      <c r="O45" s="17">
        <v>44925</v>
      </c>
      <c r="R45" t="s">
        <v>249</v>
      </c>
      <c r="S45" t="s">
        <v>249</v>
      </c>
      <c r="T45" t="s">
        <v>3281</v>
      </c>
      <c r="U45" t="s">
        <v>3282</v>
      </c>
      <c r="V45" t="s">
        <v>249</v>
      </c>
    </row>
    <row r="46" spans="1:22" x14ac:dyDescent="0.35">
      <c r="A46" t="s">
        <v>3284</v>
      </c>
      <c r="B46" t="s">
        <v>3285</v>
      </c>
      <c r="C46" t="s">
        <v>3286</v>
      </c>
      <c r="D46" t="s">
        <v>3196</v>
      </c>
      <c r="E46" t="s">
        <v>249</v>
      </c>
      <c r="F46" t="s">
        <v>249</v>
      </c>
      <c r="G46" t="s">
        <v>3287</v>
      </c>
      <c r="H46" t="s">
        <v>3069</v>
      </c>
      <c r="I46" t="s">
        <v>3287</v>
      </c>
      <c r="J46" t="s">
        <v>3107</v>
      </c>
      <c r="K46">
        <v>0</v>
      </c>
      <c r="L46" t="s">
        <v>3108</v>
      </c>
      <c r="M46">
        <v>1</v>
      </c>
      <c r="N46" s="17">
        <v>45135</v>
      </c>
      <c r="O46" s="17">
        <v>45142</v>
      </c>
      <c r="R46" t="s">
        <v>249</v>
      </c>
      <c r="S46" t="s">
        <v>249</v>
      </c>
      <c r="T46" t="s">
        <v>3284</v>
      </c>
      <c r="U46" t="s">
        <v>3285</v>
      </c>
      <c r="V46" t="s">
        <v>3075</v>
      </c>
    </row>
    <row r="47" spans="1:22" x14ac:dyDescent="0.35">
      <c r="A47" t="s">
        <v>3288</v>
      </c>
      <c r="B47" t="s">
        <v>3289</v>
      </c>
      <c r="C47" t="s">
        <v>3290</v>
      </c>
      <c r="D47" t="s">
        <v>3196</v>
      </c>
      <c r="E47" t="s">
        <v>249</v>
      </c>
      <c r="F47" t="s">
        <v>249</v>
      </c>
      <c r="G47" t="s">
        <v>249</v>
      </c>
      <c r="H47" t="s">
        <v>249</v>
      </c>
      <c r="I47" t="s">
        <v>249</v>
      </c>
      <c r="J47" t="s">
        <v>249</v>
      </c>
      <c r="K47" t="s">
        <v>249</v>
      </c>
      <c r="L47" t="s">
        <v>3108</v>
      </c>
      <c r="M47">
        <v>0</v>
      </c>
      <c r="N47" s="17">
        <v>45199</v>
      </c>
      <c r="O47" s="17">
        <v>45199</v>
      </c>
      <c r="R47" t="s">
        <v>249</v>
      </c>
      <c r="S47" t="s">
        <v>249</v>
      </c>
      <c r="T47" t="s">
        <v>3288</v>
      </c>
      <c r="U47" t="s">
        <v>3289</v>
      </c>
      <c r="V47" t="s">
        <v>249</v>
      </c>
    </row>
    <row r="48" spans="1:22" x14ac:dyDescent="0.35">
      <c r="A48" t="s">
        <v>3291</v>
      </c>
      <c r="B48" t="s">
        <v>3292</v>
      </c>
      <c r="C48" t="s">
        <v>3293</v>
      </c>
      <c r="D48" t="s">
        <v>3196</v>
      </c>
      <c r="E48" t="s">
        <v>2513</v>
      </c>
      <c r="F48" t="s">
        <v>2608</v>
      </c>
      <c r="G48" t="s">
        <v>249</v>
      </c>
      <c r="H48" t="s">
        <v>249</v>
      </c>
      <c r="I48" t="s">
        <v>249</v>
      </c>
      <c r="J48" t="s">
        <v>249</v>
      </c>
      <c r="K48" t="s">
        <v>249</v>
      </c>
      <c r="L48" t="s">
        <v>3071</v>
      </c>
      <c r="M48">
        <v>0</v>
      </c>
      <c r="N48" s="17">
        <v>44484</v>
      </c>
      <c r="O48" s="17">
        <v>44849</v>
      </c>
      <c r="R48" t="s">
        <v>249</v>
      </c>
      <c r="S48" t="s">
        <v>249</v>
      </c>
      <c r="T48" t="s">
        <v>3294</v>
      </c>
      <c r="U48" t="s">
        <v>3295</v>
      </c>
      <c r="V48" t="s">
        <v>249</v>
      </c>
    </row>
    <row r="49" spans="1:22" x14ac:dyDescent="0.35">
      <c r="A49" t="s">
        <v>3296</v>
      </c>
      <c r="B49" t="s">
        <v>3297</v>
      </c>
      <c r="C49" t="s">
        <v>3298</v>
      </c>
      <c r="D49" t="s">
        <v>3196</v>
      </c>
      <c r="E49" t="s">
        <v>249</v>
      </c>
      <c r="F49" t="s">
        <v>249</v>
      </c>
      <c r="G49" t="s">
        <v>249</v>
      </c>
      <c r="H49" t="s">
        <v>249</v>
      </c>
      <c r="I49" t="s">
        <v>249</v>
      </c>
      <c r="J49" t="s">
        <v>249</v>
      </c>
      <c r="K49" t="s">
        <v>249</v>
      </c>
      <c r="L49" t="s">
        <v>3071</v>
      </c>
      <c r="M49">
        <v>0</v>
      </c>
      <c r="N49" s="17">
        <v>44599</v>
      </c>
      <c r="O49" s="17">
        <v>44689</v>
      </c>
      <c r="R49" t="s">
        <v>249</v>
      </c>
      <c r="S49" t="s">
        <v>249</v>
      </c>
      <c r="T49" t="s">
        <v>3296</v>
      </c>
      <c r="U49" t="s">
        <v>3297</v>
      </c>
      <c r="V49" t="s">
        <v>249</v>
      </c>
    </row>
    <row r="50" spans="1:22" x14ac:dyDescent="0.35">
      <c r="A50" t="s">
        <v>3299</v>
      </c>
      <c r="B50" t="s">
        <v>3300</v>
      </c>
      <c r="C50" t="s">
        <v>3301</v>
      </c>
      <c r="D50" t="s">
        <v>3196</v>
      </c>
      <c r="E50" t="s">
        <v>2699</v>
      </c>
      <c r="F50" t="s">
        <v>2513</v>
      </c>
      <c r="G50" t="s">
        <v>98</v>
      </c>
      <c r="H50" t="s">
        <v>3087</v>
      </c>
      <c r="I50" t="s">
        <v>3302</v>
      </c>
      <c r="J50" t="s">
        <v>3088</v>
      </c>
      <c r="K50">
        <v>0</v>
      </c>
      <c r="L50" t="s">
        <v>3071</v>
      </c>
      <c r="M50">
        <v>0</v>
      </c>
      <c r="N50" s="17">
        <v>44781</v>
      </c>
      <c r="O50" s="17">
        <v>44965</v>
      </c>
      <c r="R50" t="s">
        <v>249</v>
      </c>
      <c r="S50" t="s">
        <v>249</v>
      </c>
      <c r="T50" t="s">
        <v>3303</v>
      </c>
      <c r="U50" t="s">
        <v>3304</v>
      </c>
      <c r="V50" t="s">
        <v>3075</v>
      </c>
    </row>
    <row r="51" spans="1:22" x14ac:dyDescent="0.35">
      <c r="A51" t="s">
        <v>3305</v>
      </c>
      <c r="B51" t="s">
        <v>3306</v>
      </c>
      <c r="C51" t="s">
        <v>3307</v>
      </c>
      <c r="D51" t="s">
        <v>3196</v>
      </c>
      <c r="E51" t="s">
        <v>249</v>
      </c>
      <c r="F51" t="s">
        <v>249</v>
      </c>
      <c r="G51" t="s">
        <v>249</v>
      </c>
      <c r="H51" t="s">
        <v>249</v>
      </c>
      <c r="I51" t="s">
        <v>249</v>
      </c>
      <c r="J51" t="s">
        <v>249</v>
      </c>
      <c r="K51" t="s">
        <v>249</v>
      </c>
      <c r="L51" t="s">
        <v>3071</v>
      </c>
      <c r="M51">
        <v>0</v>
      </c>
      <c r="N51" s="17">
        <v>44641</v>
      </c>
      <c r="O51" s="17">
        <v>44887</v>
      </c>
      <c r="R51" t="s">
        <v>249</v>
      </c>
      <c r="S51" t="s">
        <v>249</v>
      </c>
      <c r="T51" t="s">
        <v>3305</v>
      </c>
      <c r="U51" t="s">
        <v>3306</v>
      </c>
      <c r="V51" t="s">
        <v>249</v>
      </c>
    </row>
    <row r="52" spans="1:22" x14ac:dyDescent="0.35">
      <c r="A52" t="s">
        <v>3308</v>
      </c>
      <c r="B52" t="s">
        <v>3309</v>
      </c>
      <c r="C52" t="s">
        <v>3310</v>
      </c>
      <c r="D52" t="s">
        <v>3196</v>
      </c>
      <c r="E52" t="s">
        <v>249</v>
      </c>
      <c r="F52" t="s">
        <v>249</v>
      </c>
      <c r="G52" t="s">
        <v>196</v>
      </c>
      <c r="H52" t="s">
        <v>3180</v>
      </c>
      <c r="I52" t="s">
        <v>196</v>
      </c>
      <c r="J52" t="s">
        <v>3107</v>
      </c>
      <c r="K52">
        <v>0</v>
      </c>
      <c r="L52" t="s">
        <v>3108</v>
      </c>
      <c r="M52">
        <v>0</v>
      </c>
      <c r="N52" s="17">
        <v>44842</v>
      </c>
      <c r="O52" s="17">
        <v>44884</v>
      </c>
      <c r="R52" t="s">
        <v>249</v>
      </c>
      <c r="S52" t="s">
        <v>249</v>
      </c>
      <c r="T52" t="s">
        <v>3308</v>
      </c>
      <c r="U52" t="s">
        <v>3309</v>
      </c>
      <c r="V52" t="s">
        <v>3075</v>
      </c>
    </row>
    <row r="53" spans="1:22" x14ac:dyDescent="0.35">
      <c r="A53" t="s">
        <v>3311</v>
      </c>
      <c r="B53" t="s">
        <v>3312</v>
      </c>
      <c r="C53" t="s">
        <v>3313</v>
      </c>
      <c r="D53" t="s">
        <v>3196</v>
      </c>
      <c r="E53" t="s">
        <v>249</v>
      </c>
      <c r="F53" t="s">
        <v>249</v>
      </c>
      <c r="G53" t="s">
        <v>249</v>
      </c>
      <c r="H53" t="s">
        <v>249</v>
      </c>
      <c r="I53" t="s">
        <v>249</v>
      </c>
      <c r="J53" t="s">
        <v>249</v>
      </c>
      <c r="K53" t="s">
        <v>249</v>
      </c>
      <c r="L53" t="s">
        <v>3071</v>
      </c>
      <c r="M53">
        <v>0</v>
      </c>
      <c r="N53" s="17">
        <v>44652</v>
      </c>
      <c r="O53" s="17">
        <v>44712</v>
      </c>
      <c r="R53" t="s">
        <v>249</v>
      </c>
      <c r="S53" t="s">
        <v>249</v>
      </c>
      <c r="T53" t="s">
        <v>3311</v>
      </c>
      <c r="U53" t="s">
        <v>3312</v>
      </c>
      <c r="V53" t="s">
        <v>249</v>
      </c>
    </row>
    <row r="54" spans="1:22" x14ac:dyDescent="0.35">
      <c r="A54" t="s">
        <v>3314</v>
      </c>
      <c r="B54" t="s">
        <v>3315</v>
      </c>
      <c r="C54" t="s">
        <v>3316</v>
      </c>
      <c r="D54" t="s">
        <v>3317</v>
      </c>
      <c r="E54" t="s">
        <v>1580</v>
      </c>
      <c r="F54" t="s">
        <v>3190</v>
      </c>
      <c r="G54" t="s">
        <v>235</v>
      </c>
      <c r="H54" t="s">
        <v>3139</v>
      </c>
      <c r="I54" t="s">
        <v>89</v>
      </c>
      <c r="J54" t="s">
        <v>3088</v>
      </c>
      <c r="K54">
        <v>0</v>
      </c>
      <c r="L54" t="s">
        <v>3071</v>
      </c>
      <c r="M54">
        <v>7</v>
      </c>
      <c r="N54" s="17">
        <v>45209</v>
      </c>
      <c r="O54" s="17">
        <v>45614</v>
      </c>
      <c r="P54" t="s">
        <v>3318</v>
      </c>
      <c r="Q54" t="s">
        <v>3140</v>
      </c>
      <c r="R54" t="s">
        <v>2041</v>
      </c>
      <c r="S54" t="s">
        <v>3072</v>
      </c>
      <c r="T54" t="s">
        <v>3319</v>
      </c>
      <c r="U54" t="s">
        <v>3320</v>
      </c>
      <c r="V54" t="s">
        <v>3075</v>
      </c>
    </row>
    <row r="55" spans="1:22" x14ac:dyDescent="0.35">
      <c r="A55" t="s">
        <v>3321</v>
      </c>
      <c r="B55" t="s">
        <v>3322</v>
      </c>
      <c r="C55" t="s">
        <v>3323</v>
      </c>
      <c r="D55" t="s">
        <v>3317</v>
      </c>
      <c r="E55" t="s">
        <v>1580</v>
      </c>
      <c r="F55" t="s">
        <v>3324</v>
      </c>
      <c r="G55" t="s">
        <v>3068</v>
      </c>
      <c r="H55" t="s">
        <v>3069</v>
      </c>
      <c r="I55" t="s">
        <v>3325</v>
      </c>
      <c r="J55" t="s">
        <v>3070</v>
      </c>
      <c r="K55">
        <v>0</v>
      </c>
      <c r="L55" t="s">
        <v>3071</v>
      </c>
      <c r="M55">
        <v>0</v>
      </c>
      <c r="N55" s="17">
        <v>44985</v>
      </c>
      <c r="O55" s="17">
        <v>45351</v>
      </c>
      <c r="P55" t="s">
        <v>3109</v>
      </c>
      <c r="Q55" t="s">
        <v>3207</v>
      </c>
      <c r="R55" t="s">
        <v>2575</v>
      </c>
      <c r="S55" t="s">
        <v>3172</v>
      </c>
      <c r="T55" t="s">
        <v>3326</v>
      </c>
      <c r="U55" t="s">
        <v>3327</v>
      </c>
      <c r="V55" t="s">
        <v>3075</v>
      </c>
    </row>
    <row r="56" spans="1:22" x14ac:dyDescent="0.35">
      <c r="A56" t="s">
        <v>3328</v>
      </c>
      <c r="B56" t="s">
        <v>3329</v>
      </c>
      <c r="C56" t="s">
        <v>3330</v>
      </c>
      <c r="D56" t="s">
        <v>3317</v>
      </c>
      <c r="E56" t="s">
        <v>2513</v>
      </c>
      <c r="F56" t="s">
        <v>2608</v>
      </c>
      <c r="G56" t="s">
        <v>3086</v>
      </c>
      <c r="H56" t="s">
        <v>3087</v>
      </c>
      <c r="I56" t="s">
        <v>89</v>
      </c>
      <c r="J56" t="s">
        <v>3088</v>
      </c>
      <c r="K56">
        <v>0</v>
      </c>
      <c r="L56" t="s">
        <v>3071</v>
      </c>
      <c r="M56">
        <v>0</v>
      </c>
      <c r="N56" s="17">
        <v>44562</v>
      </c>
      <c r="O56" s="17">
        <v>45306</v>
      </c>
      <c r="P56" t="s">
        <v>3109</v>
      </c>
      <c r="Q56" t="s">
        <v>3090</v>
      </c>
      <c r="R56" t="s">
        <v>2041</v>
      </c>
      <c r="S56" t="s">
        <v>3072</v>
      </c>
      <c r="T56" t="s">
        <v>3331</v>
      </c>
      <c r="U56" t="s">
        <v>3332</v>
      </c>
      <c r="V56" t="s">
        <v>3075</v>
      </c>
    </row>
    <row r="57" spans="1:22" x14ac:dyDescent="0.35">
      <c r="A57" t="s">
        <v>3333</v>
      </c>
      <c r="B57" t="s">
        <v>3334</v>
      </c>
      <c r="C57" t="s">
        <v>3335</v>
      </c>
      <c r="D57" t="s">
        <v>3317</v>
      </c>
      <c r="E57" t="s">
        <v>2513</v>
      </c>
      <c r="F57" t="s">
        <v>2513</v>
      </c>
      <c r="G57" t="s">
        <v>990</v>
      </c>
      <c r="H57" t="s">
        <v>3087</v>
      </c>
      <c r="I57" t="s">
        <v>3336</v>
      </c>
      <c r="J57" t="s">
        <v>3088</v>
      </c>
      <c r="K57">
        <v>0</v>
      </c>
      <c r="L57" t="s">
        <v>3071</v>
      </c>
      <c r="M57">
        <v>0</v>
      </c>
      <c r="N57" s="17">
        <v>44574</v>
      </c>
      <c r="O57" s="17">
        <v>45086</v>
      </c>
      <c r="Q57" t="s">
        <v>3132</v>
      </c>
      <c r="R57" t="s">
        <v>2041</v>
      </c>
      <c r="S57" t="s">
        <v>3072</v>
      </c>
      <c r="T57" t="s">
        <v>3337</v>
      </c>
      <c r="U57" t="s">
        <v>3338</v>
      </c>
      <c r="V57" t="s">
        <v>3075</v>
      </c>
    </row>
    <row r="58" spans="1:22" x14ac:dyDescent="0.35">
      <c r="A58" t="s">
        <v>3339</v>
      </c>
      <c r="B58" t="s">
        <v>3340</v>
      </c>
      <c r="C58" t="s">
        <v>3341</v>
      </c>
      <c r="D58" t="s">
        <v>3317</v>
      </c>
      <c r="E58" t="s">
        <v>2513</v>
      </c>
      <c r="F58" t="s">
        <v>3160</v>
      </c>
      <c r="G58" t="s">
        <v>990</v>
      </c>
      <c r="H58" t="s">
        <v>3087</v>
      </c>
      <c r="I58" t="s">
        <v>990</v>
      </c>
      <c r="J58" t="s">
        <v>3107</v>
      </c>
      <c r="K58">
        <v>0</v>
      </c>
      <c r="L58" t="s">
        <v>3079</v>
      </c>
      <c r="M58">
        <v>3</v>
      </c>
      <c r="N58" s="17">
        <v>45147</v>
      </c>
      <c r="O58" s="17">
        <v>45310</v>
      </c>
      <c r="P58" t="s">
        <v>3109</v>
      </c>
      <c r="Q58" t="s">
        <v>2040</v>
      </c>
      <c r="R58" t="s">
        <v>2041</v>
      </c>
      <c r="S58" t="s">
        <v>3072</v>
      </c>
      <c r="T58" t="s">
        <v>3342</v>
      </c>
      <c r="U58" t="s">
        <v>3343</v>
      </c>
      <c r="V58" t="s">
        <v>3075</v>
      </c>
    </row>
    <row r="59" spans="1:22" x14ac:dyDescent="0.35">
      <c r="A59" t="s">
        <v>3344</v>
      </c>
      <c r="B59" t="s">
        <v>3345</v>
      </c>
      <c r="C59" t="s">
        <v>3346</v>
      </c>
      <c r="D59" t="s">
        <v>3317</v>
      </c>
      <c r="E59" t="s">
        <v>2464</v>
      </c>
      <c r="F59" t="s">
        <v>2464</v>
      </c>
      <c r="G59" t="s">
        <v>990</v>
      </c>
      <c r="H59" t="s">
        <v>3087</v>
      </c>
      <c r="I59" t="s">
        <v>3347</v>
      </c>
      <c r="J59" t="s">
        <v>3153</v>
      </c>
      <c r="K59">
        <v>0</v>
      </c>
      <c r="L59" t="s">
        <v>3079</v>
      </c>
      <c r="M59">
        <v>2</v>
      </c>
      <c r="N59" s="17">
        <v>45229</v>
      </c>
      <c r="O59" s="17">
        <v>45328</v>
      </c>
      <c r="P59" t="s">
        <v>3109</v>
      </c>
      <c r="Q59" t="s">
        <v>3348</v>
      </c>
      <c r="R59" t="s">
        <v>3349</v>
      </c>
      <c r="S59" t="s">
        <v>3072</v>
      </c>
      <c r="T59" t="s">
        <v>3350</v>
      </c>
      <c r="U59" t="s">
        <v>3351</v>
      </c>
      <c r="V59" t="s">
        <v>3075</v>
      </c>
    </row>
    <row r="60" spans="1:22" x14ac:dyDescent="0.35">
      <c r="A60" t="s">
        <v>3352</v>
      </c>
      <c r="B60" t="s">
        <v>3353</v>
      </c>
      <c r="C60" t="s">
        <v>3354</v>
      </c>
      <c r="D60" t="s">
        <v>3317</v>
      </c>
      <c r="E60" t="s">
        <v>1580</v>
      </c>
      <c r="F60" t="s">
        <v>2464</v>
      </c>
      <c r="G60" t="s">
        <v>235</v>
      </c>
      <c r="H60" t="s">
        <v>3139</v>
      </c>
      <c r="I60" t="s">
        <v>132</v>
      </c>
      <c r="J60" t="s">
        <v>3070</v>
      </c>
      <c r="K60">
        <v>0</v>
      </c>
      <c r="L60" t="s">
        <v>3079</v>
      </c>
      <c r="M60">
        <v>12</v>
      </c>
      <c r="N60" s="17">
        <v>45064</v>
      </c>
      <c r="O60" s="17">
        <v>45656</v>
      </c>
      <c r="Q60" t="s">
        <v>3101</v>
      </c>
      <c r="R60" t="s">
        <v>2041</v>
      </c>
      <c r="S60" t="s">
        <v>3072</v>
      </c>
      <c r="T60" t="s">
        <v>3355</v>
      </c>
      <c r="U60" t="s">
        <v>3356</v>
      </c>
      <c r="V60" t="s">
        <v>3075</v>
      </c>
    </row>
    <row r="61" spans="1:22" x14ac:dyDescent="0.35">
      <c r="A61" t="s">
        <v>3357</v>
      </c>
      <c r="B61" t="s">
        <v>3358</v>
      </c>
      <c r="C61" t="s">
        <v>3359</v>
      </c>
      <c r="D61" t="s">
        <v>3317</v>
      </c>
      <c r="E61" t="s">
        <v>2464</v>
      </c>
      <c r="F61" t="s">
        <v>2464</v>
      </c>
      <c r="G61" t="s">
        <v>235</v>
      </c>
      <c r="H61" t="s">
        <v>3139</v>
      </c>
      <c r="I61" t="s">
        <v>235</v>
      </c>
      <c r="J61" t="s">
        <v>3107</v>
      </c>
      <c r="K61">
        <v>0</v>
      </c>
      <c r="L61" t="s">
        <v>3071</v>
      </c>
      <c r="M61">
        <v>4</v>
      </c>
      <c r="N61" s="17">
        <v>45184</v>
      </c>
      <c r="O61" s="17">
        <v>45329</v>
      </c>
      <c r="P61" t="s">
        <v>3109</v>
      </c>
      <c r="Q61" t="s">
        <v>3360</v>
      </c>
      <c r="R61" t="s">
        <v>2512</v>
      </c>
      <c r="S61" t="s">
        <v>3072</v>
      </c>
      <c r="T61" t="s">
        <v>3361</v>
      </c>
      <c r="U61" t="s">
        <v>3362</v>
      </c>
      <c r="V61" t="s">
        <v>3075</v>
      </c>
    </row>
    <row r="62" spans="1:22" x14ac:dyDescent="0.35">
      <c r="A62" t="s">
        <v>3363</v>
      </c>
      <c r="B62" t="s">
        <v>3364</v>
      </c>
      <c r="C62" t="s">
        <v>3365</v>
      </c>
      <c r="D62" t="s">
        <v>3317</v>
      </c>
      <c r="E62" t="s">
        <v>1580</v>
      </c>
      <c r="F62" t="s">
        <v>3324</v>
      </c>
      <c r="G62" t="s">
        <v>235</v>
      </c>
      <c r="H62" t="s">
        <v>3139</v>
      </c>
      <c r="I62" t="s">
        <v>227</v>
      </c>
      <c r="J62" t="s">
        <v>3366</v>
      </c>
      <c r="K62">
        <v>0</v>
      </c>
      <c r="L62" t="s">
        <v>3071</v>
      </c>
      <c r="M62">
        <v>4</v>
      </c>
      <c r="N62" s="17">
        <v>45258</v>
      </c>
      <c r="O62" s="17">
        <v>45439</v>
      </c>
      <c r="P62" t="s">
        <v>3109</v>
      </c>
      <c r="Q62" t="s">
        <v>3367</v>
      </c>
      <c r="R62" t="s">
        <v>2512</v>
      </c>
      <c r="S62" t="s">
        <v>3072</v>
      </c>
      <c r="T62" t="s">
        <v>3368</v>
      </c>
      <c r="U62" t="s">
        <v>3369</v>
      </c>
      <c r="V62" t="s">
        <v>3075</v>
      </c>
    </row>
    <row r="63" spans="1:22" x14ac:dyDescent="0.35">
      <c r="A63" t="s">
        <v>3370</v>
      </c>
      <c r="B63" t="s">
        <v>3371</v>
      </c>
      <c r="C63" t="s">
        <v>3372</v>
      </c>
      <c r="D63" t="s">
        <v>3317</v>
      </c>
      <c r="E63" t="s">
        <v>1580</v>
      </c>
      <c r="F63" t="s">
        <v>3324</v>
      </c>
      <c r="G63" t="s">
        <v>235</v>
      </c>
      <c r="H63" t="s">
        <v>3139</v>
      </c>
      <c r="I63" t="s">
        <v>227</v>
      </c>
      <c r="J63" t="s">
        <v>3366</v>
      </c>
      <c r="K63">
        <v>0</v>
      </c>
      <c r="L63" t="s">
        <v>3071</v>
      </c>
      <c r="M63">
        <v>4</v>
      </c>
      <c r="N63" s="17">
        <v>45258</v>
      </c>
      <c r="O63" s="17">
        <v>45439</v>
      </c>
      <c r="P63" t="s">
        <v>3109</v>
      </c>
      <c r="Q63" t="s">
        <v>3373</v>
      </c>
      <c r="R63" t="s">
        <v>2512</v>
      </c>
      <c r="S63" t="s">
        <v>3072</v>
      </c>
      <c r="T63" t="s">
        <v>3374</v>
      </c>
      <c r="U63" t="s">
        <v>3375</v>
      </c>
      <c r="V63" t="s">
        <v>3075</v>
      </c>
    </row>
    <row r="64" spans="1:22" x14ac:dyDescent="0.35">
      <c r="A64" t="s">
        <v>945</v>
      </c>
      <c r="B64" t="s">
        <v>3376</v>
      </c>
      <c r="C64" t="s">
        <v>3377</v>
      </c>
      <c r="D64" t="s">
        <v>3317</v>
      </c>
      <c r="E64" t="s">
        <v>2464</v>
      </c>
      <c r="F64" t="s">
        <v>3378</v>
      </c>
      <c r="G64" t="s">
        <v>235</v>
      </c>
      <c r="H64" t="s">
        <v>3139</v>
      </c>
      <c r="I64" t="s">
        <v>1082</v>
      </c>
      <c r="J64" t="s">
        <v>3070</v>
      </c>
      <c r="K64">
        <v>0</v>
      </c>
      <c r="L64" t="s">
        <v>3079</v>
      </c>
      <c r="M64">
        <v>4</v>
      </c>
      <c r="N64" s="17">
        <v>45306</v>
      </c>
      <c r="O64" s="17">
        <v>45428</v>
      </c>
      <c r="P64" t="s">
        <v>3109</v>
      </c>
      <c r="Q64" t="s">
        <v>3379</v>
      </c>
      <c r="R64" t="s">
        <v>2041</v>
      </c>
      <c r="S64" t="s">
        <v>3072</v>
      </c>
      <c r="T64" t="s">
        <v>3380</v>
      </c>
      <c r="U64" t="s">
        <v>3381</v>
      </c>
      <c r="V64" t="s">
        <v>3075</v>
      </c>
    </row>
    <row r="65" spans="1:22" x14ac:dyDescent="0.35">
      <c r="A65" t="s">
        <v>3382</v>
      </c>
      <c r="B65" t="s">
        <v>3383</v>
      </c>
      <c r="C65" t="s">
        <v>3384</v>
      </c>
      <c r="D65" t="s">
        <v>3317</v>
      </c>
      <c r="E65" t="s">
        <v>2513</v>
      </c>
      <c r="F65" t="s">
        <v>3160</v>
      </c>
      <c r="G65" t="s">
        <v>3237</v>
      </c>
      <c r="H65" t="s">
        <v>3087</v>
      </c>
      <c r="I65" t="s">
        <v>89</v>
      </c>
      <c r="J65" t="s">
        <v>3088</v>
      </c>
      <c r="K65">
        <v>0</v>
      </c>
      <c r="L65" t="s">
        <v>3071</v>
      </c>
      <c r="M65">
        <v>0</v>
      </c>
      <c r="N65" s="17">
        <v>44788</v>
      </c>
      <c r="O65" s="17">
        <v>45230</v>
      </c>
      <c r="P65" t="s">
        <v>3385</v>
      </c>
      <c r="Q65" t="s">
        <v>3386</v>
      </c>
      <c r="R65" t="s">
        <v>2041</v>
      </c>
      <c r="S65" t="s">
        <v>3072</v>
      </c>
      <c r="T65" t="s">
        <v>3387</v>
      </c>
      <c r="U65" t="s">
        <v>3388</v>
      </c>
      <c r="V65" t="s">
        <v>3075</v>
      </c>
    </row>
    <row r="66" spans="1:22" x14ac:dyDescent="0.35">
      <c r="A66" t="s">
        <v>3389</v>
      </c>
      <c r="B66" t="s">
        <v>3390</v>
      </c>
      <c r="C66" t="s">
        <v>3391</v>
      </c>
      <c r="D66" t="s">
        <v>3317</v>
      </c>
      <c r="E66" t="s">
        <v>2513</v>
      </c>
      <c r="F66" t="s">
        <v>3160</v>
      </c>
      <c r="G66" t="s">
        <v>3237</v>
      </c>
      <c r="H66" t="s">
        <v>3087</v>
      </c>
      <c r="I66" t="s">
        <v>89</v>
      </c>
      <c r="J66" t="s">
        <v>3088</v>
      </c>
      <c r="K66">
        <v>0</v>
      </c>
      <c r="L66" t="s">
        <v>3071</v>
      </c>
      <c r="M66">
        <v>0</v>
      </c>
      <c r="N66" s="17">
        <v>44805</v>
      </c>
      <c r="O66" s="17">
        <v>45072</v>
      </c>
      <c r="P66" t="s">
        <v>3392</v>
      </c>
      <c r="Q66" t="s">
        <v>3386</v>
      </c>
      <c r="R66" t="s">
        <v>2041</v>
      </c>
      <c r="S66" t="s">
        <v>3072</v>
      </c>
      <c r="T66" t="s">
        <v>3393</v>
      </c>
      <c r="U66" t="s">
        <v>3394</v>
      </c>
      <c r="V66" t="s">
        <v>3075</v>
      </c>
    </row>
    <row r="67" spans="1:22" x14ac:dyDescent="0.35">
      <c r="A67" t="s">
        <v>3395</v>
      </c>
      <c r="B67" t="s">
        <v>3396</v>
      </c>
      <c r="C67" t="s">
        <v>3397</v>
      </c>
      <c r="D67" t="s">
        <v>3317</v>
      </c>
      <c r="E67" t="s">
        <v>2513</v>
      </c>
      <c r="F67" t="s">
        <v>3160</v>
      </c>
      <c r="G67" t="s">
        <v>3237</v>
      </c>
      <c r="H67" t="s">
        <v>3087</v>
      </c>
      <c r="I67" t="s">
        <v>89</v>
      </c>
      <c r="J67" t="s">
        <v>3088</v>
      </c>
      <c r="K67">
        <v>0</v>
      </c>
      <c r="L67" t="s">
        <v>3071</v>
      </c>
      <c r="M67">
        <v>0</v>
      </c>
      <c r="N67" s="17">
        <v>44848</v>
      </c>
      <c r="O67" s="17">
        <v>45266</v>
      </c>
      <c r="P67" t="s">
        <v>3385</v>
      </c>
      <c r="Q67" t="s">
        <v>3386</v>
      </c>
      <c r="R67" t="s">
        <v>2041</v>
      </c>
      <c r="S67" t="s">
        <v>3072</v>
      </c>
      <c r="T67" t="s">
        <v>3398</v>
      </c>
      <c r="U67" t="s">
        <v>3399</v>
      </c>
      <c r="V67" t="s">
        <v>3075</v>
      </c>
    </row>
    <row r="68" spans="1:22" x14ac:dyDescent="0.35">
      <c r="A68" t="s">
        <v>3400</v>
      </c>
      <c r="B68" t="s">
        <v>3401</v>
      </c>
      <c r="C68" t="s">
        <v>3402</v>
      </c>
      <c r="D68" t="s">
        <v>3317</v>
      </c>
      <c r="E68" t="s">
        <v>2513</v>
      </c>
      <c r="F68" t="s">
        <v>3160</v>
      </c>
      <c r="G68" t="s">
        <v>3237</v>
      </c>
      <c r="H68" t="s">
        <v>3087</v>
      </c>
      <c r="I68" t="s">
        <v>89</v>
      </c>
      <c r="J68" t="s">
        <v>3088</v>
      </c>
      <c r="K68">
        <v>0</v>
      </c>
      <c r="L68" t="s">
        <v>3071</v>
      </c>
      <c r="M68">
        <v>5</v>
      </c>
      <c r="N68" s="17">
        <v>45000</v>
      </c>
      <c r="O68" s="17">
        <v>45199</v>
      </c>
      <c r="P68" t="s">
        <v>3385</v>
      </c>
      <c r="Q68" t="s">
        <v>2607</v>
      </c>
      <c r="R68" t="s">
        <v>2041</v>
      </c>
      <c r="S68" t="s">
        <v>3072</v>
      </c>
      <c r="T68" t="s">
        <v>3403</v>
      </c>
      <c r="U68" t="s">
        <v>3404</v>
      </c>
      <c r="V68" t="s">
        <v>3075</v>
      </c>
    </row>
    <row r="69" spans="1:22" x14ac:dyDescent="0.35">
      <c r="A69" t="s">
        <v>3405</v>
      </c>
      <c r="B69" t="s">
        <v>3406</v>
      </c>
      <c r="C69" t="s">
        <v>3407</v>
      </c>
      <c r="D69" t="s">
        <v>3317</v>
      </c>
      <c r="E69" t="s">
        <v>2513</v>
      </c>
      <c r="F69" t="s">
        <v>3160</v>
      </c>
      <c r="G69" t="s">
        <v>3237</v>
      </c>
      <c r="H69" t="s">
        <v>3087</v>
      </c>
      <c r="I69" t="s">
        <v>89</v>
      </c>
      <c r="J69" t="s">
        <v>3088</v>
      </c>
      <c r="K69">
        <v>0</v>
      </c>
      <c r="L69" t="s">
        <v>3071</v>
      </c>
      <c r="M69">
        <v>36</v>
      </c>
      <c r="N69" s="17">
        <v>45026</v>
      </c>
      <c r="O69" s="17">
        <v>45401</v>
      </c>
      <c r="P69" t="s">
        <v>3385</v>
      </c>
      <c r="Q69" t="s">
        <v>2607</v>
      </c>
      <c r="R69" t="s">
        <v>2041</v>
      </c>
      <c r="S69" t="s">
        <v>3072</v>
      </c>
      <c r="T69" t="s">
        <v>3408</v>
      </c>
      <c r="U69" t="s">
        <v>3409</v>
      </c>
      <c r="V69" t="s">
        <v>3075</v>
      </c>
    </row>
    <row r="70" spans="1:22" x14ac:dyDescent="0.35">
      <c r="A70" t="s">
        <v>3410</v>
      </c>
      <c r="B70" t="s">
        <v>3411</v>
      </c>
      <c r="C70" t="s">
        <v>3412</v>
      </c>
      <c r="D70" t="s">
        <v>3317</v>
      </c>
      <c r="E70" t="s">
        <v>2513</v>
      </c>
      <c r="F70" t="s">
        <v>3160</v>
      </c>
      <c r="G70" t="s">
        <v>3237</v>
      </c>
      <c r="H70" t="s">
        <v>3087</v>
      </c>
      <c r="I70" t="s">
        <v>89</v>
      </c>
      <c r="J70" t="s">
        <v>3088</v>
      </c>
      <c r="K70">
        <v>0</v>
      </c>
      <c r="L70" t="s">
        <v>3071</v>
      </c>
      <c r="M70">
        <v>6</v>
      </c>
      <c r="N70" s="17">
        <v>45019</v>
      </c>
      <c r="O70" s="17">
        <v>45254</v>
      </c>
      <c r="P70" t="s">
        <v>3413</v>
      </c>
      <c r="Q70" t="s">
        <v>3414</v>
      </c>
      <c r="R70" t="s">
        <v>2041</v>
      </c>
      <c r="S70" t="s">
        <v>3072</v>
      </c>
      <c r="T70" t="s">
        <v>3415</v>
      </c>
      <c r="U70" t="s">
        <v>3416</v>
      </c>
      <c r="V70" t="s">
        <v>3075</v>
      </c>
    </row>
    <row r="71" spans="1:22" x14ac:dyDescent="0.35">
      <c r="A71" t="s">
        <v>3417</v>
      </c>
      <c r="B71" t="s">
        <v>3418</v>
      </c>
      <c r="C71" t="s">
        <v>3419</v>
      </c>
      <c r="D71" t="s">
        <v>3317</v>
      </c>
      <c r="E71" t="s">
        <v>2513</v>
      </c>
      <c r="F71" t="s">
        <v>2785</v>
      </c>
      <c r="G71" t="s">
        <v>3420</v>
      </c>
      <c r="H71" t="s">
        <v>3421</v>
      </c>
      <c r="I71" t="s">
        <v>3420</v>
      </c>
      <c r="J71" t="s">
        <v>3153</v>
      </c>
      <c r="K71">
        <v>0</v>
      </c>
      <c r="L71" t="s">
        <v>3422</v>
      </c>
      <c r="M71">
        <v>0</v>
      </c>
      <c r="N71" s="17">
        <v>44945</v>
      </c>
      <c r="O71" s="17">
        <v>45083</v>
      </c>
      <c r="Q71" t="s">
        <v>2040</v>
      </c>
      <c r="R71" t="s">
        <v>2041</v>
      </c>
      <c r="S71" t="s">
        <v>3072</v>
      </c>
      <c r="T71" t="s">
        <v>3423</v>
      </c>
      <c r="U71" t="s">
        <v>3424</v>
      </c>
      <c r="V71" t="s">
        <v>3075</v>
      </c>
    </row>
    <row r="72" spans="1:22" x14ac:dyDescent="0.35">
      <c r="A72" t="s">
        <v>3425</v>
      </c>
      <c r="B72" t="s">
        <v>3426</v>
      </c>
      <c r="C72" t="s">
        <v>3427</v>
      </c>
      <c r="D72" t="s">
        <v>3317</v>
      </c>
      <c r="E72" t="s">
        <v>2513</v>
      </c>
      <c r="F72" t="s">
        <v>3160</v>
      </c>
      <c r="G72" t="s">
        <v>3256</v>
      </c>
      <c r="H72" t="s">
        <v>3087</v>
      </c>
      <c r="I72" t="s">
        <v>89</v>
      </c>
      <c r="J72" t="s">
        <v>3088</v>
      </c>
      <c r="K72">
        <v>0</v>
      </c>
      <c r="L72" t="s">
        <v>3071</v>
      </c>
      <c r="M72">
        <v>0</v>
      </c>
      <c r="N72" s="17">
        <v>44687</v>
      </c>
      <c r="O72" s="17">
        <v>45092</v>
      </c>
      <c r="Q72" t="s">
        <v>3132</v>
      </c>
      <c r="R72" t="s">
        <v>2041</v>
      </c>
      <c r="S72" t="s">
        <v>3072</v>
      </c>
      <c r="T72" t="s">
        <v>3428</v>
      </c>
      <c r="U72" t="s">
        <v>3429</v>
      </c>
      <c r="V72" t="s">
        <v>3075</v>
      </c>
    </row>
    <row r="73" spans="1:22" x14ac:dyDescent="0.35">
      <c r="A73" t="s">
        <v>951</v>
      </c>
      <c r="B73" t="s">
        <v>3430</v>
      </c>
      <c r="C73" t="s">
        <v>3431</v>
      </c>
      <c r="D73" t="s">
        <v>3317</v>
      </c>
      <c r="E73" t="s">
        <v>2464</v>
      </c>
      <c r="F73" t="s">
        <v>2465</v>
      </c>
      <c r="G73" t="s">
        <v>395</v>
      </c>
      <c r="H73" t="s">
        <v>3130</v>
      </c>
      <c r="I73" t="s">
        <v>89</v>
      </c>
      <c r="J73" t="s">
        <v>3088</v>
      </c>
      <c r="K73">
        <v>0</v>
      </c>
      <c r="L73" t="s">
        <v>3071</v>
      </c>
      <c r="M73">
        <v>5</v>
      </c>
      <c r="N73" s="17">
        <v>45326</v>
      </c>
      <c r="O73" s="17">
        <v>45485</v>
      </c>
      <c r="P73" t="s">
        <v>3109</v>
      </c>
      <c r="Q73" t="s">
        <v>3432</v>
      </c>
      <c r="R73" t="s">
        <v>3433</v>
      </c>
      <c r="S73" t="s">
        <v>3434</v>
      </c>
      <c r="T73" t="s">
        <v>3435</v>
      </c>
      <c r="U73" t="s">
        <v>3436</v>
      </c>
      <c r="V73" t="s">
        <v>3075</v>
      </c>
    </row>
    <row r="74" spans="1:22" x14ac:dyDescent="0.35">
      <c r="A74" t="s">
        <v>3437</v>
      </c>
      <c r="B74" t="s">
        <v>3438</v>
      </c>
      <c r="C74" t="s">
        <v>3439</v>
      </c>
      <c r="D74" t="s">
        <v>3317</v>
      </c>
      <c r="E74" t="s">
        <v>2464</v>
      </c>
      <c r="F74" t="s">
        <v>2464</v>
      </c>
      <c r="G74" t="s">
        <v>452</v>
      </c>
      <c r="H74" t="s">
        <v>3069</v>
      </c>
      <c r="I74" t="s">
        <v>3440</v>
      </c>
      <c r="J74" t="s">
        <v>3441</v>
      </c>
      <c r="K74">
        <v>0</v>
      </c>
      <c r="L74" t="s">
        <v>3079</v>
      </c>
      <c r="M74">
        <v>3</v>
      </c>
      <c r="N74" s="17">
        <v>45278</v>
      </c>
      <c r="O74" s="17">
        <v>45368</v>
      </c>
      <c r="P74" t="s">
        <v>3109</v>
      </c>
      <c r="Q74" t="s">
        <v>3349</v>
      </c>
      <c r="R74" t="s">
        <v>3349</v>
      </c>
      <c r="S74" t="s">
        <v>3072</v>
      </c>
      <c r="T74" t="s">
        <v>3442</v>
      </c>
      <c r="U74" t="s">
        <v>3443</v>
      </c>
      <c r="V74" t="s">
        <v>3075</v>
      </c>
    </row>
    <row r="75" spans="1:22" x14ac:dyDescent="0.35">
      <c r="A75" t="s">
        <v>1244</v>
      </c>
      <c r="B75" t="s">
        <v>3444</v>
      </c>
      <c r="C75" t="s">
        <v>3445</v>
      </c>
      <c r="D75" t="s">
        <v>3317</v>
      </c>
      <c r="E75" t="s">
        <v>1580</v>
      </c>
      <c r="F75" t="s">
        <v>3190</v>
      </c>
      <c r="G75" t="s">
        <v>901</v>
      </c>
      <c r="H75" t="s">
        <v>3069</v>
      </c>
      <c r="I75" t="s">
        <v>89</v>
      </c>
      <c r="J75" t="s">
        <v>3088</v>
      </c>
      <c r="K75">
        <v>0</v>
      </c>
      <c r="L75" t="s">
        <v>3071</v>
      </c>
      <c r="M75">
        <v>0</v>
      </c>
      <c r="N75" s="17">
        <v>45105</v>
      </c>
      <c r="O75" s="17">
        <v>45565</v>
      </c>
      <c r="P75" t="s">
        <v>323</v>
      </c>
      <c r="Q75" t="s">
        <v>3446</v>
      </c>
      <c r="R75" t="s">
        <v>2041</v>
      </c>
      <c r="S75" t="s">
        <v>3072</v>
      </c>
      <c r="T75" t="s">
        <v>3447</v>
      </c>
      <c r="U75" t="s">
        <v>3448</v>
      </c>
      <c r="V75" t="s">
        <v>3075</v>
      </c>
    </row>
    <row r="76" spans="1:22" x14ac:dyDescent="0.35">
      <c r="A76" t="s">
        <v>3449</v>
      </c>
      <c r="B76" t="s">
        <v>3450</v>
      </c>
      <c r="C76" t="s">
        <v>3451</v>
      </c>
      <c r="D76" t="s">
        <v>3317</v>
      </c>
      <c r="E76" t="s">
        <v>2513</v>
      </c>
      <c r="F76" t="s">
        <v>3160</v>
      </c>
      <c r="G76" t="s">
        <v>249</v>
      </c>
      <c r="H76" t="s">
        <v>249</v>
      </c>
      <c r="I76" t="s">
        <v>249</v>
      </c>
      <c r="J76" t="s">
        <v>249</v>
      </c>
      <c r="K76" t="s">
        <v>249</v>
      </c>
      <c r="L76" t="s">
        <v>3071</v>
      </c>
      <c r="M76">
        <v>0</v>
      </c>
      <c r="N76" s="17">
        <v>44638</v>
      </c>
      <c r="O76" s="17">
        <v>45169</v>
      </c>
      <c r="Q76" t="s">
        <v>3452</v>
      </c>
      <c r="R76" t="s">
        <v>2041</v>
      </c>
      <c r="S76" t="s">
        <v>3072</v>
      </c>
      <c r="T76" t="s">
        <v>3453</v>
      </c>
      <c r="U76" t="s">
        <v>3454</v>
      </c>
      <c r="V76" t="s">
        <v>249</v>
      </c>
    </row>
    <row r="77" spans="1:22" x14ac:dyDescent="0.35">
      <c r="A77" t="s">
        <v>3455</v>
      </c>
      <c r="B77" t="s">
        <v>3456</v>
      </c>
      <c r="C77" t="s">
        <v>3457</v>
      </c>
      <c r="D77" t="s">
        <v>3317</v>
      </c>
      <c r="E77" t="s">
        <v>2513</v>
      </c>
      <c r="F77" t="s">
        <v>3160</v>
      </c>
      <c r="G77" t="s">
        <v>3458</v>
      </c>
      <c r="H77" t="s">
        <v>3087</v>
      </c>
      <c r="I77" t="s">
        <v>3459</v>
      </c>
      <c r="J77" t="s">
        <v>3107</v>
      </c>
      <c r="K77">
        <v>0</v>
      </c>
      <c r="L77" t="s">
        <v>3079</v>
      </c>
      <c r="M77">
        <v>4</v>
      </c>
      <c r="N77" s="17">
        <v>44943</v>
      </c>
      <c r="O77" s="17">
        <v>45138</v>
      </c>
      <c r="Q77" t="s">
        <v>2040</v>
      </c>
      <c r="R77" t="s">
        <v>2041</v>
      </c>
      <c r="S77" t="s">
        <v>3072</v>
      </c>
      <c r="T77" t="s">
        <v>3460</v>
      </c>
      <c r="U77" t="s">
        <v>3461</v>
      </c>
      <c r="V77" t="s">
        <v>3075</v>
      </c>
    </row>
    <row r="78" spans="1:22" x14ac:dyDescent="0.35">
      <c r="A78" t="s">
        <v>3462</v>
      </c>
      <c r="B78" t="s">
        <v>3463</v>
      </c>
      <c r="C78" t="s">
        <v>3464</v>
      </c>
      <c r="D78" t="s">
        <v>3317</v>
      </c>
      <c r="E78" t="s">
        <v>2513</v>
      </c>
      <c r="F78" t="s">
        <v>2785</v>
      </c>
      <c r="G78" t="s">
        <v>3465</v>
      </c>
      <c r="H78" t="s">
        <v>3421</v>
      </c>
      <c r="I78" t="s">
        <v>3466</v>
      </c>
      <c r="J78" t="s">
        <v>3107</v>
      </c>
      <c r="K78">
        <v>0</v>
      </c>
      <c r="L78" t="s">
        <v>3422</v>
      </c>
      <c r="M78">
        <v>0</v>
      </c>
      <c r="N78" s="17">
        <v>44927</v>
      </c>
      <c r="O78" s="17">
        <v>45083</v>
      </c>
      <c r="Q78" t="s">
        <v>2040</v>
      </c>
      <c r="R78" t="s">
        <v>2041</v>
      </c>
      <c r="S78" t="s">
        <v>3072</v>
      </c>
      <c r="T78" t="s">
        <v>3467</v>
      </c>
      <c r="U78" t="s">
        <v>3468</v>
      </c>
      <c r="V78" t="s">
        <v>3075</v>
      </c>
    </row>
    <row r="79" spans="1:22" x14ac:dyDescent="0.35">
      <c r="A79" t="s">
        <v>3469</v>
      </c>
      <c r="B79" t="s">
        <v>3470</v>
      </c>
      <c r="C79" t="s">
        <v>3471</v>
      </c>
      <c r="D79" t="s">
        <v>3317</v>
      </c>
      <c r="E79" t="s">
        <v>2513</v>
      </c>
      <c r="F79" t="s">
        <v>2785</v>
      </c>
      <c r="G79" t="s">
        <v>3465</v>
      </c>
      <c r="H79" t="s">
        <v>3421</v>
      </c>
      <c r="I79" t="s">
        <v>3466</v>
      </c>
      <c r="J79" t="s">
        <v>3107</v>
      </c>
      <c r="K79">
        <v>0</v>
      </c>
      <c r="L79" t="s">
        <v>3422</v>
      </c>
      <c r="M79">
        <v>4</v>
      </c>
      <c r="N79" s="17">
        <v>45083</v>
      </c>
      <c r="O79" s="17">
        <v>45169</v>
      </c>
      <c r="Q79" t="s">
        <v>2040</v>
      </c>
      <c r="R79" t="s">
        <v>2041</v>
      </c>
      <c r="S79" t="s">
        <v>3072</v>
      </c>
      <c r="T79" t="s">
        <v>3472</v>
      </c>
      <c r="U79" t="s">
        <v>3473</v>
      </c>
      <c r="V79" t="s">
        <v>3075</v>
      </c>
    </row>
    <row r="80" spans="1:22" x14ac:dyDescent="0.35">
      <c r="A80" t="s">
        <v>862</v>
      </c>
      <c r="B80" t="s">
        <v>3474</v>
      </c>
      <c r="C80" t="s">
        <v>3475</v>
      </c>
      <c r="D80" t="s">
        <v>3317</v>
      </c>
      <c r="E80" t="s">
        <v>2513</v>
      </c>
      <c r="F80" t="s">
        <v>3160</v>
      </c>
      <c r="G80" t="s">
        <v>88</v>
      </c>
      <c r="H80" t="s">
        <v>3139</v>
      </c>
      <c r="I80" t="s">
        <v>89</v>
      </c>
      <c r="J80" t="s">
        <v>3088</v>
      </c>
      <c r="K80">
        <v>0</v>
      </c>
      <c r="L80" t="s">
        <v>3071</v>
      </c>
      <c r="M80">
        <v>0</v>
      </c>
      <c r="N80" s="17">
        <v>44928</v>
      </c>
      <c r="O80" s="17">
        <v>45370</v>
      </c>
      <c r="P80" t="s">
        <v>3181</v>
      </c>
      <c r="Q80" t="s">
        <v>2607</v>
      </c>
      <c r="R80" t="s">
        <v>2041</v>
      </c>
      <c r="S80" t="s">
        <v>3072</v>
      </c>
      <c r="T80" t="s">
        <v>3476</v>
      </c>
      <c r="U80" t="s">
        <v>3477</v>
      </c>
      <c r="V80" t="s">
        <v>3075</v>
      </c>
    </row>
    <row r="81" spans="1:22" x14ac:dyDescent="0.35">
      <c r="A81" t="s">
        <v>873</v>
      </c>
      <c r="B81" t="s">
        <v>3478</v>
      </c>
      <c r="C81" t="s">
        <v>3479</v>
      </c>
      <c r="D81" t="s">
        <v>3317</v>
      </c>
      <c r="E81" t="s">
        <v>2513</v>
      </c>
      <c r="F81" t="s">
        <v>3160</v>
      </c>
      <c r="G81" t="s">
        <v>88</v>
      </c>
      <c r="H81" t="s">
        <v>3139</v>
      </c>
      <c r="I81" t="s">
        <v>89</v>
      </c>
      <c r="J81" t="s">
        <v>3088</v>
      </c>
      <c r="K81">
        <v>0</v>
      </c>
      <c r="L81" t="s">
        <v>3071</v>
      </c>
      <c r="M81">
        <v>12</v>
      </c>
      <c r="N81" s="17">
        <v>44984</v>
      </c>
      <c r="O81" s="17">
        <v>45535</v>
      </c>
      <c r="P81" t="s">
        <v>1265</v>
      </c>
      <c r="Q81" t="s">
        <v>3414</v>
      </c>
      <c r="R81" t="s">
        <v>2041</v>
      </c>
      <c r="S81" t="s">
        <v>3072</v>
      </c>
      <c r="T81" t="s">
        <v>3480</v>
      </c>
      <c r="U81" t="s">
        <v>3481</v>
      </c>
      <c r="V81" t="s">
        <v>3075</v>
      </c>
    </row>
    <row r="82" spans="1:22" x14ac:dyDescent="0.35">
      <c r="A82" t="s">
        <v>3482</v>
      </c>
      <c r="B82" t="s">
        <v>3483</v>
      </c>
      <c r="C82" t="s">
        <v>3484</v>
      </c>
      <c r="D82" t="s">
        <v>3317</v>
      </c>
      <c r="E82" t="s">
        <v>1580</v>
      </c>
      <c r="F82" t="s">
        <v>2946</v>
      </c>
      <c r="G82" t="s">
        <v>88</v>
      </c>
      <c r="H82" t="s">
        <v>3139</v>
      </c>
      <c r="I82" t="s">
        <v>89</v>
      </c>
      <c r="J82" t="s">
        <v>3088</v>
      </c>
      <c r="K82">
        <v>0</v>
      </c>
      <c r="L82" t="s">
        <v>3071</v>
      </c>
      <c r="M82">
        <v>11</v>
      </c>
      <c r="N82" s="17">
        <v>45092</v>
      </c>
      <c r="O82" s="17">
        <v>45472</v>
      </c>
      <c r="P82" t="s">
        <v>3485</v>
      </c>
      <c r="Q82" t="s">
        <v>3486</v>
      </c>
      <c r="R82" t="s">
        <v>2734</v>
      </c>
      <c r="S82" t="s">
        <v>3146</v>
      </c>
      <c r="T82" t="s">
        <v>3487</v>
      </c>
      <c r="U82" t="s">
        <v>3488</v>
      </c>
      <c r="V82" t="s">
        <v>3075</v>
      </c>
    </row>
    <row r="83" spans="1:22" x14ac:dyDescent="0.35">
      <c r="A83" t="s">
        <v>3489</v>
      </c>
      <c r="B83" t="s">
        <v>3490</v>
      </c>
      <c r="C83" t="s">
        <v>3491</v>
      </c>
      <c r="D83" t="s">
        <v>3317</v>
      </c>
      <c r="E83" t="s">
        <v>1580</v>
      </c>
      <c r="F83" t="s">
        <v>2946</v>
      </c>
      <c r="G83" t="s">
        <v>88</v>
      </c>
      <c r="H83" t="s">
        <v>3139</v>
      </c>
      <c r="I83" t="s">
        <v>3492</v>
      </c>
      <c r="J83" t="s">
        <v>3088</v>
      </c>
      <c r="K83">
        <v>0</v>
      </c>
      <c r="L83" t="s">
        <v>3071</v>
      </c>
      <c r="M83">
        <v>8</v>
      </c>
      <c r="N83" s="17">
        <v>45092</v>
      </c>
      <c r="O83" s="17">
        <v>45443</v>
      </c>
      <c r="P83" t="s">
        <v>3109</v>
      </c>
      <c r="Q83" t="s">
        <v>3493</v>
      </c>
      <c r="R83" t="s">
        <v>2734</v>
      </c>
      <c r="S83" t="s">
        <v>3146</v>
      </c>
      <c r="T83" t="s">
        <v>3494</v>
      </c>
      <c r="U83" t="s">
        <v>3495</v>
      </c>
      <c r="V83" t="s">
        <v>3075</v>
      </c>
    </row>
    <row r="84" spans="1:22" x14ac:dyDescent="0.35">
      <c r="A84" t="s">
        <v>3496</v>
      </c>
      <c r="B84" t="s">
        <v>3497</v>
      </c>
      <c r="C84" t="s">
        <v>3498</v>
      </c>
      <c r="D84" t="s">
        <v>3317</v>
      </c>
      <c r="E84" t="s">
        <v>2513</v>
      </c>
      <c r="F84" t="s">
        <v>2785</v>
      </c>
      <c r="G84" t="s">
        <v>3499</v>
      </c>
      <c r="H84" t="s">
        <v>3087</v>
      </c>
      <c r="I84" t="s">
        <v>3500</v>
      </c>
      <c r="J84" t="s">
        <v>3107</v>
      </c>
      <c r="K84">
        <v>0</v>
      </c>
      <c r="L84" t="s">
        <v>3422</v>
      </c>
      <c r="M84">
        <v>1</v>
      </c>
      <c r="N84" s="17">
        <v>45026</v>
      </c>
      <c r="O84" s="17">
        <v>45087</v>
      </c>
      <c r="R84" t="s">
        <v>249</v>
      </c>
      <c r="S84" t="s">
        <v>249</v>
      </c>
      <c r="T84" t="s">
        <v>3501</v>
      </c>
      <c r="U84" t="s">
        <v>3502</v>
      </c>
      <c r="V84" t="s">
        <v>3075</v>
      </c>
    </row>
    <row r="85" spans="1:22" x14ac:dyDescent="0.35">
      <c r="A85" t="s">
        <v>3503</v>
      </c>
      <c r="B85" t="s">
        <v>3504</v>
      </c>
      <c r="C85" t="s">
        <v>3505</v>
      </c>
      <c r="D85" t="s">
        <v>3317</v>
      </c>
      <c r="E85" t="s">
        <v>2513</v>
      </c>
      <c r="F85" t="s">
        <v>2785</v>
      </c>
      <c r="G85" t="s">
        <v>3499</v>
      </c>
      <c r="H85" t="s">
        <v>3087</v>
      </c>
      <c r="I85" t="s">
        <v>3500</v>
      </c>
      <c r="J85" t="s">
        <v>3107</v>
      </c>
      <c r="K85">
        <v>0</v>
      </c>
      <c r="L85" t="s">
        <v>3422</v>
      </c>
      <c r="M85">
        <v>6</v>
      </c>
      <c r="N85" s="17">
        <v>45082</v>
      </c>
      <c r="O85" s="17">
        <v>45087</v>
      </c>
      <c r="Q85" t="s">
        <v>2040</v>
      </c>
      <c r="R85" t="s">
        <v>2041</v>
      </c>
      <c r="S85" t="s">
        <v>3072</v>
      </c>
      <c r="T85" t="s">
        <v>3506</v>
      </c>
      <c r="U85" t="s">
        <v>3507</v>
      </c>
      <c r="V85" t="s">
        <v>3075</v>
      </c>
    </row>
    <row r="86" spans="1:22" x14ac:dyDescent="0.35">
      <c r="A86" t="s">
        <v>3508</v>
      </c>
      <c r="B86" t="s">
        <v>3509</v>
      </c>
      <c r="C86" t="s">
        <v>3510</v>
      </c>
      <c r="D86" t="s">
        <v>3317</v>
      </c>
      <c r="E86" t="s">
        <v>249</v>
      </c>
      <c r="F86" t="s">
        <v>249</v>
      </c>
      <c r="G86" t="s">
        <v>3129</v>
      </c>
      <c r="H86" t="s">
        <v>3130</v>
      </c>
      <c r="I86" t="s">
        <v>3511</v>
      </c>
      <c r="J86" t="s">
        <v>3512</v>
      </c>
      <c r="K86">
        <v>0</v>
      </c>
      <c r="L86" t="s">
        <v>3071</v>
      </c>
      <c r="M86">
        <v>8</v>
      </c>
      <c r="N86" s="17">
        <v>45037</v>
      </c>
      <c r="O86" s="17">
        <v>45037</v>
      </c>
      <c r="R86" t="s">
        <v>249</v>
      </c>
      <c r="S86" t="s">
        <v>249</v>
      </c>
      <c r="T86" t="s">
        <v>3508</v>
      </c>
      <c r="U86" t="s">
        <v>3509</v>
      </c>
      <c r="V86" t="s">
        <v>3075</v>
      </c>
    </row>
    <row r="87" spans="1:22" x14ac:dyDescent="0.35">
      <c r="A87" t="s">
        <v>3513</v>
      </c>
      <c r="B87" t="s">
        <v>3514</v>
      </c>
      <c r="C87" t="s">
        <v>3515</v>
      </c>
      <c r="D87" t="s">
        <v>3317</v>
      </c>
      <c r="E87" t="s">
        <v>2513</v>
      </c>
      <c r="F87" t="s">
        <v>3160</v>
      </c>
      <c r="G87" t="s">
        <v>903</v>
      </c>
      <c r="H87" t="s">
        <v>3069</v>
      </c>
      <c r="I87" t="s">
        <v>89</v>
      </c>
      <c r="J87" t="s">
        <v>3088</v>
      </c>
      <c r="K87">
        <v>0</v>
      </c>
      <c r="L87" t="s">
        <v>3071</v>
      </c>
      <c r="M87">
        <v>6</v>
      </c>
      <c r="N87" s="17">
        <v>45110</v>
      </c>
      <c r="O87" s="17">
        <v>45301</v>
      </c>
      <c r="P87" t="s">
        <v>3109</v>
      </c>
      <c r="Q87" t="s">
        <v>3516</v>
      </c>
      <c r="R87" t="s">
        <v>2041</v>
      </c>
      <c r="S87" t="s">
        <v>3072</v>
      </c>
      <c r="T87" t="s">
        <v>3517</v>
      </c>
      <c r="U87" t="s">
        <v>3518</v>
      </c>
      <c r="V87" t="s">
        <v>3075</v>
      </c>
    </row>
    <row r="88" spans="1:22" x14ac:dyDescent="0.35">
      <c r="A88" t="s">
        <v>3519</v>
      </c>
      <c r="B88" t="s">
        <v>3520</v>
      </c>
      <c r="C88" t="s">
        <v>3521</v>
      </c>
      <c r="D88" t="s">
        <v>3317</v>
      </c>
      <c r="E88" t="s">
        <v>1580</v>
      </c>
      <c r="F88" t="s">
        <v>2946</v>
      </c>
      <c r="G88" t="s">
        <v>252</v>
      </c>
      <c r="H88" t="s">
        <v>3087</v>
      </c>
      <c r="I88" t="s">
        <v>447</v>
      </c>
      <c r="J88" t="s">
        <v>3088</v>
      </c>
      <c r="K88">
        <v>0</v>
      </c>
      <c r="L88" t="s">
        <v>3079</v>
      </c>
      <c r="M88">
        <v>5</v>
      </c>
      <c r="N88" s="17">
        <v>45119</v>
      </c>
      <c r="O88" s="17">
        <v>45226</v>
      </c>
      <c r="Q88" t="s">
        <v>3522</v>
      </c>
      <c r="R88" t="s">
        <v>2734</v>
      </c>
      <c r="S88" t="s">
        <v>3146</v>
      </c>
      <c r="T88" t="s">
        <v>3523</v>
      </c>
      <c r="U88" t="s">
        <v>3524</v>
      </c>
      <c r="V88" t="s">
        <v>3075</v>
      </c>
    </row>
    <row r="89" spans="1:22" x14ac:dyDescent="0.35">
      <c r="A89" t="s">
        <v>3525</v>
      </c>
      <c r="B89" t="s">
        <v>3526</v>
      </c>
      <c r="C89" t="s">
        <v>3527</v>
      </c>
      <c r="D89" t="s">
        <v>3317</v>
      </c>
      <c r="E89" t="s">
        <v>2464</v>
      </c>
      <c r="F89">
        <v>0</v>
      </c>
      <c r="G89" t="s">
        <v>252</v>
      </c>
      <c r="H89" t="s">
        <v>3087</v>
      </c>
      <c r="I89" t="s">
        <v>252</v>
      </c>
      <c r="J89" t="s">
        <v>3153</v>
      </c>
      <c r="K89">
        <v>0</v>
      </c>
      <c r="L89" t="s">
        <v>3108</v>
      </c>
      <c r="M89">
        <v>1</v>
      </c>
      <c r="N89" s="17">
        <v>45430</v>
      </c>
      <c r="O89" s="17">
        <v>45430</v>
      </c>
      <c r="P89" t="s">
        <v>3109</v>
      </c>
      <c r="Q89" t="s">
        <v>3132</v>
      </c>
      <c r="R89" t="s">
        <v>2041</v>
      </c>
      <c r="S89" t="s">
        <v>3072</v>
      </c>
      <c r="T89" t="s">
        <v>3528</v>
      </c>
      <c r="U89" t="s">
        <v>3529</v>
      </c>
      <c r="V89" t="s">
        <v>3075</v>
      </c>
    </row>
    <row r="90" spans="1:22" x14ac:dyDescent="0.35">
      <c r="A90" t="s">
        <v>3530</v>
      </c>
      <c r="B90" t="s">
        <v>3531</v>
      </c>
      <c r="C90" t="s">
        <v>3532</v>
      </c>
      <c r="D90" t="s">
        <v>3317</v>
      </c>
      <c r="E90" t="s">
        <v>2513</v>
      </c>
      <c r="F90" t="s">
        <v>3160</v>
      </c>
      <c r="G90" t="s">
        <v>212</v>
      </c>
      <c r="H90" t="s">
        <v>3087</v>
      </c>
      <c r="I90" t="s">
        <v>89</v>
      </c>
      <c r="J90" t="s">
        <v>3088</v>
      </c>
      <c r="K90">
        <v>0</v>
      </c>
      <c r="L90" t="s">
        <v>3071</v>
      </c>
      <c r="M90">
        <v>3</v>
      </c>
      <c r="N90" s="17">
        <v>45240</v>
      </c>
      <c r="O90" s="17">
        <v>45330</v>
      </c>
      <c r="P90" t="s">
        <v>323</v>
      </c>
      <c r="Q90" t="s">
        <v>3533</v>
      </c>
      <c r="R90" t="s">
        <v>2041</v>
      </c>
      <c r="S90" t="s">
        <v>3072</v>
      </c>
      <c r="T90" t="s">
        <v>3534</v>
      </c>
      <c r="U90" t="s">
        <v>3535</v>
      </c>
      <c r="V90" t="s">
        <v>3075</v>
      </c>
    </row>
    <row r="91" spans="1:22" x14ac:dyDescent="0.35">
      <c r="A91" t="s">
        <v>3536</v>
      </c>
      <c r="B91" t="s">
        <v>3537</v>
      </c>
      <c r="C91" t="s">
        <v>3538</v>
      </c>
      <c r="D91" t="s">
        <v>3317</v>
      </c>
      <c r="E91" t="s">
        <v>2513</v>
      </c>
      <c r="F91" t="s">
        <v>2608</v>
      </c>
      <c r="G91" t="s">
        <v>212</v>
      </c>
      <c r="H91" t="s">
        <v>3087</v>
      </c>
      <c r="I91" t="s">
        <v>89</v>
      </c>
      <c r="J91" t="s">
        <v>3088</v>
      </c>
      <c r="K91">
        <v>0</v>
      </c>
      <c r="L91" t="s">
        <v>3071</v>
      </c>
      <c r="M91">
        <v>1</v>
      </c>
      <c r="N91" s="17">
        <v>45296</v>
      </c>
      <c r="O91" s="17">
        <v>45322</v>
      </c>
      <c r="P91" t="s">
        <v>3109</v>
      </c>
      <c r="Q91" t="s">
        <v>3539</v>
      </c>
      <c r="R91" t="s">
        <v>3433</v>
      </c>
      <c r="S91" t="s">
        <v>3434</v>
      </c>
      <c r="T91" t="s">
        <v>3540</v>
      </c>
      <c r="U91" t="s">
        <v>3541</v>
      </c>
      <c r="V91" t="s">
        <v>3075</v>
      </c>
    </row>
    <row r="92" spans="1:22" x14ac:dyDescent="0.35">
      <c r="A92" t="s">
        <v>3542</v>
      </c>
      <c r="B92" t="s">
        <v>3543</v>
      </c>
      <c r="C92" t="s">
        <v>3544</v>
      </c>
      <c r="D92" t="s">
        <v>3317</v>
      </c>
      <c r="E92" t="s">
        <v>249</v>
      </c>
      <c r="F92" t="s">
        <v>249</v>
      </c>
      <c r="G92" t="s">
        <v>179</v>
      </c>
      <c r="H92" t="s">
        <v>3069</v>
      </c>
      <c r="I92" t="s">
        <v>179</v>
      </c>
      <c r="J92" t="s">
        <v>3107</v>
      </c>
      <c r="K92">
        <v>0</v>
      </c>
      <c r="L92" t="s">
        <v>3108</v>
      </c>
      <c r="M92">
        <v>1</v>
      </c>
      <c r="N92" s="17">
        <v>45209</v>
      </c>
      <c r="O92" s="17">
        <v>45230</v>
      </c>
      <c r="R92" t="s">
        <v>249</v>
      </c>
      <c r="S92" t="s">
        <v>249</v>
      </c>
      <c r="T92" t="s">
        <v>3542</v>
      </c>
      <c r="U92" t="s">
        <v>3543</v>
      </c>
      <c r="V92" t="s">
        <v>3075</v>
      </c>
    </row>
    <row r="93" spans="1:22" x14ac:dyDescent="0.35">
      <c r="A93" t="s">
        <v>3545</v>
      </c>
      <c r="B93" t="s">
        <v>3546</v>
      </c>
      <c r="C93" t="s">
        <v>3547</v>
      </c>
      <c r="D93" t="s">
        <v>3317</v>
      </c>
      <c r="E93" t="s">
        <v>2513</v>
      </c>
      <c r="F93" t="s">
        <v>2608</v>
      </c>
      <c r="G93" t="s">
        <v>3548</v>
      </c>
      <c r="H93" t="s">
        <v>3180</v>
      </c>
      <c r="I93" t="s">
        <v>89</v>
      </c>
      <c r="J93" t="s">
        <v>3088</v>
      </c>
      <c r="K93">
        <v>0</v>
      </c>
      <c r="L93" t="s">
        <v>3071</v>
      </c>
      <c r="M93">
        <v>0</v>
      </c>
      <c r="N93" s="17">
        <v>44753</v>
      </c>
      <c r="O93" s="17">
        <v>45121</v>
      </c>
      <c r="Q93" t="s">
        <v>2607</v>
      </c>
      <c r="R93" t="s">
        <v>2041</v>
      </c>
      <c r="S93" t="s">
        <v>3072</v>
      </c>
      <c r="T93" t="s">
        <v>3549</v>
      </c>
      <c r="U93" t="s">
        <v>3550</v>
      </c>
      <c r="V93" t="s">
        <v>3075</v>
      </c>
    </row>
    <row r="94" spans="1:22" x14ac:dyDescent="0.35">
      <c r="A94" t="s">
        <v>3551</v>
      </c>
      <c r="B94" t="s">
        <v>3552</v>
      </c>
      <c r="C94" t="s">
        <v>3553</v>
      </c>
      <c r="D94" t="s">
        <v>3317</v>
      </c>
      <c r="E94" t="s">
        <v>2513</v>
      </c>
      <c r="F94" t="s">
        <v>2608</v>
      </c>
      <c r="G94" t="s">
        <v>3548</v>
      </c>
      <c r="H94" t="s">
        <v>3180</v>
      </c>
      <c r="I94" t="s">
        <v>89</v>
      </c>
      <c r="J94" t="s">
        <v>3088</v>
      </c>
      <c r="K94">
        <v>0</v>
      </c>
      <c r="L94" t="s">
        <v>3071</v>
      </c>
      <c r="M94">
        <v>0</v>
      </c>
      <c r="N94" s="17">
        <v>44753</v>
      </c>
      <c r="O94" s="17">
        <v>45412</v>
      </c>
      <c r="P94" t="s">
        <v>3089</v>
      </c>
      <c r="Q94" t="s">
        <v>3090</v>
      </c>
      <c r="R94" t="s">
        <v>2041</v>
      </c>
      <c r="S94" t="s">
        <v>3072</v>
      </c>
      <c r="T94" t="s">
        <v>3554</v>
      </c>
      <c r="U94" t="s">
        <v>3555</v>
      </c>
      <c r="V94" t="s">
        <v>3075</v>
      </c>
    </row>
    <row r="95" spans="1:22" x14ac:dyDescent="0.35">
      <c r="A95" t="s">
        <v>3556</v>
      </c>
      <c r="B95" t="s">
        <v>3557</v>
      </c>
      <c r="C95" t="s">
        <v>3558</v>
      </c>
      <c r="D95" t="s">
        <v>3317</v>
      </c>
      <c r="E95" t="s">
        <v>2513</v>
      </c>
      <c r="F95" t="s">
        <v>2608</v>
      </c>
      <c r="G95" t="s">
        <v>3548</v>
      </c>
      <c r="H95" t="s">
        <v>3180</v>
      </c>
      <c r="I95" t="s">
        <v>89</v>
      </c>
      <c r="J95" t="s">
        <v>3088</v>
      </c>
      <c r="K95">
        <v>0</v>
      </c>
      <c r="L95" t="s">
        <v>3071</v>
      </c>
      <c r="M95">
        <v>9</v>
      </c>
      <c r="N95" s="17">
        <v>45054</v>
      </c>
      <c r="O95" s="17">
        <v>45382</v>
      </c>
      <c r="P95" t="s">
        <v>3413</v>
      </c>
      <c r="Q95" t="s">
        <v>2607</v>
      </c>
      <c r="R95" t="s">
        <v>2041</v>
      </c>
      <c r="S95" t="s">
        <v>3072</v>
      </c>
      <c r="T95" t="s">
        <v>3559</v>
      </c>
      <c r="U95" t="s">
        <v>3560</v>
      </c>
      <c r="V95" t="s">
        <v>3075</v>
      </c>
    </row>
    <row r="96" spans="1:22" x14ac:dyDescent="0.35">
      <c r="A96" t="s">
        <v>3561</v>
      </c>
      <c r="B96" t="s">
        <v>3562</v>
      </c>
      <c r="C96" t="s">
        <v>3563</v>
      </c>
      <c r="D96" t="s">
        <v>3317</v>
      </c>
      <c r="E96" t="s">
        <v>2513</v>
      </c>
      <c r="F96" t="s">
        <v>2785</v>
      </c>
      <c r="G96" t="s">
        <v>249</v>
      </c>
      <c r="H96" t="s">
        <v>249</v>
      </c>
      <c r="I96" t="s">
        <v>249</v>
      </c>
      <c r="J96" t="s">
        <v>249</v>
      </c>
      <c r="K96" t="s">
        <v>249</v>
      </c>
      <c r="L96" t="s">
        <v>3422</v>
      </c>
      <c r="M96">
        <v>0</v>
      </c>
      <c r="N96" s="17">
        <v>45033</v>
      </c>
      <c r="O96" s="17">
        <v>45101</v>
      </c>
      <c r="Q96" t="s">
        <v>2040</v>
      </c>
      <c r="R96" t="s">
        <v>2041</v>
      </c>
      <c r="S96" t="s">
        <v>3072</v>
      </c>
      <c r="T96" t="s">
        <v>3564</v>
      </c>
      <c r="U96" t="s">
        <v>3565</v>
      </c>
      <c r="V96" t="s">
        <v>249</v>
      </c>
    </row>
    <row r="97" spans="1:22" x14ac:dyDescent="0.35">
      <c r="A97" t="s">
        <v>3566</v>
      </c>
      <c r="B97" t="s">
        <v>3567</v>
      </c>
      <c r="C97" t="s">
        <v>3568</v>
      </c>
      <c r="D97" t="s">
        <v>3317</v>
      </c>
      <c r="E97" t="s">
        <v>2513</v>
      </c>
      <c r="F97" t="s">
        <v>2785</v>
      </c>
      <c r="G97" t="s">
        <v>3168</v>
      </c>
      <c r="H97" t="s">
        <v>3139</v>
      </c>
      <c r="I97" t="s">
        <v>3168</v>
      </c>
      <c r="J97" t="s">
        <v>3155</v>
      </c>
      <c r="K97">
        <v>0</v>
      </c>
      <c r="L97" t="s">
        <v>3422</v>
      </c>
      <c r="M97">
        <v>2</v>
      </c>
      <c r="N97" s="17">
        <v>45166</v>
      </c>
      <c r="O97" s="17">
        <v>45230</v>
      </c>
      <c r="Q97" t="s">
        <v>2040</v>
      </c>
      <c r="R97" t="s">
        <v>2041</v>
      </c>
      <c r="S97" t="s">
        <v>3072</v>
      </c>
      <c r="T97" t="s">
        <v>3569</v>
      </c>
      <c r="U97" t="s">
        <v>3570</v>
      </c>
      <c r="V97" t="s">
        <v>3075</v>
      </c>
    </row>
    <row r="98" spans="1:22" x14ac:dyDescent="0.35">
      <c r="A98" t="s">
        <v>3571</v>
      </c>
      <c r="B98" t="s">
        <v>3572</v>
      </c>
      <c r="C98" t="s">
        <v>3573</v>
      </c>
      <c r="D98" t="s">
        <v>3317</v>
      </c>
      <c r="E98" t="s">
        <v>2513</v>
      </c>
      <c r="F98" t="s">
        <v>3160</v>
      </c>
      <c r="G98" t="s">
        <v>3574</v>
      </c>
      <c r="H98" t="s">
        <v>3069</v>
      </c>
      <c r="I98" t="s">
        <v>3575</v>
      </c>
      <c r="J98" t="s">
        <v>3069</v>
      </c>
      <c r="K98">
        <v>0</v>
      </c>
      <c r="L98" t="s">
        <v>3071</v>
      </c>
      <c r="M98">
        <v>1</v>
      </c>
      <c r="N98" s="17">
        <v>44976</v>
      </c>
      <c r="O98" s="17">
        <v>45369</v>
      </c>
      <c r="P98" t="s">
        <v>3109</v>
      </c>
      <c r="Q98" t="s">
        <v>3349</v>
      </c>
      <c r="R98" t="s">
        <v>3349</v>
      </c>
      <c r="S98" t="s">
        <v>3072</v>
      </c>
      <c r="T98" t="s">
        <v>3576</v>
      </c>
      <c r="U98" t="s">
        <v>3577</v>
      </c>
      <c r="V98" t="s">
        <v>3075</v>
      </c>
    </row>
    <row r="99" spans="1:22" x14ac:dyDescent="0.35">
      <c r="A99" t="s">
        <v>3578</v>
      </c>
      <c r="B99" t="s">
        <v>3579</v>
      </c>
      <c r="C99" t="s">
        <v>3580</v>
      </c>
      <c r="D99" t="s">
        <v>3317</v>
      </c>
      <c r="E99" t="s">
        <v>249</v>
      </c>
      <c r="F99" t="s">
        <v>249</v>
      </c>
      <c r="G99" t="s">
        <v>98</v>
      </c>
      <c r="H99" t="s">
        <v>3087</v>
      </c>
      <c r="I99" t="s">
        <v>98</v>
      </c>
      <c r="J99" t="s">
        <v>3107</v>
      </c>
      <c r="K99">
        <v>0</v>
      </c>
      <c r="L99" t="s">
        <v>3108</v>
      </c>
      <c r="M99">
        <v>1</v>
      </c>
      <c r="N99" s="17">
        <v>45160</v>
      </c>
      <c r="O99" s="17">
        <v>45210</v>
      </c>
      <c r="R99" t="s">
        <v>249</v>
      </c>
      <c r="S99" t="s">
        <v>249</v>
      </c>
      <c r="T99" t="s">
        <v>3578</v>
      </c>
      <c r="U99" t="s">
        <v>3579</v>
      </c>
      <c r="V99" t="s">
        <v>3075</v>
      </c>
    </row>
    <row r="100" spans="1:22" x14ac:dyDescent="0.35">
      <c r="A100" t="s">
        <v>3581</v>
      </c>
      <c r="B100" t="s">
        <v>3582</v>
      </c>
      <c r="C100" t="s">
        <v>3583</v>
      </c>
      <c r="D100" t="s">
        <v>3317</v>
      </c>
      <c r="E100" t="s">
        <v>1580</v>
      </c>
      <c r="F100" t="s">
        <v>3324</v>
      </c>
      <c r="G100" t="s">
        <v>3584</v>
      </c>
      <c r="H100" t="s">
        <v>3069</v>
      </c>
      <c r="I100" t="s">
        <v>89</v>
      </c>
      <c r="J100" t="s">
        <v>3088</v>
      </c>
      <c r="K100">
        <v>0</v>
      </c>
      <c r="L100" t="s">
        <v>3071</v>
      </c>
      <c r="M100">
        <v>0</v>
      </c>
      <c r="N100" s="17">
        <v>44927</v>
      </c>
      <c r="O100" s="17">
        <v>45350</v>
      </c>
      <c r="P100" t="s">
        <v>3122</v>
      </c>
      <c r="Q100" t="s">
        <v>2607</v>
      </c>
      <c r="R100" t="s">
        <v>2041</v>
      </c>
      <c r="S100" t="s">
        <v>3072</v>
      </c>
      <c r="T100" t="s">
        <v>3585</v>
      </c>
      <c r="U100" t="s">
        <v>3586</v>
      </c>
      <c r="V100" t="s">
        <v>3075</v>
      </c>
    </row>
    <row r="101" spans="1:22" x14ac:dyDescent="0.35">
      <c r="A101" t="s">
        <v>3587</v>
      </c>
      <c r="B101" t="s">
        <v>3588</v>
      </c>
      <c r="C101" t="s">
        <v>3589</v>
      </c>
      <c r="D101" t="s">
        <v>3317</v>
      </c>
      <c r="E101" t="s">
        <v>1580</v>
      </c>
      <c r="F101" t="s">
        <v>2464</v>
      </c>
      <c r="G101" t="s">
        <v>3590</v>
      </c>
      <c r="H101" t="s">
        <v>3139</v>
      </c>
      <c r="I101" t="s">
        <v>89</v>
      </c>
      <c r="J101" t="s">
        <v>3088</v>
      </c>
      <c r="K101">
        <v>0</v>
      </c>
      <c r="L101" t="s">
        <v>3079</v>
      </c>
      <c r="M101">
        <v>0</v>
      </c>
      <c r="N101" s="17">
        <v>44795</v>
      </c>
      <c r="O101" s="17">
        <v>45138</v>
      </c>
      <c r="Q101" t="s">
        <v>3591</v>
      </c>
      <c r="R101" t="s">
        <v>2041</v>
      </c>
      <c r="S101" t="s">
        <v>3072</v>
      </c>
      <c r="T101" t="s">
        <v>3592</v>
      </c>
      <c r="U101" t="s">
        <v>3593</v>
      </c>
      <c r="V101" t="s">
        <v>3075</v>
      </c>
    </row>
    <row r="102" spans="1:22" x14ac:dyDescent="0.35">
      <c r="A102" t="s">
        <v>3594</v>
      </c>
      <c r="B102" t="s">
        <v>3595</v>
      </c>
      <c r="C102" t="s">
        <v>3596</v>
      </c>
      <c r="D102" t="s">
        <v>3317</v>
      </c>
      <c r="E102" t="s">
        <v>1580</v>
      </c>
      <c r="F102" t="s">
        <v>3190</v>
      </c>
      <c r="G102" t="s">
        <v>996</v>
      </c>
      <c r="H102" t="s">
        <v>3597</v>
      </c>
      <c r="I102" t="s">
        <v>89</v>
      </c>
      <c r="J102" t="s">
        <v>3088</v>
      </c>
      <c r="K102">
        <v>0</v>
      </c>
      <c r="L102" t="s">
        <v>3071</v>
      </c>
      <c r="M102">
        <v>1</v>
      </c>
      <c r="N102" s="17">
        <v>45463</v>
      </c>
      <c r="O102" s="17">
        <v>45477</v>
      </c>
      <c r="R102" t="s">
        <v>249</v>
      </c>
      <c r="S102" t="s">
        <v>249</v>
      </c>
      <c r="T102" t="s">
        <v>3598</v>
      </c>
      <c r="U102" t="s">
        <v>3599</v>
      </c>
      <c r="V102" t="s">
        <v>3075</v>
      </c>
    </row>
    <row r="103" spans="1:22" x14ac:dyDescent="0.35">
      <c r="A103" t="s">
        <v>3600</v>
      </c>
      <c r="B103" t="s">
        <v>3601</v>
      </c>
      <c r="C103" t="s">
        <v>3602</v>
      </c>
      <c r="D103" t="s">
        <v>3317</v>
      </c>
      <c r="E103" t="s">
        <v>2513</v>
      </c>
      <c r="F103" t="s">
        <v>2608</v>
      </c>
      <c r="G103" t="s">
        <v>897</v>
      </c>
      <c r="H103" t="s">
        <v>3180</v>
      </c>
      <c r="I103" t="s">
        <v>89</v>
      </c>
      <c r="J103" t="s">
        <v>3088</v>
      </c>
      <c r="K103">
        <v>0</v>
      </c>
      <c r="L103" t="s">
        <v>3071</v>
      </c>
      <c r="M103">
        <v>0</v>
      </c>
      <c r="N103" s="17">
        <v>44410</v>
      </c>
      <c r="O103" s="17">
        <v>45260</v>
      </c>
      <c r="P103" t="s">
        <v>3181</v>
      </c>
      <c r="Q103" t="s">
        <v>2607</v>
      </c>
      <c r="R103" t="s">
        <v>2041</v>
      </c>
      <c r="S103" t="s">
        <v>3072</v>
      </c>
      <c r="T103" t="s">
        <v>3603</v>
      </c>
      <c r="U103" t="s">
        <v>3604</v>
      </c>
      <c r="V103" t="s">
        <v>3075</v>
      </c>
    </row>
    <row r="104" spans="1:22" x14ac:dyDescent="0.35">
      <c r="A104" t="s">
        <v>3605</v>
      </c>
      <c r="B104" t="s">
        <v>3606</v>
      </c>
      <c r="C104" t="s">
        <v>3607</v>
      </c>
      <c r="D104" t="s">
        <v>3317</v>
      </c>
      <c r="E104" t="s">
        <v>2513</v>
      </c>
      <c r="F104" t="s">
        <v>2608</v>
      </c>
      <c r="G104" t="s">
        <v>897</v>
      </c>
      <c r="H104" t="s">
        <v>3180</v>
      </c>
      <c r="I104" t="s">
        <v>89</v>
      </c>
      <c r="J104" t="s">
        <v>3088</v>
      </c>
      <c r="K104">
        <v>0</v>
      </c>
      <c r="L104" t="s">
        <v>3071</v>
      </c>
      <c r="M104">
        <v>5</v>
      </c>
      <c r="N104" s="17">
        <v>45145</v>
      </c>
      <c r="O104" s="17">
        <v>45444</v>
      </c>
      <c r="P104" t="s">
        <v>3608</v>
      </c>
      <c r="Q104" t="s">
        <v>3386</v>
      </c>
      <c r="R104" t="s">
        <v>2041</v>
      </c>
      <c r="S104" t="s">
        <v>3072</v>
      </c>
      <c r="T104" t="s">
        <v>3609</v>
      </c>
      <c r="U104" t="s">
        <v>3610</v>
      </c>
      <c r="V104" t="s">
        <v>3075</v>
      </c>
    </row>
    <row r="105" spans="1:22" x14ac:dyDescent="0.35">
      <c r="A105" t="s">
        <v>3611</v>
      </c>
      <c r="B105" t="s">
        <v>3612</v>
      </c>
      <c r="C105" t="s">
        <v>3613</v>
      </c>
      <c r="D105" t="s">
        <v>3317</v>
      </c>
      <c r="E105" t="s">
        <v>2513</v>
      </c>
      <c r="F105" t="s">
        <v>2608</v>
      </c>
      <c r="G105" t="s">
        <v>897</v>
      </c>
      <c r="H105" t="s">
        <v>3180</v>
      </c>
      <c r="I105" t="s">
        <v>897</v>
      </c>
      <c r="J105" t="s">
        <v>3107</v>
      </c>
      <c r="K105">
        <v>0</v>
      </c>
      <c r="L105" t="s">
        <v>3071</v>
      </c>
      <c r="M105">
        <v>6</v>
      </c>
      <c r="N105" s="17">
        <v>45209</v>
      </c>
      <c r="O105" s="17">
        <v>45453</v>
      </c>
      <c r="P105" t="s">
        <v>3109</v>
      </c>
      <c r="Q105" t="s">
        <v>3516</v>
      </c>
      <c r="R105" t="s">
        <v>2041</v>
      </c>
      <c r="S105" t="s">
        <v>3072</v>
      </c>
      <c r="T105" t="s">
        <v>3614</v>
      </c>
      <c r="U105" t="s">
        <v>3615</v>
      </c>
      <c r="V105" t="s">
        <v>3075</v>
      </c>
    </row>
    <row r="106" spans="1:22" x14ac:dyDescent="0.35">
      <c r="A106" t="s">
        <v>3616</v>
      </c>
      <c r="B106" t="s">
        <v>3617</v>
      </c>
      <c r="C106" t="s">
        <v>3618</v>
      </c>
      <c r="D106" t="s">
        <v>3317</v>
      </c>
      <c r="E106" t="s">
        <v>2513</v>
      </c>
      <c r="F106" t="s">
        <v>2608</v>
      </c>
      <c r="G106" t="s">
        <v>897</v>
      </c>
      <c r="H106" t="s">
        <v>3180</v>
      </c>
      <c r="I106" t="s">
        <v>89</v>
      </c>
      <c r="J106" t="s">
        <v>3088</v>
      </c>
      <c r="K106">
        <v>0</v>
      </c>
      <c r="L106" t="s">
        <v>3071</v>
      </c>
      <c r="M106">
        <v>1</v>
      </c>
      <c r="N106" s="17">
        <v>45355</v>
      </c>
      <c r="O106" s="17">
        <v>45386</v>
      </c>
      <c r="P106" t="s">
        <v>3109</v>
      </c>
      <c r="Q106" t="s">
        <v>3619</v>
      </c>
      <c r="R106" t="s">
        <v>2041</v>
      </c>
      <c r="S106" t="s">
        <v>3072</v>
      </c>
      <c r="T106" t="s">
        <v>3620</v>
      </c>
      <c r="U106" t="s">
        <v>3621</v>
      </c>
      <c r="V106" t="s">
        <v>3075</v>
      </c>
    </row>
    <row r="107" spans="1:22" x14ac:dyDescent="0.35">
      <c r="A107" t="s">
        <v>3622</v>
      </c>
      <c r="B107" t="s">
        <v>3623</v>
      </c>
      <c r="C107" t="s">
        <v>3624</v>
      </c>
      <c r="D107" t="s">
        <v>3317</v>
      </c>
      <c r="E107" t="s">
        <v>1580</v>
      </c>
      <c r="F107" t="s">
        <v>3190</v>
      </c>
      <c r="G107" t="s">
        <v>196</v>
      </c>
      <c r="H107" t="s">
        <v>3180</v>
      </c>
      <c r="I107" t="s">
        <v>89</v>
      </c>
      <c r="J107" t="s">
        <v>3088</v>
      </c>
      <c r="K107">
        <v>0</v>
      </c>
      <c r="L107" t="s">
        <v>3079</v>
      </c>
      <c r="M107">
        <v>12</v>
      </c>
      <c r="N107" s="17">
        <v>44851</v>
      </c>
      <c r="O107" s="17">
        <v>45381</v>
      </c>
      <c r="P107" t="s">
        <v>3318</v>
      </c>
      <c r="Q107" t="s">
        <v>3140</v>
      </c>
      <c r="R107" t="s">
        <v>2041</v>
      </c>
      <c r="S107" t="s">
        <v>3072</v>
      </c>
      <c r="T107" t="s">
        <v>3625</v>
      </c>
      <c r="U107" t="s">
        <v>3626</v>
      </c>
      <c r="V107" t="s">
        <v>3075</v>
      </c>
    </row>
    <row r="108" spans="1:22" x14ac:dyDescent="0.35">
      <c r="A108" t="s">
        <v>3622</v>
      </c>
      <c r="B108" t="s">
        <v>3627</v>
      </c>
      <c r="C108" t="s">
        <v>3624</v>
      </c>
      <c r="D108" t="s">
        <v>3317</v>
      </c>
      <c r="E108" t="s">
        <v>1580</v>
      </c>
      <c r="F108" t="s">
        <v>3190</v>
      </c>
      <c r="G108" t="s">
        <v>196</v>
      </c>
      <c r="H108" t="s">
        <v>3180</v>
      </c>
      <c r="I108" t="s">
        <v>89</v>
      </c>
      <c r="J108" t="s">
        <v>3088</v>
      </c>
      <c r="K108">
        <v>0</v>
      </c>
      <c r="L108" t="s">
        <v>3079</v>
      </c>
      <c r="M108">
        <v>12</v>
      </c>
      <c r="N108" s="17">
        <v>44851</v>
      </c>
      <c r="O108" s="17">
        <v>45381</v>
      </c>
      <c r="P108" t="s">
        <v>3318</v>
      </c>
      <c r="Q108" t="s">
        <v>3140</v>
      </c>
      <c r="R108" t="s">
        <v>2041</v>
      </c>
      <c r="S108" t="s">
        <v>3072</v>
      </c>
      <c r="T108" t="s">
        <v>3625</v>
      </c>
      <c r="U108" t="s">
        <v>3628</v>
      </c>
      <c r="V108" t="s">
        <v>3075</v>
      </c>
    </row>
    <row r="109" spans="1:22" x14ac:dyDescent="0.35">
      <c r="A109" t="s">
        <v>3629</v>
      </c>
      <c r="B109" t="s">
        <v>3630</v>
      </c>
      <c r="C109" t="s">
        <v>3631</v>
      </c>
      <c r="D109" t="s">
        <v>3317</v>
      </c>
      <c r="E109" t="s">
        <v>1580</v>
      </c>
      <c r="F109" t="s">
        <v>3190</v>
      </c>
      <c r="G109" t="s">
        <v>196</v>
      </c>
      <c r="H109" t="s">
        <v>3180</v>
      </c>
      <c r="I109" t="s">
        <v>89</v>
      </c>
      <c r="J109" t="s">
        <v>3088</v>
      </c>
      <c r="K109">
        <v>0</v>
      </c>
      <c r="L109" t="s">
        <v>3071</v>
      </c>
      <c r="M109">
        <v>12</v>
      </c>
      <c r="N109" s="17">
        <v>44909</v>
      </c>
      <c r="O109" s="17">
        <v>45137</v>
      </c>
      <c r="P109" t="s">
        <v>323</v>
      </c>
      <c r="Q109" t="s">
        <v>3533</v>
      </c>
      <c r="R109" t="s">
        <v>2041</v>
      </c>
      <c r="S109" t="s">
        <v>3072</v>
      </c>
      <c r="T109" t="s">
        <v>3632</v>
      </c>
      <c r="U109" t="s">
        <v>3633</v>
      </c>
      <c r="V109" t="s">
        <v>3075</v>
      </c>
    </row>
    <row r="110" spans="1:22" x14ac:dyDescent="0.35">
      <c r="A110" t="s">
        <v>3634</v>
      </c>
      <c r="B110" t="s">
        <v>3635</v>
      </c>
      <c r="C110" t="s">
        <v>3636</v>
      </c>
      <c r="D110" t="s">
        <v>3317</v>
      </c>
      <c r="E110" t="s">
        <v>2513</v>
      </c>
      <c r="F110" t="s">
        <v>3160</v>
      </c>
      <c r="G110" t="s">
        <v>909</v>
      </c>
      <c r="H110" t="s">
        <v>3087</v>
      </c>
      <c r="I110" t="s">
        <v>3637</v>
      </c>
      <c r="J110" t="s">
        <v>3366</v>
      </c>
      <c r="K110">
        <v>0</v>
      </c>
      <c r="L110" t="s">
        <v>3071</v>
      </c>
      <c r="M110">
        <v>6</v>
      </c>
      <c r="N110" s="17">
        <v>44991</v>
      </c>
      <c r="O110" s="17">
        <v>45350</v>
      </c>
      <c r="P110" t="s">
        <v>3109</v>
      </c>
      <c r="Q110" t="s">
        <v>3452</v>
      </c>
      <c r="R110" t="s">
        <v>2041</v>
      </c>
      <c r="S110" t="s">
        <v>3072</v>
      </c>
      <c r="T110" t="s">
        <v>3638</v>
      </c>
      <c r="U110" t="s">
        <v>3639</v>
      </c>
      <c r="V110" t="s">
        <v>3075</v>
      </c>
    </row>
    <row r="111" spans="1:22" x14ac:dyDescent="0.35">
      <c r="A111" t="s">
        <v>1019</v>
      </c>
      <c r="B111" t="s">
        <v>3640</v>
      </c>
      <c r="C111" t="s">
        <v>3641</v>
      </c>
      <c r="D111" t="s">
        <v>3067</v>
      </c>
      <c r="E111" t="s">
        <v>1580</v>
      </c>
      <c r="F111" t="s">
        <v>3642</v>
      </c>
      <c r="G111" t="s">
        <v>990</v>
      </c>
      <c r="H111" t="s">
        <v>3087</v>
      </c>
      <c r="I111" t="s">
        <v>132</v>
      </c>
      <c r="J111" t="s">
        <v>3070</v>
      </c>
      <c r="K111">
        <v>0</v>
      </c>
      <c r="L111" t="s">
        <v>3071</v>
      </c>
      <c r="M111">
        <v>6</v>
      </c>
      <c r="N111" s="17">
        <v>45536</v>
      </c>
      <c r="O111" s="17">
        <v>45625</v>
      </c>
      <c r="P111" t="s">
        <v>3109</v>
      </c>
      <c r="Q111" t="s">
        <v>3101</v>
      </c>
      <c r="R111" t="s">
        <v>2041</v>
      </c>
      <c r="S111" t="s">
        <v>3072</v>
      </c>
      <c r="T111" t="s">
        <v>3643</v>
      </c>
      <c r="U111" t="s">
        <v>3644</v>
      </c>
      <c r="V111" t="s">
        <v>3075</v>
      </c>
    </row>
    <row r="112" spans="1:22" x14ac:dyDescent="0.35">
      <c r="A112" t="s">
        <v>1009</v>
      </c>
      <c r="B112" t="s">
        <v>3645</v>
      </c>
      <c r="C112" t="s">
        <v>3646</v>
      </c>
      <c r="D112" t="s">
        <v>3067</v>
      </c>
      <c r="E112" t="s">
        <v>2513</v>
      </c>
      <c r="F112" t="s">
        <v>3160</v>
      </c>
      <c r="G112" t="s">
        <v>1007</v>
      </c>
      <c r="H112" t="s">
        <v>3153</v>
      </c>
      <c r="I112" t="s">
        <v>89</v>
      </c>
      <c r="J112" t="s">
        <v>3088</v>
      </c>
      <c r="K112">
        <v>0</v>
      </c>
      <c r="L112" t="s">
        <v>3071</v>
      </c>
      <c r="M112">
        <v>6</v>
      </c>
      <c r="N112" s="17">
        <v>45516</v>
      </c>
      <c r="O112" s="17">
        <v>45590</v>
      </c>
      <c r="P112" t="s">
        <v>3109</v>
      </c>
      <c r="Q112" t="s">
        <v>3647</v>
      </c>
      <c r="R112" t="s">
        <v>2041</v>
      </c>
      <c r="S112" t="s">
        <v>3072</v>
      </c>
      <c r="T112" t="s">
        <v>3648</v>
      </c>
      <c r="U112" t="s">
        <v>3649</v>
      </c>
      <c r="V112" t="s">
        <v>3075</v>
      </c>
    </row>
    <row r="113" spans="1:22" x14ac:dyDescent="0.35">
      <c r="A113" t="s">
        <v>3650</v>
      </c>
      <c r="B113" t="s">
        <v>3651</v>
      </c>
      <c r="C113" t="s">
        <v>3652</v>
      </c>
      <c r="D113" t="s">
        <v>3317</v>
      </c>
      <c r="E113" t="s">
        <v>2042</v>
      </c>
      <c r="F113" t="s">
        <v>2946</v>
      </c>
      <c r="G113" t="s">
        <v>174</v>
      </c>
      <c r="H113" t="s">
        <v>3653</v>
      </c>
      <c r="I113" t="s">
        <v>174</v>
      </c>
      <c r="J113" t="s">
        <v>3070</v>
      </c>
      <c r="K113">
        <v>0</v>
      </c>
      <c r="L113" t="s">
        <v>3071</v>
      </c>
      <c r="M113">
        <v>3</v>
      </c>
      <c r="N113" s="17">
        <v>45494</v>
      </c>
      <c r="O113" s="17">
        <v>45595</v>
      </c>
      <c r="Q113" t="s">
        <v>3207</v>
      </c>
      <c r="R113" t="s">
        <v>2575</v>
      </c>
      <c r="S113" t="s">
        <v>3172</v>
      </c>
      <c r="T113" t="s">
        <v>3654</v>
      </c>
      <c r="U113" t="s">
        <v>3655</v>
      </c>
      <c r="V113" t="s">
        <v>3075</v>
      </c>
    </row>
    <row r="114" spans="1:22" x14ac:dyDescent="0.35">
      <c r="A114" t="s">
        <v>973</v>
      </c>
      <c r="B114" t="s">
        <v>3656</v>
      </c>
      <c r="C114" t="s">
        <v>3657</v>
      </c>
      <c r="D114" t="s">
        <v>3317</v>
      </c>
      <c r="E114" t="s">
        <v>2513</v>
      </c>
      <c r="F114" t="s">
        <v>3160</v>
      </c>
      <c r="G114" t="s">
        <v>138</v>
      </c>
      <c r="H114" t="s">
        <v>3153</v>
      </c>
      <c r="I114" t="s">
        <v>3658</v>
      </c>
      <c r="J114" t="s">
        <v>3659</v>
      </c>
      <c r="K114">
        <v>0</v>
      </c>
      <c r="L114" t="s">
        <v>3071</v>
      </c>
      <c r="M114">
        <v>4</v>
      </c>
      <c r="N114" s="17">
        <v>45404</v>
      </c>
      <c r="O114" s="17">
        <v>45596</v>
      </c>
      <c r="P114" t="s">
        <v>3109</v>
      </c>
      <c r="Q114" t="s">
        <v>2974</v>
      </c>
      <c r="R114" t="s">
        <v>3660</v>
      </c>
      <c r="S114" t="s">
        <v>3661</v>
      </c>
      <c r="T114" t="s">
        <v>3662</v>
      </c>
      <c r="U114" t="s">
        <v>3663</v>
      </c>
      <c r="V114" t="s">
        <v>3075</v>
      </c>
    </row>
    <row r="115" spans="1:22" x14ac:dyDescent="0.35">
      <c r="A115" t="s">
        <v>1026</v>
      </c>
      <c r="B115" t="s">
        <v>3664</v>
      </c>
      <c r="C115" t="s">
        <v>3665</v>
      </c>
      <c r="D115" t="s">
        <v>3317</v>
      </c>
      <c r="E115" t="s">
        <v>2513</v>
      </c>
      <c r="F115" t="s">
        <v>3160</v>
      </c>
      <c r="G115" t="s">
        <v>3666</v>
      </c>
      <c r="H115" t="s">
        <v>3667</v>
      </c>
      <c r="I115" t="s">
        <v>326</v>
      </c>
      <c r="J115" t="s">
        <v>3512</v>
      </c>
      <c r="K115">
        <v>0</v>
      </c>
      <c r="L115" t="s">
        <v>3071</v>
      </c>
      <c r="M115">
        <v>4</v>
      </c>
      <c r="N115" s="17">
        <v>45505</v>
      </c>
      <c r="O115" s="17">
        <v>45626</v>
      </c>
      <c r="P115" t="s">
        <v>3109</v>
      </c>
      <c r="Q115" t="s">
        <v>3414</v>
      </c>
      <c r="R115" t="s">
        <v>2041</v>
      </c>
      <c r="S115" t="s">
        <v>3072</v>
      </c>
      <c r="T115" t="s">
        <v>3668</v>
      </c>
      <c r="U115" t="s">
        <v>3669</v>
      </c>
      <c r="V115" t="s">
        <v>3075</v>
      </c>
    </row>
    <row r="116" spans="1:22" x14ac:dyDescent="0.35">
      <c r="A116" t="s">
        <v>3670</v>
      </c>
      <c r="B116" t="s">
        <v>3671</v>
      </c>
      <c r="C116" t="s">
        <v>3672</v>
      </c>
      <c r="D116" t="s">
        <v>3317</v>
      </c>
      <c r="E116" t="s">
        <v>2513</v>
      </c>
      <c r="F116" t="s">
        <v>3160</v>
      </c>
      <c r="G116" t="s">
        <v>3673</v>
      </c>
      <c r="H116" t="s">
        <v>2002</v>
      </c>
      <c r="I116" t="s">
        <v>3673</v>
      </c>
      <c r="J116" t="s">
        <v>3153</v>
      </c>
      <c r="K116">
        <v>0</v>
      </c>
      <c r="L116" t="s">
        <v>3108</v>
      </c>
      <c r="M116">
        <v>1</v>
      </c>
      <c r="N116" s="17">
        <v>45524</v>
      </c>
      <c r="O116" s="17">
        <v>45535</v>
      </c>
      <c r="P116" t="s">
        <v>3109</v>
      </c>
      <c r="Q116" t="s">
        <v>2040</v>
      </c>
      <c r="R116" t="s">
        <v>2041</v>
      </c>
      <c r="S116" t="s">
        <v>3072</v>
      </c>
      <c r="T116" t="s">
        <v>3674</v>
      </c>
      <c r="U116" t="s">
        <v>3675</v>
      </c>
      <c r="V116" t="s">
        <v>3075</v>
      </c>
    </row>
    <row r="117" spans="1:22" x14ac:dyDescent="0.35">
      <c r="A117" t="s">
        <v>3676</v>
      </c>
      <c r="B117" t="s">
        <v>3677</v>
      </c>
      <c r="C117" t="s">
        <v>3678</v>
      </c>
      <c r="D117" t="s">
        <v>3317</v>
      </c>
      <c r="E117" t="s">
        <v>2513</v>
      </c>
      <c r="F117" t="s">
        <v>3160</v>
      </c>
      <c r="G117" t="s">
        <v>897</v>
      </c>
      <c r="H117" t="s">
        <v>3180</v>
      </c>
      <c r="I117" t="s">
        <v>89</v>
      </c>
      <c r="J117" t="s">
        <v>3088</v>
      </c>
      <c r="K117">
        <v>0</v>
      </c>
      <c r="L117" t="s">
        <v>3071</v>
      </c>
      <c r="M117">
        <v>10</v>
      </c>
      <c r="N117" s="17">
        <v>45082</v>
      </c>
      <c r="O117" s="17">
        <v>45604</v>
      </c>
      <c r="P117" t="s">
        <v>3413</v>
      </c>
      <c r="Q117" t="s">
        <v>2833</v>
      </c>
      <c r="R117" t="s">
        <v>2041</v>
      </c>
      <c r="S117" t="s">
        <v>3072</v>
      </c>
      <c r="T117" t="s">
        <v>3679</v>
      </c>
      <c r="U117" t="s">
        <v>3680</v>
      </c>
      <c r="V117" t="s">
        <v>3075</v>
      </c>
    </row>
    <row r="118" spans="1:22" x14ac:dyDescent="0.35">
      <c r="A118" t="s">
        <v>892</v>
      </c>
      <c r="B118" t="s">
        <v>3681</v>
      </c>
      <c r="C118" t="s">
        <v>3682</v>
      </c>
      <c r="D118" t="s">
        <v>3317</v>
      </c>
      <c r="E118" t="s">
        <v>1580</v>
      </c>
      <c r="F118" t="s">
        <v>3642</v>
      </c>
      <c r="G118" t="s">
        <v>235</v>
      </c>
      <c r="H118" t="s">
        <v>3139</v>
      </c>
      <c r="I118" t="s">
        <v>132</v>
      </c>
      <c r="J118" t="s">
        <v>3070</v>
      </c>
      <c r="K118">
        <v>0</v>
      </c>
      <c r="L118" t="s">
        <v>3071</v>
      </c>
      <c r="M118">
        <v>6</v>
      </c>
      <c r="N118" s="17">
        <v>45288</v>
      </c>
      <c r="O118" s="17">
        <v>45656</v>
      </c>
      <c r="P118" t="s">
        <v>3109</v>
      </c>
      <c r="Q118" t="s">
        <v>3101</v>
      </c>
      <c r="R118" t="s">
        <v>2041</v>
      </c>
      <c r="S118" t="s">
        <v>3072</v>
      </c>
      <c r="T118" t="s">
        <v>3683</v>
      </c>
      <c r="U118" t="s">
        <v>3684</v>
      </c>
      <c r="V118" t="s">
        <v>3075</v>
      </c>
    </row>
    <row r="119" spans="1:22" x14ac:dyDescent="0.35">
      <c r="A119" t="s">
        <v>3685</v>
      </c>
      <c r="B119" t="s">
        <v>3686</v>
      </c>
      <c r="C119" t="s">
        <v>3687</v>
      </c>
      <c r="D119" t="s">
        <v>3317</v>
      </c>
      <c r="E119" t="s">
        <v>2513</v>
      </c>
      <c r="F119" t="s">
        <v>2608</v>
      </c>
      <c r="G119" t="s">
        <v>395</v>
      </c>
      <c r="H119" t="s">
        <v>3130</v>
      </c>
      <c r="I119" t="s">
        <v>89</v>
      </c>
      <c r="J119" t="s">
        <v>3088</v>
      </c>
      <c r="K119">
        <v>0</v>
      </c>
      <c r="L119" t="s">
        <v>3071</v>
      </c>
      <c r="M119">
        <v>6</v>
      </c>
      <c r="N119" s="17">
        <v>45162</v>
      </c>
      <c r="O119" s="17">
        <v>45597</v>
      </c>
      <c r="P119" t="s">
        <v>3688</v>
      </c>
      <c r="Q119" t="s">
        <v>3132</v>
      </c>
      <c r="R119" t="s">
        <v>2041</v>
      </c>
      <c r="S119" t="s">
        <v>3072</v>
      </c>
      <c r="T119" t="s">
        <v>3689</v>
      </c>
      <c r="U119" t="s">
        <v>3690</v>
      </c>
      <c r="V119" t="s">
        <v>3075</v>
      </c>
    </row>
    <row r="120" spans="1:22" x14ac:dyDescent="0.35">
      <c r="A120" t="s">
        <v>3691</v>
      </c>
      <c r="B120" t="s">
        <v>3692</v>
      </c>
      <c r="C120" t="s">
        <v>3693</v>
      </c>
      <c r="D120" t="s">
        <v>3317</v>
      </c>
      <c r="E120" t="s">
        <v>2464</v>
      </c>
      <c r="F120" t="s">
        <v>2465</v>
      </c>
      <c r="G120" t="s">
        <v>226</v>
      </c>
      <c r="H120" t="s">
        <v>3694</v>
      </c>
      <c r="I120" t="s">
        <v>226</v>
      </c>
      <c r="J120" t="s">
        <v>3695</v>
      </c>
      <c r="K120">
        <v>0</v>
      </c>
      <c r="L120" t="s">
        <v>3696</v>
      </c>
      <c r="M120">
        <v>1</v>
      </c>
      <c r="N120" s="17">
        <v>45505</v>
      </c>
      <c r="O120" s="17">
        <v>45580</v>
      </c>
      <c r="R120" t="s">
        <v>249</v>
      </c>
      <c r="S120" t="s">
        <v>249</v>
      </c>
      <c r="T120" t="s">
        <v>3697</v>
      </c>
      <c r="U120" t="s">
        <v>3698</v>
      </c>
      <c r="V120" t="s">
        <v>3075</v>
      </c>
    </row>
    <row r="121" spans="1:22" x14ac:dyDescent="0.35">
      <c r="A121" t="s">
        <v>1258</v>
      </c>
      <c r="B121" t="s">
        <v>3699</v>
      </c>
      <c r="C121" t="s">
        <v>3700</v>
      </c>
      <c r="D121" t="s">
        <v>3317</v>
      </c>
      <c r="E121" t="s">
        <v>1580</v>
      </c>
      <c r="F121" t="s">
        <v>3642</v>
      </c>
      <c r="G121" t="s">
        <v>235</v>
      </c>
      <c r="H121" t="s">
        <v>3139</v>
      </c>
      <c r="I121" t="s">
        <v>89</v>
      </c>
      <c r="J121" t="s">
        <v>3088</v>
      </c>
      <c r="K121">
        <v>0</v>
      </c>
      <c r="L121" t="s">
        <v>3071</v>
      </c>
      <c r="M121">
        <v>16</v>
      </c>
      <c r="N121" s="17">
        <v>44973</v>
      </c>
      <c r="O121" s="17">
        <v>45646</v>
      </c>
      <c r="P121" t="s">
        <v>351</v>
      </c>
      <c r="Q121" t="s">
        <v>2833</v>
      </c>
      <c r="R121" t="s">
        <v>2041</v>
      </c>
      <c r="S121" t="s">
        <v>3072</v>
      </c>
      <c r="T121" t="s">
        <v>3701</v>
      </c>
      <c r="U121" t="s">
        <v>3702</v>
      </c>
      <c r="V121" t="s">
        <v>3075</v>
      </c>
    </row>
    <row r="122" spans="1:22" x14ac:dyDescent="0.35">
      <c r="A122" t="s">
        <v>1258</v>
      </c>
      <c r="B122" t="s">
        <v>3703</v>
      </c>
      <c r="C122" t="s">
        <v>3700</v>
      </c>
      <c r="D122" t="s">
        <v>3317</v>
      </c>
      <c r="E122" t="s">
        <v>1580</v>
      </c>
      <c r="F122" t="s">
        <v>3642</v>
      </c>
      <c r="G122" t="s">
        <v>235</v>
      </c>
      <c r="H122" t="s">
        <v>3139</v>
      </c>
      <c r="I122" t="s">
        <v>89</v>
      </c>
      <c r="J122" t="s">
        <v>3088</v>
      </c>
      <c r="K122">
        <v>0</v>
      </c>
      <c r="L122" t="s">
        <v>3071</v>
      </c>
      <c r="M122">
        <v>16</v>
      </c>
      <c r="N122" s="17">
        <v>44973</v>
      </c>
      <c r="O122" s="17">
        <v>45656</v>
      </c>
      <c r="P122" t="s">
        <v>351</v>
      </c>
      <c r="Q122" t="s">
        <v>2833</v>
      </c>
      <c r="R122" t="s">
        <v>2041</v>
      </c>
      <c r="S122" t="s">
        <v>3072</v>
      </c>
      <c r="T122" t="s">
        <v>3701</v>
      </c>
      <c r="U122" t="s">
        <v>3704</v>
      </c>
      <c r="V122" t="s">
        <v>3075</v>
      </c>
    </row>
    <row r="123" spans="1:22" x14ac:dyDescent="0.35">
      <c r="A123" t="s">
        <v>969</v>
      </c>
      <c r="B123" t="s">
        <v>3705</v>
      </c>
      <c r="C123" t="s">
        <v>3706</v>
      </c>
      <c r="D123" t="s">
        <v>3317</v>
      </c>
      <c r="E123" t="s">
        <v>2513</v>
      </c>
      <c r="F123" t="s">
        <v>3707</v>
      </c>
      <c r="G123" t="s">
        <v>98</v>
      </c>
      <c r="H123" t="s">
        <v>3087</v>
      </c>
      <c r="I123" t="s">
        <v>89</v>
      </c>
      <c r="J123" t="s">
        <v>3088</v>
      </c>
      <c r="K123">
        <v>0</v>
      </c>
      <c r="L123" t="s">
        <v>3071</v>
      </c>
      <c r="M123">
        <v>9</v>
      </c>
      <c r="N123" s="17">
        <v>45393</v>
      </c>
      <c r="O123" s="17">
        <v>45639</v>
      </c>
      <c r="P123" t="s">
        <v>3109</v>
      </c>
      <c r="Q123" t="s">
        <v>3140</v>
      </c>
      <c r="R123" t="s">
        <v>2041</v>
      </c>
      <c r="S123" t="s">
        <v>3072</v>
      </c>
      <c r="T123" t="s">
        <v>3708</v>
      </c>
      <c r="U123" t="s">
        <v>3709</v>
      </c>
      <c r="V123" t="s">
        <v>3075</v>
      </c>
    </row>
    <row r="124" spans="1:22" x14ac:dyDescent="0.35">
      <c r="A124" t="s">
        <v>3710</v>
      </c>
      <c r="B124" t="s">
        <v>3711</v>
      </c>
      <c r="C124" t="s">
        <v>3712</v>
      </c>
      <c r="D124" t="s">
        <v>3317</v>
      </c>
      <c r="E124" t="s">
        <v>1580</v>
      </c>
      <c r="F124" t="s">
        <v>2946</v>
      </c>
      <c r="G124" t="s">
        <v>88</v>
      </c>
      <c r="H124" t="s">
        <v>3139</v>
      </c>
      <c r="I124" t="s">
        <v>89</v>
      </c>
      <c r="J124" t="s">
        <v>3088</v>
      </c>
      <c r="K124">
        <v>0</v>
      </c>
      <c r="L124" t="s">
        <v>3071</v>
      </c>
      <c r="M124">
        <v>4</v>
      </c>
      <c r="N124" s="17">
        <v>45200</v>
      </c>
      <c r="O124" s="17">
        <v>45677</v>
      </c>
      <c r="P124" t="s">
        <v>3109</v>
      </c>
      <c r="Q124" t="s">
        <v>3493</v>
      </c>
      <c r="R124" t="s">
        <v>2734</v>
      </c>
      <c r="S124" t="s">
        <v>3146</v>
      </c>
      <c r="T124" t="s">
        <v>3713</v>
      </c>
      <c r="U124" t="s">
        <v>3714</v>
      </c>
      <c r="V124" t="s">
        <v>3075</v>
      </c>
    </row>
    <row r="125" spans="1:22" x14ac:dyDescent="0.35">
      <c r="A125" t="s">
        <v>895</v>
      </c>
      <c r="B125" t="s">
        <v>3715</v>
      </c>
      <c r="C125" t="s">
        <v>3716</v>
      </c>
      <c r="D125" t="s">
        <v>3317</v>
      </c>
      <c r="E125" t="s">
        <v>2513</v>
      </c>
      <c r="F125" t="s">
        <v>3707</v>
      </c>
      <c r="G125" t="s">
        <v>98</v>
      </c>
      <c r="H125" t="s">
        <v>3087</v>
      </c>
      <c r="I125" t="s">
        <v>132</v>
      </c>
      <c r="J125" t="s">
        <v>3070</v>
      </c>
      <c r="K125">
        <v>0</v>
      </c>
      <c r="L125" t="s">
        <v>3071</v>
      </c>
      <c r="M125">
        <v>6</v>
      </c>
      <c r="N125" s="17">
        <v>45087</v>
      </c>
      <c r="O125" s="17">
        <v>45672</v>
      </c>
      <c r="P125" t="s">
        <v>3100</v>
      </c>
      <c r="Q125" t="s">
        <v>2833</v>
      </c>
      <c r="R125" t="s">
        <v>2041</v>
      </c>
      <c r="S125" t="s">
        <v>3072</v>
      </c>
      <c r="T125" t="s">
        <v>3717</v>
      </c>
      <c r="U125" t="s">
        <v>3718</v>
      </c>
      <c r="V125" t="s">
        <v>3075</v>
      </c>
    </row>
    <row r="126" spans="1:22" x14ac:dyDescent="0.35">
      <c r="A126" t="s">
        <v>895</v>
      </c>
      <c r="B126" t="s">
        <v>3719</v>
      </c>
      <c r="C126" t="s">
        <v>3716</v>
      </c>
      <c r="D126" t="s">
        <v>3317</v>
      </c>
      <c r="E126" t="s">
        <v>2513</v>
      </c>
      <c r="F126" t="s">
        <v>3707</v>
      </c>
      <c r="G126" t="s">
        <v>98</v>
      </c>
      <c r="H126" t="s">
        <v>3087</v>
      </c>
      <c r="I126" t="s">
        <v>132</v>
      </c>
      <c r="J126" t="s">
        <v>3070</v>
      </c>
      <c r="K126">
        <v>0</v>
      </c>
      <c r="L126" t="s">
        <v>3071</v>
      </c>
      <c r="M126">
        <v>6</v>
      </c>
      <c r="N126" s="17">
        <v>45087</v>
      </c>
      <c r="O126" s="17">
        <v>45672</v>
      </c>
      <c r="P126" t="s">
        <v>3100</v>
      </c>
      <c r="Q126" t="s">
        <v>2833</v>
      </c>
      <c r="R126" t="s">
        <v>2041</v>
      </c>
      <c r="S126" t="s">
        <v>3072</v>
      </c>
      <c r="T126" t="s">
        <v>3717</v>
      </c>
      <c r="U126" t="s">
        <v>3720</v>
      </c>
      <c r="V126" t="s">
        <v>3075</v>
      </c>
    </row>
    <row r="127" spans="1:22" x14ac:dyDescent="0.35">
      <c r="A127" t="s">
        <v>141</v>
      </c>
      <c r="B127" t="s">
        <v>3721</v>
      </c>
      <c r="C127" t="s">
        <v>3722</v>
      </c>
      <c r="D127" t="s">
        <v>3067</v>
      </c>
      <c r="E127" t="s">
        <v>2513</v>
      </c>
      <c r="F127" t="s">
        <v>3160</v>
      </c>
      <c r="G127" t="s">
        <v>138</v>
      </c>
      <c r="H127" t="s">
        <v>3153</v>
      </c>
      <c r="I127" t="s">
        <v>139</v>
      </c>
      <c r="J127" t="s">
        <v>3659</v>
      </c>
      <c r="K127">
        <v>0</v>
      </c>
      <c r="L127" t="s">
        <v>3071</v>
      </c>
      <c r="M127">
        <v>6</v>
      </c>
      <c r="N127" s="17">
        <v>45636</v>
      </c>
      <c r="O127" s="17">
        <v>45674</v>
      </c>
      <c r="P127" t="s">
        <v>3109</v>
      </c>
      <c r="Q127" t="s">
        <v>3723</v>
      </c>
      <c r="R127" t="s">
        <v>2512</v>
      </c>
      <c r="S127" t="s">
        <v>3072</v>
      </c>
      <c r="T127" t="s">
        <v>3724</v>
      </c>
      <c r="U127" t="s">
        <v>3725</v>
      </c>
      <c r="V127" t="s">
        <v>3075</v>
      </c>
    </row>
    <row r="128" spans="1:22" x14ac:dyDescent="0.35">
      <c r="A128" t="s">
        <v>1065</v>
      </c>
      <c r="B128" t="s">
        <v>3726</v>
      </c>
      <c r="C128" t="s">
        <v>3727</v>
      </c>
      <c r="D128" t="s">
        <v>3067</v>
      </c>
      <c r="E128" t="s">
        <v>249</v>
      </c>
      <c r="F128" t="s">
        <v>249</v>
      </c>
      <c r="G128" t="s">
        <v>1063</v>
      </c>
      <c r="H128" t="s">
        <v>3728</v>
      </c>
      <c r="I128" t="s">
        <v>89</v>
      </c>
      <c r="J128" t="s">
        <v>3088</v>
      </c>
      <c r="K128" t="s">
        <v>3088</v>
      </c>
      <c r="L128" t="s">
        <v>3071</v>
      </c>
      <c r="M128">
        <v>5</v>
      </c>
      <c r="N128" s="17">
        <v>45689</v>
      </c>
      <c r="O128" s="17">
        <v>45685</v>
      </c>
      <c r="P128" t="s">
        <v>3109</v>
      </c>
      <c r="Q128" t="s">
        <v>3090</v>
      </c>
      <c r="R128" t="s">
        <v>2041</v>
      </c>
      <c r="S128" t="s">
        <v>3072</v>
      </c>
      <c r="T128" t="s">
        <v>1065</v>
      </c>
      <c r="U128" t="s">
        <v>3726</v>
      </c>
      <c r="V128" t="s">
        <v>3075</v>
      </c>
    </row>
    <row r="129" spans="1:22" x14ac:dyDescent="0.35">
      <c r="A129" t="s">
        <v>3729</v>
      </c>
      <c r="B129" t="s">
        <v>3730</v>
      </c>
      <c r="C129" t="s">
        <v>3731</v>
      </c>
      <c r="D129" t="s">
        <v>3067</v>
      </c>
      <c r="E129" t="s">
        <v>1580</v>
      </c>
      <c r="F129" t="s">
        <v>3642</v>
      </c>
      <c r="G129" t="s">
        <v>125</v>
      </c>
      <c r="H129" t="s">
        <v>3087</v>
      </c>
      <c r="I129" t="s">
        <v>3732</v>
      </c>
      <c r="J129" t="s">
        <v>3088</v>
      </c>
      <c r="K129">
        <v>0</v>
      </c>
      <c r="L129" t="s">
        <v>3071</v>
      </c>
      <c r="M129">
        <v>12</v>
      </c>
      <c r="N129" s="17">
        <v>45627</v>
      </c>
      <c r="O129" s="17">
        <v>45641</v>
      </c>
      <c r="P129" t="s">
        <v>3733</v>
      </c>
      <c r="Q129" t="s">
        <v>3539</v>
      </c>
      <c r="R129" t="s">
        <v>3433</v>
      </c>
      <c r="S129" t="s">
        <v>3434</v>
      </c>
      <c r="T129" t="s">
        <v>3734</v>
      </c>
      <c r="U129" t="s">
        <v>3735</v>
      </c>
      <c r="V129" t="s">
        <v>3075</v>
      </c>
    </row>
    <row r="130" spans="1:22" x14ac:dyDescent="0.35">
      <c r="A130" t="s">
        <v>3736</v>
      </c>
      <c r="B130" t="s">
        <v>3737</v>
      </c>
      <c r="C130" t="s">
        <v>3738</v>
      </c>
      <c r="D130" t="s">
        <v>3317</v>
      </c>
      <c r="E130" t="s">
        <v>2464</v>
      </c>
      <c r="F130" t="s">
        <v>2465</v>
      </c>
      <c r="G130" t="s">
        <v>3739</v>
      </c>
      <c r="H130" t="s">
        <v>249</v>
      </c>
      <c r="I130" t="s">
        <v>3740</v>
      </c>
      <c r="J130" t="s">
        <v>3153</v>
      </c>
      <c r="K130">
        <v>0</v>
      </c>
      <c r="L130" t="s">
        <v>3696</v>
      </c>
      <c r="M130">
        <v>6</v>
      </c>
      <c r="N130" s="17">
        <v>45397</v>
      </c>
      <c r="O130" s="17">
        <v>45577</v>
      </c>
      <c r="P130" t="s">
        <v>3109</v>
      </c>
      <c r="Q130" t="s">
        <v>3741</v>
      </c>
      <c r="R130" t="s">
        <v>2041</v>
      </c>
      <c r="S130" t="s">
        <v>3072</v>
      </c>
      <c r="T130" t="s">
        <v>3742</v>
      </c>
      <c r="U130" t="s">
        <v>3743</v>
      </c>
      <c r="V130" t="s">
        <v>3075</v>
      </c>
    </row>
    <row r="131" spans="1:22" x14ac:dyDescent="0.35">
      <c r="A131" t="s">
        <v>3744</v>
      </c>
      <c r="B131" t="s">
        <v>3745</v>
      </c>
      <c r="C131" t="s">
        <v>3746</v>
      </c>
      <c r="D131" t="s">
        <v>3317</v>
      </c>
      <c r="E131" t="s">
        <v>2464</v>
      </c>
      <c r="F131" t="s">
        <v>2465</v>
      </c>
      <c r="G131" t="s">
        <v>309</v>
      </c>
      <c r="H131" t="s">
        <v>3747</v>
      </c>
      <c r="I131" t="s">
        <v>89</v>
      </c>
      <c r="J131" t="s">
        <v>3088</v>
      </c>
      <c r="K131">
        <v>0</v>
      </c>
      <c r="L131" t="s">
        <v>3079</v>
      </c>
      <c r="M131">
        <v>6</v>
      </c>
      <c r="N131" s="17">
        <v>45537</v>
      </c>
      <c r="O131" s="17">
        <v>45717</v>
      </c>
      <c r="P131" t="s">
        <v>3109</v>
      </c>
      <c r="Q131" t="s">
        <v>3207</v>
      </c>
      <c r="R131" t="s">
        <v>2575</v>
      </c>
      <c r="S131" t="s">
        <v>3172</v>
      </c>
      <c r="T131" t="s">
        <v>3748</v>
      </c>
      <c r="U131" t="s">
        <v>3749</v>
      </c>
      <c r="V131" t="s">
        <v>3075</v>
      </c>
    </row>
    <row r="132" spans="1:22" x14ac:dyDescent="0.35">
      <c r="A132" t="s">
        <v>197</v>
      </c>
      <c r="B132" t="s">
        <v>3750</v>
      </c>
      <c r="C132" t="s">
        <v>3751</v>
      </c>
      <c r="D132" t="s">
        <v>3317</v>
      </c>
      <c r="E132" t="s">
        <v>1580</v>
      </c>
      <c r="F132" t="s">
        <v>3190</v>
      </c>
      <c r="G132" t="s">
        <v>196</v>
      </c>
      <c r="H132" t="s">
        <v>3180</v>
      </c>
      <c r="I132" t="s">
        <v>89</v>
      </c>
      <c r="J132" t="s">
        <v>3088</v>
      </c>
      <c r="K132">
        <v>0</v>
      </c>
      <c r="L132" t="s">
        <v>3071</v>
      </c>
      <c r="M132">
        <v>11</v>
      </c>
      <c r="N132" s="17">
        <v>45444</v>
      </c>
      <c r="O132" s="17">
        <v>45688</v>
      </c>
      <c r="P132" t="s">
        <v>323</v>
      </c>
      <c r="Q132" t="s">
        <v>3446</v>
      </c>
      <c r="R132" t="s">
        <v>2041</v>
      </c>
      <c r="S132" t="s">
        <v>3072</v>
      </c>
      <c r="T132" t="s">
        <v>3752</v>
      </c>
      <c r="U132" t="s">
        <v>3753</v>
      </c>
      <c r="V132" t="s">
        <v>3075</v>
      </c>
    </row>
    <row r="133" spans="1:22" x14ac:dyDescent="0.35">
      <c r="A133" t="s">
        <v>956</v>
      </c>
      <c r="B133" t="s">
        <v>3754</v>
      </c>
      <c r="C133" t="s">
        <v>3755</v>
      </c>
      <c r="D133" t="s">
        <v>3317</v>
      </c>
      <c r="E133" t="s">
        <v>2513</v>
      </c>
      <c r="F133" t="s">
        <v>3160</v>
      </c>
      <c r="G133" t="s">
        <v>795</v>
      </c>
      <c r="H133" t="s">
        <v>249</v>
      </c>
      <c r="I133" t="s">
        <v>132</v>
      </c>
      <c r="J133" t="s">
        <v>3070</v>
      </c>
      <c r="K133">
        <v>0</v>
      </c>
      <c r="L133" t="s">
        <v>3071</v>
      </c>
      <c r="M133">
        <v>12</v>
      </c>
      <c r="N133" s="17">
        <v>45363</v>
      </c>
      <c r="O133" s="17">
        <v>45702</v>
      </c>
      <c r="P133" t="s">
        <v>3109</v>
      </c>
      <c r="Q133" t="s">
        <v>3101</v>
      </c>
      <c r="R133" t="s">
        <v>2041</v>
      </c>
      <c r="S133" t="s">
        <v>3072</v>
      </c>
      <c r="T133" t="s">
        <v>3756</v>
      </c>
      <c r="U133" t="s">
        <v>3757</v>
      </c>
      <c r="V133" t="s">
        <v>3075</v>
      </c>
    </row>
    <row r="134" spans="1:22" x14ac:dyDescent="0.35">
      <c r="A134" t="s">
        <v>248</v>
      </c>
      <c r="B134" t="s">
        <v>3758</v>
      </c>
      <c r="C134" t="s">
        <v>3759</v>
      </c>
      <c r="D134" t="s">
        <v>3067</v>
      </c>
      <c r="E134" t="s">
        <v>2513</v>
      </c>
      <c r="F134" t="s">
        <v>3160</v>
      </c>
      <c r="G134" t="s">
        <v>245</v>
      </c>
      <c r="H134" t="s">
        <v>3153</v>
      </c>
      <c r="I134" t="s">
        <v>246</v>
      </c>
      <c r="J134" t="s">
        <v>3760</v>
      </c>
      <c r="K134" t="s">
        <v>3694</v>
      </c>
      <c r="L134" t="s">
        <v>3071</v>
      </c>
      <c r="M134">
        <v>14</v>
      </c>
      <c r="N134" s="17">
        <v>45679</v>
      </c>
      <c r="O134" s="17">
        <v>45707</v>
      </c>
      <c r="P134" t="s">
        <v>3109</v>
      </c>
      <c r="Q134" t="s">
        <v>3516</v>
      </c>
      <c r="R134" t="s">
        <v>2041</v>
      </c>
      <c r="S134" t="s">
        <v>3072</v>
      </c>
      <c r="T134" t="s">
        <v>3761</v>
      </c>
      <c r="U134" t="s">
        <v>3762</v>
      </c>
      <c r="V134" t="s">
        <v>3075</v>
      </c>
    </row>
    <row r="135" spans="1:22" x14ac:dyDescent="0.35">
      <c r="A135" t="s">
        <v>3763</v>
      </c>
      <c r="B135" t="s">
        <v>3764</v>
      </c>
      <c r="C135" t="s">
        <v>3765</v>
      </c>
      <c r="D135" t="s">
        <v>3067</v>
      </c>
      <c r="E135" t="s">
        <v>2464</v>
      </c>
      <c r="F135" t="s">
        <v>2465</v>
      </c>
      <c r="G135" t="s">
        <v>3766</v>
      </c>
      <c r="H135" t="s">
        <v>3139</v>
      </c>
      <c r="I135" t="s">
        <v>184</v>
      </c>
      <c r="J135" t="s">
        <v>3088</v>
      </c>
      <c r="K135">
        <v>0</v>
      </c>
      <c r="L135" t="s">
        <v>3079</v>
      </c>
      <c r="M135">
        <v>6</v>
      </c>
      <c r="N135" s="17">
        <v>45646</v>
      </c>
      <c r="O135" s="17">
        <v>45716</v>
      </c>
      <c r="P135" t="s">
        <v>3767</v>
      </c>
      <c r="Q135" t="s">
        <v>3156</v>
      </c>
      <c r="R135" t="s">
        <v>2041</v>
      </c>
      <c r="S135" t="s">
        <v>3072</v>
      </c>
      <c r="T135" t="s">
        <v>3768</v>
      </c>
      <c r="U135" t="s">
        <v>3769</v>
      </c>
      <c r="V135" t="s">
        <v>3075</v>
      </c>
    </row>
    <row r="136" spans="1:22" x14ac:dyDescent="0.35">
      <c r="A136" t="s">
        <v>3770</v>
      </c>
      <c r="B136" t="s">
        <v>3770</v>
      </c>
      <c r="C136" t="s">
        <v>3771</v>
      </c>
      <c r="D136" t="s">
        <v>249</v>
      </c>
      <c r="E136" t="s">
        <v>2513</v>
      </c>
      <c r="F136" t="s">
        <v>3772</v>
      </c>
      <c r="G136" t="s">
        <v>249</v>
      </c>
      <c r="H136" t="s">
        <v>249</v>
      </c>
      <c r="I136" t="s">
        <v>249</v>
      </c>
      <c r="J136" t="s">
        <v>249</v>
      </c>
      <c r="K136" t="s">
        <v>249</v>
      </c>
      <c r="L136" t="s">
        <v>3071</v>
      </c>
      <c r="N136" s="17">
        <v>45505</v>
      </c>
      <c r="O136" s="17">
        <v>45657</v>
      </c>
      <c r="R136" t="s">
        <v>249</v>
      </c>
      <c r="S136" t="s">
        <v>249</v>
      </c>
      <c r="T136" t="s">
        <v>3773</v>
      </c>
      <c r="U136" t="s">
        <v>3773</v>
      </c>
      <c r="V136" t="s">
        <v>249</v>
      </c>
    </row>
    <row r="137" spans="1:22" x14ac:dyDescent="0.35">
      <c r="A137" t="s">
        <v>962</v>
      </c>
      <c r="B137" t="s">
        <v>3774</v>
      </c>
      <c r="C137" t="s">
        <v>3775</v>
      </c>
      <c r="D137" t="s">
        <v>3317</v>
      </c>
      <c r="E137" t="s">
        <v>2464</v>
      </c>
      <c r="F137" t="s">
        <v>2465</v>
      </c>
      <c r="G137" t="s">
        <v>179</v>
      </c>
      <c r="H137" t="s">
        <v>3069</v>
      </c>
      <c r="I137" t="s">
        <v>455</v>
      </c>
      <c r="J137" t="s">
        <v>3088</v>
      </c>
      <c r="K137" t="s">
        <v>3088</v>
      </c>
      <c r="L137" t="s">
        <v>3079</v>
      </c>
      <c r="M137">
        <v>5</v>
      </c>
      <c r="N137" s="17">
        <v>45397</v>
      </c>
      <c r="O137" s="17">
        <v>45707</v>
      </c>
      <c r="P137" t="s">
        <v>3109</v>
      </c>
      <c r="Q137" t="s">
        <v>3776</v>
      </c>
      <c r="R137" t="s">
        <v>3777</v>
      </c>
      <c r="S137" t="s">
        <v>3172</v>
      </c>
      <c r="T137" t="s">
        <v>3778</v>
      </c>
      <c r="U137" t="s">
        <v>3779</v>
      </c>
      <c r="V137" t="s">
        <v>3075</v>
      </c>
    </row>
    <row r="138" spans="1:22" x14ac:dyDescent="0.35">
      <c r="A138" t="s">
        <v>965</v>
      </c>
      <c r="B138" t="s">
        <v>3780</v>
      </c>
      <c r="C138" t="s">
        <v>3781</v>
      </c>
      <c r="D138" t="s">
        <v>3196</v>
      </c>
      <c r="E138" t="s">
        <v>2513</v>
      </c>
      <c r="F138" t="s">
        <v>3160</v>
      </c>
      <c r="G138" t="s">
        <v>897</v>
      </c>
      <c r="H138" t="s">
        <v>3180</v>
      </c>
      <c r="I138" t="s">
        <v>89</v>
      </c>
      <c r="J138" t="s">
        <v>3088</v>
      </c>
      <c r="K138">
        <v>0</v>
      </c>
      <c r="L138" t="s">
        <v>3071</v>
      </c>
      <c r="M138">
        <v>13</v>
      </c>
      <c r="N138" s="17">
        <v>45383</v>
      </c>
      <c r="O138" s="17">
        <v>45710</v>
      </c>
      <c r="P138" t="s">
        <v>3109</v>
      </c>
      <c r="Q138" t="s">
        <v>3619</v>
      </c>
      <c r="R138" t="s">
        <v>2041</v>
      </c>
      <c r="S138" t="s">
        <v>3072</v>
      </c>
      <c r="T138" t="s">
        <v>3782</v>
      </c>
      <c r="U138" t="s">
        <v>3783</v>
      </c>
      <c r="V138" t="s">
        <v>3075</v>
      </c>
    </row>
    <row r="139" spans="1:22" x14ac:dyDescent="0.35">
      <c r="A139" t="s">
        <v>242</v>
      </c>
      <c r="B139" t="s">
        <v>3784</v>
      </c>
      <c r="C139" t="s">
        <v>3785</v>
      </c>
      <c r="D139" t="s">
        <v>3067</v>
      </c>
      <c r="E139" t="s">
        <v>2513</v>
      </c>
      <c r="F139" t="s">
        <v>3160</v>
      </c>
      <c r="G139" t="s">
        <v>235</v>
      </c>
      <c r="H139" t="s">
        <v>3139</v>
      </c>
      <c r="I139" t="s">
        <v>240</v>
      </c>
      <c r="J139" t="s">
        <v>3786</v>
      </c>
      <c r="K139" t="s">
        <v>3787</v>
      </c>
      <c r="L139" t="s">
        <v>3071</v>
      </c>
      <c r="M139">
        <v>4</v>
      </c>
      <c r="N139" s="17">
        <v>45677</v>
      </c>
      <c r="O139" s="17">
        <v>45730</v>
      </c>
      <c r="P139" t="s">
        <v>3109</v>
      </c>
      <c r="Q139" t="s">
        <v>3788</v>
      </c>
      <c r="R139" t="s">
        <v>3789</v>
      </c>
      <c r="S139" t="s">
        <v>3172</v>
      </c>
      <c r="T139" t="s">
        <v>3790</v>
      </c>
      <c r="U139" t="s">
        <v>3791</v>
      </c>
      <c r="V139" t="s">
        <v>3075</v>
      </c>
    </row>
    <row r="140" spans="1:22" x14ac:dyDescent="0.35">
      <c r="A140" t="s">
        <v>939</v>
      </c>
      <c r="B140" t="s">
        <v>3792</v>
      </c>
      <c r="C140" t="s">
        <v>3793</v>
      </c>
      <c r="D140" t="s">
        <v>3317</v>
      </c>
      <c r="E140" t="s">
        <v>2464</v>
      </c>
      <c r="F140" t="s">
        <v>2464</v>
      </c>
      <c r="G140" t="s">
        <v>179</v>
      </c>
      <c r="H140" t="s">
        <v>3069</v>
      </c>
      <c r="I140" t="s">
        <v>89</v>
      </c>
      <c r="J140" t="s">
        <v>3088</v>
      </c>
      <c r="K140" t="s">
        <v>3088</v>
      </c>
      <c r="L140" t="s">
        <v>3079</v>
      </c>
      <c r="M140">
        <v>5</v>
      </c>
      <c r="N140" s="17">
        <v>45302</v>
      </c>
      <c r="O140" s="17">
        <v>45735</v>
      </c>
      <c r="P140" t="s">
        <v>3794</v>
      </c>
      <c r="Q140" t="s">
        <v>2733</v>
      </c>
      <c r="R140" t="s">
        <v>2734</v>
      </c>
      <c r="S140" t="s">
        <v>3146</v>
      </c>
      <c r="T140" t="s">
        <v>3795</v>
      </c>
      <c r="U140" t="s">
        <v>3796</v>
      </c>
      <c r="V140" t="s">
        <v>3075</v>
      </c>
    </row>
    <row r="141" spans="1:22" x14ac:dyDescent="0.35">
      <c r="A141" t="s">
        <v>191</v>
      </c>
      <c r="B141" t="s">
        <v>3797</v>
      </c>
      <c r="C141" t="s">
        <v>3798</v>
      </c>
      <c r="D141" t="s">
        <v>3317</v>
      </c>
      <c r="E141" t="s">
        <v>249</v>
      </c>
      <c r="F141" t="s">
        <v>249</v>
      </c>
      <c r="G141" t="s">
        <v>189</v>
      </c>
      <c r="H141" t="s">
        <v>3139</v>
      </c>
      <c r="I141" t="s">
        <v>189</v>
      </c>
      <c r="J141" t="s">
        <v>3153</v>
      </c>
      <c r="K141">
        <v>0</v>
      </c>
      <c r="L141" t="s">
        <v>3071</v>
      </c>
      <c r="M141">
        <v>0</v>
      </c>
      <c r="N141" s="17">
        <v>44699</v>
      </c>
      <c r="O141" s="17">
        <v>45731</v>
      </c>
      <c r="P141" t="s">
        <v>3767</v>
      </c>
      <c r="Q141" t="s">
        <v>3156</v>
      </c>
      <c r="R141" t="s">
        <v>2041</v>
      </c>
      <c r="S141" t="s">
        <v>3072</v>
      </c>
      <c r="T141" t="s">
        <v>191</v>
      </c>
      <c r="U141" t="s">
        <v>3797</v>
      </c>
      <c r="V141" t="s">
        <v>3075</v>
      </c>
    </row>
    <row r="142" spans="1:22" x14ac:dyDescent="0.35">
      <c r="A142" t="s">
        <v>1004</v>
      </c>
      <c r="B142" t="s">
        <v>3799</v>
      </c>
      <c r="C142" t="s">
        <v>3800</v>
      </c>
      <c r="D142" t="s">
        <v>3317</v>
      </c>
      <c r="E142" t="s">
        <v>2513</v>
      </c>
      <c r="F142" t="s">
        <v>2608</v>
      </c>
      <c r="G142" t="s">
        <v>3584</v>
      </c>
      <c r="H142" t="s">
        <v>3069</v>
      </c>
      <c r="I142" t="s">
        <v>89</v>
      </c>
      <c r="J142" t="s">
        <v>3088</v>
      </c>
      <c r="K142">
        <v>0</v>
      </c>
      <c r="L142" t="s">
        <v>3071</v>
      </c>
      <c r="M142">
        <v>3</v>
      </c>
      <c r="N142" s="17">
        <v>45460</v>
      </c>
      <c r="O142" s="17">
        <v>45737</v>
      </c>
      <c r="P142" t="s">
        <v>3122</v>
      </c>
      <c r="Q142" t="s">
        <v>2607</v>
      </c>
      <c r="R142" t="s">
        <v>2041</v>
      </c>
      <c r="S142" t="s">
        <v>3072</v>
      </c>
      <c r="T142" t="s">
        <v>3801</v>
      </c>
      <c r="U142" t="s">
        <v>3802</v>
      </c>
      <c r="V142" t="s">
        <v>3075</v>
      </c>
    </row>
    <row r="143" spans="1:22" x14ac:dyDescent="0.35">
      <c r="A143" t="s">
        <v>215</v>
      </c>
      <c r="B143" t="s">
        <v>3803</v>
      </c>
      <c r="C143" t="s">
        <v>3804</v>
      </c>
      <c r="D143" t="s">
        <v>3196</v>
      </c>
      <c r="E143" t="s">
        <v>1580</v>
      </c>
      <c r="F143" t="s">
        <v>3805</v>
      </c>
      <c r="G143" t="s">
        <v>212</v>
      </c>
      <c r="H143" t="s">
        <v>3087</v>
      </c>
      <c r="I143" t="s">
        <v>213</v>
      </c>
      <c r="J143" t="s">
        <v>3806</v>
      </c>
      <c r="K143">
        <v>0</v>
      </c>
      <c r="L143" t="s">
        <v>3071</v>
      </c>
      <c r="M143">
        <v>12</v>
      </c>
      <c r="N143" s="17">
        <v>45478</v>
      </c>
      <c r="O143" s="17">
        <v>45809</v>
      </c>
      <c r="P143" t="s">
        <v>3109</v>
      </c>
      <c r="Q143" t="s">
        <v>3539</v>
      </c>
      <c r="R143" t="s">
        <v>3433</v>
      </c>
      <c r="S143" t="s">
        <v>3434</v>
      </c>
      <c r="T143" t="s">
        <v>3807</v>
      </c>
      <c r="U143" t="s">
        <v>3808</v>
      </c>
      <c r="V143" t="s">
        <v>3075</v>
      </c>
    </row>
    <row r="144" spans="1:22" x14ac:dyDescent="0.35">
      <c r="A144" t="s">
        <v>169</v>
      </c>
      <c r="B144" t="s">
        <v>3809</v>
      </c>
      <c r="C144" t="s">
        <v>3810</v>
      </c>
      <c r="D144" t="s">
        <v>3196</v>
      </c>
      <c r="E144" t="s">
        <v>2464</v>
      </c>
      <c r="F144" t="s">
        <v>2465</v>
      </c>
      <c r="G144" t="s">
        <v>166</v>
      </c>
      <c r="H144" t="s">
        <v>3153</v>
      </c>
      <c r="I144" t="s">
        <v>167</v>
      </c>
      <c r="J144" t="s">
        <v>3070</v>
      </c>
      <c r="K144">
        <v>0</v>
      </c>
      <c r="L144" t="s">
        <v>3079</v>
      </c>
      <c r="M144">
        <v>10</v>
      </c>
      <c r="N144" s="17">
        <v>45516</v>
      </c>
      <c r="O144" s="17">
        <v>45747</v>
      </c>
      <c r="P144" t="s">
        <v>3109</v>
      </c>
      <c r="Q144" t="s">
        <v>3811</v>
      </c>
      <c r="R144" t="s">
        <v>3349</v>
      </c>
      <c r="S144" t="s">
        <v>3072</v>
      </c>
      <c r="T144" t="s">
        <v>3812</v>
      </c>
      <c r="U144" t="s">
        <v>3813</v>
      </c>
      <c r="V144" t="s">
        <v>3075</v>
      </c>
    </row>
    <row r="145" spans="1:22" x14ac:dyDescent="0.35">
      <c r="A145" t="s">
        <v>254</v>
      </c>
      <c r="B145" t="s">
        <v>3814</v>
      </c>
      <c r="C145" t="s">
        <v>3815</v>
      </c>
      <c r="D145" t="s">
        <v>3317</v>
      </c>
      <c r="E145" t="s">
        <v>2464</v>
      </c>
      <c r="F145" t="s">
        <v>2464</v>
      </c>
      <c r="G145" t="s">
        <v>252</v>
      </c>
      <c r="H145" t="s">
        <v>3087</v>
      </c>
      <c r="I145" t="s">
        <v>89</v>
      </c>
      <c r="J145" t="s">
        <v>3088</v>
      </c>
      <c r="K145" t="s">
        <v>3088</v>
      </c>
      <c r="L145" t="s">
        <v>3079</v>
      </c>
      <c r="M145">
        <v>6</v>
      </c>
      <c r="N145" s="17">
        <v>45278</v>
      </c>
      <c r="O145" s="17">
        <v>45747</v>
      </c>
      <c r="P145" t="s">
        <v>3794</v>
      </c>
      <c r="Q145" t="s">
        <v>2733</v>
      </c>
      <c r="R145" t="s">
        <v>2734</v>
      </c>
      <c r="S145" t="s">
        <v>3146</v>
      </c>
      <c r="T145" t="s">
        <v>3816</v>
      </c>
      <c r="U145" t="s">
        <v>3817</v>
      </c>
      <c r="V145" t="s">
        <v>3075</v>
      </c>
    </row>
    <row r="146" spans="1:22" x14ac:dyDescent="0.35">
      <c r="A146" t="s">
        <v>914</v>
      </c>
      <c r="B146" t="s">
        <v>3818</v>
      </c>
      <c r="C146" t="s">
        <v>3819</v>
      </c>
      <c r="D146" t="s">
        <v>3317</v>
      </c>
      <c r="E146" t="s">
        <v>2464</v>
      </c>
      <c r="F146" t="s">
        <v>2464</v>
      </c>
      <c r="G146" t="s">
        <v>911</v>
      </c>
      <c r="H146" t="s">
        <v>3139</v>
      </c>
      <c r="I146" t="s">
        <v>1082</v>
      </c>
      <c r="J146" t="s">
        <v>3070</v>
      </c>
      <c r="K146" t="s">
        <v>3747</v>
      </c>
      <c r="L146" t="s">
        <v>3079</v>
      </c>
      <c r="M146">
        <v>4</v>
      </c>
      <c r="N146" s="17">
        <v>45208</v>
      </c>
      <c r="O146" s="17">
        <v>45747</v>
      </c>
      <c r="P146" t="s">
        <v>3109</v>
      </c>
      <c r="Q146" t="s">
        <v>3811</v>
      </c>
      <c r="R146" t="s">
        <v>3349</v>
      </c>
      <c r="S146" t="s">
        <v>3072</v>
      </c>
      <c r="T146" t="s">
        <v>3820</v>
      </c>
      <c r="U146" t="s">
        <v>3821</v>
      </c>
      <c r="V146" t="s">
        <v>3075</v>
      </c>
    </row>
    <row r="147" spans="1:22" x14ac:dyDescent="0.35">
      <c r="A147" t="s">
        <v>3822</v>
      </c>
      <c r="B147" t="s">
        <v>3823</v>
      </c>
      <c r="C147" t="s">
        <v>3824</v>
      </c>
      <c r="D147" t="s">
        <v>3317</v>
      </c>
      <c r="E147" t="s">
        <v>2513</v>
      </c>
      <c r="F147" t="s">
        <v>3707</v>
      </c>
      <c r="G147" t="s">
        <v>2002</v>
      </c>
      <c r="H147" t="s">
        <v>249</v>
      </c>
      <c r="I147" t="s">
        <v>249</v>
      </c>
      <c r="J147" t="s">
        <v>249</v>
      </c>
      <c r="K147" t="s">
        <v>249</v>
      </c>
      <c r="L147" t="s">
        <v>3071</v>
      </c>
      <c r="M147">
        <v>0</v>
      </c>
      <c r="N147" s="17">
        <v>45687</v>
      </c>
      <c r="O147" s="17">
        <v>45725</v>
      </c>
      <c r="P147" t="s">
        <v>3109</v>
      </c>
      <c r="Q147" t="s">
        <v>3825</v>
      </c>
      <c r="R147" t="s">
        <v>2002</v>
      </c>
      <c r="S147" t="s">
        <v>2002</v>
      </c>
      <c r="T147" t="s">
        <v>3826</v>
      </c>
      <c r="U147" t="s">
        <v>3827</v>
      </c>
      <c r="V147" t="s">
        <v>249</v>
      </c>
    </row>
    <row r="148" spans="1:22" x14ac:dyDescent="0.35">
      <c r="A148" t="s">
        <v>3828</v>
      </c>
      <c r="B148" t="s">
        <v>3829</v>
      </c>
      <c r="C148" t="s">
        <v>3830</v>
      </c>
      <c r="D148" t="s">
        <v>3317</v>
      </c>
      <c r="E148" t="s">
        <v>2464</v>
      </c>
      <c r="F148" t="s">
        <v>2465</v>
      </c>
      <c r="G148" t="s">
        <v>3831</v>
      </c>
      <c r="H148" t="s">
        <v>3832</v>
      </c>
      <c r="I148" t="s">
        <v>3831</v>
      </c>
      <c r="J148" t="s">
        <v>3832</v>
      </c>
      <c r="K148">
        <v>0</v>
      </c>
      <c r="L148" t="s">
        <v>3696</v>
      </c>
      <c r="M148">
        <v>2</v>
      </c>
      <c r="N148" s="17">
        <v>45615</v>
      </c>
      <c r="O148" s="17">
        <v>45777</v>
      </c>
      <c r="P148" t="s">
        <v>3109</v>
      </c>
      <c r="Q148" t="s">
        <v>2607</v>
      </c>
      <c r="R148" t="s">
        <v>2041</v>
      </c>
      <c r="S148" t="s">
        <v>3072</v>
      </c>
      <c r="T148" t="s">
        <v>3833</v>
      </c>
      <c r="U148" t="s">
        <v>3834</v>
      </c>
      <c r="V148" t="s">
        <v>3075</v>
      </c>
    </row>
    <row r="149" spans="1:22" x14ac:dyDescent="0.35">
      <c r="A149" t="s">
        <v>236</v>
      </c>
      <c r="B149" t="s">
        <v>3835</v>
      </c>
      <c r="C149" t="s">
        <v>3836</v>
      </c>
      <c r="D149" t="s">
        <v>3317</v>
      </c>
      <c r="E149" t="s">
        <v>2464</v>
      </c>
      <c r="F149" t="s">
        <v>2465</v>
      </c>
      <c r="G149" t="s">
        <v>235</v>
      </c>
      <c r="H149" t="s">
        <v>3139</v>
      </c>
      <c r="I149" t="s">
        <v>227</v>
      </c>
      <c r="J149" t="s">
        <v>3366</v>
      </c>
      <c r="K149" t="s">
        <v>3249</v>
      </c>
      <c r="L149" t="s">
        <v>3079</v>
      </c>
      <c r="M149">
        <v>3</v>
      </c>
      <c r="N149" s="17">
        <v>45700</v>
      </c>
      <c r="O149" s="17">
        <v>45800</v>
      </c>
      <c r="P149" t="s">
        <v>3109</v>
      </c>
      <c r="Q149" t="s">
        <v>3373</v>
      </c>
      <c r="R149" t="s">
        <v>2512</v>
      </c>
      <c r="S149" t="s">
        <v>3072</v>
      </c>
      <c r="T149" t="s">
        <v>3837</v>
      </c>
      <c r="U149" t="s">
        <v>3838</v>
      </c>
      <c r="V149" t="s">
        <v>3075</v>
      </c>
    </row>
    <row r="150" spans="1:22" x14ac:dyDescent="0.35">
      <c r="A150" t="s">
        <v>352</v>
      </c>
      <c r="B150" t="s">
        <v>3839</v>
      </c>
      <c r="C150" t="s">
        <v>3840</v>
      </c>
      <c r="D150" t="s">
        <v>3317</v>
      </c>
      <c r="E150" t="s">
        <v>2513</v>
      </c>
      <c r="F150" t="s">
        <v>3160</v>
      </c>
      <c r="G150" t="s">
        <v>98</v>
      </c>
      <c r="H150" t="s">
        <v>3087</v>
      </c>
      <c r="I150" t="s">
        <v>89</v>
      </c>
      <c r="J150" t="s">
        <v>3088</v>
      </c>
      <c r="K150">
        <v>0</v>
      </c>
      <c r="L150" t="s">
        <v>3071</v>
      </c>
      <c r="M150">
        <v>18</v>
      </c>
      <c r="N150" s="17">
        <v>45286</v>
      </c>
      <c r="O150" s="17">
        <v>45793</v>
      </c>
      <c r="P150" t="s">
        <v>351</v>
      </c>
      <c r="Q150" t="s">
        <v>2833</v>
      </c>
      <c r="R150" t="s">
        <v>2041</v>
      </c>
      <c r="S150" t="s">
        <v>3072</v>
      </c>
      <c r="T150" t="s">
        <v>3841</v>
      </c>
      <c r="U150" t="s">
        <v>3842</v>
      </c>
      <c r="V150" t="s">
        <v>3075</v>
      </c>
    </row>
    <row r="151" spans="1:22" x14ac:dyDescent="0.35">
      <c r="A151" t="s">
        <v>987</v>
      </c>
      <c r="B151" t="s">
        <v>3843</v>
      </c>
      <c r="C151" t="s">
        <v>3844</v>
      </c>
      <c r="D151" t="s">
        <v>3317</v>
      </c>
      <c r="E151" t="s">
        <v>2513</v>
      </c>
      <c r="F151" t="s">
        <v>3160</v>
      </c>
      <c r="G151" t="s">
        <v>897</v>
      </c>
      <c r="H151" t="s">
        <v>3180</v>
      </c>
      <c r="I151" t="s">
        <v>89</v>
      </c>
      <c r="J151" t="s">
        <v>3088</v>
      </c>
      <c r="K151" t="s">
        <v>3088</v>
      </c>
      <c r="L151" t="s">
        <v>3071</v>
      </c>
      <c r="M151">
        <v>6</v>
      </c>
      <c r="N151" s="17">
        <v>45413</v>
      </c>
      <c r="O151" s="17">
        <v>45800</v>
      </c>
      <c r="P151" t="s">
        <v>3608</v>
      </c>
      <c r="Q151" t="s">
        <v>3386</v>
      </c>
      <c r="R151" t="s">
        <v>2041</v>
      </c>
      <c r="S151" t="s">
        <v>3072</v>
      </c>
      <c r="T151" t="s">
        <v>3845</v>
      </c>
      <c r="U151" t="s">
        <v>3846</v>
      </c>
      <c r="V151" t="s">
        <v>3075</v>
      </c>
    </row>
    <row r="152" spans="1:22" x14ac:dyDescent="0.35">
      <c r="A152" t="s">
        <v>176</v>
      </c>
      <c r="B152" t="s">
        <v>3847</v>
      </c>
      <c r="C152" t="s">
        <v>3848</v>
      </c>
      <c r="D152" t="s">
        <v>3317</v>
      </c>
      <c r="E152" t="s">
        <v>1580</v>
      </c>
      <c r="F152" t="s">
        <v>2946</v>
      </c>
      <c r="G152" t="s">
        <v>174</v>
      </c>
      <c r="H152" t="s">
        <v>3653</v>
      </c>
      <c r="I152" t="s">
        <v>174</v>
      </c>
      <c r="J152" t="s">
        <v>3070</v>
      </c>
      <c r="K152">
        <v>0</v>
      </c>
      <c r="L152" t="s">
        <v>3849</v>
      </c>
      <c r="M152">
        <v>6</v>
      </c>
      <c r="N152" s="17">
        <v>45636</v>
      </c>
      <c r="O152" s="17">
        <v>45818</v>
      </c>
      <c r="P152" t="s">
        <v>3109</v>
      </c>
      <c r="Q152" t="s">
        <v>3207</v>
      </c>
      <c r="R152" t="s">
        <v>2575</v>
      </c>
      <c r="S152" t="s">
        <v>3172</v>
      </c>
      <c r="T152" t="s">
        <v>3850</v>
      </c>
      <c r="U152" t="s">
        <v>3851</v>
      </c>
      <c r="V152" t="s">
        <v>3852</v>
      </c>
    </row>
    <row r="153" spans="1:22" x14ac:dyDescent="0.35">
      <c r="A153" t="s">
        <v>1091</v>
      </c>
      <c r="B153" t="s">
        <v>3853</v>
      </c>
      <c r="C153" t="s">
        <v>3854</v>
      </c>
      <c r="D153" t="s">
        <v>3317</v>
      </c>
      <c r="E153" t="s">
        <v>2513</v>
      </c>
      <c r="F153" t="s">
        <v>2608</v>
      </c>
      <c r="G153" t="s">
        <v>1088</v>
      </c>
      <c r="H153" t="s">
        <v>3832</v>
      </c>
      <c r="I153" t="s">
        <v>1089</v>
      </c>
      <c r="J153" t="s">
        <v>3855</v>
      </c>
      <c r="K153" t="s">
        <v>3856</v>
      </c>
      <c r="L153" t="s">
        <v>3071</v>
      </c>
      <c r="M153">
        <v>3</v>
      </c>
      <c r="N153" s="17">
        <v>45771</v>
      </c>
      <c r="O153" s="17">
        <v>45828</v>
      </c>
      <c r="P153" t="s">
        <v>3109</v>
      </c>
      <c r="Q153" t="s">
        <v>3857</v>
      </c>
      <c r="R153" t="s">
        <v>2894</v>
      </c>
      <c r="S153" t="s">
        <v>3434</v>
      </c>
      <c r="T153" t="s">
        <v>3858</v>
      </c>
      <c r="U153" t="s">
        <v>3859</v>
      </c>
      <c r="V153" t="s">
        <v>3075</v>
      </c>
    </row>
    <row r="154" spans="1:22" x14ac:dyDescent="0.35">
      <c r="A154" t="s">
        <v>328</v>
      </c>
      <c r="B154" t="s">
        <v>3860</v>
      </c>
      <c r="C154" t="s">
        <v>3861</v>
      </c>
      <c r="D154" t="s">
        <v>3196</v>
      </c>
      <c r="E154" t="s">
        <v>2513</v>
      </c>
      <c r="F154" t="s">
        <v>3160</v>
      </c>
      <c r="G154" t="s">
        <v>245</v>
      </c>
      <c r="H154" t="s">
        <v>3153</v>
      </c>
      <c r="I154" t="s">
        <v>326</v>
      </c>
      <c r="J154" t="s">
        <v>3512</v>
      </c>
      <c r="K154" t="s">
        <v>3787</v>
      </c>
      <c r="L154" t="s">
        <v>3071</v>
      </c>
      <c r="M154">
        <v>4</v>
      </c>
      <c r="N154" s="17">
        <v>45750</v>
      </c>
      <c r="O154" s="17">
        <v>45835</v>
      </c>
      <c r="P154" t="s">
        <v>3109</v>
      </c>
      <c r="Q154" t="s">
        <v>3414</v>
      </c>
      <c r="R154" t="s">
        <v>2041</v>
      </c>
      <c r="S154" t="s">
        <v>3072</v>
      </c>
      <c r="T154" t="s">
        <v>3862</v>
      </c>
      <c r="U154" t="s">
        <v>3863</v>
      </c>
      <c r="V154" t="s">
        <v>3075</v>
      </c>
    </row>
    <row r="155" spans="1:22" x14ac:dyDescent="0.35">
      <c r="A155" t="s">
        <v>106</v>
      </c>
      <c r="B155" t="s">
        <v>3864</v>
      </c>
      <c r="C155" t="s">
        <v>3865</v>
      </c>
      <c r="D155" t="s">
        <v>3317</v>
      </c>
      <c r="E155" t="s">
        <v>2513</v>
      </c>
      <c r="F155" t="s">
        <v>2608</v>
      </c>
      <c r="G155" t="s">
        <v>88</v>
      </c>
      <c r="H155" t="s">
        <v>3139</v>
      </c>
      <c r="I155" t="s">
        <v>89</v>
      </c>
      <c r="J155" t="s">
        <v>3088</v>
      </c>
      <c r="K155" t="s">
        <v>3088</v>
      </c>
      <c r="L155" t="s">
        <v>3071</v>
      </c>
      <c r="M155">
        <v>12</v>
      </c>
      <c r="N155" s="17">
        <v>45362</v>
      </c>
      <c r="O155" s="17">
        <v>45838</v>
      </c>
      <c r="P155" t="s">
        <v>1265</v>
      </c>
      <c r="Q155" t="s">
        <v>2833</v>
      </c>
      <c r="R155" t="s">
        <v>2041</v>
      </c>
      <c r="S155" t="s">
        <v>3072</v>
      </c>
      <c r="T155" t="s">
        <v>3866</v>
      </c>
      <c r="U155" t="s">
        <v>3867</v>
      </c>
      <c r="V155" t="s">
        <v>3075</v>
      </c>
    </row>
    <row r="156" spans="1:22" x14ac:dyDescent="0.35">
      <c r="A156" t="s">
        <v>127</v>
      </c>
      <c r="B156" t="s">
        <v>3868</v>
      </c>
      <c r="C156" t="s">
        <v>3869</v>
      </c>
      <c r="D156" t="s">
        <v>3317</v>
      </c>
      <c r="E156" t="s">
        <v>2464</v>
      </c>
      <c r="F156" t="s">
        <v>2465</v>
      </c>
      <c r="G156" t="s">
        <v>125</v>
      </c>
      <c r="H156" t="s">
        <v>3087</v>
      </c>
      <c r="I156" t="s">
        <v>89</v>
      </c>
      <c r="J156" t="s">
        <v>3088</v>
      </c>
      <c r="K156" t="s">
        <v>3088</v>
      </c>
      <c r="L156" t="s">
        <v>3079</v>
      </c>
      <c r="M156">
        <v>12</v>
      </c>
      <c r="N156" s="17">
        <v>45327</v>
      </c>
      <c r="O156" s="17">
        <v>45847</v>
      </c>
      <c r="P156" t="s">
        <v>323</v>
      </c>
      <c r="Q156" t="s">
        <v>3446</v>
      </c>
      <c r="R156" t="s">
        <v>2041</v>
      </c>
      <c r="S156" t="s">
        <v>3072</v>
      </c>
      <c r="T156" t="s">
        <v>3870</v>
      </c>
      <c r="U156" t="s">
        <v>3871</v>
      </c>
      <c r="V156" t="s">
        <v>3075</v>
      </c>
    </row>
    <row r="157" spans="1:22" x14ac:dyDescent="0.35">
      <c r="A157" t="s">
        <v>201</v>
      </c>
      <c r="B157" t="s">
        <v>3872</v>
      </c>
      <c r="C157" t="s">
        <v>3873</v>
      </c>
      <c r="D157" t="s">
        <v>3317</v>
      </c>
      <c r="E157" t="s">
        <v>2464</v>
      </c>
      <c r="F157" t="s">
        <v>2464</v>
      </c>
      <c r="G157" t="s">
        <v>199</v>
      </c>
      <c r="H157" t="s">
        <v>3069</v>
      </c>
      <c r="I157" t="s">
        <v>89</v>
      </c>
      <c r="J157" t="s">
        <v>3088</v>
      </c>
      <c r="K157">
        <v>0</v>
      </c>
      <c r="L157" t="s">
        <v>3696</v>
      </c>
      <c r="M157">
        <v>9</v>
      </c>
      <c r="N157" s="17">
        <v>45670</v>
      </c>
      <c r="O157" s="17">
        <v>45869</v>
      </c>
      <c r="P157" t="s">
        <v>3794</v>
      </c>
      <c r="Q157" t="s">
        <v>2733</v>
      </c>
      <c r="R157" t="s">
        <v>2734</v>
      </c>
      <c r="S157" t="s">
        <v>3146</v>
      </c>
      <c r="T157" t="s">
        <v>3874</v>
      </c>
      <c r="U157" t="s">
        <v>3875</v>
      </c>
      <c r="V157" t="s">
        <v>3075</v>
      </c>
    </row>
    <row r="158" spans="1:22" x14ac:dyDescent="0.35">
      <c r="A158" t="s">
        <v>304</v>
      </c>
      <c r="B158" t="s">
        <v>3876</v>
      </c>
      <c r="C158" t="s">
        <v>3877</v>
      </c>
      <c r="D158" t="s">
        <v>3317</v>
      </c>
      <c r="E158" t="s">
        <v>2513</v>
      </c>
      <c r="F158" t="s">
        <v>3878</v>
      </c>
      <c r="G158" t="s">
        <v>345</v>
      </c>
      <c r="H158" t="s">
        <v>3153</v>
      </c>
      <c r="I158" t="s">
        <v>1082</v>
      </c>
      <c r="J158" t="s">
        <v>3070</v>
      </c>
      <c r="K158" t="s">
        <v>3879</v>
      </c>
      <c r="L158" t="s">
        <v>3071</v>
      </c>
      <c r="M158">
        <v>2</v>
      </c>
      <c r="N158" s="17">
        <v>45727</v>
      </c>
      <c r="O158" s="17">
        <v>45788</v>
      </c>
      <c r="P158" t="s">
        <v>3880</v>
      </c>
      <c r="Q158" t="s">
        <v>3881</v>
      </c>
      <c r="R158" t="s">
        <v>2041</v>
      </c>
      <c r="S158" t="s">
        <v>3072</v>
      </c>
      <c r="T158" t="s">
        <v>3882</v>
      </c>
      <c r="U158" t="s">
        <v>3883</v>
      </c>
      <c r="V158" t="s">
        <v>3075</v>
      </c>
    </row>
    <row r="159" spans="1:22" x14ac:dyDescent="0.35">
      <c r="A159" t="s">
        <v>377</v>
      </c>
      <c r="B159" t="s">
        <v>3884</v>
      </c>
      <c r="C159" t="s">
        <v>3885</v>
      </c>
      <c r="D159" t="s">
        <v>3317</v>
      </c>
      <c r="E159" t="s">
        <v>2464</v>
      </c>
      <c r="F159" t="s">
        <v>2465</v>
      </c>
      <c r="G159" t="s">
        <v>226</v>
      </c>
      <c r="H159" t="s">
        <v>3694</v>
      </c>
      <c r="I159" t="s">
        <v>227</v>
      </c>
      <c r="J159" t="s">
        <v>3366</v>
      </c>
      <c r="K159" t="s">
        <v>3249</v>
      </c>
      <c r="L159" t="s">
        <v>3079</v>
      </c>
      <c r="M159">
        <v>3</v>
      </c>
      <c r="N159" s="17">
        <v>45783</v>
      </c>
      <c r="O159" s="17">
        <v>45870</v>
      </c>
      <c r="P159" t="s">
        <v>3109</v>
      </c>
      <c r="Q159" t="s">
        <v>3886</v>
      </c>
      <c r="R159" t="s">
        <v>2512</v>
      </c>
      <c r="S159" t="s">
        <v>3072</v>
      </c>
      <c r="T159" t="s">
        <v>3887</v>
      </c>
      <c r="U159" t="s">
        <v>3888</v>
      </c>
      <c r="V159" t="s">
        <v>3075</v>
      </c>
    </row>
    <row r="160" spans="1:22" x14ac:dyDescent="0.35">
      <c r="A160" t="s">
        <v>997</v>
      </c>
      <c r="B160" t="s">
        <v>3889</v>
      </c>
      <c r="C160" t="s">
        <v>3890</v>
      </c>
      <c r="D160" t="s">
        <v>3317</v>
      </c>
      <c r="E160" t="s">
        <v>1580</v>
      </c>
      <c r="F160" t="s">
        <v>3190</v>
      </c>
      <c r="G160" t="s">
        <v>996</v>
      </c>
      <c r="H160" t="s">
        <v>3597</v>
      </c>
      <c r="I160" t="s">
        <v>89</v>
      </c>
      <c r="J160" t="s">
        <v>3088</v>
      </c>
      <c r="K160" t="s">
        <v>3088</v>
      </c>
      <c r="L160" t="s">
        <v>3071</v>
      </c>
      <c r="M160">
        <v>8</v>
      </c>
      <c r="N160" s="17">
        <v>45468</v>
      </c>
      <c r="O160" s="17">
        <v>45868</v>
      </c>
      <c r="P160" t="s">
        <v>323</v>
      </c>
      <c r="Q160" t="s">
        <v>2728</v>
      </c>
      <c r="R160" t="s">
        <v>2041</v>
      </c>
      <c r="S160" t="s">
        <v>3072</v>
      </c>
      <c r="T160" t="s">
        <v>3891</v>
      </c>
      <c r="U160" t="s">
        <v>3892</v>
      </c>
      <c r="V160" t="s">
        <v>3075</v>
      </c>
    </row>
    <row r="161" spans="1:22" x14ac:dyDescent="0.35">
      <c r="A161" t="s">
        <v>208</v>
      </c>
      <c r="B161" t="s">
        <v>3893</v>
      </c>
      <c r="C161" t="s">
        <v>3894</v>
      </c>
      <c r="D161" t="s">
        <v>3317</v>
      </c>
      <c r="E161" t="s">
        <v>2513</v>
      </c>
      <c r="F161" t="s">
        <v>2608</v>
      </c>
      <c r="G161" t="s">
        <v>205</v>
      </c>
      <c r="H161" t="s">
        <v>3130</v>
      </c>
      <c r="I161" t="s">
        <v>206</v>
      </c>
      <c r="J161" t="s">
        <v>3070</v>
      </c>
      <c r="K161" t="s">
        <v>3879</v>
      </c>
      <c r="L161" t="s">
        <v>3071</v>
      </c>
      <c r="M161">
        <v>6</v>
      </c>
      <c r="N161" s="17">
        <v>45573</v>
      </c>
      <c r="O161" s="17">
        <v>45869</v>
      </c>
      <c r="P161" t="s">
        <v>3109</v>
      </c>
      <c r="Q161" t="s">
        <v>3895</v>
      </c>
      <c r="R161" t="s">
        <v>2041</v>
      </c>
      <c r="S161" t="s">
        <v>3072</v>
      </c>
      <c r="T161" t="s">
        <v>3896</v>
      </c>
      <c r="U161" t="s">
        <v>3897</v>
      </c>
      <c r="V161" t="s">
        <v>3075</v>
      </c>
    </row>
    <row r="162" spans="1:22" x14ac:dyDescent="0.35">
      <c r="A162" t="s">
        <v>181</v>
      </c>
      <c r="B162" t="s">
        <v>3898</v>
      </c>
      <c r="C162" t="s">
        <v>3899</v>
      </c>
      <c r="D162" t="s">
        <v>3317</v>
      </c>
      <c r="E162" t="s">
        <v>2464</v>
      </c>
      <c r="F162" t="s">
        <v>2465</v>
      </c>
      <c r="G162" t="s">
        <v>179</v>
      </c>
      <c r="H162" t="s">
        <v>3069</v>
      </c>
      <c r="I162" t="s">
        <v>132</v>
      </c>
      <c r="J162" t="s">
        <v>3070</v>
      </c>
      <c r="K162" t="s">
        <v>3879</v>
      </c>
      <c r="L162" t="s">
        <v>3079</v>
      </c>
      <c r="M162">
        <v>6</v>
      </c>
      <c r="N162" s="17">
        <v>45600</v>
      </c>
      <c r="O162" s="17">
        <v>45901</v>
      </c>
      <c r="P162" t="s">
        <v>3109</v>
      </c>
      <c r="Q162" t="s">
        <v>3900</v>
      </c>
      <c r="R162" t="s">
        <v>2041</v>
      </c>
      <c r="S162" t="s">
        <v>3072</v>
      </c>
      <c r="T162" t="s">
        <v>3901</v>
      </c>
      <c r="U162" t="s">
        <v>3902</v>
      </c>
      <c r="V162" t="s">
        <v>3075</v>
      </c>
    </row>
    <row r="163" spans="1:22" x14ac:dyDescent="0.35">
      <c r="A163" t="s">
        <v>348</v>
      </c>
      <c r="B163" t="s">
        <v>3903</v>
      </c>
      <c r="C163" t="s">
        <v>3904</v>
      </c>
      <c r="D163" t="s">
        <v>3067</v>
      </c>
      <c r="E163" t="s">
        <v>2513</v>
      </c>
      <c r="F163" t="s">
        <v>3878</v>
      </c>
      <c r="G163" t="s">
        <v>345</v>
      </c>
      <c r="H163" t="s">
        <v>3153</v>
      </c>
      <c r="I163" t="s">
        <v>346</v>
      </c>
      <c r="J163" t="s">
        <v>3905</v>
      </c>
      <c r="K163" t="s">
        <v>3694</v>
      </c>
      <c r="L163" t="s">
        <v>3071</v>
      </c>
      <c r="M163">
        <v>12</v>
      </c>
      <c r="N163" s="17">
        <v>45754</v>
      </c>
      <c r="O163" s="17">
        <v>45838</v>
      </c>
      <c r="P163" t="s">
        <v>3109</v>
      </c>
      <c r="Q163" t="s">
        <v>3906</v>
      </c>
      <c r="R163" t="s">
        <v>3907</v>
      </c>
      <c r="S163" t="s">
        <v>3072</v>
      </c>
      <c r="T163" t="s">
        <v>3908</v>
      </c>
      <c r="U163" t="s">
        <v>3909</v>
      </c>
      <c r="V163" t="s">
        <v>3075</v>
      </c>
    </row>
    <row r="164" spans="1:22" x14ac:dyDescent="0.35">
      <c r="A164" t="s">
        <v>959</v>
      </c>
      <c r="B164" t="s">
        <v>3910</v>
      </c>
      <c r="C164" t="s">
        <v>3911</v>
      </c>
      <c r="D164" t="s">
        <v>3317</v>
      </c>
      <c r="E164" t="s">
        <v>1580</v>
      </c>
      <c r="F164" t="s">
        <v>3805</v>
      </c>
      <c r="G164" t="s">
        <v>235</v>
      </c>
      <c r="H164" t="s">
        <v>3139</v>
      </c>
      <c r="I164" t="s">
        <v>3912</v>
      </c>
      <c r="J164" t="s">
        <v>3366</v>
      </c>
      <c r="K164">
        <v>0</v>
      </c>
      <c r="L164" t="s">
        <v>3071</v>
      </c>
      <c r="M164">
        <v>20</v>
      </c>
      <c r="N164" s="17">
        <v>45378</v>
      </c>
      <c r="O164" s="17">
        <v>45912</v>
      </c>
      <c r="P164" t="s">
        <v>3109</v>
      </c>
      <c r="Q164" t="s">
        <v>2541</v>
      </c>
      <c r="R164" t="s">
        <v>2542</v>
      </c>
      <c r="S164" t="s">
        <v>3434</v>
      </c>
      <c r="T164" t="s">
        <v>3913</v>
      </c>
      <c r="U164" t="s">
        <v>3914</v>
      </c>
      <c r="V164" t="s">
        <v>3075</v>
      </c>
    </row>
    <row r="165" spans="1:22" x14ac:dyDescent="0.35">
      <c r="A165" t="s">
        <v>1016</v>
      </c>
      <c r="B165" t="s">
        <v>3915</v>
      </c>
      <c r="C165" t="s">
        <v>3916</v>
      </c>
      <c r="D165" t="s">
        <v>3317</v>
      </c>
      <c r="E165" t="s">
        <v>2464</v>
      </c>
      <c r="F165" t="s">
        <v>2464</v>
      </c>
      <c r="G165" t="s">
        <v>153</v>
      </c>
      <c r="H165" t="s">
        <v>3917</v>
      </c>
      <c r="I165" t="s">
        <v>153</v>
      </c>
      <c r="J165" t="s">
        <v>3918</v>
      </c>
      <c r="K165" t="s">
        <v>3856</v>
      </c>
      <c r="L165" t="s">
        <v>3849</v>
      </c>
      <c r="M165">
        <v>6</v>
      </c>
      <c r="N165" s="17">
        <v>45537</v>
      </c>
      <c r="O165" s="17">
        <v>45936</v>
      </c>
      <c r="P165" t="s">
        <v>3109</v>
      </c>
      <c r="Q165" t="s">
        <v>2574</v>
      </c>
      <c r="R165" t="s">
        <v>2575</v>
      </c>
      <c r="S165" t="s">
        <v>3172</v>
      </c>
      <c r="T165" t="s">
        <v>3919</v>
      </c>
      <c r="U165" t="s">
        <v>3920</v>
      </c>
      <c r="V165" t="s">
        <v>3852</v>
      </c>
    </row>
    <row r="166" spans="1:22" x14ac:dyDescent="0.35">
      <c r="A166" t="s">
        <v>426</v>
      </c>
      <c r="B166" t="s">
        <v>3921</v>
      </c>
      <c r="C166" t="s">
        <v>3922</v>
      </c>
      <c r="D166" t="s">
        <v>3317</v>
      </c>
      <c r="E166" t="s">
        <v>2464</v>
      </c>
      <c r="F166" t="s">
        <v>2464</v>
      </c>
      <c r="G166" t="s">
        <v>3923</v>
      </c>
      <c r="H166" t="s">
        <v>3924</v>
      </c>
      <c r="I166" t="s">
        <v>3923</v>
      </c>
      <c r="J166" t="s">
        <v>3107</v>
      </c>
      <c r="K166">
        <v>0</v>
      </c>
      <c r="L166" t="s">
        <v>3696</v>
      </c>
      <c r="M166">
        <v>6</v>
      </c>
      <c r="N166" s="17">
        <v>45728</v>
      </c>
      <c r="O166" s="17">
        <v>45936</v>
      </c>
      <c r="P166" t="s">
        <v>3109</v>
      </c>
      <c r="Q166" t="s">
        <v>3925</v>
      </c>
      <c r="R166" t="s">
        <v>2512</v>
      </c>
      <c r="S166" t="s">
        <v>3072</v>
      </c>
      <c r="T166" t="s">
        <v>3926</v>
      </c>
      <c r="U166" t="s">
        <v>3927</v>
      </c>
      <c r="V166" t="s">
        <v>3075</v>
      </c>
    </row>
    <row r="167" spans="1:22" x14ac:dyDescent="0.35">
      <c r="A167" t="s">
        <v>145</v>
      </c>
      <c r="B167" t="s">
        <v>3928</v>
      </c>
      <c r="C167" t="s">
        <v>3929</v>
      </c>
      <c r="D167" t="s">
        <v>3317</v>
      </c>
      <c r="E167" t="s">
        <v>2513</v>
      </c>
      <c r="F167" t="s">
        <v>3160</v>
      </c>
      <c r="G167" t="s">
        <v>98</v>
      </c>
      <c r="H167" t="s">
        <v>3087</v>
      </c>
      <c r="I167" t="s">
        <v>89</v>
      </c>
      <c r="J167" t="s">
        <v>3088</v>
      </c>
      <c r="K167" t="s">
        <v>3088</v>
      </c>
      <c r="L167" t="s">
        <v>3071</v>
      </c>
      <c r="M167">
        <v>18</v>
      </c>
      <c r="N167" s="17">
        <v>45314</v>
      </c>
      <c r="O167" s="17">
        <v>45919</v>
      </c>
      <c r="P167" t="s">
        <v>3181</v>
      </c>
      <c r="Q167" t="s">
        <v>2607</v>
      </c>
      <c r="R167" t="s">
        <v>2041</v>
      </c>
      <c r="S167" t="s">
        <v>3072</v>
      </c>
      <c r="T167" t="s">
        <v>3930</v>
      </c>
      <c r="U167" t="s">
        <v>3931</v>
      </c>
      <c r="V167" t="s">
        <v>3075</v>
      </c>
    </row>
    <row r="168" spans="1:22" x14ac:dyDescent="0.35">
      <c r="A168" t="s">
        <v>229</v>
      </c>
      <c r="B168" t="s">
        <v>3932</v>
      </c>
      <c r="C168" t="s">
        <v>3933</v>
      </c>
      <c r="D168" t="s">
        <v>3317</v>
      </c>
      <c r="E168" t="s">
        <v>2464</v>
      </c>
      <c r="F168" t="s">
        <v>2465</v>
      </c>
      <c r="G168" t="s">
        <v>226</v>
      </c>
      <c r="H168" t="s">
        <v>3694</v>
      </c>
      <c r="I168" t="s">
        <v>227</v>
      </c>
      <c r="J168" t="s">
        <v>3366</v>
      </c>
      <c r="K168">
        <v>0</v>
      </c>
      <c r="L168" t="s">
        <v>3079</v>
      </c>
      <c r="M168">
        <v>3</v>
      </c>
      <c r="N168" s="17">
        <v>45703</v>
      </c>
      <c r="O168" s="17">
        <v>45947</v>
      </c>
      <c r="P168" t="s">
        <v>3109</v>
      </c>
      <c r="Q168" t="s">
        <v>3373</v>
      </c>
      <c r="R168" t="s">
        <v>2512</v>
      </c>
      <c r="S168" t="s">
        <v>3072</v>
      </c>
      <c r="T168" t="s">
        <v>3934</v>
      </c>
      <c r="U168" t="s">
        <v>3935</v>
      </c>
      <c r="V168" t="s">
        <v>3075</v>
      </c>
    </row>
    <row r="169" spans="1:22" x14ac:dyDescent="0.35">
      <c r="A169" t="s">
        <v>411</v>
      </c>
      <c r="B169" t="s">
        <v>3936</v>
      </c>
      <c r="C169" t="s">
        <v>3937</v>
      </c>
      <c r="D169" t="s">
        <v>3317</v>
      </c>
      <c r="E169" t="s">
        <v>2513</v>
      </c>
      <c r="F169" t="s">
        <v>2608</v>
      </c>
      <c r="G169" t="s">
        <v>219</v>
      </c>
      <c r="H169" t="s">
        <v>3087</v>
      </c>
      <c r="I169" t="s">
        <v>184</v>
      </c>
      <c r="J169" t="s">
        <v>3088</v>
      </c>
      <c r="K169" t="s">
        <v>3088</v>
      </c>
      <c r="L169" t="s">
        <v>3071</v>
      </c>
      <c r="M169">
        <v>5</v>
      </c>
      <c r="N169" s="17">
        <v>45790</v>
      </c>
      <c r="O169" s="17">
        <v>45930</v>
      </c>
      <c r="P169" t="s">
        <v>3109</v>
      </c>
      <c r="Q169" t="s">
        <v>3938</v>
      </c>
      <c r="R169" t="s">
        <v>3349</v>
      </c>
      <c r="S169" t="s">
        <v>3072</v>
      </c>
      <c r="T169" t="s">
        <v>3939</v>
      </c>
      <c r="U169" t="s">
        <v>3940</v>
      </c>
      <c r="V169" t="s">
        <v>3075</v>
      </c>
    </row>
    <row r="170" spans="1:22" x14ac:dyDescent="0.35">
      <c r="A170" t="s">
        <v>91</v>
      </c>
      <c r="B170" t="s">
        <v>3941</v>
      </c>
      <c r="C170" t="s">
        <v>3942</v>
      </c>
      <c r="D170" t="s">
        <v>3317</v>
      </c>
      <c r="E170" t="s">
        <v>2513</v>
      </c>
      <c r="F170" t="s">
        <v>3160</v>
      </c>
      <c r="G170" t="s">
        <v>88</v>
      </c>
      <c r="H170" t="s">
        <v>3139</v>
      </c>
      <c r="I170" t="s">
        <v>89</v>
      </c>
      <c r="J170" t="s">
        <v>3088</v>
      </c>
      <c r="K170" t="s">
        <v>3088</v>
      </c>
      <c r="L170" t="s">
        <v>3071</v>
      </c>
      <c r="M170">
        <v>6</v>
      </c>
      <c r="N170" s="17">
        <v>45594</v>
      </c>
      <c r="O170" s="17">
        <v>45961</v>
      </c>
      <c r="P170" t="s">
        <v>3943</v>
      </c>
      <c r="Q170" t="s">
        <v>3386</v>
      </c>
      <c r="R170" t="s">
        <v>2041</v>
      </c>
      <c r="S170" t="s">
        <v>3072</v>
      </c>
      <c r="T170" t="s">
        <v>3944</v>
      </c>
      <c r="U170" t="s">
        <v>3945</v>
      </c>
      <c r="V170" t="s">
        <v>3075</v>
      </c>
    </row>
    <row r="171" spans="1:22" x14ac:dyDescent="0.35">
      <c r="A171" t="s">
        <v>263</v>
      </c>
      <c r="B171" t="s">
        <v>3946</v>
      </c>
      <c r="C171" t="s">
        <v>3947</v>
      </c>
      <c r="D171" t="s">
        <v>3317</v>
      </c>
      <c r="E171" t="s">
        <v>2513</v>
      </c>
      <c r="F171" t="s">
        <v>2608</v>
      </c>
      <c r="G171" t="s">
        <v>261</v>
      </c>
      <c r="H171" t="s">
        <v>3948</v>
      </c>
      <c r="I171" t="s">
        <v>89</v>
      </c>
      <c r="J171" t="s">
        <v>3088</v>
      </c>
      <c r="K171" t="s">
        <v>3088</v>
      </c>
      <c r="L171" t="s">
        <v>3071</v>
      </c>
      <c r="M171">
        <v>12</v>
      </c>
      <c r="N171" s="17">
        <v>45003</v>
      </c>
      <c r="O171" s="17">
        <v>45991</v>
      </c>
      <c r="P171" t="s">
        <v>3122</v>
      </c>
      <c r="Q171" t="s">
        <v>2833</v>
      </c>
      <c r="R171" t="s">
        <v>2041</v>
      </c>
      <c r="S171" t="s">
        <v>3072</v>
      </c>
      <c r="T171" t="s">
        <v>3949</v>
      </c>
      <c r="U171" t="s">
        <v>3950</v>
      </c>
      <c r="V171" t="s">
        <v>3075</v>
      </c>
    </row>
    <row r="172" spans="1:22" x14ac:dyDescent="0.35">
      <c r="A172" t="s">
        <v>161</v>
      </c>
      <c r="B172" t="s">
        <v>3951</v>
      </c>
      <c r="C172" t="s">
        <v>3952</v>
      </c>
      <c r="D172" t="s">
        <v>3317</v>
      </c>
      <c r="E172" t="s">
        <v>1580</v>
      </c>
      <c r="F172" t="s">
        <v>3190</v>
      </c>
      <c r="G172" t="s">
        <v>88</v>
      </c>
      <c r="H172" t="s">
        <v>3139</v>
      </c>
      <c r="I172" t="s">
        <v>89</v>
      </c>
      <c r="J172" t="s">
        <v>3088</v>
      </c>
      <c r="K172" t="s">
        <v>3088</v>
      </c>
      <c r="L172" t="s">
        <v>3071</v>
      </c>
      <c r="M172">
        <v>12</v>
      </c>
      <c r="N172" s="17">
        <v>45306</v>
      </c>
      <c r="O172" s="17">
        <v>45917</v>
      </c>
      <c r="P172" t="s">
        <v>3318</v>
      </c>
      <c r="Q172" t="s">
        <v>3140</v>
      </c>
      <c r="R172" t="s">
        <v>2041</v>
      </c>
      <c r="S172" t="s">
        <v>3072</v>
      </c>
      <c r="T172" t="s">
        <v>3953</v>
      </c>
      <c r="U172" t="s">
        <v>3954</v>
      </c>
      <c r="V172" t="s">
        <v>3075</v>
      </c>
    </row>
    <row r="173" spans="1:22" x14ac:dyDescent="0.35">
      <c r="A173" t="s">
        <v>3955</v>
      </c>
      <c r="B173" t="s">
        <v>3956</v>
      </c>
      <c r="C173" t="s">
        <v>3957</v>
      </c>
      <c r="D173" t="s">
        <v>3317</v>
      </c>
      <c r="E173" t="s">
        <v>1580</v>
      </c>
      <c r="F173" t="s">
        <v>3190</v>
      </c>
      <c r="G173" t="s">
        <v>196</v>
      </c>
      <c r="H173" t="s">
        <v>3180</v>
      </c>
      <c r="I173" t="s">
        <v>89</v>
      </c>
      <c r="J173" t="s">
        <v>3088</v>
      </c>
      <c r="K173" t="s">
        <v>3694</v>
      </c>
      <c r="L173" t="s">
        <v>3071</v>
      </c>
      <c r="M173">
        <v>0</v>
      </c>
      <c r="N173" s="17">
        <v>44783</v>
      </c>
      <c r="O173" s="17">
        <v>45961</v>
      </c>
      <c r="P173" t="s">
        <v>351</v>
      </c>
      <c r="Q173" t="s">
        <v>2833</v>
      </c>
      <c r="R173" t="s">
        <v>2041</v>
      </c>
      <c r="S173" t="s">
        <v>3072</v>
      </c>
      <c r="T173" t="s">
        <v>3958</v>
      </c>
      <c r="U173" t="s">
        <v>3959</v>
      </c>
      <c r="V173" t="s">
        <v>3075</v>
      </c>
    </row>
    <row r="174" spans="1:22" x14ac:dyDescent="0.35">
      <c r="A174" t="s">
        <v>3960</v>
      </c>
      <c r="B174" t="s">
        <v>3961</v>
      </c>
      <c r="C174" t="s">
        <v>3962</v>
      </c>
      <c r="D174" t="s">
        <v>3317</v>
      </c>
      <c r="E174" t="s">
        <v>2464</v>
      </c>
      <c r="F174" t="s">
        <v>2464</v>
      </c>
      <c r="G174" t="s">
        <v>235</v>
      </c>
      <c r="H174" t="s">
        <v>3139</v>
      </c>
      <c r="I174" t="s">
        <v>235</v>
      </c>
      <c r="J174" t="s">
        <v>3107</v>
      </c>
      <c r="K174">
        <v>0</v>
      </c>
      <c r="L174" t="s">
        <v>3696</v>
      </c>
      <c r="M174">
        <v>6</v>
      </c>
      <c r="N174" s="17">
        <v>45309</v>
      </c>
      <c r="O174" s="17">
        <v>45656</v>
      </c>
      <c r="P174" t="s">
        <v>3109</v>
      </c>
      <c r="Q174" t="s">
        <v>2040</v>
      </c>
      <c r="R174" t="s">
        <v>2041</v>
      </c>
      <c r="S174" t="s">
        <v>3072</v>
      </c>
      <c r="T174" t="s">
        <v>3963</v>
      </c>
      <c r="U174" t="s">
        <v>3964</v>
      </c>
      <c r="V174" t="s">
        <v>3075</v>
      </c>
    </row>
    <row r="175" spans="1:22" x14ac:dyDescent="0.35">
      <c r="A175" t="s">
        <v>449</v>
      </c>
      <c r="B175" t="s">
        <v>3965</v>
      </c>
      <c r="C175" t="s">
        <v>3966</v>
      </c>
      <c r="D175" t="s">
        <v>3317</v>
      </c>
      <c r="E175" t="s">
        <v>2464</v>
      </c>
      <c r="F175" t="s">
        <v>2465</v>
      </c>
      <c r="G175" t="s">
        <v>446</v>
      </c>
      <c r="H175" t="s">
        <v>3967</v>
      </c>
      <c r="I175" t="s">
        <v>447</v>
      </c>
      <c r="J175" t="s">
        <v>3088</v>
      </c>
      <c r="K175" t="s">
        <v>3088</v>
      </c>
      <c r="L175" t="s">
        <v>3696</v>
      </c>
      <c r="M175">
        <v>3</v>
      </c>
      <c r="N175" s="17">
        <v>45853</v>
      </c>
      <c r="O175" s="17">
        <v>45945</v>
      </c>
      <c r="P175" t="s">
        <v>3109</v>
      </c>
      <c r="Q175" t="s">
        <v>3968</v>
      </c>
      <c r="R175" t="s">
        <v>2734</v>
      </c>
      <c r="S175" t="s">
        <v>3146</v>
      </c>
      <c r="T175" t="s">
        <v>3969</v>
      </c>
      <c r="U175" t="s">
        <v>3970</v>
      </c>
      <c r="V175" t="s">
        <v>3075</v>
      </c>
    </row>
    <row r="176" spans="1:22" x14ac:dyDescent="0.35">
      <c r="A176" t="s">
        <v>3971</v>
      </c>
      <c r="B176" t="s">
        <v>3972</v>
      </c>
      <c r="C176" t="s">
        <v>3973</v>
      </c>
      <c r="D176" t="s">
        <v>3317</v>
      </c>
      <c r="E176" t="s">
        <v>2464</v>
      </c>
      <c r="F176" t="s">
        <v>3707</v>
      </c>
      <c r="G176" t="s">
        <v>316</v>
      </c>
      <c r="H176" t="s">
        <v>3153</v>
      </c>
      <c r="I176" t="s">
        <v>316</v>
      </c>
      <c r="J176" t="s">
        <v>3107</v>
      </c>
      <c r="K176" t="s">
        <v>3747</v>
      </c>
      <c r="L176" t="s">
        <v>3696</v>
      </c>
      <c r="M176">
        <v>7</v>
      </c>
      <c r="N176" s="17">
        <v>45717</v>
      </c>
      <c r="O176" s="17">
        <v>45931</v>
      </c>
      <c r="P176" t="s">
        <v>3109</v>
      </c>
      <c r="Q176" t="s">
        <v>3974</v>
      </c>
      <c r="R176" t="s">
        <v>3660</v>
      </c>
      <c r="S176" t="s">
        <v>3661</v>
      </c>
      <c r="T176" t="s">
        <v>3975</v>
      </c>
      <c r="U176" t="s">
        <v>3976</v>
      </c>
      <c r="V176" t="s">
        <v>3075</v>
      </c>
    </row>
    <row r="177" spans="1:22" x14ac:dyDescent="0.35">
      <c r="A177" t="s">
        <v>507</v>
      </c>
      <c r="B177" t="s">
        <v>3977</v>
      </c>
      <c r="C177" t="s">
        <v>3978</v>
      </c>
      <c r="D177" t="s">
        <v>3317</v>
      </c>
      <c r="E177" t="s">
        <v>2464</v>
      </c>
      <c r="F177" t="s">
        <v>2464</v>
      </c>
      <c r="G177" t="s">
        <v>506</v>
      </c>
      <c r="H177" t="s">
        <v>3924</v>
      </c>
      <c r="I177" t="s">
        <v>506</v>
      </c>
      <c r="J177" t="s">
        <v>3153</v>
      </c>
      <c r="K177" t="s">
        <v>3155</v>
      </c>
      <c r="L177" t="s">
        <v>3079</v>
      </c>
      <c r="M177">
        <v>3</v>
      </c>
      <c r="N177" s="17">
        <v>45915</v>
      </c>
      <c r="O177" s="17">
        <v>46035</v>
      </c>
      <c r="P177" t="s">
        <v>3109</v>
      </c>
      <c r="Q177" t="s">
        <v>3979</v>
      </c>
      <c r="R177" t="s">
        <v>2981</v>
      </c>
      <c r="S177" t="s">
        <v>3172</v>
      </c>
      <c r="T177" t="s">
        <v>3980</v>
      </c>
      <c r="U177" t="s">
        <v>3981</v>
      </c>
      <c r="V177" t="s">
        <v>3075</v>
      </c>
    </row>
    <row r="178" spans="1:22" x14ac:dyDescent="0.35">
      <c r="A178" t="s">
        <v>296</v>
      </c>
      <c r="B178" t="s">
        <v>3982</v>
      </c>
      <c r="C178" t="s">
        <v>3983</v>
      </c>
      <c r="D178" t="s">
        <v>3317</v>
      </c>
      <c r="E178" t="s">
        <v>2464</v>
      </c>
      <c r="F178" t="s">
        <v>2465</v>
      </c>
      <c r="G178" t="s">
        <v>179</v>
      </c>
      <c r="H178" t="s">
        <v>3069</v>
      </c>
      <c r="I178" t="s">
        <v>89</v>
      </c>
      <c r="J178" t="s">
        <v>3088</v>
      </c>
      <c r="K178" t="s">
        <v>3088</v>
      </c>
      <c r="L178" t="s">
        <v>3079</v>
      </c>
      <c r="M178">
        <v>5</v>
      </c>
      <c r="N178" s="17">
        <v>45307</v>
      </c>
      <c r="O178" s="17">
        <v>46022</v>
      </c>
      <c r="P178" t="s">
        <v>3794</v>
      </c>
      <c r="Q178" t="s">
        <v>2733</v>
      </c>
      <c r="R178" t="s">
        <v>2734</v>
      </c>
      <c r="S178" t="s">
        <v>3146</v>
      </c>
      <c r="T178" t="s">
        <v>3984</v>
      </c>
      <c r="U178" t="s">
        <v>3985</v>
      </c>
      <c r="V178" t="s">
        <v>3075</v>
      </c>
    </row>
    <row r="179" spans="1:22" x14ac:dyDescent="0.35">
      <c r="A179" t="s">
        <v>312</v>
      </c>
      <c r="B179" t="s">
        <v>3986</v>
      </c>
      <c r="C179" t="s">
        <v>3987</v>
      </c>
      <c r="D179" t="s">
        <v>3317</v>
      </c>
      <c r="E179" t="s">
        <v>2464</v>
      </c>
      <c r="F179" t="s">
        <v>2465</v>
      </c>
      <c r="G179" t="s">
        <v>3988</v>
      </c>
      <c r="H179" t="s">
        <v>249</v>
      </c>
      <c r="I179" t="s">
        <v>310</v>
      </c>
      <c r="J179" t="s">
        <v>3989</v>
      </c>
      <c r="K179" t="s">
        <v>3989</v>
      </c>
      <c r="L179" t="s">
        <v>3079</v>
      </c>
      <c r="M179">
        <v>8</v>
      </c>
      <c r="N179" s="17">
        <v>45761</v>
      </c>
      <c r="O179" s="17">
        <v>45998</v>
      </c>
      <c r="P179" t="s">
        <v>3109</v>
      </c>
      <c r="Q179" t="s">
        <v>3990</v>
      </c>
      <c r="R179" t="s">
        <v>3991</v>
      </c>
      <c r="S179" t="s">
        <v>3172</v>
      </c>
      <c r="T179" t="s">
        <v>3992</v>
      </c>
      <c r="U179" t="s">
        <v>3993</v>
      </c>
      <c r="V179" t="s">
        <v>3075</v>
      </c>
    </row>
    <row r="180" spans="1:22" x14ac:dyDescent="0.35">
      <c r="A180" t="s">
        <v>3994</v>
      </c>
      <c r="B180" t="s">
        <v>3995</v>
      </c>
      <c r="C180" t="s">
        <v>3996</v>
      </c>
      <c r="D180" t="s">
        <v>3317</v>
      </c>
      <c r="E180" t="s">
        <v>2464</v>
      </c>
      <c r="F180" t="s">
        <v>2464</v>
      </c>
      <c r="G180" t="s">
        <v>516</v>
      </c>
      <c r="H180" t="s">
        <v>3997</v>
      </c>
      <c r="I180" t="s">
        <v>516</v>
      </c>
      <c r="J180" t="s">
        <v>3997</v>
      </c>
      <c r="K180" t="s">
        <v>3879</v>
      </c>
      <c r="L180" t="s">
        <v>3079</v>
      </c>
      <c r="M180">
        <v>2</v>
      </c>
      <c r="N180" s="17">
        <v>45953</v>
      </c>
      <c r="O180" s="17">
        <v>46014</v>
      </c>
      <c r="P180" t="s">
        <v>3109</v>
      </c>
      <c r="Q180" t="s">
        <v>3493</v>
      </c>
      <c r="R180" t="s">
        <v>2734</v>
      </c>
      <c r="S180" t="s">
        <v>3146</v>
      </c>
      <c r="T180" t="s">
        <v>3998</v>
      </c>
      <c r="U180" t="s">
        <v>3999</v>
      </c>
      <c r="V180" t="s">
        <v>3075</v>
      </c>
    </row>
    <row r="181" spans="1:22" x14ac:dyDescent="0.35">
      <c r="A181" t="s">
        <v>397</v>
      </c>
      <c r="B181" t="s">
        <v>4000</v>
      </c>
      <c r="C181" t="s">
        <v>4001</v>
      </c>
      <c r="D181" t="s">
        <v>3317</v>
      </c>
      <c r="E181" t="s">
        <v>2513</v>
      </c>
      <c r="F181" t="s">
        <v>3878</v>
      </c>
      <c r="G181" t="s">
        <v>395</v>
      </c>
      <c r="H181" t="s">
        <v>3130</v>
      </c>
      <c r="I181" t="s">
        <v>395</v>
      </c>
      <c r="J181" t="s">
        <v>4002</v>
      </c>
      <c r="K181" t="s">
        <v>3694</v>
      </c>
      <c r="L181" t="s">
        <v>3071</v>
      </c>
      <c r="M181">
        <v>5</v>
      </c>
      <c r="N181" s="17">
        <v>45790</v>
      </c>
      <c r="O181" s="17">
        <v>45982</v>
      </c>
      <c r="P181" t="s">
        <v>3109</v>
      </c>
      <c r="Q181" t="s">
        <v>3432</v>
      </c>
      <c r="R181" t="s">
        <v>3433</v>
      </c>
      <c r="S181" t="s">
        <v>3434</v>
      </c>
      <c r="T181" t="s">
        <v>4003</v>
      </c>
      <c r="U181" t="s">
        <v>4004</v>
      </c>
      <c r="V181" t="s">
        <v>3075</v>
      </c>
    </row>
    <row r="182" spans="1:22" x14ac:dyDescent="0.35">
      <c r="A182" t="s">
        <v>186</v>
      </c>
      <c r="B182" t="s">
        <v>4005</v>
      </c>
      <c r="C182" t="s">
        <v>4006</v>
      </c>
      <c r="D182" t="s">
        <v>3317</v>
      </c>
      <c r="E182" t="s">
        <v>2608</v>
      </c>
      <c r="F182" t="s">
        <v>2608</v>
      </c>
      <c r="G182" t="s">
        <v>98</v>
      </c>
      <c r="H182" t="s">
        <v>3087</v>
      </c>
      <c r="I182" t="s">
        <v>184</v>
      </c>
      <c r="J182" t="s">
        <v>3088</v>
      </c>
      <c r="K182" t="s">
        <v>3088</v>
      </c>
      <c r="L182" t="s">
        <v>3071</v>
      </c>
      <c r="M182">
        <v>12</v>
      </c>
      <c r="N182" s="17">
        <v>45278</v>
      </c>
      <c r="O182" s="17">
        <v>46096</v>
      </c>
      <c r="P182" t="s">
        <v>3767</v>
      </c>
      <c r="Q182" t="s">
        <v>3156</v>
      </c>
      <c r="R182" t="s">
        <v>2041</v>
      </c>
      <c r="S182" t="s">
        <v>3072</v>
      </c>
      <c r="T182" t="s">
        <v>4007</v>
      </c>
      <c r="U182" t="s">
        <v>4008</v>
      </c>
      <c r="V182" t="s">
        <v>3075</v>
      </c>
    </row>
    <row r="183" spans="1:22" x14ac:dyDescent="0.35">
      <c r="A183" t="s">
        <v>555</v>
      </c>
      <c r="B183" t="s">
        <v>4009</v>
      </c>
      <c r="C183" t="s">
        <v>4010</v>
      </c>
      <c r="D183" t="s">
        <v>3317</v>
      </c>
      <c r="E183" t="s">
        <v>2608</v>
      </c>
      <c r="F183" t="s">
        <v>2608</v>
      </c>
      <c r="G183" t="s">
        <v>452</v>
      </c>
      <c r="H183" t="s">
        <v>3069</v>
      </c>
      <c r="I183" t="s">
        <v>553</v>
      </c>
      <c r="J183" t="s">
        <v>3155</v>
      </c>
      <c r="K183" t="s">
        <v>3747</v>
      </c>
      <c r="L183" t="s">
        <v>3071</v>
      </c>
      <c r="M183">
        <v>4</v>
      </c>
      <c r="N183" s="17">
        <v>46023</v>
      </c>
      <c r="O183" s="17">
        <v>46059</v>
      </c>
      <c r="P183" t="s">
        <v>3109</v>
      </c>
      <c r="Q183" t="s">
        <v>4011</v>
      </c>
      <c r="R183" t="s">
        <v>3360</v>
      </c>
      <c r="S183" t="s">
        <v>3072</v>
      </c>
      <c r="T183" t="s">
        <v>4012</v>
      </c>
      <c r="U183" t="s">
        <v>4013</v>
      </c>
      <c r="V183" t="s">
        <v>3075</v>
      </c>
    </row>
    <row r="184" spans="1:22" x14ac:dyDescent="0.35">
      <c r="A184" t="s">
        <v>597</v>
      </c>
      <c r="B184" t="s">
        <v>4014</v>
      </c>
      <c r="C184" t="s">
        <v>4015</v>
      </c>
      <c r="D184" t="s">
        <v>3317</v>
      </c>
      <c r="E184" t="s">
        <v>2464</v>
      </c>
      <c r="F184" t="s">
        <v>2464</v>
      </c>
      <c r="G184" t="s">
        <v>89</v>
      </c>
      <c r="H184" t="s">
        <v>3088</v>
      </c>
      <c r="I184" t="s">
        <v>89</v>
      </c>
      <c r="J184" t="s">
        <v>3088</v>
      </c>
      <c r="K184" t="s">
        <v>3989</v>
      </c>
      <c r="L184" t="s">
        <v>3849</v>
      </c>
      <c r="M184">
        <v>3</v>
      </c>
      <c r="N184" s="17">
        <v>46001</v>
      </c>
      <c r="O184" s="17">
        <v>46091</v>
      </c>
      <c r="P184" t="s">
        <v>3109</v>
      </c>
      <c r="Q184" t="s">
        <v>4016</v>
      </c>
      <c r="R184" t="s">
        <v>3907</v>
      </c>
      <c r="S184" t="s">
        <v>3072</v>
      </c>
      <c r="T184" t="s">
        <v>4017</v>
      </c>
      <c r="U184" t="s">
        <v>4018</v>
      </c>
      <c r="V184" t="s">
        <v>3852</v>
      </c>
    </row>
    <row r="185" spans="1:22" x14ac:dyDescent="0.35">
      <c r="A185" t="s">
        <v>283</v>
      </c>
      <c r="B185" t="s">
        <v>4019</v>
      </c>
      <c r="C185" t="s">
        <v>4020</v>
      </c>
      <c r="D185" t="s">
        <v>3317</v>
      </c>
      <c r="E185" t="s">
        <v>2464</v>
      </c>
      <c r="F185" t="s">
        <v>2465</v>
      </c>
      <c r="G185" t="s">
        <v>179</v>
      </c>
      <c r="H185" t="s">
        <v>3069</v>
      </c>
      <c r="I185" t="s">
        <v>132</v>
      </c>
      <c r="J185" t="s">
        <v>3107</v>
      </c>
      <c r="K185" t="s">
        <v>3879</v>
      </c>
      <c r="L185" t="s">
        <v>3079</v>
      </c>
      <c r="M185">
        <v>5</v>
      </c>
      <c r="N185" s="17">
        <v>45264</v>
      </c>
      <c r="O185" s="17">
        <v>46142</v>
      </c>
      <c r="P185" t="s">
        <v>3109</v>
      </c>
      <c r="Q185" t="s">
        <v>3101</v>
      </c>
      <c r="R185" t="s">
        <v>2041</v>
      </c>
      <c r="S185" t="s">
        <v>3072</v>
      </c>
      <c r="T185" t="s">
        <v>4021</v>
      </c>
      <c r="U185" t="s">
        <v>4022</v>
      </c>
      <c r="V185" t="s">
        <v>3075</v>
      </c>
    </row>
    <row r="186" spans="1:22" x14ac:dyDescent="0.35">
      <c r="A186" t="s">
        <v>453</v>
      </c>
      <c r="B186" t="s">
        <v>4023</v>
      </c>
      <c r="C186" t="s">
        <v>4024</v>
      </c>
      <c r="D186" t="s">
        <v>3317</v>
      </c>
      <c r="E186" t="s">
        <v>2608</v>
      </c>
      <c r="F186" t="s">
        <v>2608</v>
      </c>
      <c r="G186" t="s">
        <v>452</v>
      </c>
      <c r="H186" t="s">
        <v>3069</v>
      </c>
      <c r="I186" t="s">
        <v>89</v>
      </c>
      <c r="J186" t="s">
        <v>249</v>
      </c>
      <c r="K186" t="s">
        <v>3088</v>
      </c>
      <c r="L186" t="s">
        <v>3071</v>
      </c>
      <c r="M186">
        <v>6</v>
      </c>
      <c r="N186" s="17">
        <v>45859</v>
      </c>
      <c r="O186" s="17">
        <v>46121</v>
      </c>
      <c r="P186" t="s">
        <v>3109</v>
      </c>
      <c r="Q186" t="s">
        <v>3140</v>
      </c>
      <c r="R186" t="s">
        <v>2041</v>
      </c>
      <c r="S186" t="s">
        <v>3072</v>
      </c>
      <c r="T186" t="s">
        <v>4025</v>
      </c>
      <c r="U186" t="s">
        <v>4026</v>
      </c>
      <c r="V186" t="s">
        <v>3075</v>
      </c>
    </row>
    <row r="187" spans="1:22" x14ac:dyDescent="0.35">
      <c r="A187" t="s">
        <v>4027</v>
      </c>
      <c r="B187" t="s">
        <v>4028</v>
      </c>
      <c r="C187" t="s">
        <v>4029</v>
      </c>
      <c r="D187" t="s">
        <v>3317</v>
      </c>
      <c r="E187" t="s">
        <v>2464</v>
      </c>
      <c r="F187" t="s">
        <v>2464</v>
      </c>
      <c r="G187" t="s">
        <v>637</v>
      </c>
      <c r="H187" t="s">
        <v>4030</v>
      </c>
      <c r="I187" t="s">
        <v>637</v>
      </c>
      <c r="J187" t="s">
        <v>4031</v>
      </c>
      <c r="K187" t="s">
        <v>3747</v>
      </c>
      <c r="L187" t="s">
        <v>3696</v>
      </c>
      <c r="M187">
        <v>6</v>
      </c>
      <c r="N187" s="17">
        <v>45902</v>
      </c>
      <c r="O187" s="17">
        <v>46083</v>
      </c>
      <c r="P187" t="s">
        <v>3109</v>
      </c>
      <c r="Q187" t="s">
        <v>2040</v>
      </c>
      <c r="R187" t="s">
        <v>2041</v>
      </c>
      <c r="S187" t="s">
        <v>3072</v>
      </c>
      <c r="T187" t="s">
        <v>4032</v>
      </c>
      <c r="U187" t="s">
        <v>4033</v>
      </c>
      <c r="V187" t="s">
        <v>3075</v>
      </c>
    </row>
    <row r="188" spans="1:22" x14ac:dyDescent="0.35">
      <c r="A188" t="s">
        <v>155</v>
      </c>
      <c r="B188" t="s">
        <v>4034</v>
      </c>
      <c r="C188" t="s">
        <v>4035</v>
      </c>
      <c r="D188" t="s">
        <v>4036</v>
      </c>
      <c r="E188" t="s">
        <v>1580</v>
      </c>
      <c r="F188" t="s">
        <v>1581</v>
      </c>
      <c r="G188" t="s">
        <v>153</v>
      </c>
      <c r="H188" t="s">
        <v>3917</v>
      </c>
      <c r="I188" t="s">
        <v>153</v>
      </c>
      <c r="J188" t="s">
        <v>3918</v>
      </c>
      <c r="K188" t="s">
        <v>3856</v>
      </c>
      <c r="L188" t="s">
        <v>3849</v>
      </c>
      <c r="M188">
        <v>4</v>
      </c>
      <c r="N188" s="17">
        <v>44571</v>
      </c>
      <c r="O188" s="17">
        <v>46032</v>
      </c>
      <c r="P188" t="s">
        <v>3109</v>
      </c>
      <c r="Q188" t="s">
        <v>4037</v>
      </c>
      <c r="R188" t="s">
        <v>2041</v>
      </c>
      <c r="S188" t="s">
        <v>3072</v>
      </c>
      <c r="T188" t="s">
        <v>4038</v>
      </c>
      <c r="U188" t="s">
        <v>4039</v>
      </c>
      <c r="V188" t="s">
        <v>3852</v>
      </c>
    </row>
    <row r="189" spans="1:22" x14ac:dyDescent="0.35">
      <c r="A189" t="s">
        <v>438</v>
      </c>
      <c r="B189" t="s">
        <v>4040</v>
      </c>
      <c r="C189" t="s">
        <v>4041</v>
      </c>
      <c r="D189" t="s">
        <v>4036</v>
      </c>
      <c r="E189" t="s">
        <v>2464</v>
      </c>
      <c r="F189" t="s">
        <v>2465</v>
      </c>
      <c r="G189" t="s">
        <v>153</v>
      </c>
      <c r="H189" t="s">
        <v>3917</v>
      </c>
      <c r="I189" t="s">
        <v>153</v>
      </c>
      <c r="J189" t="s">
        <v>3918</v>
      </c>
      <c r="K189" t="s">
        <v>3856</v>
      </c>
      <c r="L189" t="s">
        <v>3849</v>
      </c>
      <c r="M189">
        <v>3</v>
      </c>
      <c r="N189" s="17">
        <v>45299</v>
      </c>
      <c r="O189" s="17">
        <v>46259</v>
      </c>
      <c r="P189" t="s">
        <v>3109</v>
      </c>
      <c r="Q189" t="s">
        <v>2893</v>
      </c>
      <c r="R189" t="s">
        <v>2894</v>
      </c>
      <c r="S189" t="s">
        <v>3434</v>
      </c>
      <c r="T189" t="s">
        <v>4042</v>
      </c>
      <c r="U189" t="s">
        <v>4043</v>
      </c>
      <c r="V189" t="s">
        <v>3852</v>
      </c>
    </row>
    <row r="190" spans="1:22" x14ac:dyDescent="0.35">
      <c r="A190" t="s">
        <v>4044</v>
      </c>
      <c r="B190" t="s">
        <v>4045</v>
      </c>
      <c r="C190" t="s">
        <v>4046</v>
      </c>
      <c r="D190" t="s">
        <v>4036</v>
      </c>
      <c r="E190" t="s">
        <v>249</v>
      </c>
      <c r="F190" t="s">
        <v>249</v>
      </c>
      <c r="G190" t="s">
        <v>153</v>
      </c>
      <c r="H190" t="s">
        <v>3917</v>
      </c>
      <c r="I190" t="s">
        <v>153</v>
      </c>
      <c r="J190" t="s">
        <v>3918</v>
      </c>
      <c r="K190" t="s">
        <v>3856</v>
      </c>
      <c r="L190" t="s">
        <v>3849</v>
      </c>
      <c r="M190">
        <v>12</v>
      </c>
      <c r="N190" s="17">
        <v>45692</v>
      </c>
      <c r="O190" s="17">
        <v>46057</v>
      </c>
      <c r="P190" t="s">
        <v>3109</v>
      </c>
      <c r="Q190" t="s">
        <v>3825</v>
      </c>
      <c r="R190" t="s">
        <v>2002</v>
      </c>
      <c r="S190" t="s">
        <v>2002</v>
      </c>
      <c r="T190" t="s">
        <v>4044</v>
      </c>
      <c r="U190" t="s">
        <v>4045</v>
      </c>
      <c r="V190" t="s">
        <v>3852</v>
      </c>
    </row>
    <row r="191" spans="1:22" x14ac:dyDescent="0.35">
      <c r="A191" t="s">
        <v>530</v>
      </c>
      <c r="B191" t="s">
        <v>4047</v>
      </c>
      <c r="C191" t="s">
        <v>4048</v>
      </c>
      <c r="D191" t="s">
        <v>4036</v>
      </c>
      <c r="E191" t="s">
        <v>1580</v>
      </c>
      <c r="F191" t="s">
        <v>1581</v>
      </c>
      <c r="G191" t="s">
        <v>153</v>
      </c>
      <c r="H191" t="s">
        <v>3917</v>
      </c>
      <c r="I191" t="s">
        <v>153</v>
      </c>
      <c r="J191" t="s">
        <v>3918</v>
      </c>
      <c r="K191" t="s">
        <v>3856</v>
      </c>
      <c r="L191" t="s">
        <v>3849</v>
      </c>
      <c r="M191">
        <v>3</v>
      </c>
      <c r="N191" s="17">
        <v>45697</v>
      </c>
      <c r="O191" s="17">
        <v>46118</v>
      </c>
      <c r="P191" t="s">
        <v>3109</v>
      </c>
      <c r="Q191" t="s">
        <v>2574</v>
      </c>
      <c r="R191" t="s">
        <v>2575</v>
      </c>
      <c r="S191" t="s">
        <v>3172</v>
      </c>
      <c r="T191" t="s">
        <v>4049</v>
      </c>
      <c r="U191" t="s">
        <v>4050</v>
      </c>
      <c r="V191" t="s">
        <v>3852</v>
      </c>
    </row>
    <row r="192" spans="1:22" x14ac:dyDescent="0.35">
      <c r="A192" t="s">
        <v>626</v>
      </c>
      <c r="B192" t="s">
        <v>4051</v>
      </c>
      <c r="C192" t="s">
        <v>4052</v>
      </c>
      <c r="D192" t="s">
        <v>4036</v>
      </c>
      <c r="E192" t="s">
        <v>2464</v>
      </c>
      <c r="F192" t="s">
        <v>2465</v>
      </c>
      <c r="G192" t="s">
        <v>153</v>
      </c>
      <c r="H192" t="s">
        <v>3917</v>
      </c>
      <c r="I192" t="s">
        <v>153</v>
      </c>
      <c r="J192" t="s">
        <v>3918</v>
      </c>
      <c r="K192" t="s">
        <v>3856</v>
      </c>
      <c r="L192" t="s">
        <v>3849</v>
      </c>
      <c r="M192">
        <v>3</v>
      </c>
      <c r="N192" s="17">
        <v>45811</v>
      </c>
      <c r="O192" s="17">
        <v>46343</v>
      </c>
      <c r="P192" t="s">
        <v>3109</v>
      </c>
      <c r="Q192" t="s">
        <v>2541</v>
      </c>
      <c r="R192" t="s">
        <v>2542</v>
      </c>
      <c r="S192" t="s">
        <v>3434</v>
      </c>
      <c r="T192" t="s">
        <v>4053</v>
      </c>
      <c r="U192" t="s">
        <v>4054</v>
      </c>
      <c r="V192" t="s">
        <v>3852</v>
      </c>
    </row>
    <row r="193" spans="1:22" x14ac:dyDescent="0.35">
      <c r="A193" t="s">
        <v>4055</v>
      </c>
      <c r="B193" t="s">
        <v>4056</v>
      </c>
      <c r="C193" t="s">
        <v>4057</v>
      </c>
      <c r="D193" t="s">
        <v>4036</v>
      </c>
      <c r="E193" t="s">
        <v>3805</v>
      </c>
      <c r="F193" t="s">
        <v>3805</v>
      </c>
      <c r="G193" t="s">
        <v>975</v>
      </c>
      <c r="H193" t="s">
        <v>3747</v>
      </c>
      <c r="I193" t="s">
        <v>4058</v>
      </c>
      <c r="J193" t="s">
        <v>249</v>
      </c>
      <c r="K193" t="s">
        <v>3747</v>
      </c>
      <c r="L193" t="s">
        <v>3071</v>
      </c>
      <c r="M193">
        <v>12</v>
      </c>
      <c r="N193" s="17">
        <v>45922</v>
      </c>
      <c r="O193" s="17">
        <v>46287</v>
      </c>
      <c r="P193" t="s">
        <v>3109</v>
      </c>
      <c r="Q193" t="s">
        <v>2040</v>
      </c>
      <c r="R193" t="s">
        <v>2041</v>
      </c>
      <c r="S193" t="s">
        <v>3072</v>
      </c>
      <c r="T193" t="s">
        <v>4059</v>
      </c>
      <c r="U193" t="s">
        <v>4060</v>
      </c>
      <c r="V193" t="s">
        <v>3075</v>
      </c>
    </row>
    <row r="194" spans="1:22" x14ac:dyDescent="0.35">
      <c r="A194" t="s">
        <v>457</v>
      </c>
      <c r="B194" t="s">
        <v>4061</v>
      </c>
      <c r="C194" t="s">
        <v>4062</v>
      </c>
      <c r="D194" t="s">
        <v>4036</v>
      </c>
      <c r="E194" t="s">
        <v>1580</v>
      </c>
      <c r="F194" t="s">
        <v>1581</v>
      </c>
      <c r="G194" t="s">
        <v>455</v>
      </c>
      <c r="H194" t="s">
        <v>3088</v>
      </c>
      <c r="I194" t="s">
        <v>455</v>
      </c>
      <c r="J194" t="s">
        <v>3088</v>
      </c>
      <c r="K194" t="s">
        <v>3088</v>
      </c>
      <c r="L194" t="s">
        <v>3849</v>
      </c>
      <c r="M194">
        <v>7</v>
      </c>
      <c r="N194" s="17">
        <v>45870</v>
      </c>
      <c r="O194" s="17">
        <v>46068</v>
      </c>
      <c r="P194" t="s">
        <v>3109</v>
      </c>
      <c r="Q194" t="s">
        <v>1578</v>
      </c>
      <c r="R194" t="s">
        <v>1579</v>
      </c>
      <c r="S194" t="s">
        <v>3146</v>
      </c>
      <c r="T194" t="s">
        <v>4063</v>
      </c>
      <c r="U194" t="s">
        <v>4064</v>
      </c>
      <c r="V194" t="s">
        <v>3852</v>
      </c>
    </row>
    <row r="195" spans="1:22" x14ac:dyDescent="0.35">
      <c r="A195" t="s">
        <v>359</v>
      </c>
      <c r="B195" t="s">
        <v>4065</v>
      </c>
      <c r="C195" t="s">
        <v>4066</v>
      </c>
      <c r="D195" t="s">
        <v>4036</v>
      </c>
      <c r="E195" t="s">
        <v>2513</v>
      </c>
      <c r="F195" t="s">
        <v>2946</v>
      </c>
      <c r="G195" t="s">
        <v>357</v>
      </c>
      <c r="H195" t="s">
        <v>3088</v>
      </c>
      <c r="I195" t="s">
        <v>357</v>
      </c>
      <c r="J195" t="s">
        <v>3088</v>
      </c>
      <c r="K195" t="s">
        <v>3088</v>
      </c>
      <c r="L195" t="s">
        <v>3849</v>
      </c>
      <c r="M195">
        <v>14</v>
      </c>
      <c r="N195" s="17">
        <v>45761</v>
      </c>
      <c r="O195" s="17">
        <v>46176</v>
      </c>
      <c r="P195" t="s">
        <v>4067</v>
      </c>
      <c r="Q195" t="s">
        <v>1097</v>
      </c>
      <c r="R195" t="s">
        <v>2041</v>
      </c>
      <c r="S195" t="s">
        <v>2002</v>
      </c>
      <c r="T195" t="s">
        <v>4068</v>
      </c>
      <c r="U195" t="s">
        <v>4069</v>
      </c>
      <c r="V195" t="s">
        <v>3852</v>
      </c>
    </row>
    <row r="196" spans="1:22" x14ac:dyDescent="0.35">
      <c r="A196" t="s">
        <v>605</v>
      </c>
      <c r="B196" t="s">
        <v>4070</v>
      </c>
      <c r="C196" t="s">
        <v>4071</v>
      </c>
      <c r="D196" t="s">
        <v>4036</v>
      </c>
      <c r="E196" t="s">
        <v>2513</v>
      </c>
      <c r="F196" t="s">
        <v>2513</v>
      </c>
      <c r="G196" t="s">
        <v>235</v>
      </c>
      <c r="H196" t="s">
        <v>3139</v>
      </c>
      <c r="I196" t="s">
        <v>235</v>
      </c>
      <c r="J196" t="s">
        <v>3107</v>
      </c>
      <c r="K196" t="s">
        <v>3747</v>
      </c>
      <c r="L196" t="s">
        <v>3071</v>
      </c>
      <c r="M196">
        <v>12</v>
      </c>
      <c r="N196" s="17">
        <v>45712</v>
      </c>
      <c r="O196" s="17">
        <v>46077</v>
      </c>
      <c r="P196" t="s">
        <v>3109</v>
      </c>
      <c r="Q196" t="s">
        <v>3825</v>
      </c>
      <c r="R196" t="s">
        <v>2002</v>
      </c>
      <c r="S196" t="s">
        <v>2002</v>
      </c>
      <c r="T196" t="s">
        <v>4072</v>
      </c>
      <c r="U196" t="s">
        <v>4073</v>
      </c>
      <c r="V196" t="s">
        <v>3075</v>
      </c>
    </row>
    <row r="197" spans="1:22" x14ac:dyDescent="0.35">
      <c r="A197" t="s">
        <v>288</v>
      </c>
      <c r="B197" t="s">
        <v>4074</v>
      </c>
      <c r="C197" t="s">
        <v>4075</v>
      </c>
      <c r="D197" t="s">
        <v>4036</v>
      </c>
      <c r="E197" t="s">
        <v>2513</v>
      </c>
      <c r="F197" t="s">
        <v>2547</v>
      </c>
      <c r="G197" t="s">
        <v>286</v>
      </c>
      <c r="H197" t="s">
        <v>3130</v>
      </c>
      <c r="I197" t="s">
        <v>89</v>
      </c>
      <c r="J197" t="s">
        <v>249</v>
      </c>
      <c r="K197" t="s">
        <v>3747</v>
      </c>
      <c r="L197" t="s">
        <v>3071</v>
      </c>
      <c r="M197">
        <v>12</v>
      </c>
      <c r="N197" s="17">
        <v>45474</v>
      </c>
      <c r="O197" s="17">
        <v>46143</v>
      </c>
      <c r="P197" t="s">
        <v>3109</v>
      </c>
      <c r="Q197" t="s">
        <v>4076</v>
      </c>
      <c r="R197" t="s">
        <v>2041</v>
      </c>
      <c r="S197" t="s">
        <v>3072</v>
      </c>
      <c r="T197" t="s">
        <v>4077</v>
      </c>
      <c r="U197" t="s">
        <v>4078</v>
      </c>
      <c r="V197" t="s">
        <v>3075</v>
      </c>
    </row>
    <row r="198" spans="1:22" x14ac:dyDescent="0.35">
      <c r="A198" t="s">
        <v>221</v>
      </c>
      <c r="B198" t="s">
        <v>4079</v>
      </c>
      <c r="C198" t="s">
        <v>4080</v>
      </c>
      <c r="D198" t="s">
        <v>4036</v>
      </c>
      <c r="E198" t="s">
        <v>2608</v>
      </c>
      <c r="F198" t="s">
        <v>2608</v>
      </c>
      <c r="G198" t="s">
        <v>219</v>
      </c>
      <c r="H198" t="s">
        <v>3087</v>
      </c>
      <c r="I198" t="s">
        <v>184</v>
      </c>
      <c r="J198" t="s">
        <v>249</v>
      </c>
      <c r="K198" t="s">
        <v>3088</v>
      </c>
      <c r="L198" t="s">
        <v>3071</v>
      </c>
      <c r="M198">
        <v>12</v>
      </c>
      <c r="N198" s="17">
        <v>45254</v>
      </c>
      <c r="O198" s="17">
        <v>46059</v>
      </c>
      <c r="P198" t="s">
        <v>3109</v>
      </c>
      <c r="Q198" t="s">
        <v>3938</v>
      </c>
      <c r="R198" t="s">
        <v>3349</v>
      </c>
      <c r="S198" t="s">
        <v>3072</v>
      </c>
      <c r="T198" t="s">
        <v>4081</v>
      </c>
      <c r="U198" t="s">
        <v>4082</v>
      </c>
      <c r="V198" t="s">
        <v>3075</v>
      </c>
    </row>
    <row r="199" spans="1:22" x14ac:dyDescent="0.35">
      <c r="A199" t="s">
        <v>317</v>
      </c>
      <c r="B199" t="s">
        <v>4083</v>
      </c>
      <c r="C199" t="s">
        <v>4084</v>
      </c>
      <c r="D199" t="s">
        <v>4036</v>
      </c>
      <c r="E199" t="s">
        <v>3805</v>
      </c>
      <c r="F199" t="s">
        <v>3190</v>
      </c>
      <c r="G199" t="s">
        <v>316</v>
      </c>
      <c r="H199" t="s">
        <v>3153</v>
      </c>
      <c r="I199" t="s">
        <v>89</v>
      </c>
      <c r="J199" t="s">
        <v>3107</v>
      </c>
      <c r="K199" t="s">
        <v>3747</v>
      </c>
      <c r="L199" t="s">
        <v>3071</v>
      </c>
      <c r="M199">
        <v>19</v>
      </c>
      <c r="N199" s="17">
        <v>45717</v>
      </c>
      <c r="O199" s="17">
        <v>46331</v>
      </c>
      <c r="P199" t="s">
        <v>3109</v>
      </c>
      <c r="Q199" t="s">
        <v>3140</v>
      </c>
      <c r="R199" t="s">
        <v>2041</v>
      </c>
      <c r="S199" t="s">
        <v>3072</v>
      </c>
      <c r="T199" t="s">
        <v>4085</v>
      </c>
      <c r="U199" t="s">
        <v>4086</v>
      </c>
      <c r="V199" t="s">
        <v>3075</v>
      </c>
    </row>
    <row r="200" spans="1:22" x14ac:dyDescent="0.35">
      <c r="A200" t="s">
        <v>402</v>
      </c>
      <c r="B200" t="s">
        <v>4087</v>
      </c>
      <c r="C200" t="s">
        <v>4088</v>
      </c>
      <c r="D200" t="s">
        <v>4036</v>
      </c>
      <c r="E200" t="s">
        <v>2513</v>
      </c>
      <c r="F200" t="s">
        <v>2547</v>
      </c>
      <c r="G200" t="s">
        <v>400</v>
      </c>
      <c r="H200" t="s">
        <v>3153</v>
      </c>
      <c r="I200" t="s">
        <v>89</v>
      </c>
      <c r="J200" t="s">
        <v>3153</v>
      </c>
      <c r="K200" t="s">
        <v>3088</v>
      </c>
      <c r="L200" t="s">
        <v>3071</v>
      </c>
      <c r="M200">
        <v>7</v>
      </c>
      <c r="N200" s="17">
        <v>45816</v>
      </c>
      <c r="O200" s="17">
        <v>46378</v>
      </c>
      <c r="P200" t="s">
        <v>323</v>
      </c>
      <c r="Q200" t="s">
        <v>3533</v>
      </c>
      <c r="R200" t="s">
        <v>2041</v>
      </c>
      <c r="S200" t="s">
        <v>3072</v>
      </c>
      <c r="T200" t="s">
        <v>4089</v>
      </c>
      <c r="U200" t="s">
        <v>4090</v>
      </c>
      <c r="V200" t="s">
        <v>3075</v>
      </c>
    </row>
    <row r="201" spans="1:22" x14ac:dyDescent="0.35">
      <c r="A201" t="s">
        <v>117</v>
      </c>
      <c r="B201" t="s">
        <v>4091</v>
      </c>
      <c r="C201" t="s">
        <v>4092</v>
      </c>
      <c r="D201" t="s">
        <v>4036</v>
      </c>
      <c r="E201" t="s">
        <v>2513</v>
      </c>
      <c r="F201" t="s">
        <v>2547</v>
      </c>
      <c r="G201" t="s">
        <v>115</v>
      </c>
      <c r="H201" t="s">
        <v>3728</v>
      </c>
      <c r="I201" t="s">
        <v>89</v>
      </c>
      <c r="J201" t="s">
        <v>249</v>
      </c>
      <c r="K201" t="s">
        <v>3088</v>
      </c>
      <c r="L201" t="s">
        <v>3071</v>
      </c>
      <c r="M201">
        <v>24</v>
      </c>
      <c r="N201" s="17">
        <v>45621</v>
      </c>
      <c r="O201" s="17">
        <v>46351</v>
      </c>
      <c r="P201" t="s">
        <v>3109</v>
      </c>
      <c r="Q201" t="s">
        <v>1046</v>
      </c>
      <c r="R201" t="s">
        <v>2041</v>
      </c>
      <c r="S201" t="s">
        <v>3072</v>
      </c>
      <c r="T201" t="s">
        <v>4093</v>
      </c>
      <c r="U201" t="s">
        <v>4094</v>
      </c>
      <c r="V201" t="s">
        <v>3075</v>
      </c>
    </row>
    <row r="202" spans="1:22" x14ac:dyDescent="0.35">
      <c r="A202" t="s">
        <v>379</v>
      </c>
      <c r="B202" t="s">
        <v>4095</v>
      </c>
      <c r="C202" t="s">
        <v>4096</v>
      </c>
      <c r="D202" t="s">
        <v>4036</v>
      </c>
      <c r="E202" t="s">
        <v>2513</v>
      </c>
      <c r="F202" t="s">
        <v>2513</v>
      </c>
      <c r="G202" t="s">
        <v>132</v>
      </c>
      <c r="H202" t="s">
        <v>3997</v>
      </c>
      <c r="I202" t="s">
        <v>132</v>
      </c>
      <c r="J202" t="s">
        <v>3070</v>
      </c>
      <c r="K202" t="s">
        <v>3879</v>
      </c>
      <c r="L202" t="s">
        <v>3849</v>
      </c>
      <c r="M202">
        <v>11</v>
      </c>
      <c r="N202" s="17">
        <v>45782</v>
      </c>
      <c r="O202" s="17">
        <v>46127</v>
      </c>
      <c r="P202" t="s">
        <v>3109</v>
      </c>
      <c r="Q202" t="s">
        <v>1050</v>
      </c>
      <c r="R202" t="s">
        <v>2512</v>
      </c>
      <c r="S202" t="s">
        <v>3072</v>
      </c>
      <c r="T202" t="s">
        <v>4097</v>
      </c>
      <c r="U202" t="s">
        <v>4098</v>
      </c>
      <c r="V202" t="s">
        <v>3852</v>
      </c>
    </row>
    <row r="203" spans="1:22" x14ac:dyDescent="0.35">
      <c r="A203" t="s">
        <v>268</v>
      </c>
      <c r="B203" t="s">
        <v>4099</v>
      </c>
      <c r="C203" t="s">
        <v>4100</v>
      </c>
      <c r="D203" t="s">
        <v>4036</v>
      </c>
      <c r="E203" t="s">
        <v>3805</v>
      </c>
      <c r="F203" t="s">
        <v>4101</v>
      </c>
      <c r="G203" t="s">
        <v>266</v>
      </c>
      <c r="H203" t="s">
        <v>4102</v>
      </c>
      <c r="I203" t="s">
        <v>266</v>
      </c>
      <c r="J203" t="s">
        <v>4102</v>
      </c>
      <c r="K203" t="s">
        <v>3856</v>
      </c>
      <c r="L203" t="s">
        <v>3849</v>
      </c>
      <c r="M203">
        <v>26</v>
      </c>
      <c r="N203" s="17">
        <v>45705</v>
      </c>
      <c r="O203" s="17">
        <v>46527</v>
      </c>
      <c r="P203" t="s">
        <v>3109</v>
      </c>
      <c r="Q203" t="s">
        <v>4103</v>
      </c>
      <c r="R203" t="s">
        <v>3433</v>
      </c>
      <c r="S203" t="s">
        <v>3434</v>
      </c>
      <c r="T203" t="s">
        <v>4104</v>
      </c>
      <c r="U203" t="s">
        <v>4105</v>
      </c>
      <c r="V203" t="s">
        <v>3852</v>
      </c>
    </row>
    <row r="204" spans="1:22" x14ac:dyDescent="0.35">
      <c r="A204" t="s">
        <v>433</v>
      </c>
      <c r="B204" t="s">
        <v>4106</v>
      </c>
      <c r="C204" t="s">
        <v>4107</v>
      </c>
      <c r="D204" t="s">
        <v>4036</v>
      </c>
      <c r="E204" t="s">
        <v>3805</v>
      </c>
      <c r="F204" t="s">
        <v>4101</v>
      </c>
      <c r="G204" t="s">
        <v>266</v>
      </c>
      <c r="H204" t="s">
        <v>4102</v>
      </c>
      <c r="I204" t="s">
        <v>266</v>
      </c>
      <c r="J204" t="s">
        <v>4102</v>
      </c>
      <c r="K204" t="s">
        <v>3856</v>
      </c>
      <c r="L204" t="s">
        <v>3849</v>
      </c>
      <c r="M204">
        <v>12</v>
      </c>
      <c r="N204" s="17">
        <v>45839</v>
      </c>
      <c r="O204" s="17">
        <v>46203</v>
      </c>
      <c r="P204" t="s">
        <v>3109</v>
      </c>
      <c r="Q204" t="s">
        <v>4103</v>
      </c>
      <c r="R204" t="s">
        <v>3433</v>
      </c>
      <c r="S204" t="s">
        <v>3434</v>
      </c>
      <c r="T204" t="s">
        <v>4108</v>
      </c>
      <c r="U204" t="s">
        <v>4109</v>
      </c>
      <c r="V204" t="s">
        <v>3852</v>
      </c>
    </row>
    <row r="205" spans="1:22" x14ac:dyDescent="0.35">
      <c r="A205" t="s">
        <v>417</v>
      </c>
      <c r="B205" t="s">
        <v>4110</v>
      </c>
      <c r="C205" t="s">
        <v>4111</v>
      </c>
      <c r="D205" t="s">
        <v>4036</v>
      </c>
      <c r="E205" t="s">
        <v>2513</v>
      </c>
      <c r="F205" t="s">
        <v>2513</v>
      </c>
      <c r="G205" t="s">
        <v>4112</v>
      </c>
      <c r="H205" t="s">
        <v>3088</v>
      </c>
      <c r="I205" t="s">
        <v>4112</v>
      </c>
      <c r="J205" t="s">
        <v>3088</v>
      </c>
      <c r="K205" t="s">
        <v>3088</v>
      </c>
      <c r="L205" t="s">
        <v>3849</v>
      </c>
      <c r="M205">
        <v>6</v>
      </c>
      <c r="N205" s="17">
        <v>45817</v>
      </c>
      <c r="O205" s="17">
        <v>46175</v>
      </c>
      <c r="P205" t="s">
        <v>3109</v>
      </c>
      <c r="Q205" t="s">
        <v>4113</v>
      </c>
      <c r="R205" t="s">
        <v>2542</v>
      </c>
      <c r="S205" t="s">
        <v>3434</v>
      </c>
      <c r="T205" t="s">
        <v>4114</v>
      </c>
      <c r="U205" t="s">
        <v>4115</v>
      </c>
      <c r="V205" t="s">
        <v>3852</v>
      </c>
    </row>
    <row r="206" spans="1:22" x14ac:dyDescent="0.35">
      <c r="A206" t="s">
        <v>523</v>
      </c>
      <c r="B206" t="s">
        <v>4116</v>
      </c>
      <c r="C206" t="s">
        <v>4117</v>
      </c>
      <c r="D206" t="s">
        <v>4036</v>
      </c>
      <c r="E206" t="s">
        <v>3805</v>
      </c>
      <c r="F206" t="s">
        <v>1581</v>
      </c>
      <c r="G206" t="s">
        <v>521</v>
      </c>
      <c r="H206" t="s">
        <v>3153</v>
      </c>
      <c r="I206" t="s">
        <v>521</v>
      </c>
      <c r="J206" t="s">
        <v>3153</v>
      </c>
      <c r="K206" t="s">
        <v>3747</v>
      </c>
      <c r="L206" t="s">
        <v>3071</v>
      </c>
      <c r="M206">
        <v>12</v>
      </c>
      <c r="N206" s="17">
        <v>45912</v>
      </c>
      <c r="O206" s="17">
        <v>46273</v>
      </c>
      <c r="P206" t="s">
        <v>3109</v>
      </c>
      <c r="Q206" t="s">
        <v>2879</v>
      </c>
      <c r="R206" t="s">
        <v>2512</v>
      </c>
      <c r="S206" t="s">
        <v>3072</v>
      </c>
      <c r="T206" t="s">
        <v>4118</v>
      </c>
      <c r="U206" t="s">
        <v>4119</v>
      </c>
      <c r="V206" t="s">
        <v>3075</v>
      </c>
    </row>
    <row r="207" spans="1:22" x14ac:dyDescent="0.35">
      <c r="A207" t="s">
        <v>100</v>
      </c>
      <c r="B207" t="s">
        <v>4120</v>
      </c>
      <c r="C207" t="s">
        <v>4121</v>
      </c>
      <c r="D207" t="s">
        <v>4036</v>
      </c>
      <c r="E207" t="s">
        <v>2513</v>
      </c>
      <c r="F207" t="s">
        <v>2547</v>
      </c>
      <c r="G207" t="s">
        <v>98</v>
      </c>
      <c r="H207" t="s">
        <v>3087</v>
      </c>
      <c r="I207" t="s">
        <v>89</v>
      </c>
      <c r="J207" t="s">
        <v>3107</v>
      </c>
      <c r="K207" t="s">
        <v>3088</v>
      </c>
      <c r="L207" t="s">
        <v>3071</v>
      </c>
      <c r="M207">
        <v>30</v>
      </c>
      <c r="N207" s="17">
        <v>45536</v>
      </c>
      <c r="O207" s="17">
        <v>46867</v>
      </c>
      <c r="P207" t="s">
        <v>323</v>
      </c>
      <c r="Q207" t="s">
        <v>2728</v>
      </c>
      <c r="R207" t="s">
        <v>2041</v>
      </c>
      <c r="S207" t="s">
        <v>3072</v>
      </c>
      <c r="T207" t="s">
        <v>4122</v>
      </c>
      <c r="U207" t="s">
        <v>4123</v>
      </c>
      <c r="V207" t="s">
        <v>3075</v>
      </c>
    </row>
    <row r="208" spans="1:22" x14ac:dyDescent="0.35">
      <c r="A208" t="s">
        <v>112</v>
      </c>
      <c r="B208" t="s">
        <v>4124</v>
      </c>
      <c r="C208" t="s">
        <v>4125</v>
      </c>
      <c r="D208" t="s">
        <v>4036</v>
      </c>
      <c r="E208" t="s">
        <v>2513</v>
      </c>
      <c r="F208" t="s">
        <v>2547</v>
      </c>
      <c r="G208" t="s">
        <v>98</v>
      </c>
      <c r="H208" t="s">
        <v>3087</v>
      </c>
      <c r="I208" t="s">
        <v>89</v>
      </c>
      <c r="J208" t="s">
        <v>3107</v>
      </c>
      <c r="K208" t="s">
        <v>3088</v>
      </c>
      <c r="L208" t="s">
        <v>3071</v>
      </c>
      <c r="M208">
        <v>38</v>
      </c>
      <c r="N208" s="17">
        <v>45557</v>
      </c>
      <c r="O208" s="17">
        <v>46698</v>
      </c>
      <c r="P208" t="s">
        <v>4126</v>
      </c>
      <c r="Q208" t="s">
        <v>2717</v>
      </c>
      <c r="R208" t="s">
        <v>2041</v>
      </c>
      <c r="S208" t="s">
        <v>3072</v>
      </c>
      <c r="T208" t="s">
        <v>4127</v>
      </c>
      <c r="U208" t="s">
        <v>4128</v>
      </c>
      <c r="V208" t="s">
        <v>3075</v>
      </c>
    </row>
    <row r="209" spans="1:22" x14ac:dyDescent="0.35">
      <c r="A209" t="s">
        <v>582</v>
      </c>
      <c r="B209" t="s">
        <v>4129</v>
      </c>
      <c r="C209" t="s">
        <v>4130</v>
      </c>
      <c r="D209" t="s">
        <v>3317</v>
      </c>
      <c r="E209" t="s">
        <v>2513</v>
      </c>
      <c r="F209" t="s">
        <v>2513</v>
      </c>
      <c r="G209" t="s">
        <v>98</v>
      </c>
      <c r="H209" t="s">
        <v>3087</v>
      </c>
      <c r="I209" t="s">
        <v>89</v>
      </c>
      <c r="J209" t="s">
        <v>3107</v>
      </c>
      <c r="K209" t="s">
        <v>3088</v>
      </c>
      <c r="L209" t="s">
        <v>3071</v>
      </c>
      <c r="M209">
        <v>5</v>
      </c>
      <c r="N209" s="17">
        <v>45985</v>
      </c>
      <c r="O209" s="17">
        <v>46136</v>
      </c>
      <c r="P209" t="s">
        <v>351</v>
      </c>
      <c r="Q209" t="s">
        <v>4131</v>
      </c>
      <c r="R209" t="s">
        <v>2041</v>
      </c>
      <c r="S209" t="s">
        <v>3072</v>
      </c>
      <c r="T209" t="s">
        <v>4132</v>
      </c>
      <c r="U209" t="s">
        <v>4133</v>
      </c>
      <c r="V209" t="s">
        <v>3075</v>
      </c>
    </row>
    <row r="210" spans="1:22" x14ac:dyDescent="0.35">
      <c r="A210" t="s">
        <v>333</v>
      </c>
      <c r="B210" t="s">
        <v>4134</v>
      </c>
      <c r="C210" t="s">
        <v>4135</v>
      </c>
      <c r="D210" t="s">
        <v>4036</v>
      </c>
      <c r="E210" t="s">
        <v>2464</v>
      </c>
      <c r="F210" t="s">
        <v>2465</v>
      </c>
      <c r="G210" t="s">
        <v>332</v>
      </c>
      <c r="H210" t="s">
        <v>3087</v>
      </c>
      <c r="I210" t="s">
        <v>332</v>
      </c>
      <c r="J210" t="s">
        <v>3728</v>
      </c>
      <c r="K210" t="s">
        <v>3747</v>
      </c>
      <c r="L210" t="s">
        <v>3079</v>
      </c>
      <c r="M210">
        <v>11</v>
      </c>
      <c r="N210" s="17">
        <v>45717</v>
      </c>
      <c r="O210" s="17">
        <v>46054</v>
      </c>
      <c r="P210" t="s">
        <v>3109</v>
      </c>
      <c r="Q210" t="s">
        <v>2040</v>
      </c>
      <c r="R210" t="s">
        <v>2041</v>
      </c>
      <c r="S210" t="s">
        <v>3072</v>
      </c>
      <c r="T210" t="s">
        <v>4136</v>
      </c>
      <c r="U210" t="s">
        <v>4137</v>
      </c>
      <c r="V210" t="s">
        <v>3075</v>
      </c>
    </row>
    <row r="211" spans="1:22" x14ac:dyDescent="0.35">
      <c r="A211" t="s">
        <v>534</v>
      </c>
      <c r="B211" t="s">
        <v>4138</v>
      </c>
      <c r="C211" t="s">
        <v>4139</v>
      </c>
      <c r="D211" t="s">
        <v>4036</v>
      </c>
      <c r="E211" t="s">
        <v>2608</v>
      </c>
      <c r="F211" t="s">
        <v>2608</v>
      </c>
      <c r="G211" t="s">
        <v>532</v>
      </c>
      <c r="H211" t="s">
        <v>249</v>
      </c>
      <c r="I211" t="s">
        <v>89</v>
      </c>
      <c r="J211" t="s">
        <v>249</v>
      </c>
      <c r="K211" t="s">
        <v>3088</v>
      </c>
      <c r="L211" t="s">
        <v>3071</v>
      </c>
      <c r="M211">
        <v>8</v>
      </c>
      <c r="N211" s="17">
        <v>45945</v>
      </c>
      <c r="O211" s="17">
        <v>46137</v>
      </c>
      <c r="P211" t="s">
        <v>4140</v>
      </c>
      <c r="Q211" t="s">
        <v>2733</v>
      </c>
      <c r="R211" t="s">
        <v>2734</v>
      </c>
      <c r="S211" t="s">
        <v>3146</v>
      </c>
      <c r="T211" t="s">
        <v>4141</v>
      </c>
      <c r="U211" t="s">
        <v>4142</v>
      </c>
      <c r="V211" t="s">
        <v>3075</v>
      </c>
    </row>
    <row r="212" spans="1:22" x14ac:dyDescent="0.35">
      <c r="A212" t="s">
        <v>590</v>
      </c>
      <c r="B212" t="s">
        <v>4143</v>
      </c>
      <c r="C212" t="s">
        <v>4144</v>
      </c>
      <c r="D212" t="s">
        <v>4036</v>
      </c>
      <c r="E212" t="s">
        <v>2608</v>
      </c>
      <c r="F212" t="s">
        <v>2608</v>
      </c>
      <c r="G212" t="s">
        <v>589</v>
      </c>
      <c r="H212" t="s">
        <v>249</v>
      </c>
      <c r="I212" t="s">
        <v>589</v>
      </c>
      <c r="J212" t="s">
        <v>3366</v>
      </c>
      <c r="K212" t="s">
        <v>3989</v>
      </c>
      <c r="L212" t="s">
        <v>3849</v>
      </c>
      <c r="M212">
        <v>9</v>
      </c>
      <c r="N212" s="17">
        <v>45988</v>
      </c>
      <c r="O212" s="17">
        <v>46259</v>
      </c>
      <c r="P212" t="s">
        <v>3109</v>
      </c>
      <c r="Q212" t="s">
        <v>4145</v>
      </c>
      <c r="R212" t="s">
        <v>2512</v>
      </c>
      <c r="S212" t="s">
        <v>3072</v>
      </c>
      <c r="T212" t="s">
        <v>4146</v>
      </c>
      <c r="U212" t="s">
        <v>4147</v>
      </c>
      <c r="V212" t="s">
        <v>3852</v>
      </c>
    </row>
    <row r="213" spans="1:22" x14ac:dyDescent="0.35">
      <c r="A213" t="s">
        <v>470</v>
      </c>
      <c r="B213" t="s">
        <v>4148</v>
      </c>
      <c r="C213" t="s">
        <v>4149</v>
      </c>
      <c r="D213" t="s">
        <v>3317</v>
      </c>
      <c r="E213" t="s">
        <v>2513</v>
      </c>
      <c r="F213" t="s">
        <v>3642</v>
      </c>
      <c r="G213" t="s">
        <v>235</v>
      </c>
      <c r="H213" t="s">
        <v>3139</v>
      </c>
      <c r="I213" t="s">
        <v>4150</v>
      </c>
      <c r="J213" t="s">
        <v>3107</v>
      </c>
      <c r="K213" t="s">
        <v>3856</v>
      </c>
      <c r="L213" t="s">
        <v>3071</v>
      </c>
      <c r="M213">
        <v>3</v>
      </c>
      <c r="N213" s="17">
        <v>45861</v>
      </c>
      <c r="O213" s="17">
        <v>45953</v>
      </c>
      <c r="P213" t="s">
        <v>3109</v>
      </c>
      <c r="Q213" t="s">
        <v>4151</v>
      </c>
      <c r="R213" t="s">
        <v>2894</v>
      </c>
      <c r="S213" t="s">
        <v>3434</v>
      </c>
      <c r="T213" t="s">
        <v>4152</v>
      </c>
      <c r="U213" t="s">
        <v>4153</v>
      </c>
      <c r="V213" t="s">
        <v>3075</v>
      </c>
    </row>
    <row r="214" spans="1:22" x14ac:dyDescent="0.35">
      <c r="A214" t="s">
        <v>550</v>
      </c>
      <c r="B214" t="s">
        <v>4154</v>
      </c>
      <c r="C214" t="s">
        <v>4155</v>
      </c>
      <c r="D214" t="s">
        <v>4036</v>
      </c>
      <c r="E214" t="s">
        <v>2464</v>
      </c>
      <c r="F214" t="s">
        <v>2465</v>
      </c>
      <c r="G214" t="s">
        <v>911</v>
      </c>
      <c r="H214" t="s">
        <v>3139</v>
      </c>
      <c r="I214" t="s">
        <v>548</v>
      </c>
      <c r="J214" t="s">
        <v>249</v>
      </c>
      <c r="K214" t="s">
        <v>3747</v>
      </c>
      <c r="L214" t="s">
        <v>3079</v>
      </c>
      <c r="M214">
        <v>6</v>
      </c>
      <c r="N214" s="17">
        <v>45964</v>
      </c>
      <c r="O214" s="17">
        <v>46145</v>
      </c>
      <c r="P214" t="s">
        <v>3109</v>
      </c>
      <c r="Q214" t="s">
        <v>2463</v>
      </c>
      <c r="R214" t="s">
        <v>2041</v>
      </c>
      <c r="S214" t="s">
        <v>3072</v>
      </c>
      <c r="T214" t="s">
        <v>4156</v>
      </c>
      <c r="U214" t="s">
        <v>4157</v>
      </c>
      <c r="V214" t="s">
        <v>3075</v>
      </c>
    </row>
    <row r="215" spans="1:22" x14ac:dyDescent="0.35">
      <c r="A215" t="s">
        <v>587</v>
      </c>
      <c r="B215" t="s">
        <v>4158</v>
      </c>
      <c r="C215" t="s">
        <v>4159</v>
      </c>
      <c r="D215" t="s">
        <v>4036</v>
      </c>
      <c r="E215" t="s">
        <v>2464</v>
      </c>
      <c r="F215" t="s">
        <v>2465</v>
      </c>
      <c r="G215" t="s">
        <v>584</v>
      </c>
      <c r="H215" t="s">
        <v>249</v>
      </c>
      <c r="I215" t="s">
        <v>585</v>
      </c>
      <c r="J215" t="s">
        <v>249</v>
      </c>
      <c r="K215" t="s">
        <v>3747</v>
      </c>
      <c r="L215" t="s">
        <v>3079</v>
      </c>
      <c r="M215">
        <v>6</v>
      </c>
      <c r="N215" s="17">
        <v>45992</v>
      </c>
      <c r="O215" s="17">
        <v>46174</v>
      </c>
      <c r="P215" t="s">
        <v>3109</v>
      </c>
      <c r="Q215" t="s">
        <v>4160</v>
      </c>
      <c r="R215" t="s">
        <v>2512</v>
      </c>
      <c r="S215" t="s">
        <v>3072</v>
      </c>
      <c r="T215" t="s">
        <v>4161</v>
      </c>
      <c r="U215" t="s">
        <v>4162</v>
      </c>
      <c r="V215" t="s">
        <v>3075</v>
      </c>
    </row>
    <row r="216" spans="1:22" x14ac:dyDescent="0.35">
      <c r="A216" t="s">
        <v>713</v>
      </c>
      <c r="B216" t="s">
        <v>4163</v>
      </c>
      <c r="C216" t="s">
        <v>4164</v>
      </c>
      <c r="D216" t="s">
        <v>4036</v>
      </c>
      <c r="E216" t="s">
        <v>1580</v>
      </c>
      <c r="F216" t="s">
        <v>1581</v>
      </c>
      <c r="G216" t="s">
        <v>455</v>
      </c>
      <c r="H216" t="s">
        <v>3088</v>
      </c>
      <c r="I216" t="s">
        <v>455</v>
      </c>
      <c r="J216" t="s">
        <v>3088</v>
      </c>
      <c r="K216" t="s">
        <v>3088</v>
      </c>
      <c r="L216" t="s">
        <v>3849</v>
      </c>
      <c r="M216">
        <v>31</v>
      </c>
      <c r="N216" s="17">
        <v>45953</v>
      </c>
      <c r="O216" s="17">
        <v>46653</v>
      </c>
      <c r="P216" t="s">
        <v>3109</v>
      </c>
      <c r="Q216" t="s">
        <v>2617</v>
      </c>
      <c r="R216" t="s">
        <v>2002</v>
      </c>
      <c r="S216" t="s">
        <v>2002</v>
      </c>
      <c r="T216" t="s">
        <v>4165</v>
      </c>
      <c r="U216" t="s">
        <v>4166</v>
      </c>
      <c r="V216" t="s">
        <v>3852</v>
      </c>
    </row>
    <row r="217" spans="1:22" x14ac:dyDescent="0.35">
      <c r="A217" t="s">
        <v>670</v>
      </c>
      <c r="B217" t="s">
        <v>4167</v>
      </c>
      <c r="C217" t="s">
        <v>4168</v>
      </c>
      <c r="D217" t="s">
        <v>4036</v>
      </c>
      <c r="E217" t="s">
        <v>1580</v>
      </c>
      <c r="F217" t="s">
        <v>1581</v>
      </c>
      <c r="G217" t="s">
        <v>455</v>
      </c>
      <c r="H217" t="s">
        <v>3088</v>
      </c>
      <c r="I217" t="s">
        <v>455</v>
      </c>
      <c r="J217" t="s">
        <v>3088</v>
      </c>
      <c r="K217" t="s">
        <v>3088</v>
      </c>
      <c r="L217" t="s">
        <v>3849</v>
      </c>
      <c r="M217">
        <v>31</v>
      </c>
      <c r="N217" s="17">
        <v>45953</v>
      </c>
      <c r="O217" s="17">
        <v>46196</v>
      </c>
      <c r="P217" t="s">
        <v>3109</v>
      </c>
      <c r="Q217" t="s">
        <v>3776</v>
      </c>
      <c r="R217" t="s">
        <v>3777</v>
      </c>
      <c r="S217" t="s">
        <v>3172</v>
      </c>
      <c r="T217" t="s">
        <v>4169</v>
      </c>
      <c r="U217" t="s">
        <v>4170</v>
      </c>
      <c r="V217" t="s">
        <v>3852</v>
      </c>
    </row>
    <row r="218" spans="1:22" x14ac:dyDescent="0.35">
      <c r="A218" t="s">
        <v>659</v>
      </c>
      <c r="B218" t="s">
        <v>4171</v>
      </c>
      <c r="C218" t="s">
        <v>4172</v>
      </c>
      <c r="D218" t="s">
        <v>4036</v>
      </c>
      <c r="E218" t="s">
        <v>1580</v>
      </c>
      <c r="F218" t="s">
        <v>1581</v>
      </c>
      <c r="G218" t="s">
        <v>455</v>
      </c>
      <c r="H218" t="s">
        <v>3088</v>
      </c>
      <c r="I218" t="s">
        <v>455</v>
      </c>
      <c r="J218" t="s">
        <v>3088</v>
      </c>
      <c r="K218" t="s">
        <v>3088</v>
      </c>
      <c r="L218" t="s">
        <v>3849</v>
      </c>
      <c r="M218">
        <v>31</v>
      </c>
      <c r="N218" s="17">
        <v>45953</v>
      </c>
      <c r="O218" s="17">
        <v>46288</v>
      </c>
      <c r="P218" t="s">
        <v>3109</v>
      </c>
      <c r="Q218" t="s">
        <v>1578</v>
      </c>
      <c r="R218" t="s">
        <v>1579</v>
      </c>
      <c r="S218" t="s">
        <v>3146</v>
      </c>
      <c r="T218" t="s">
        <v>4173</v>
      </c>
      <c r="U218" t="s">
        <v>4174</v>
      </c>
      <c r="V218" t="s">
        <v>3852</v>
      </c>
    </row>
    <row r="219" spans="1:22" x14ac:dyDescent="0.35">
      <c r="A219" t="s">
        <v>616</v>
      </c>
      <c r="B219" t="s">
        <v>4175</v>
      </c>
      <c r="C219" t="s">
        <v>4176</v>
      </c>
      <c r="D219" t="s">
        <v>4036</v>
      </c>
      <c r="E219" t="s">
        <v>2513</v>
      </c>
      <c r="F219" t="s">
        <v>2513</v>
      </c>
      <c r="G219" t="s">
        <v>615</v>
      </c>
      <c r="H219" t="s">
        <v>3088</v>
      </c>
      <c r="I219" t="s">
        <v>615</v>
      </c>
      <c r="J219" t="s">
        <v>3088</v>
      </c>
      <c r="K219" t="s">
        <v>3088</v>
      </c>
      <c r="L219" t="s">
        <v>3849</v>
      </c>
      <c r="M219">
        <v>6</v>
      </c>
      <c r="N219" s="17">
        <v>46034</v>
      </c>
      <c r="O219" s="17">
        <v>46215</v>
      </c>
      <c r="P219" t="s">
        <v>3109</v>
      </c>
      <c r="Q219" t="s">
        <v>2607</v>
      </c>
      <c r="R219" t="s">
        <v>2041</v>
      </c>
      <c r="S219" t="s">
        <v>3072</v>
      </c>
      <c r="T219" t="s">
        <v>4177</v>
      </c>
      <c r="U219" t="s">
        <v>4178</v>
      </c>
      <c r="V219" t="s">
        <v>3852</v>
      </c>
    </row>
    <row r="220" spans="1:22" x14ac:dyDescent="0.35">
      <c r="A220" t="s">
        <v>4179</v>
      </c>
      <c r="B220" t="s">
        <v>4180</v>
      </c>
      <c r="C220" t="s">
        <v>4181</v>
      </c>
      <c r="D220" t="s">
        <v>4036</v>
      </c>
      <c r="E220" t="s">
        <v>3805</v>
      </c>
      <c r="F220" t="s">
        <v>3805</v>
      </c>
      <c r="G220" t="s">
        <v>1042</v>
      </c>
      <c r="H220" t="s">
        <v>249</v>
      </c>
      <c r="I220" t="s">
        <v>628</v>
      </c>
      <c r="J220" t="s">
        <v>249</v>
      </c>
      <c r="K220" t="s">
        <v>3747</v>
      </c>
      <c r="L220" t="s">
        <v>3849</v>
      </c>
      <c r="M220">
        <v>12</v>
      </c>
      <c r="N220" s="17">
        <v>46036</v>
      </c>
      <c r="O220" s="17">
        <v>46387</v>
      </c>
      <c r="P220" t="s">
        <v>3109</v>
      </c>
      <c r="Q220" t="s">
        <v>4182</v>
      </c>
      <c r="R220" t="s">
        <v>2512</v>
      </c>
      <c r="S220" t="s">
        <v>3072</v>
      </c>
      <c r="T220" t="s">
        <v>4183</v>
      </c>
      <c r="U220" t="s">
        <v>4184</v>
      </c>
      <c r="V220" t="s">
        <v>3075</v>
      </c>
    </row>
    <row r="221" spans="1:22" x14ac:dyDescent="0.35">
      <c r="A221" t="s">
        <v>1142</v>
      </c>
      <c r="B221" t="s">
        <v>4185</v>
      </c>
      <c r="C221" t="s">
        <v>4186</v>
      </c>
      <c r="D221" t="s">
        <v>4036</v>
      </c>
      <c r="E221" t="s">
        <v>2513</v>
      </c>
      <c r="F221" t="s">
        <v>2547</v>
      </c>
      <c r="G221" t="s">
        <v>1141</v>
      </c>
      <c r="H221" t="s">
        <v>3088</v>
      </c>
      <c r="I221" t="s">
        <v>1141</v>
      </c>
      <c r="J221" t="s">
        <v>3088</v>
      </c>
      <c r="K221" t="s">
        <v>3088</v>
      </c>
      <c r="L221" t="s">
        <v>3849</v>
      </c>
      <c r="M221">
        <v>5</v>
      </c>
      <c r="N221" s="17">
        <v>46072</v>
      </c>
      <c r="O221" s="17">
        <v>46222</v>
      </c>
      <c r="P221" t="s">
        <v>3109</v>
      </c>
      <c r="Q221" t="s">
        <v>4187</v>
      </c>
      <c r="R221" t="s">
        <v>2542</v>
      </c>
      <c r="S221" t="s">
        <v>3434</v>
      </c>
      <c r="T221" t="s">
        <v>4188</v>
      </c>
      <c r="U221" t="s">
        <v>4189</v>
      </c>
      <c r="V221" t="s">
        <v>3852</v>
      </c>
    </row>
    <row r="222" spans="1:22" x14ac:dyDescent="0.35">
      <c r="A222" t="s">
        <v>630</v>
      </c>
      <c r="B222" t="s">
        <v>4190</v>
      </c>
      <c r="C222" t="s">
        <v>4191</v>
      </c>
      <c r="D222" t="s">
        <v>4036</v>
      </c>
      <c r="E222" t="s">
        <v>3805</v>
      </c>
      <c r="F222" t="s">
        <v>4192</v>
      </c>
      <c r="G222" t="s">
        <v>1042</v>
      </c>
      <c r="H222" t="s">
        <v>249</v>
      </c>
      <c r="I222" t="s">
        <v>628</v>
      </c>
      <c r="J222" t="s">
        <v>249</v>
      </c>
      <c r="K222" t="s">
        <v>3747</v>
      </c>
      <c r="L222" t="s">
        <v>3849</v>
      </c>
      <c r="M222">
        <v>11</v>
      </c>
      <c r="N222" s="17">
        <v>46062</v>
      </c>
      <c r="O222" s="17">
        <v>46388</v>
      </c>
      <c r="P222" t="s">
        <v>3109</v>
      </c>
      <c r="Q222" t="s">
        <v>4182</v>
      </c>
      <c r="R222" t="s">
        <v>2512</v>
      </c>
      <c r="S222" t="s">
        <v>3072</v>
      </c>
      <c r="T222" t="s">
        <v>4193</v>
      </c>
      <c r="U222" t="s">
        <v>4194</v>
      </c>
      <c r="V222" t="s">
        <v>3075</v>
      </c>
    </row>
    <row r="223" spans="1:22" x14ac:dyDescent="0.35">
      <c r="A223" t="s">
        <v>645</v>
      </c>
      <c r="B223" t="s">
        <v>4195</v>
      </c>
      <c r="C223" t="s">
        <v>4196</v>
      </c>
      <c r="D223" t="s">
        <v>4036</v>
      </c>
      <c r="E223" t="s">
        <v>2608</v>
      </c>
      <c r="F223" t="s">
        <v>2608</v>
      </c>
      <c r="G223" t="s">
        <v>88</v>
      </c>
      <c r="H223" t="s">
        <v>3139</v>
      </c>
      <c r="I223" t="s">
        <v>89</v>
      </c>
      <c r="J223" t="s">
        <v>249</v>
      </c>
      <c r="K223" t="s">
        <v>3747</v>
      </c>
      <c r="L223" t="s">
        <v>3071</v>
      </c>
      <c r="M223">
        <v>10</v>
      </c>
      <c r="N223" s="17">
        <v>46063</v>
      </c>
      <c r="O223" s="17">
        <v>46366</v>
      </c>
      <c r="P223" t="s">
        <v>3385</v>
      </c>
      <c r="Q223" t="s">
        <v>2607</v>
      </c>
      <c r="R223" t="s">
        <v>2041</v>
      </c>
      <c r="S223" t="s">
        <v>3072</v>
      </c>
      <c r="T223" t="s">
        <v>4197</v>
      </c>
      <c r="U223" t="s">
        <v>4198</v>
      </c>
      <c r="V223" t="s">
        <v>3075</v>
      </c>
    </row>
    <row r="224" spans="1:22" x14ac:dyDescent="0.35">
      <c r="A224" t="s">
        <v>651</v>
      </c>
      <c r="B224" t="s">
        <v>4199</v>
      </c>
      <c r="C224" t="s">
        <v>4200</v>
      </c>
      <c r="D224" t="s">
        <v>4036</v>
      </c>
      <c r="E224" t="s">
        <v>2513</v>
      </c>
      <c r="F224" t="s">
        <v>2547</v>
      </c>
      <c r="G224" t="s">
        <v>649</v>
      </c>
      <c r="H224" t="s">
        <v>249</v>
      </c>
      <c r="I224" t="s">
        <v>89</v>
      </c>
      <c r="J224" t="s">
        <v>249</v>
      </c>
      <c r="K224" t="s">
        <v>3088</v>
      </c>
      <c r="L224" t="s">
        <v>3071</v>
      </c>
      <c r="M224">
        <v>10</v>
      </c>
      <c r="N224" s="17">
        <v>46080</v>
      </c>
      <c r="O224" s="17">
        <v>46386</v>
      </c>
      <c r="P224" t="s">
        <v>3413</v>
      </c>
      <c r="Q224" t="s">
        <v>2833</v>
      </c>
      <c r="R224" t="s">
        <v>2041</v>
      </c>
      <c r="S224" t="s">
        <v>3072</v>
      </c>
      <c r="T224" t="s">
        <v>4201</v>
      </c>
      <c r="U224" t="s">
        <v>4202</v>
      </c>
      <c r="V224" t="s">
        <v>3075</v>
      </c>
    </row>
    <row r="225" spans="1:22" x14ac:dyDescent="0.35">
      <c r="A225" t="s">
        <v>4203</v>
      </c>
      <c r="B225" t="s">
        <v>4204</v>
      </c>
      <c r="C225" t="s">
        <v>4205</v>
      </c>
      <c r="D225" t="s">
        <v>4036</v>
      </c>
      <c r="E225" t="s">
        <v>2464</v>
      </c>
      <c r="F225" t="s">
        <v>2464</v>
      </c>
      <c r="G225" t="s">
        <v>637</v>
      </c>
      <c r="H225" t="s">
        <v>4030</v>
      </c>
      <c r="I225" t="s">
        <v>637</v>
      </c>
      <c r="J225" t="s">
        <v>4031</v>
      </c>
      <c r="K225" t="s">
        <v>3747</v>
      </c>
      <c r="L225" t="s">
        <v>3696</v>
      </c>
      <c r="M225">
        <v>4</v>
      </c>
      <c r="N225" s="17">
        <v>46083</v>
      </c>
      <c r="O225" s="17">
        <v>46205</v>
      </c>
      <c r="P225" t="s">
        <v>3109</v>
      </c>
      <c r="Q225" t="s">
        <v>2040</v>
      </c>
      <c r="R225" t="s">
        <v>2041</v>
      </c>
      <c r="S225" t="s">
        <v>3072</v>
      </c>
      <c r="T225" t="s">
        <v>4206</v>
      </c>
      <c r="U225" t="s">
        <v>4207</v>
      </c>
      <c r="V225" t="s">
        <v>3075</v>
      </c>
    </row>
    <row r="226" spans="1:22" x14ac:dyDescent="0.35">
      <c r="A226" t="s">
        <v>702</v>
      </c>
      <c r="B226" t="s">
        <v>4208</v>
      </c>
      <c r="C226" t="s">
        <v>4209</v>
      </c>
      <c r="D226" t="s">
        <v>4036</v>
      </c>
      <c r="E226" t="s">
        <v>2513</v>
      </c>
      <c r="F226" t="s">
        <v>2513</v>
      </c>
      <c r="G226" t="s">
        <v>235</v>
      </c>
      <c r="H226" t="s">
        <v>3139</v>
      </c>
      <c r="I226" t="s">
        <v>89</v>
      </c>
      <c r="J226" t="s">
        <v>3107</v>
      </c>
      <c r="K226" t="s">
        <v>3088</v>
      </c>
      <c r="L226" t="s">
        <v>3071</v>
      </c>
      <c r="M226">
        <v>4</v>
      </c>
      <c r="N226" s="17">
        <v>46104</v>
      </c>
      <c r="O226" s="17">
        <v>46226</v>
      </c>
      <c r="P226" t="s">
        <v>3109</v>
      </c>
      <c r="Q226" t="s">
        <v>4151</v>
      </c>
      <c r="R226" t="s">
        <v>2894</v>
      </c>
      <c r="S226" t="s">
        <v>3434</v>
      </c>
      <c r="T226" t="s">
        <v>4210</v>
      </c>
      <c r="U226" t="s">
        <v>4211</v>
      </c>
      <c r="V226" t="s">
        <v>3075</v>
      </c>
    </row>
    <row r="227" spans="1:22" x14ac:dyDescent="0.35">
      <c r="A227" t="s">
        <v>4212</v>
      </c>
      <c r="B227" t="s">
        <v>4213</v>
      </c>
      <c r="C227" t="s">
        <v>4214</v>
      </c>
      <c r="D227" t="s">
        <v>4215</v>
      </c>
      <c r="E227" t="s">
        <v>3805</v>
      </c>
      <c r="F227" t="s">
        <v>3805</v>
      </c>
      <c r="G227" t="s">
        <v>4216</v>
      </c>
      <c r="H227" t="s">
        <v>3728</v>
      </c>
      <c r="I227" t="s">
        <v>4217</v>
      </c>
      <c r="J227" t="s">
        <v>249</v>
      </c>
      <c r="K227" t="s">
        <v>3249</v>
      </c>
      <c r="L227" t="s">
        <v>3071</v>
      </c>
      <c r="M227">
        <v>12</v>
      </c>
      <c r="N227" s="17">
        <v>46101</v>
      </c>
      <c r="O227" s="17">
        <v>46466</v>
      </c>
      <c r="P227" t="s">
        <v>3109</v>
      </c>
      <c r="Q227" t="s">
        <v>4218</v>
      </c>
      <c r="R227" t="s">
        <v>3660</v>
      </c>
      <c r="S227" t="s">
        <v>3661</v>
      </c>
      <c r="T227" t="s">
        <v>4219</v>
      </c>
      <c r="U227" t="s">
        <v>4220</v>
      </c>
      <c r="V227" t="s">
        <v>3075</v>
      </c>
    </row>
    <row r="228" spans="1:22" x14ac:dyDescent="0.35">
      <c r="A228" t="s">
        <v>4221</v>
      </c>
      <c r="B228" t="s">
        <v>4222</v>
      </c>
      <c r="C228" t="s">
        <v>4223</v>
      </c>
      <c r="D228" t="s">
        <v>3317</v>
      </c>
      <c r="E228" t="s">
        <v>2464</v>
      </c>
      <c r="F228" t="s">
        <v>2464</v>
      </c>
      <c r="G228" t="s">
        <v>153</v>
      </c>
      <c r="H228" t="s">
        <v>3917</v>
      </c>
      <c r="I228" t="s">
        <v>153</v>
      </c>
      <c r="J228" t="s">
        <v>3918</v>
      </c>
      <c r="K228" t="s">
        <v>3856</v>
      </c>
      <c r="L228" t="s">
        <v>3108</v>
      </c>
      <c r="M228">
        <v>1</v>
      </c>
      <c r="N228" s="17">
        <v>46092</v>
      </c>
      <c r="O228" s="17">
        <v>46123</v>
      </c>
      <c r="P228" t="s">
        <v>3109</v>
      </c>
      <c r="Q228" t="s">
        <v>2893</v>
      </c>
      <c r="R228" t="s">
        <v>2894</v>
      </c>
      <c r="S228" t="s">
        <v>3434</v>
      </c>
      <c r="T228" t="s">
        <v>4224</v>
      </c>
      <c r="U228" t="s">
        <v>4225</v>
      </c>
      <c r="V228" t="s">
        <v>3852</v>
      </c>
    </row>
    <row r="229" spans="1:22" x14ac:dyDescent="0.35">
      <c r="A229" t="s">
        <v>694</v>
      </c>
      <c r="B229" t="s">
        <v>4226</v>
      </c>
      <c r="C229" t="s">
        <v>4227</v>
      </c>
      <c r="D229" t="s">
        <v>4036</v>
      </c>
      <c r="E229" t="s">
        <v>2464</v>
      </c>
      <c r="F229" t="s">
        <v>2465</v>
      </c>
      <c r="G229" t="s">
        <v>153</v>
      </c>
      <c r="H229" t="s">
        <v>3917</v>
      </c>
      <c r="I229" t="s">
        <v>153</v>
      </c>
      <c r="J229" t="s">
        <v>3918</v>
      </c>
      <c r="K229" t="s">
        <v>3856</v>
      </c>
      <c r="L229" t="s">
        <v>3849</v>
      </c>
      <c r="M229">
        <v>4</v>
      </c>
      <c r="N229" s="17">
        <v>0</v>
      </c>
      <c r="O229" s="17">
        <v>46240</v>
      </c>
      <c r="R229" t="s">
        <v>249</v>
      </c>
      <c r="S229" t="s">
        <v>249</v>
      </c>
      <c r="T229" t="s">
        <v>4228</v>
      </c>
      <c r="U229" t="s">
        <v>4229</v>
      </c>
      <c r="V229" t="s">
        <v>3852</v>
      </c>
    </row>
    <row r="230" spans="1:22" x14ac:dyDescent="0.35">
      <c r="A230" t="s">
        <v>4230</v>
      </c>
      <c r="B230" t="s">
        <v>4231</v>
      </c>
      <c r="C230" t="s">
        <v>4232</v>
      </c>
      <c r="D230" t="s">
        <v>4036</v>
      </c>
      <c r="E230" t="s">
        <v>2464</v>
      </c>
      <c r="F230" t="s">
        <v>2465</v>
      </c>
      <c r="G230" t="s">
        <v>153</v>
      </c>
      <c r="H230" t="s">
        <v>3917</v>
      </c>
      <c r="I230" t="s">
        <v>153</v>
      </c>
      <c r="J230" t="s">
        <v>3918</v>
      </c>
      <c r="K230" t="s">
        <v>3856</v>
      </c>
      <c r="L230" t="s">
        <v>3849</v>
      </c>
      <c r="M230">
        <v>12</v>
      </c>
      <c r="N230" s="17">
        <v>46118</v>
      </c>
      <c r="O230" s="17">
        <v>46483</v>
      </c>
      <c r="R230" t="s">
        <v>249</v>
      </c>
      <c r="S230" t="s">
        <v>249</v>
      </c>
      <c r="T230" t="s">
        <v>4233</v>
      </c>
      <c r="U230" t="s">
        <v>4234</v>
      </c>
      <c r="V230" t="s">
        <v>3852</v>
      </c>
    </row>
    <row r="231" spans="1:22" x14ac:dyDescent="0.35">
      <c r="A231" t="s">
        <v>4235</v>
      </c>
      <c r="B231" t="s">
        <v>4236</v>
      </c>
      <c r="C231" t="s">
        <v>4237</v>
      </c>
      <c r="D231" t="s">
        <v>4036</v>
      </c>
      <c r="E231" t="s">
        <v>2464</v>
      </c>
      <c r="F231" t="s">
        <v>2465</v>
      </c>
      <c r="G231" t="s">
        <v>153</v>
      </c>
      <c r="H231" t="s">
        <v>3917</v>
      </c>
      <c r="I231" t="s">
        <v>153</v>
      </c>
      <c r="J231" t="s">
        <v>3918</v>
      </c>
      <c r="K231" t="s">
        <v>3856</v>
      </c>
      <c r="L231" t="s">
        <v>3849</v>
      </c>
      <c r="M231">
        <v>4</v>
      </c>
      <c r="N231" s="17">
        <v>45899</v>
      </c>
      <c r="O231" s="17">
        <v>46259</v>
      </c>
      <c r="R231" t="s">
        <v>249</v>
      </c>
      <c r="S231" t="s">
        <v>249</v>
      </c>
      <c r="T231" t="s">
        <v>4238</v>
      </c>
      <c r="U231" t="s">
        <v>4239</v>
      </c>
      <c r="V231" t="s">
        <v>3852</v>
      </c>
    </row>
    <row r="232" spans="1:22" x14ac:dyDescent="0.35">
      <c r="A232" t="s">
        <v>4240</v>
      </c>
      <c r="B232" t="s">
        <v>4241</v>
      </c>
      <c r="C232" t="s">
        <v>4242</v>
      </c>
      <c r="D232" t="s">
        <v>4215</v>
      </c>
      <c r="E232" t="s">
        <v>2513</v>
      </c>
      <c r="F232" t="s">
        <v>2547</v>
      </c>
      <c r="G232" t="s">
        <v>235</v>
      </c>
      <c r="H232" t="s">
        <v>3139</v>
      </c>
      <c r="I232" t="s">
        <v>235</v>
      </c>
      <c r="J232" t="s">
        <v>3107</v>
      </c>
      <c r="K232" t="s">
        <v>3747</v>
      </c>
      <c r="L232" t="s">
        <v>3071</v>
      </c>
      <c r="M232">
        <v>2</v>
      </c>
      <c r="N232" s="17">
        <v>46121</v>
      </c>
      <c r="O232" s="17">
        <v>46173</v>
      </c>
      <c r="R232" t="s">
        <v>249</v>
      </c>
      <c r="S232" t="s">
        <v>249</v>
      </c>
      <c r="T232" t="s">
        <v>4243</v>
      </c>
      <c r="U232" t="s">
        <v>4244</v>
      </c>
      <c r="V232" t="s">
        <v>3075</v>
      </c>
    </row>
    <row r="233" spans="1:22" x14ac:dyDescent="0.35">
      <c r="A233" t="s">
        <v>4245</v>
      </c>
      <c r="B233" t="s">
        <v>4246</v>
      </c>
      <c r="C233" t="s">
        <v>4247</v>
      </c>
      <c r="D233" t="s">
        <v>4215</v>
      </c>
      <c r="E233" t="s">
        <v>249</v>
      </c>
      <c r="F233" t="s">
        <v>249</v>
      </c>
      <c r="G233" t="s">
        <v>153</v>
      </c>
      <c r="H233" t="s">
        <v>3917</v>
      </c>
      <c r="I233" t="s">
        <v>153</v>
      </c>
      <c r="J233" t="s">
        <v>3918</v>
      </c>
      <c r="K233" t="s">
        <v>3856</v>
      </c>
      <c r="L233" t="s">
        <v>3849</v>
      </c>
      <c r="M233">
        <v>3</v>
      </c>
      <c r="N233" s="17">
        <v>46143</v>
      </c>
      <c r="O233" s="17">
        <v>46234</v>
      </c>
      <c r="R233" t="s">
        <v>249</v>
      </c>
      <c r="S233" t="s">
        <v>249</v>
      </c>
      <c r="T233" t="s">
        <v>4245</v>
      </c>
      <c r="U233" t="s">
        <v>4246</v>
      </c>
      <c r="V233" t="s">
        <v>3852</v>
      </c>
    </row>
    <row r="234" spans="1:22" x14ac:dyDescent="0.35">
      <c r="A234" t="s">
        <v>4248</v>
      </c>
      <c r="B234" t="s">
        <v>4249</v>
      </c>
      <c r="C234" t="s">
        <v>4250</v>
      </c>
      <c r="D234" t="s">
        <v>4036</v>
      </c>
      <c r="E234" t="s">
        <v>2464</v>
      </c>
      <c r="F234" t="s">
        <v>2465</v>
      </c>
      <c r="G234" t="s">
        <v>4251</v>
      </c>
      <c r="H234" t="s">
        <v>249</v>
      </c>
      <c r="I234" t="s">
        <v>4251</v>
      </c>
      <c r="J234" t="s">
        <v>249</v>
      </c>
      <c r="K234" t="s">
        <v>3747</v>
      </c>
      <c r="L234" t="s">
        <v>3696</v>
      </c>
      <c r="M234">
        <v>4</v>
      </c>
      <c r="N234" s="17">
        <v>46174</v>
      </c>
      <c r="O234" s="17">
        <v>46295</v>
      </c>
      <c r="R234" t="s">
        <v>249</v>
      </c>
      <c r="S234" t="s">
        <v>249</v>
      </c>
      <c r="T234" t="s">
        <v>4252</v>
      </c>
      <c r="U234" t="s">
        <v>4253</v>
      </c>
      <c r="V234" t="s">
        <v>3075</v>
      </c>
    </row>
    <row r="235" spans="1:22" x14ac:dyDescent="0.35">
      <c r="A235" t="s">
        <v>1154</v>
      </c>
      <c r="B235" t="s">
        <v>4254</v>
      </c>
      <c r="C235" t="s">
        <v>4255</v>
      </c>
      <c r="D235" t="s">
        <v>4215</v>
      </c>
      <c r="E235" t="s">
        <v>2464</v>
      </c>
      <c r="F235" t="s">
        <v>2465</v>
      </c>
      <c r="G235" t="s">
        <v>1153</v>
      </c>
      <c r="H235" t="s">
        <v>3249</v>
      </c>
      <c r="I235" t="s">
        <v>1153</v>
      </c>
      <c r="J235" t="s">
        <v>3249</v>
      </c>
      <c r="K235" t="s">
        <v>3249</v>
      </c>
      <c r="L235" t="s">
        <v>3696</v>
      </c>
      <c r="M235">
        <v>8</v>
      </c>
      <c r="N235" s="17">
        <v>46143</v>
      </c>
      <c r="O235" s="17">
        <v>46387</v>
      </c>
      <c r="R235" t="s">
        <v>249</v>
      </c>
      <c r="S235" t="s">
        <v>249</v>
      </c>
      <c r="T235" t="s">
        <v>4256</v>
      </c>
      <c r="U235" t="s">
        <v>4257</v>
      </c>
      <c r="V235" t="s">
        <v>3075</v>
      </c>
    </row>
    <row r="236" spans="1:22" x14ac:dyDescent="0.35">
      <c r="A236" t="s">
        <v>4258</v>
      </c>
      <c r="B236" t="s">
        <v>4259</v>
      </c>
      <c r="C236" t="s">
        <v>4260</v>
      </c>
      <c r="D236" t="s">
        <v>4215</v>
      </c>
      <c r="E236" t="s">
        <v>2464</v>
      </c>
      <c r="F236" t="s">
        <v>2465</v>
      </c>
      <c r="G236" t="s">
        <v>3465</v>
      </c>
      <c r="H236" t="s">
        <v>3421</v>
      </c>
      <c r="I236" t="s">
        <v>3465</v>
      </c>
      <c r="J236" t="s">
        <v>249</v>
      </c>
      <c r="K236" t="s">
        <v>3747</v>
      </c>
      <c r="L236" t="s">
        <v>3696</v>
      </c>
      <c r="M236">
        <v>3</v>
      </c>
      <c r="N236" s="17">
        <v>46143</v>
      </c>
      <c r="O236" s="17">
        <v>46234</v>
      </c>
      <c r="R236" t="s">
        <v>249</v>
      </c>
      <c r="S236" t="s">
        <v>249</v>
      </c>
      <c r="T236" t="s">
        <v>4261</v>
      </c>
      <c r="U236" t="s">
        <v>4262</v>
      </c>
      <c r="V236" t="s">
        <v>3075</v>
      </c>
    </row>
    <row r="237" spans="1:22" x14ac:dyDescent="0.35">
      <c r="A237" t="s">
        <v>4263</v>
      </c>
      <c r="B237" t="s">
        <v>4264</v>
      </c>
      <c r="C237" t="s">
        <v>4265</v>
      </c>
      <c r="D237" t="s">
        <v>4215</v>
      </c>
      <c r="E237" t="s">
        <v>2464</v>
      </c>
      <c r="F237" t="s">
        <v>2465</v>
      </c>
      <c r="G237" t="s">
        <v>4266</v>
      </c>
      <c r="H237" t="s">
        <v>3069</v>
      </c>
      <c r="I237" t="s">
        <v>4266</v>
      </c>
      <c r="J237" t="s">
        <v>4267</v>
      </c>
      <c r="K237" t="s">
        <v>3747</v>
      </c>
      <c r="L237" t="s">
        <v>3696</v>
      </c>
      <c r="M237">
        <v>3</v>
      </c>
      <c r="N237" s="17">
        <v>46174</v>
      </c>
      <c r="O237" s="17">
        <v>46264</v>
      </c>
      <c r="R237" t="s">
        <v>249</v>
      </c>
      <c r="S237" t="s">
        <v>249</v>
      </c>
      <c r="T237" t="s">
        <v>4268</v>
      </c>
      <c r="U237" t="s">
        <v>4269</v>
      </c>
      <c r="V237" t="s">
        <v>3075</v>
      </c>
    </row>
    <row r="238" spans="1:22" x14ac:dyDescent="0.35">
      <c r="A238" t="s">
        <v>4270</v>
      </c>
      <c r="B238" t="s">
        <v>4271</v>
      </c>
      <c r="C238" t="s">
        <v>4272</v>
      </c>
      <c r="D238" t="s">
        <v>4036</v>
      </c>
      <c r="E238" t="s">
        <v>2042</v>
      </c>
      <c r="F238" t="s">
        <v>2785</v>
      </c>
      <c r="G238" t="s">
        <v>4273</v>
      </c>
      <c r="H238" t="s">
        <v>3856</v>
      </c>
      <c r="I238" t="s">
        <v>4273</v>
      </c>
      <c r="J238" t="s">
        <v>3856</v>
      </c>
      <c r="K238" t="s">
        <v>3856</v>
      </c>
      <c r="L238" t="s">
        <v>3071</v>
      </c>
      <c r="M238">
        <v>1</v>
      </c>
      <c r="N238" s="17">
        <v>46143</v>
      </c>
      <c r="O238" s="17">
        <v>46173</v>
      </c>
      <c r="R238" t="s">
        <v>249</v>
      </c>
      <c r="S238" t="s">
        <v>249</v>
      </c>
      <c r="T238" t="s">
        <v>4274</v>
      </c>
      <c r="U238" t="s">
        <v>4275</v>
      </c>
      <c r="V238" t="s">
        <v>3075</v>
      </c>
    </row>
    <row r="239" spans="1:22" x14ac:dyDescent="0.35">
      <c r="A239" t="s">
        <v>4276</v>
      </c>
      <c r="B239" t="s">
        <v>4277</v>
      </c>
      <c r="C239" t="s">
        <v>4278</v>
      </c>
      <c r="D239" t="s">
        <v>249</v>
      </c>
      <c r="E239" t="s">
        <v>249</v>
      </c>
      <c r="F239" t="s">
        <v>249</v>
      </c>
      <c r="G239" t="s">
        <v>249</v>
      </c>
      <c r="H239" t="s">
        <v>249</v>
      </c>
      <c r="I239" t="s">
        <v>249</v>
      </c>
      <c r="J239" t="s">
        <v>249</v>
      </c>
      <c r="K239" t="s">
        <v>249</v>
      </c>
      <c r="L239" t="s">
        <v>3849</v>
      </c>
      <c r="N239" s="17"/>
      <c r="O239" s="17"/>
      <c r="R239" t="s">
        <v>249</v>
      </c>
      <c r="S239" t="s">
        <v>249</v>
      </c>
      <c r="T239" t="s">
        <v>4276</v>
      </c>
      <c r="U239" t="s">
        <v>4277</v>
      </c>
      <c r="V239" t="s">
        <v>249</v>
      </c>
    </row>
    <row r="240" spans="1:22" x14ac:dyDescent="0.35">
      <c r="A240" t="s">
        <v>4279</v>
      </c>
      <c r="B240" t="s">
        <v>4280</v>
      </c>
      <c r="C240" t="s">
        <v>4281</v>
      </c>
      <c r="D240" t="s">
        <v>4215</v>
      </c>
      <c r="E240" t="s">
        <v>2464</v>
      </c>
      <c r="F240" t="s">
        <v>2465</v>
      </c>
      <c r="G240" t="s">
        <v>153</v>
      </c>
      <c r="H240" t="s">
        <v>3917</v>
      </c>
      <c r="I240" t="s">
        <v>153</v>
      </c>
      <c r="J240" t="s">
        <v>3918</v>
      </c>
      <c r="K240" t="s">
        <v>4282</v>
      </c>
      <c r="L240" t="s">
        <v>3849</v>
      </c>
      <c r="M240">
        <v>4</v>
      </c>
      <c r="N240" s="17">
        <v>46156</v>
      </c>
      <c r="O240" s="17">
        <v>46264</v>
      </c>
      <c r="R240" t="s">
        <v>249</v>
      </c>
      <c r="S240" t="s">
        <v>249</v>
      </c>
      <c r="T240" t="s">
        <v>4283</v>
      </c>
      <c r="U240" t="s">
        <v>4284</v>
      </c>
      <c r="V240" t="s">
        <v>3852</v>
      </c>
    </row>
    <row r="241" spans="1:22" x14ac:dyDescent="0.35">
      <c r="A241" t="s">
        <v>734</v>
      </c>
      <c r="B241" t="s">
        <v>4285</v>
      </c>
      <c r="C241" t="s">
        <v>4286</v>
      </c>
      <c r="D241" t="s">
        <v>4215</v>
      </c>
      <c r="E241" t="s">
        <v>2513</v>
      </c>
      <c r="F241" t="s">
        <v>2547</v>
      </c>
      <c r="G241" t="s">
        <v>235</v>
      </c>
      <c r="H241" t="s">
        <v>3139</v>
      </c>
      <c r="I241" t="s">
        <v>4287</v>
      </c>
      <c r="J241" t="s">
        <v>3107</v>
      </c>
      <c r="K241" t="s">
        <v>3747</v>
      </c>
      <c r="L241" t="s">
        <v>3071</v>
      </c>
      <c r="M241">
        <v>3</v>
      </c>
      <c r="N241" s="17">
        <v>46174</v>
      </c>
      <c r="O241" s="17">
        <v>46264</v>
      </c>
      <c r="R241" t="s">
        <v>249</v>
      </c>
      <c r="S241" t="s">
        <v>249</v>
      </c>
      <c r="T241" t="s">
        <v>4288</v>
      </c>
      <c r="U241" t="s">
        <v>4289</v>
      </c>
      <c r="V241" t="s">
        <v>3075</v>
      </c>
    </row>
    <row r="242" spans="1:22" x14ac:dyDescent="0.35">
      <c r="A242" t="s">
        <v>738</v>
      </c>
      <c r="B242" t="s">
        <v>4290</v>
      </c>
      <c r="C242" t="s">
        <v>4291</v>
      </c>
      <c r="D242" t="s">
        <v>4215</v>
      </c>
      <c r="E242" t="s">
        <v>2739</v>
      </c>
      <c r="F242" t="s">
        <v>2739</v>
      </c>
      <c r="G242" t="s">
        <v>235</v>
      </c>
      <c r="H242" t="s">
        <v>3139</v>
      </c>
      <c r="I242" t="s">
        <v>235</v>
      </c>
      <c r="J242" t="s">
        <v>3107</v>
      </c>
      <c r="K242" t="s">
        <v>3747</v>
      </c>
      <c r="L242" t="s">
        <v>3071</v>
      </c>
      <c r="M242">
        <v>3</v>
      </c>
      <c r="N242" s="17">
        <v>46174</v>
      </c>
      <c r="O242" s="17">
        <v>46264</v>
      </c>
      <c r="R242" t="s">
        <v>249</v>
      </c>
      <c r="S242" t="s">
        <v>249</v>
      </c>
      <c r="T242" t="s">
        <v>4292</v>
      </c>
      <c r="U242" t="s">
        <v>4293</v>
      </c>
      <c r="V242" t="s">
        <v>3075</v>
      </c>
    </row>
    <row r="243" spans="1:22" x14ac:dyDescent="0.35">
      <c r="A243" t="s">
        <v>4294</v>
      </c>
      <c r="B243" t="s">
        <v>4295</v>
      </c>
      <c r="C243" t="s">
        <v>4296</v>
      </c>
      <c r="D243" t="s">
        <v>4215</v>
      </c>
      <c r="E243" t="s">
        <v>2464</v>
      </c>
      <c r="F243" t="s">
        <v>2465</v>
      </c>
      <c r="G243" t="s">
        <v>4297</v>
      </c>
      <c r="H243" t="s">
        <v>249</v>
      </c>
      <c r="I243" t="s">
        <v>4297</v>
      </c>
      <c r="J243" t="s">
        <v>249</v>
      </c>
      <c r="K243" t="s">
        <v>3747</v>
      </c>
      <c r="L243" t="s">
        <v>3849</v>
      </c>
      <c r="M243">
        <v>4</v>
      </c>
      <c r="N243" s="17">
        <v>46174</v>
      </c>
      <c r="O243" s="17">
        <v>46295</v>
      </c>
      <c r="R243" t="s">
        <v>249</v>
      </c>
      <c r="S243" t="s">
        <v>249</v>
      </c>
      <c r="T243" t="s">
        <v>4298</v>
      </c>
      <c r="U243" t="s">
        <v>4299</v>
      </c>
      <c r="V243" t="s">
        <v>3852</v>
      </c>
    </row>
    <row r="244" spans="1:22" x14ac:dyDescent="0.35">
      <c r="A244" t="s">
        <v>746</v>
      </c>
      <c r="B244" t="s">
        <v>4300</v>
      </c>
      <c r="C244" t="s">
        <v>4301</v>
      </c>
      <c r="D244" t="s">
        <v>4036</v>
      </c>
      <c r="E244" t="s">
        <v>2608</v>
      </c>
      <c r="F244" t="s">
        <v>2608</v>
      </c>
      <c r="G244" t="s">
        <v>744</v>
      </c>
      <c r="H244" t="s">
        <v>3088</v>
      </c>
      <c r="I244" t="s">
        <v>744</v>
      </c>
      <c r="J244" t="s">
        <v>3088</v>
      </c>
      <c r="K244" t="s">
        <v>3088</v>
      </c>
      <c r="L244" t="s">
        <v>3849</v>
      </c>
      <c r="M244">
        <v>4</v>
      </c>
      <c r="N244" s="17">
        <v>46174</v>
      </c>
      <c r="O244" s="17">
        <v>46295</v>
      </c>
      <c r="R244" t="s">
        <v>249</v>
      </c>
      <c r="S244" t="s">
        <v>249</v>
      </c>
      <c r="T244" t="s">
        <v>4302</v>
      </c>
      <c r="U244" t="s">
        <v>4303</v>
      </c>
      <c r="V244" t="s">
        <v>3852</v>
      </c>
    </row>
    <row r="245" spans="1:22" x14ac:dyDescent="0.35">
      <c r="A245" t="s">
        <v>4304</v>
      </c>
      <c r="B245" t="s">
        <v>4305</v>
      </c>
      <c r="C245" t="s">
        <v>4306</v>
      </c>
      <c r="D245" t="s">
        <v>4215</v>
      </c>
      <c r="E245" t="s">
        <v>2739</v>
      </c>
      <c r="F245" t="s">
        <v>2739</v>
      </c>
      <c r="G245" t="s">
        <v>4216</v>
      </c>
      <c r="H245" t="s">
        <v>3728</v>
      </c>
      <c r="I245" t="s">
        <v>4307</v>
      </c>
      <c r="J245" t="s">
        <v>249</v>
      </c>
      <c r="K245" t="s">
        <v>3249</v>
      </c>
      <c r="L245" t="s">
        <v>3071</v>
      </c>
      <c r="M245">
        <v>13</v>
      </c>
      <c r="N245" s="17">
        <v>46174</v>
      </c>
      <c r="O245" s="17">
        <v>46538</v>
      </c>
      <c r="R245" t="s">
        <v>249</v>
      </c>
      <c r="S245" t="s">
        <v>249</v>
      </c>
      <c r="T245" t="s">
        <v>4308</v>
      </c>
      <c r="U245" t="s">
        <v>4309</v>
      </c>
      <c r="V245" t="s">
        <v>3075</v>
      </c>
    </row>
    <row r="246" spans="1:22" x14ac:dyDescent="0.35">
      <c r="A246" t="s">
        <v>4310</v>
      </c>
      <c r="B246" t="s">
        <v>4311</v>
      </c>
      <c r="C246" t="s">
        <v>4312</v>
      </c>
      <c r="D246" t="s">
        <v>3317</v>
      </c>
      <c r="E246" t="s">
        <v>2739</v>
      </c>
      <c r="F246" t="s">
        <v>2739</v>
      </c>
      <c r="G246" t="s">
        <v>446</v>
      </c>
      <c r="H246" t="s">
        <v>3967</v>
      </c>
      <c r="I246" t="s">
        <v>446</v>
      </c>
      <c r="J246" t="s">
        <v>3967</v>
      </c>
      <c r="K246" t="s">
        <v>3694</v>
      </c>
      <c r="L246" t="s">
        <v>4313</v>
      </c>
      <c r="M246">
        <v>1</v>
      </c>
      <c r="N246" s="17">
        <v>45747</v>
      </c>
      <c r="O246" s="17">
        <v>45789</v>
      </c>
      <c r="P246" t="s">
        <v>3109</v>
      </c>
      <c r="Q246" t="s">
        <v>3968</v>
      </c>
      <c r="R246" t="s">
        <v>2734</v>
      </c>
      <c r="S246" t="s">
        <v>3146</v>
      </c>
      <c r="T246" t="s">
        <v>4314</v>
      </c>
      <c r="U246" t="s">
        <v>4315</v>
      </c>
      <c r="V246" t="s">
        <v>3075</v>
      </c>
    </row>
    <row r="247" spans="1:22" x14ac:dyDescent="0.35">
      <c r="A247" t="s">
        <v>191</v>
      </c>
      <c r="B247" t="s">
        <v>3797</v>
      </c>
      <c r="C247" t="s">
        <v>4316</v>
      </c>
      <c r="D247" t="s">
        <v>3317</v>
      </c>
      <c r="E247" t="s">
        <v>2739</v>
      </c>
      <c r="F247" t="s">
        <v>2739</v>
      </c>
      <c r="G247" t="s">
        <v>189</v>
      </c>
      <c r="H247" t="s">
        <v>3139</v>
      </c>
      <c r="I247" t="s">
        <v>189</v>
      </c>
      <c r="J247" t="s">
        <v>3153</v>
      </c>
      <c r="K247">
        <v>0</v>
      </c>
      <c r="L247" t="s">
        <v>4313</v>
      </c>
      <c r="M247">
        <v>0</v>
      </c>
      <c r="N247" s="17">
        <v>45658</v>
      </c>
      <c r="O247" s="17">
        <v>45716</v>
      </c>
      <c r="R247" t="s">
        <v>249</v>
      </c>
      <c r="S247" t="s">
        <v>249</v>
      </c>
      <c r="T247" t="s">
        <v>4317</v>
      </c>
      <c r="U247" t="s">
        <v>4318</v>
      </c>
      <c r="V247" t="s">
        <v>3075</v>
      </c>
    </row>
    <row r="248" spans="1:22" x14ac:dyDescent="0.35">
      <c r="A248" t="s">
        <v>201</v>
      </c>
      <c r="B248" t="s">
        <v>3872</v>
      </c>
      <c r="C248" t="s">
        <v>4319</v>
      </c>
      <c r="D248" t="s">
        <v>3317</v>
      </c>
      <c r="E248" t="s">
        <v>2739</v>
      </c>
      <c r="F248" t="s">
        <v>2739</v>
      </c>
      <c r="G248" t="s">
        <v>199</v>
      </c>
      <c r="H248" t="s">
        <v>3069</v>
      </c>
      <c r="I248" t="s">
        <v>89</v>
      </c>
      <c r="J248" t="s">
        <v>3088</v>
      </c>
      <c r="K248">
        <v>0</v>
      </c>
      <c r="L248" t="s">
        <v>4313</v>
      </c>
      <c r="M248">
        <v>9</v>
      </c>
      <c r="N248" s="17">
        <v>45658</v>
      </c>
      <c r="O248" s="17">
        <v>45716</v>
      </c>
      <c r="P248" t="s">
        <v>3109</v>
      </c>
      <c r="Q248" t="s">
        <v>2733</v>
      </c>
      <c r="R248" t="s">
        <v>2734</v>
      </c>
      <c r="S248" t="s">
        <v>3146</v>
      </c>
      <c r="T248" t="s">
        <v>4320</v>
      </c>
      <c r="U248" t="s">
        <v>4321</v>
      </c>
      <c r="V248" t="s">
        <v>3075</v>
      </c>
    </row>
    <row r="249" spans="1:22" x14ac:dyDescent="0.35">
      <c r="A249" t="s">
        <v>304</v>
      </c>
      <c r="B249" t="s">
        <v>3876</v>
      </c>
      <c r="C249" t="s">
        <v>4322</v>
      </c>
      <c r="D249" t="s">
        <v>3317</v>
      </c>
      <c r="E249" t="s">
        <v>2739</v>
      </c>
      <c r="F249" t="s">
        <v>2739</v>
      </c>
      <c r="G249" t="s">
        <v>345</v>
      </c>
      <c r="H249" t="s">
        <v>3153</v>
      </c>
      <c r="I249" t="s">
        <v>1082</v>
      </c>
      <c r="J249" t="s">
        <v>3070</v>
      </c>
      <c r="K249" t="s">
        <v>3879</v>
      </c>
      <c r="L249" t="s">
        <v>4313</v>
      </c>
      <c r="M249">
        <v>2</v>
      </c>
      <c r="N249" s="17">
        <v>45717</v>
      </c>
      <c r="O249" s="17">
        <v>45746</v>
      </c>
      <c r="P249" t="s">
        <v>3880</v>
      </c>
      <c r="Q249" t="s">
        <v>3881</v>
      </c>
      <c r="R249" t="s">
        <v>2041</v>
      </c>
      <c r="S249" t="s">
        <v>3072</v>
      </c>
      <c r="T249" t="s">
        <v>4323</v>
      </c>
      <c r="U249" t="s">
        <v>4324</v>
      </c>
      <c r="V249" t="s">
        <v>3075</v>
      </c>
    </row>
    <row r="250" spans="1:22" x14ac:dyDescent="0.35">
      <c r="A250" t="s">
        <v>4325</v>
      </c>
      <c r="B250" t="s">
        <v>4326</v>
      </c>
      <c r="C250" t="s">
        <v>4327</v>
      </c>
      <c r="D250" t="s">
        <v>3317</v>
      </c>
      <c r="E250" t="s">
        <v>2739</v>
      </c>
      <c r="F250" t="s">
        <v>2739</v>
      </c>
      <c r="G250" t="s">
        <v>532</v>
      </c>
      <c r="H250" t="s">
        <v>249</v>
      </c>
      <c r="I250" t="s">
        <v>89</v>
      </c>
      <c r="J250" t="s">
        <v>3088</v>
      </c>
      <c r="K250" t="s">
        <v>3088</v>
      </c>
      <c r="L250" t="s">
        <v>4313</v>
      </c>
      <c r="M250">
        <v>1</v>
      </c>
      <c r="N250" s="17">
        <v>45777</v>
      </c>
      <c r="O250" s="17">
        <v>45838</v>
      </c>
      <c r="P250" t="s">
        <v>4140</v>
      </c>
      <c r="Q250" t="s">
        <v>2733</v>
      </c>
      <c r="R250" t="s">
        <v>2734</v>
      </c>
      <c r="S250" t="s">
        <v>3146</v>
      </c>
      <c r="T250" t="s">
        <v>4328</v>
      </c>
      <c r="U250" t="s">
        <v>4329</v>
      </c>
      <c r="V250" t="s">
        <v>3075</v>
      </c>
    </row>
    <row r="251" spans="1:22" x14ac:dyDescent="0.35">
      <c r="A251" t="s">
        <v>4330</v>
      </c>
      <c r="B251" t="s">
        <v>4331</v>
      </c>
      <c r="C251" t="s">
        <v>4332</v>
      </c>
      <c r="D251" t="s">
        <v>3317</v>
      </c>
      <c r="E251" t="s">
        <v>2739</v>
      </c>
      <c r="F251" t="s">
        <v>2739</v>
      </c>
      <c r="G251" t="s">
        <v>4333</v>
      </c>
      <c r="H251" t="s">
        <v>249</v>
      </c>
      <c r="I251" t="s">
        <v>4334</v>
      </c>
      <c r="J251" t="s">
        <v>4335</v>
      </c>
      <c r="K251" t="s">
        <v>3155</v>
      </c>
      <c r="L251" t="s">
        <v>4313</v>
      </c>
      <c r="M251">
        <v>1</v>
      </c>
      <c r="N251" s="17">
        <v>45782</v>
      </c>
      <c r="O251" s="17">
        <v>45835</v>
      </c>
      <c r="P251" t="s">
        <v>3109</v>
      </c>
      <c r="Q251" t="s">
        <v>4336</v>
      </c>
      <c r="R251" t="s">
        <v>4337</v>
      </c>
      <c r="S251" t="s">
        <v>3072</v>
      </c>
      <c r="T251" t="s">
        <v>4338</v>
      </c>
      <c r="U251" t="s">
        <v>4339</v>
      </c>
      <c r="V251" t="s">
        <v>3075</v>
      </c>
    </row>
    <row r="252" spans="1:22" x14ac:dyDescent="0.35">
      <c r="A252" t="s">
        <v>411</v>
      </c>
      <c r="B252" t="s">
        <v>3936</v>
      </c>
      <c r="C252" t="s">
        <v>4340</v>
      </c>
      <c r="D252" t="s">
        <v>3317</v>
      </c>
      <c r="E252" t="s">
        <v>2739</v>
      </c>
      <c r="F252" t="s">
        <v>2739</v>
      </c>
      <c r="G252" t="s">
        <v>219</v>
      </c>
      <c r="H252" t="s">
        <v>3087</v>
      </c>
      <c r="I252" t="s">
        <v>184</v>
      </c>
      <c r="J252" t="s">
        <v>3088</v>
      </c>
      <c r="K252" t="s">
        <v>3088</v>
      </c>
      <c r="L252" t="s">
        <v>4313</v>
      </c>
      <c r="M252">
        <v>5</v>
      </c>
      <c r="N252" s="17">
        <v>45790</v>
      </c>
      <c r="O252" s="17">
        <v>45821</v>
      </c>
      <c r="P252" t="s">
        <v>3109</v>
      </c>
      <c r="Q252" t="s">
        <v>3938</v>
      </c>
      <c r="R252" t="s">
        <v>3349</v>
      </c>
      <c r="S252" t="s">
        <v>3072</v>
      </c>
      <c r="T252" t="s">
        <v>4341</v>
      </c>
      <c r="U252" t="s">
        <v>4342</v>
      </c>
      <c r="V252" t="s">
        <v>3075</v>
      </c>
    </row>
    <row r="253" spans="1:22" x14ac:dyDescent="0.35">
      <c r="A253" t="s">
        <v>558</v>
      </c>
      <c r="B253" t="s">
        <v>4343</v>
      </c>
      <c r="C253" t="s">
        <v>4344</v>
      </c>
      <c r="D253" t="s">
        <v>3317</v>
      </c>
      <c r="E253" t="s">
        <v>2739</v>
      </c>
      <c r="F253" t="s">
        <v>2739</v>
      </c>
      <c r="G253" t="s">
        <v>557</v>
      </c>
      <c r="H253" t="s">
        <v>3069</v>
      </c>
      <c r="I253" t="s">
        <v>557</v>
      </c>
      <c r="J253" t="s">
        <v>3747</v>
      </c>
      <c r="K253" t="s">
        <v>3694</v>
      </c>
      <c r="L253" t="s">
        <v>4313</v>
      </c>
      <c r="M253">
        <v>1</v>
      </c>
      <c r="N253" s="17">
        <v>45953</v>
      </c>
      <c r="O253" s="17">
        <v>45985</v>
      </c>
      <c r="P253" t="s">
        <v>3109</v>
      </c>
      <c r="Q253" t="s">
        <v>3990</v>
      </c>
      <c r="R253" t="s">
        <v>3991</v>
      </c>
      <c r="S253" t="s">
        <v>3172</v>
      </c>
      <c r="T253" t="s">
        <v>4345</v>
      </c>
      <c r="U253" t="s">
        <v>4346</v>
      </c>
      <c r="V253" t="s">
        <v>3075</v>
      </c>
    </row>
    <row r="254" spans="1:22" x14ac:dyDescent="0.35">
      <c r="A254" t="s">
        <v>402</v>
      </c>
      <c r="B254" t="s">
        <v>4087</v>
      </c>
      <c r="C254" t="s">
        <v>4347</v>
      </c>
      <c r="D254" t="s">
        <v>4036</v>
      </c>
      <c r="E254" t="s">
        <v>2739</v>
      </c>
      <c r="F254" t="s">
        <v>2739</v>
      </c>
      <c r="G254" t="s">
        <v>400</v>
      </c>
      <c r="H254" t="s">
        <v>3153</v>
      </c>
      <c r="I254" t="s">
        <v>89</v>
      </c>
      <c r="J254" t="s">
        <v>3153</v>
      </c>
      <c r="K254" t="s">
        <v>3088</v>
      </c>
      <c r="L254" t="s">
        <v>4313</v>
      </c>
      <c r="M254">
        <v>7</v>
      </c>
      <c r="N254" s="17">
        <v>45785</v>
      </c>
      <c r="O254" s="17">
        <v>45828</v>
      </c>
      <c r="P254" t="s">
        <v>323</v>
      </c>
      <c r="Q254" t="s">
        <v>3533</v>
      </c>
      <c r="R254" t="s">
        <v>2041</v>
      </c>
      <c r="S254" t="s">
        <v>3072</v>
      </c>
      <c r="T254" t="s">
        <v>4348</v>
      </c>
      <c r="U254" t="s">
        <v>4349</v>
      </c>
      <c r="V254" t="s">
        <v>3075</v>
      </c>
    </row>
    <row r="255" spans="1:22" x14ac:dyDescent="0.35">
      <c r="A255" t="s">
        <v>417</v>
      </c>
      <c r="B255" t="s">
        <v>4110</v>
      </c>
      <c r="C255" t="s">
        <v>4350</v>
      </c>
      <c r="D255" t="s">
        <v>4036</v>
      </c>
      <c r="E255" t="s">
        <v>2739</v>
      </c>
      <c r="F255" t="s">
        <v>2739</v>
      </c>
      <c r="G255" t="s">
        <v>4112</v>
      </c>
      <c r="H255" t="s">
        <v>3088</v>
      </c>
      <c r="I255" t="s">
        <v>4112</v>
      </c>
      <c r="J255" t="s">
        <v>3088</v>
      </c>
      <c r="K255" t="s">
        <v>3088</v>
      </c>
      <c r="L255" t="s">
        <v>4313</v>
      </c>
      <c r="M255">
        <v>6</v>
      </c>
      <c r="N255" s="17">
        <v>45818</v>
      </c>
      <c r="O255" s="17">
        <v>45848</v>
      </c>
      <c r="P255" t="s">
        <v>3109</v>
      </c>
      <c r="Q255" t="s">
        <v>4113</v>
      </c>
      <c r="R255" t="s">
        <v>2542</v>
      </c>
      <c r="S255" t="s">
        <v>3434</v>
      </c>
      <c r="T255" t="s">
        <v>4351</v>
      </c>
      <c r="U255" t="s">
        <v>4352</v>
      </c>
      <c r="V255" t="s">
        <v>3852</v>
      </c>
    </row>
    <row r="256" spans="1:22" x14ac:dyDescent="0.35">
      <c r="A256" t="s">
        <v>453</v>
      </c>
      <c r="B256" t="s">
        <v>4023</v>
      </c>
      <c r="C256" t="s">
        <v>4353</v>
      </c>
      <c r="D256" t="s">
        <v>3317</v>
      </c>
      <c r="E256" t="s">
        <v>2739</v>
      </c>
      <c r="F256" t="s">
        <v>2739</v>
      </c>
      <c r="G256" t="s">
        <v>452</v>
      </c>
      <c r="H256" t="s">
        <v>3069</v>
      </c>
      <c r="I256" t="s">
        <v>89</v>
      </c>
      <c r="J256" t="s">
        <v>249</v>
      </c>
      <c r="K256" t="s">
        <v>3088</v>
      </c>
      <c r="L256" t="s">
        <v>4313</v>
      </c>
      <c r="M256">
        <v>6</v>
      </c>
      <c r="N256" s="17">
        <v>45841</v>
      </c>
      <c r="O256" s="17">
        <v>45903</v>
      </c>
      <c r="P256" t="s">
        <v>3109</v>
      </c>
      <c r="Q256" t="s">
        <v>3140</v>
      </c>
      <c r="R256" t="s">
        <v>2041</v>
      </c>
      <c r="S256" t="s">
        <v>3072</v>
      </c>
      <c r="T256" t="s">
        <v>4354</v>
      </c>
      <c r="U256" t="s">
        <v>4355</v>
      </c>
      <c r="V256" t="s">
        <v>3075</v>
      </c>
    </row>
    <row r="257" spans="1:22" x14ac:dyDescent="0.35">
      <c r="A257" t="s">
        <v>534</v>
      </c>
      <c r="B257" t="s">
        <v>4138</v>
      </c>
      <c r="C257" t="s">
        <v>4356</v>
      </c>
      <c r="D257" t="s">
        <v>4036</v>
      </c>
      <c r="E257" t="s">
        <v>2739</v>
      </c>
      <c r="F257" t="s">
        <v>2739</v>
      </c>
      <c r="G257" t="s">
        <v>532</v>
      </c>
      <c r="H257" t="s">
        <v>249</v>
      </c>
      <c r="I257" t="s">
        <v>89</v>
      </c>
      <c r="J257" t="s">
        <v>249</v>
      </c>
      <c r="K257" t="s">
        <v>3088</v>
      </c>
      <c r="L257" t="s">
        <v>4313</v>
      </c>
      <c r="M257">
        <v>8</v>
      </c>
      <c r="N257" s="17">
        <v>45897</v>
      </c>
      <c r="O257" s="17">
        <v>45958</v>
      </c>
      <c r="P257" t="s">
        <v>4140</v>
      </c>
      <c r="Q257" t="s">
        <v>2733</v>
      </c>
      <c r="R257" t="s">
        <v>2734</v>
      </c>
      <c r="S257" t="s">
        <v>3146</v>
      </c>
      <c r="T257" t="s">
        <v>4357</v>
      </c>
      <c r="U257" t="s">
        <v>4358</v>
      </c>
      <c r="V257" t="s">
        <v>3075</v>
      </c>
    </row>
    <row r="258" spans="1:22" x14ac:dyDescent="0.35">
      <c r="A258" t="s">
        <v>4055</v>
      </c>
      <c r="B258" t="s">
        <v>4056</v>
      </c>
      <c r="C258" t="s">
        <v>4359</v>
      </c>
      <c r="D258" t="s">
        <v>4036</v>
      </c>
      <c r="E258" t="s">
        <v>2739</v>
      </c>
      <c r="F258" t="s">
        <v>2739</v>
      </c>
      <c r="G258" t="s">
        <v>975</v>
      </c>
      <c r="H258" t="s">
        <v>3747</v>
      </c>
      <c r="I258" t="s">
        <v>4058</v>
      </c>
      <c r="J258" t="s">
        <v>249</v>
      </c>
      <c r="K258" t="s">
        <v>3747</v>
      </c>
      <c r="L258" t="s">
        <v>4313</v>
      </c>
      <c r="M258">
        <v>12</v>
      </c>
      <c r="N258" s="17">
        <v>45918</v>
      </c>
      <c r="O258" s="17">
        <v>45948</v>
      </c>
      <c r="P258" t="s">
        <v>3109</v>
      </c>
      <c r="Q258" t="s">
        <v>2040</v>
      </c>
      <c r="R258" t="s">
        <v>2041</v>
      </c>
      <c r="S258" t="s">
        <v>3072</v>
      </c>
      <c r="T258" t="s">
        <v>4360</v>
      </c>
      <c r="U258" t="s">
        <v>4361</v>
      </c>
      <c r="V258" t="s">
        <v>3075</v>
      </c>
    </row>
    <row r="259" spans="1:22" x14ac:dyDescent="0.35">
      <c r="A259" t="s">
        <v>4362</v>
      </c>
      <c r="B259" t="s">
        <v>4363</v>
      </c>
      <c r="C259" t="s">
        <v>4364</v>
      </c>
      <c r="D259" t="s">
        <v>4365</v>
      </c>
      <c r="E259" t="s">
        <v>2739</v>
      </c>
      <c r="F259" t="s">
        <v>2739</v>
      </c>
      <c r="G259" t="s">
        <v>4366</v>
      </c>
      <c r="H259" t="s">
        <v>3153</v>
      </c>
      <c r="I259" t="s">
        <v>4367</v>
      </c>
      <c r="J259" t="s">
        <v>249</v>
      </c>
      <c r="K259" t="s">
        <v>4368</v>
      </c>
      <c r="L259" t="s">
        <v>4313</v>
      </c>
      <c r="M259">
        <v>1</v>
      </c>
      <c r="N259" s="17">
        <v>45922</v>
      </c>
      <c r="O259" s="17">
        <v>45952</v>
      </c>
      <c r="P259" t="s">
        <v>3109</v>
      </c>
      <c r="Q259" t="s">
        <v>2040</v>
      </c>
      <c r="R259" t="s">
        <v>2041</v>
      </c>
      <c r="S259" t="s">
        <v>3072</v>
      </c>
      <c r="T259" t="s">
        <v>4369</v>
      </c>
      <c r="U259" t="s">
        <v>4370</v>
      </c>
      <c r="V259" t="s">
        <v>3075</v>
      </c>
    </row>
    <row r="260" spans="1:22" x14ac:dyDescent="0.35">
      <c r="A260" t="s">
        <v>4371</v>
      </c>
      <c r="B260" t="s">
        <v>4372</v>
      </c>
      <c r="C260" t="s">
        <v>4373</v>
      </c>
      <c r="D260" t="s">
        <v>3317</v>
      </c>
      <c r="E260" t="s">
        <v>2739</v>
      </c>
      <c r="F260" t="s">
        <v>2739</v>
      </c>
      <c r="G260" t="s">
        <v>4374</v>
      </c>
      <c r="H260" t="s">
        <v>3747</v>
      </c>
      <c r="I260" t="s">
        <v>4374</v>
      </c>
      <c r="J260" t="s">
        <v>3747</v>
      </c>
      <c r="K260" t="s">
        <v>3747</v>
      </c>
      <c r="L260" t="s">
        <v>4313</v>
      </c>
      <c r="M260">
        <v>2</v>
      </c>
      <c r="N260" s="17">
        <v>46058</v>
      </c>
      <c r="O260" s="17">
        <v>46103</v>
      </c>
      <c r="P260" t="s">
        <v>3109</v>
      </c>
      <c r="Q260" t="s">
        <v>4375</v>
      </c>
      <c r="R260" t="s">
        <v>4376</v>
      </c>
      <c r="S260" t="s">
        <v>3661</v>
      </c>
      <c r="T260" t="s">
        <v>4377</v>
      </c>
      <c r="U260" t="s">
        <v>4378</v>
      </c>
      <c r="V260" t="s">
        <v>3075</v>
      </c>
    </row>
    <row r="261" spans="1:22" x14ac:dyDescent="0.35">
      <c r="A261" t="s">
        <v>651</v>
      </c>
      <c r="B261" t="s">
        <v>4199</v>
      </c>
      <c r="C261" t="s">
        <v>4379</v>
      </c>
      <c r="D261" t="s">
        <v>4036</v>
      </c>
      <c r="E261" t="s">
        <v>2739</v>
      </c>
      <c r="F261" t="s">
        <v>2739</v>
      </c>
      <c r="G261" t="s">
        <v>649</v>
      </c>
      <c r="H261" t="s">
        <v>249</v>
      </c>
      <c r="I261" t="s">
        <v>89</v>
      </c>
      <c r="J261" t="s">
        <v>249</v>
      </c>
      <c r="K261" t="s">
        <v>3088</v>
      </c>
      <c r="L261" t="s">
        <v>4313</v>
      </c>
      <c r="M261">
        <v>10</v>
      </c>
      <c r="N261" s="17">
        <v>46080</v>
      </c>
      <c r="O261" s="17">
        <v>46386</v>
      </c>
      <c r="P261" t="s">
        <v>3413</v>
      </c>
      <c r="Q261" t="s">
        <v>2833</v>
      </c>
      <c r="R261" t="s">
        <v>2041</v>
      </c>
      <c r="S261" t="s">
        <v>3072</v>
      </c>
      <c r="T261" t="s">
        <v>4380</v>
      </c>
      <c r="U261" t="s">
        <v>4381</v>
      </c>
      <c r="V261" t="s">
        <v>3075</v>
      </c>
    </row>
    <row r="262" spans="1:22" x14ac:dyDescent="0.35">
      <c r="A262" t="s">
        <v>4382</v>
      </c>
      <c r="B262" t="s">
        <v>4383</v>
      </c>
      <c r="C262" t="s">
        <v>4384</v>
      </c>
      <c r="D262" t="s">
        <v>4215</v>
      </c>
      <c r="E262" t="s">
        <v>2739</v>
      </c>
      <c r="F262" t="s">
        <v>2739</v>
      </c>
      <c r="G262" t="s">
        <v>4385</v>
      </c>
      <c r="H262" t="s">
        <v>249</v>
      </c>
      <c r="I262" t="s">
        <v>4385</v>
      </c>
      <c r="J262" t="s">
        <v>249</v>
      </c>
      <c r="K262" t="s">
        <v>3747</v>
      </c>
      <c r="L262" t="s">
        <v>4313</v>
      </c>
      <c r="M262">
        <v>1</v>
      </c>
      <c r="N262" s="17">
        <v>46113</v>
      </c>
      <c r="O262" s="17">
        <v>46142</v>
      </c>
      <c r="R262" t="s">
        <v>249</v>
      </c>
      <c r="S262" t="s">
        <v>249</v>
      </c>
      <c r="T262" t="s">
        <v>4386</v>
      </c>
      <c r="U262" t="s">
        <v>4387</v>
      </c>
      <c r="V262" t="s">
        <v>3075</v>
      </c>
    </row>
    <row r="263" spans="1:22" x14ac:dyDescent="0.35">
      <c r="A263" t="s">
        <v>1157</v>
      </c>
      <c r="B263" t="s">
        <v>4388</v>
      </c>
      <c r="C263" t="s">
        <v>4389</v>
      </c>
      <c r="D263" t="s">
        <v>4215</v>
      </c>
      <c r="E263" t="s">
        <v>2739</v>
      </c>
      <c r="F263" t="s">
        <v>2739</v>
      </c>
      <c r="G263" t="s">
        <v>452</v>
      </c>
      <c r="H263" t="s">
        <v>3069</v>
      </c>
      <c r="I263" t="s">
        <v>452</v>
      </c>
      <c r="J263" t="s">
        <v>249</v>
      </c>
      <c r="K263" t="s">
        <v>3747</v>
      </c>
      <c r="L263" t="s">
        <v>4313</v>
      </c>
      <c r="M263">
        <v>3</v>
      </c>
      <c r="N263" s="17">
        <v>46167</v>
      </c>
      <c r="O263" s="17">
        <v>46259</v>
      </c>
      <c r="R263" t="s">
        <v>249</v>
      </c>
      <c r="S263" t="s">
        <v>249</v>
      </c>
      <c r="T263" t="s">
        <v>4390</v>
      </c>
      <c r="U263" t="s">
        <v>4391</v>
      </c>
      <c r="V263" t="s">
        <v>3075</v>
      </c>
    </row>
    <row r="264" spans="1:22" x14ac:dyDescent="0.35">
      <c r="A264" t="s">
        <v>4392</v>
      </c>
      <c r="B264" t="s">
        <v>4392</v>
      </c>
      <c r="C264" t="s">
        <v>4393</v>
      </c>
      <c r="D264" t="s">
        <v>3317</v>
      </c>
      <c r="E264" t="s">
        <v>4394</v>
      </c>
      <c r="F264" t="s">
        <v>4395</v>
      </c>
      <c r="G264" t="s">
        <v>4396</v>
      </c>
      <c r="H264" t="s">
        <v>3139</v>
      </c>
      <c r="I264" t="s">
        <v>4397</v>
      </c>
      <c r="J264" t="s">
        <v>3088</v>
      </c>
      <c r="K264">
        <v>0</v>
      </c>
      <c r="L264" t="s">
        <v>4398</v>
      </c>
      <c r="M264">
        <v>1</v>
      </c>
      <c r="N264" s="17">
        <v>45001</v>
      </c>
      <c r="O264" s="17">
        <v>45156</v>
      </c>
      <c r="P264" t="s">
        <v>3109</v>
      </c>
      <c r="R264" t="s">
        <v>3907</v>
      </c>
      <c r="S264" t="s">
        <v>3072</v>
      </c>
      <c r="T264" t="s">
        <v>4399</v>
      </c>
      <c r="U264" t="s">
        <v>4399</v>
      </c>
      <c r="V264" t="s">
        <v>3075</v>
      </c>
    </row>
    <row r="265" spans="1:22" x14ac:dyDescent="0.35">
      <c r="A265" t="s">
        <v>4400</v>
      </c>
      <c r="B265" t="s">
        <v>4401</v>
      </c>
      <c r="C265" t="s">
        <v>4402</v>
      </c>
      <c r="D265" t="s">
        <v>3067</v>
      </c>
      <c r="E265" t="s">
        <v>4394</v>
      </c>
      <c r="F265" t="s">
        <v>4395</v>
      </c>
      <c r="G265" t="s">
        <v>4403</v>
      </c>
      <c r="H265" t="s">
        <v>3153</v>
      </c>
      <c r="I265" t="s">
        <v>4404</v>
      </c>
      <c r="J265" t="s">
        <v>3249</v>
      </c>
      <c r="K265">
        <v>0</v>
      </c>
      <c r="L265" t="s">
        <v>4398</v>
      </c>
      <c r="M265">
        <v>2</v>
      </c>
      <c r="N265" s="17">
        <v>0</v>
      </c>
      <c r="O265" s="17">
        <v>45473</v>
      </c>
      <c r="P265" t="s">
        <v>3109</v>
      </c>
      <c r="R265" t="s">
        <v>2041</v>
      </c>
      <c r="S265" t="s">
        <v>3072</v>
      </c>
      <c r="T265" t="s">
        <v>4405</v>
      </c>
      <c r="U265" t="s">
        <v>4406</v>
      </c>
      <c r="V265" t="s">
        <v>3075</v>
      </c>
    </row>
    <row r="266" spans="1:22" x14ac:dyDescent="0.35">
      <c r="A266" t="s">
        <v>4407</v>
      </c>
      <c r="B266" t="s">
        <v>4408</v>
      </c>
      <c r="C266" t="s">
        <v>4409</v>
      </c>
      <c r="D266" t="s">
        <v>3317</v>
      </c>
      <c r="E266" t="s">
        <v>4394</v>
      </c>
      <c r="F266" t="s">
        <v>4395</v>
      </c>
      <c r="G266" t="s">
        <v>4410</v>
      </c>
      <c r="H266" t="s">
        <v>3139</v>
      </c>
      <c r="I266" t="s">
        <v>89</v>
      </c>
      <c r="J266" t="s">
        <v>3088</v>
      </c>
      <c r="K266">
        <v>0</v>
      </c>
      <c r="L266" t="s">
        <v>4398</v>
      </c>
      <c r="M266">
        <v>0</v>
      </c>
      <c r="N266" s="17">
        <v>44974</v>
      </c>
      <c r="O266" s="17">
        <v>45473</v>
      </c>
      <c r="P266" t="s">
        <v>3109</v>
      </c>
      <c r="R266" t="s">
        <v>2041</v>
      </c>
      <c r="S266" t="s">
        <v>3072</v>
      </c>
      <c r="T266" t="s">
        <v>4411</v>
      </c>
      <c r="U266" t="s">
        <v>4412</v>
      </c>
      <c r="V266" t="s">
        <v>3075</v>
      </c>
    </row>
    <row r="267" spans="1:22" x14ac:dyDescent="0.35">
      <c r="A267" t="s">
        <v>4413</v>
      </c>
      <c r="B267" t="s">
        <v>4414</v>
      </c>
      <c r="C267" t="s">
        <v>4415</v>
      </c>
      <c r="D267" t="s">
        <v>3317</v>
      </c>
      <c r="E267" t="s">
        <v>4394</v>
      </c>
      <c r="F267" t="s">
        <v>4395</v>
      </c>
      <c r="G267" t="s">
        <v>4410</v>
      </c>
      <c r="H267" t="s">
        <v>3139</v>
      </c>
      <c r="I267" t="s">
        <v>4416</v>
      </c>
      <c r="J267" t="s">
        <v>3088</v>
      </c>
      <c r="K267">
        <v>0</v>
      </c>
      <c r="L267" t="s">
        <v>4398</v>
      </c>
      <c r="M267">
        <v>0</v>
      </c>
      <c r="N267" s="17">
        <v>44860</v>
      </c>
      <c r="O267" s="17">
        <v>44950</v>
      </c>
      <c r="P267" t="s">
        <v>3109</v>
      </c>
      <c r="R267" t="s">
        <v>249</v>
      </c>
      <c r="S267" t="s">
        <v>249</v>
      </c>
      <c r="T267" t="s">
        <v>4417</v>
      </c>
      <c r="U267" t="s">
        <v>4418</v>
      </c>
      <c r="V267" t="s">
        <v>3075</v>
      </c>
    </row>
    <row r="268" spans="1:22" x14ac:dyDescent="0.35">
      <c r="A268" t="s">
        <v>4419</v>
      </c>
      <c r="B268" t="s">
        <v>4420</v>
      </c>
      <c r="C268" t="s">
        <v>4421</v>
      </c>
      <c r="D268" t="s">
        <v>3067</v>
      </c>
      <c r="E268" t="s">
        <v>4394</v>
      </c>
      <c r="F268" t="s">
        <v>4395</v>
      </c>
      <c r="G268" t="s">
        <v>4410</v>
      </c>
      <c r="H268" t="s">
        <v>3139</v>
      </c>
      <c r="I268" t="s">
        <v>89</v>
      </c>
      <c r="J268" t="s">
        <v>3088</v>
      </c>
      <c r="K268">
        <v>0</v>
      </c>
      <c r="L268" t="s">
        <v>4398</v>
      </c>
      <c r="M268">
        <v>1</v>
      </c>
      <c r="N268" s="17">
        <v>0</v>
      </c>
      <c r="O268" s="17">
        <v>45391</v>
      </c>
      <c r="P268" t="s">
        <v>3109</v>
      </c>
      <c r="R268" t="s">
        <v>2734</v>
      </c>
      <c r="S268" t="s">
        <v>3146</v>
      </c>
      <c r="T268" t="s">
        <v>4422</v>
      </c>
      <c r="U268" t="s">
        <v>4423</v>
      </c>
      <c r="V268" t="s">
        <v>3075</v>
      </c>
    </row>
    <row r="269" spans="1:22" x14ac:dyDescent="0.35">
      <c r="A269" t="s">
        <v>4424</v>
      </c>
      <c r="B269" t="s">
        <v>4425</v>
      </c>
      <c r="C269" t="s">
        <v>4426</v>
      </c>
      <c r="D269" t="s">
        <v>3067</v>
      </c>
      <c r="E269" t="s">
        <v>4394</v>
      </c>
      <c r="F269" t="s">
        <v>4395</v>
      </c>
      <c r="G269" t="s">
        <v>4410</v>
      </c>
      <c r="H269" t="s">
        <v>3139</v>
      </c>
      <c r="I269" t="s">
        <v>89</v>
      </c>
      <c r="J269" t="s">
        <v>3088</v>
      </c>
      <c r="K269">
        <v>0</v>
      </c>
      <c r="L269" t="s">
        <v>4398</v>
      </c>
      <c r="M269">
        <v>1</v>
      </c>
      <c r="N269" s="17">
        <v>0</v>
      </c>
      <c r="O269" s="17">
        <v>45504</v>
      </c>
      <c r="P269" t="s">
        <v>3109</v>
      </c>
      <c r="R269" t="s">
        <v>2734</v>
      </c>
      <c r="S269" t="s">
        <v>3146</v>
      </c>
      <c r="T269" t="s">
        <v>4427</v>
      </c>
      <c r="U269" t="s">
        <v>4428</v>
      </c>
      <c r="V269" t="s">
        <v>3075</v>
      </c>
    </row>
    <row r="270" spans="1:22" x14ac:dyDescent="0.35">
      <c r="A270" t="s">
        <v>4429</v>
      </c>
      <c r="B270" t="s">
        <v>4430</v>
      </c>
      <c r="C270" t="s">
        <v>4431</v>
      </c>
      <c r="D270" t="s">
        <v>3317</v>
      </c>
      <c r="E270" t="s">
        <v>4394</v>
      </c>
      <c r="F270" t="s">
        <v>4395</v>
      </c>
      <c r="G270" t="s">
        <v>249</v>
      </c>
      <c r="H270" t="s">
        <v>249</v>
      </c>
      <c r="I270" t="s">
        <v>249</v>
      </c>
      <c r="J270" t="s">
        <v>249</v>
      </c>
      <c r="K270" t="s">
        <v>249</v>
      </c>
      <c r="L270" t="s">
        <v>4398</v>
      </c>
      <c r="M270">
        <v>0</v>
      </c>
      <c r="N270" s="17">
        <v>45031</v>
      </c>
      <c r="O270" s="17">
        <v>45031</v>
      </c>
      <c r="P270" t="s">
        <v>3109</v>
      </c>
      <c r="R270" t="s">
        <v>249</v>
      </c>
      <c r="S270" t="s">
        <v>249</v>
      </c>
      <c r="T270" t="s">
        <v>4432</v>
      </c>
      <c r="U270" t="s">
        <v>4433</v>
      </c>
      <c r="V270" t="s">
        <v>249</v>
      </c>
    </row>
    <row r="271" spans="1:22" x14ac:dyDescent="0.35">
      <c r="A271" t="s">
        <v>4434</v>
      </c>
      <c r="B271" t="s">
        <v>4435</v>
      </c>
      <c r="C271" t="s">
        <v>4436</v>
      </c>
      <c r="D271" t="s">
        <v>3317</v>
      </c>
      <c r="E271" t="s">
        <v>4394</v>
      </c>
      <c r="F271" t="s">
        <v>4395</v>
      </c>
      <c r="G271" t="s">
        <v>153</v>
      </c>
      <c r="H271" t="s">
        <v>3917</v>
      </c>
      <c r="I271" t="s">
        <v>153</v>
      </c>
      <c r="J271" t="s">
        <v>3918</v>
      </c>
      <c r="K271">
        <v>0</v>
      </c>
      <c r="L271" t="s">
        <v>4398</v>
      </c>
      <c r="M271">
        <v>1</v>
      </c>
      <c r="N271" s="17">
        <v>45110</v>
      </c>
      <c r="O271" s="17">
        <v>45160</v>
      </c>
      <c r="P271" t="s">
        <v>3109</v>
      </c>
      <c r="R271" t="s">
        <v>2894</v>
      </c>
      <c r="S271" t="s">
        <v>3434</v>
      </c>
      <c r="T271" t="s">
        <v>4437</v>
      </c>
      <c r="U271" t="s">
        <v>4438</v>
      </c>
      <c r="V271" t="s">
        <v>3852</v>
      </c>
    </row>
    <row r="272" spans="1:22" x14ac:dyDescent="0.35">
      <c r="A272" t="s">
        <v>4439</v>
      </c>
      <c r="B272" t="s">
        <v>4440</v>
      </c>
      <c r="C272" t="s">
        <v>4441</v>
      </c>
      <c r="D272" t="s">
        <v>3317</v>
      </c>
      <c r="E272" t="s">
        <v>4394</v>
      </c>
      <c r="F272" t="s">
        <v>4395</v>
      </c>
      <c r="G272" t="s">
        <v>153</v>
      </c>
      <c r="H272" t="s">
        <v>3917</v>
      </c>
      <c r="I272" t="s">
        <v>153</v>
      </c>
      <c r="J272" t="s">
        <v>3918</v>
      </c>
      <c r="K272">
        <v>0</v>
      </c>
      <c r="L272" t="s">
        <v>4398</v>
      </c>
      <c r="M272">
        <v>1</v>
      </c>
      <c r="N272" s="17">
        <v>0</v>
      </c>
      <c r="O272" s="17">
        <v>45163</v>
      </c>
      <c r="P272" t="s">
        <v>3109</v>
      </c>
      <c r="R272" t="s">
        <v>2041</v>
      </c>
      <c r="S272" t="s">
        <v>3072</v>
      </c>
      <c r="T272" t="s">
        <v>4442</v>
      </c>
      <c r="U272" t="s">
        <v>4443</v>
      </c>
      <c r="V272" t="s">
        <v>3852</v>
      </c>
    </row>
    <row r="273" spans="1:22" x14ac:dyDescent="0.35">
      <c r="A273" t="s">
        <v>4444</v>
      </c>
      <c r="B273" t="s">
        <v>4445</v>
      </c>
      <c r="C273" t="s">
        <v>4446</v>
      </c>
      <c r="D273" t="s">
        <v>3317</v>
      </c>
      <c r="E273" t="s">
        <v>4394</v>
      </c>
      <c r="F273" t="s">
        <v>4395</v>
      </c>
      <c r="G273" t="s">
        <v>249</v>
      </c>
      <c r="H273" t="s">
        <v>249</v>
      </c>
      <c r="I273" t="s">
        <v>249</v>
      </c>
      <c r="J273" t="s">
        <v>249</v>
      </c>
      <c r="K273" t="s">
        <v>249</v>
      </c>
      <c r="L273" t="s">
        <v>4398</v>
      </c>
      <c r="M273">
        <v>0</v>
      </c>
      <c r="N273" s="17">
        <v>44440</v>
      </c>
      <c r="O273" s="17">
        <v>44915</v>
      </c>
      <c r="P273" t="s">
        <v>3109</v>
      </c>
      <c r="R273" t="s">
        <v>2575</v>
      </c>
      <c r="S273" t="s">
        <v>3172</v>
      </c>
      <c r="T273" t="s">
        <v>4447</v>
      </c>
      <c r="U273" t="s">
        <v>4448</v>
      </c>
      <c r="V273" t="s">
        <v>249</v>
      </c>
    </row>
    <row r="274" spans="1:22" x14ac:dyDescent="0.35">
      <c r="A274" t="s">
        <v>4449</v>
      </c>
      <c r="B274" t="s">
        <v>4450</v>
      </c>
      <c r="C274" t="s">
        <v>4451</v>
      </c>
      <c r="D274" t="s">
        <v>3317</v>
      </c>
      <c r="E274" t="s">
        <v>4394</v>
      </c>
      <c r="F274" t="s">
        <v>4395</v>
      </c>
      <c r="G274" t="s">
        <v>4452</v>
      </c>
      <c r="H274" t="s">
        <v>3139</v>
      </c>
      <c r="I274" t="s">
        <v>184</v>
      </c>
      <c r="J274" t="s">
        <v>3088</v>
      </c>
      <c r="K274">
        <v>0</v>
      </c>
      <c r="L274" t="s">
        <v>4398</v>
      </c>
      <c r="M274">
        <v>0</v>
      </c>
      <c r="N274" s="17">
        <v>44514</v>
      </c>
      <c r="O274" s="17">
        <v>44890</v>
      </c>
      <c r="P274" t="s">
        <v>3109</v>
      </c>
      <c r="R274" t="s">
        <v>2041</v>
      </c>
      <c r="S274" t="s">
        <v>3072</v>
      </c>
      <c r="T274" t="s">
        <v>4453</v>
      </c>
      <c r="U274" t="s">
        <v>4454</v>
      </c>
      <c r="V274" t="s">
        <v>3075</v>
      </c>
    </row>
    <row r="275" spans="1:22" x14ac:dyDescent="0.35">
      <c r="A275" t="s">
        <v>4455</v>
      </c>
      <c r="B275" t="s">
        <v>4456</v>
      </c>
      <c r="C275" t="s">
        <v>4457</v>
      </c>
      <c r="D275" t="s">
        <v>3317</v>
      </c>
      <c r="E275" t="s">
        <v>4394</v>
      </c>
      <c r="F275" t="s">
        <v>4395</v>
      </c>
      <c r="G275" t="s">
        <v>4452</v>
      </c>
      <c r="H275" t="s">
        <v>3139</v>
      </c>
      <c r="I275" t="s">
        <v>447</v>
      </c>
      <c r="J275" t="s">
        <v>3088</v>
      </c>
      <c r="K275">
        <v>0</v>
      </c>
      <c r="L275" t="s">
        <v>4398</v>
      </c>
      <c r="M275">
        <v>2</v>
      </c>
      <c r="N275" s="17">
        <v>44925</v>
      </c>
      <c r="O275" s="17">
        <v>44963</v>
      </c>
      <c r="P275" t="s">
        <v>3109</v>
      </c>
      <c r="R275" t="s">
        <v>2734</v>
      </c>
      <c r="S275" t="s">
        <v>3146</v>
      </c>
      <c r="T275" t="s">
        <v>4458</v>
      </c>
      <c r="U275" t="s">
        <v>4459</v>
      </c>
      <c r="V275" t="s">
        <v>3075</v>
      </c>
    </row>
    <row r="276" spans="1:22" x14ac:dyDescent="0.35">
      <c r="A276" t="s">
        <v>4460</v>
      </c>
      <c r="B276" t="s">
        <v>4461</v>
      </c>
      <c r="C276" t="s">
        <v>4462</v>
      </c>
      <c r="D276" t="s">
        <v>3317</v>
      </c>
      <c r="E276" t="s">
        <v>4394</v>
      </c>
      <c r="F276" t="s">
        <v>4395</v>
      </c>
      <c r="G276" t="s">
        <v>4452</v>
      </c>
      <c r="H276" t="s">
        <v>3139</v>
      </c>
      <c r="I276" t="s">
        <v>447</v>
      </c>
      <c r="J276" t="s">
        <v>3088</v>
      </c>
      <c r="K276">
        <v>0</v>
      </c>
      <c r="L276" t="s">
        <v>4398</v>
      </c>
      <c r="M276">
        <v>0</v>
      </c>
      <c r="N276" s="17">
        <v>44925</v>
      </c>
      <c r="O276" s="17">
        <v>44967</v>
      </c>
      <c r="P276" t="s">
        <v>3109</v>
      </c>
      <c r="R276" t="s">
        <v>2734</v>
      </c>
      <c r="S276" t="s">
        <v>3146</v>
      </c>
      <c r="T276" t="s">
        <v>4463</v>
      </c>
      <c r="U276" t="s">
        <v>4464</v>
      </c>
      <c r="V276" t="s">
        <v>3075</v>
      </c>
    </row>
    <row r="277" spans="1:22" x14ac:dyDescent="0.35">
      <c r="A277" t="s">
        <v>4465</v>
      </c>
      <c r="B277" t="s">
        <v>4466</v>
      </c>
      <c r="C277" t="s">
        <v>4467</v>
      </c>
      <c r="D277" t="s">
        <v>3317</v>
      </c>
      <c r="E277" t="s">
        <v>4394</v>
      </c>
      <c r="F277" t="s">
        <v>4395</v>
      </c>
      <c r="G277" t="s">
        <v>4452</v>
      </c>
      <c r="H277" t="s">
        <v>3139</v>
      </c>
      <c r="I277" t="s">
        <v>89</v>
      </c>
      <c r="J277" t="s">
        <v>3088</v>
      </c>
      <c r="K277">
        <v>0</v>
      </c>
      <c r="L277" t="s">
        <v>4398</v>
      </c>
      <c r="M277">
        <v>2</v>
      </c>
      <c r="N277" s="17">
        <v>44925</v>
      </c>
      <c r="O277" s="17">
        <v>44991</v>
      </c>
      <c r="P277" t="s">
        <v>3109</v>
      </c>
      <c r="R277" t="s">
        <v>2041</v>
      </c>
      <c r="S277" t="s">
        <v>3072</v>
      </c>
      <c r="T277" t="s">
        <v>4468</v>
      </c>
      <c r="U277" t="s">
        <v>4469</v>
      </c>
      <c r="V277" t="s">
        <v>3075</v>
      </c>
    </row>
    <row r="278" spans="1:22" x14ac:dyDescent="0.35">
      <c r="A278" t="s">
        <v>4470</v>
      </c>
      <c r="B278" t="s">
        <v>4471</v>
      </c>
      <c r="C278" t="s">
        <v>4472</v>
      </c>
      <c r="D278" t="s">
        <v>3317</v>
      </c>
      <c r="E278" t="s">
        <v>4394</v>
      </c>
      <c r="F278" t="s">
        <v>4395</v>
      </c>
      <c r="G278" t="s">
        <v>249</v>
      </c>
      <c r="H278" t="s">
        <v>249</v>
      </c>
      <c r="I278" t="s">
        <v>249</v>
      </c>
      <c r="J278" t="s">
        <v>249</v>
      </c>
      <c r="K278" t="s">
        <v>249</v>
      </c>
      <c r="L278" t="s">
        <v>4398</v>
      </c>
      <c r="M278">
        <v>0</v>
      </c>
      <c r="N278" s="17">
        <v>44849</v>
      </c>
      <c r="O278" s="17">
        <v>44894</v>
      </c>
      <c r="P278" t="s">
        <v>3109</v>
      </c>
      <c r="R278" t="s">
        <v>249</v>
      </c>
      <c r="S278" t="s">
        <v>249</v>
      </c>
      <c r="T278" t="s">
        <v>4473</v>
      </c>
      <c r="U278" t="s">
        <v>4474</v>
      </c>
      <c r="V278" t="s">
        <v>249</v>
      </c>
    </row>
    <row r="279" spans="1:22" x14ac:dyDescent="0.35">
      <c r="A279" t="s">
        <v>4475</v>
      </c>
      <c r="B279" t="s">
        <v>4476</v>
      </c>
      <c r="C279" t="s">
        <v>4477</v>
      </c>
      <c r="D279" t="s">
        <v>3317</v>
      </c>
      <c r="E279" t="s">
        <v>4394</v>
      </c>
      <c r="F279" t="s">
        <v>4395</v>
      </c>
      <c r="G279" t="s">
        <v>4478</v>
      </c>
      <c r="H279" t="s">
        <v>3139</v>
      </c>
      <c r="I279" t="s">
        <v>447</v>
      </c>
      <c r="J279" t="s">
        <v>3088</v>
      </c>
      <c r="K279">
        <v>0</v>
      </c>
      <c r="L279" t="s">
        <v>4398</v>
      </c>
      <c r="M279">
        <v>1</v>
      </c>
      <c r="N279" s="17">
        <v>44918</v>
      </c>
      <c r="O279" s="17">
        <v>44931</v>
      </c>
      <c r="P279" t="s">
        <v>3109</v>
      </c>
      <c r="R279" t="s">
        <v>249</v>
      </c>
      <c r="S279" t="s">
        <v>249</v>
      </c>
      <c r="T279" t="s">
        <v>4479</v>
      </c>
      <c r="U279" t="s">
        <v>4480</v>
      </c>
      <c r="V279" t="s">
        <v>3075</v>
      </c>
    </row>
    <row r="280" spans="1:22" x14ac:dyDescent="0.35">
      <c r="A280" t="s">
        <v>4481</v>
      </c>
      <c r="B280" t="s">
        <v>4482</v>
      </c>
      <c r="C280" t="s">
        <v>4483</v>
      </c>
      <c r="D280" t="s">
        <v>3317</v>
      </c>
      <c r="E280" t="s">
        <v>4394</v>
      </c>
      <c r="F280" t="s">
        <v>4395</v>
      </c>
      <c r="G280" t="s">
        <v>249</v>
      </c>
      <c r="H280" t="s">
        <v>249</v>
      </c>
      <c r="I280" t="s">
        <v>249</v>
      </c>
      <c r="J280" t="s">
        <v>249</v>
      </c>
      <c r="K280" t="s">
        <v>249</v>
      </c>
      <c r="L280" t="s">
        <v>4398</v>
      </c>
      <c r="M280">
        <v>0</v>
      </c>
      <c r="N280" s="17">
        <v>44335</v>
      </c>
      <c r="O280" s="17">
        <v>44939</v>
      </c>
      <c r="P280" t="s">
        <v>3109</v>
      </c>
      <c r="R280" t="s">
        <v>2575</v>
      </c>
      <c r="S280" t="s">
        <v>3172</v>
      </c>
      <c r="T280" t="s">
        <v>4484</v>
      </c>
      <c r="U280" t="s">
        <v>4485</v>
      </c>
      <c r="V280" t="s">
        <v>249</v>
      </c>
    </row>
    <row r="281" spans="1:22" x14ac:dyDescent="0.35">
      <c r="A281" t="s">
        <v>4486</v>
      </c>
      <c r="B281" t="s">
        <v>4487</v>
      </c>
      <c r="C281" t="s">
        <v>4488</v>
      </c>
      <c r="D281" t="s">
        <v>3317</v>
      </c>
      <c r="E281" t="s">
        <v>4394</v>
      </c>
      <c r="F281" t="s">
        <v>4395</v>
      </c>
      <c r="G281" t="s">
        <v>4410</v>
      </c>
      <c r="H281" t="s">
        <v>3139</v>
      </c>
      <c r="I281" t="s">
        <v>89</v>
      </c>
      <c r="J281" t="s">
        <v>3088</v>
      </c>
      <c r="K281">
        <v>0</v>
      </c>
      <c r="L281" t="s">
        <v>4398</v>
      </c>
      <c r="M281">
        <v>0</v>
      </c>
      <c r="N281" s="17">
        <v>44813</v>
      </c>
      <c r="O281" s="17">
        <v>44904</v>
      </c>
      <c r="P281" t="s">
        <v>3109</v>
      </c>
      <c r="R281" t="s">
        <v>249</v>
      </c>
      <c r="S281" t="s">
        <v>249</v>
      </c>
      <c r="T281" t="s">
        <v>4489</v>
      </c>
      <c r="U281" t="s">
        <v>4490</v>
      </c>
      <c r="V281" t="s">
        <v>3075</v>
      </c>
    </row>
    <row r="282" spans="1:22" x14ac:dyDescent="0.35">
      <c r="A282" t="s">
        <v>4491</v>
      </c>
      <c r="B282" t="s">
        <v>4492</v>
      </c>
      <c r="C282" t="s">
        <v>4493</v>
      </c>
      <c r="D282" t="s">
        <v>3317</v>
      </c>
      <c r="E282" t="s">
        <v>4394</v>
      </c>
      <c r="F282" t="s">
        <v>4395</v>
      </c>
      <c r="G282" t="s">
        <v>4410</v>
      </c>
      <c r="H282" t="s">
        <v>3139</v>
      </c>
      <c r="I282" t="s">
        <v>89</v>
      </c>
      <c r="J282" t="s">
        <v>3088</v>
      </c>
      <c r="K282">
        <v>0</v>
      </c>
      <c r="L282" t="s">
        <v>4398</v>
      </c>
      <c r="M282">
        <v>0</v>
      </c>
      <c r="N282" s="17">
        <v>44840</v>
      </c>
      <c r="O282" s="17">
        <v>44885</v>
      </c>
      <c r="P282" t="s">
        <v>3109</v>
      </c>
      <c r="R282" t="s">
        <v>249</v>
      </c>
      <c r="S282" t="s">
        <v>249</v>
      </c>
      <c r="T282" t="s">
        <v>4494</v>
      </c>
      <c r="U282" t="s">
        <v>4495</v>
      </c>
      <c r="V282" t="s">
        <v>3075</v>
      </c>
    </row>
    <row r="283" spans="1:22" x14ac:dyDescent="0.35">
      <c r="A283" t="s">
        <v>4496</v>
      </c>
      <c r="B283" t="s">
        <v>4497</v>
      </c>
      <c r="C283" t="s">
        <v>4498</v>
      </c>
      <c r="D283" t="s">
        <v>3317</v>
      </c>
      <c r="E283" t="s">
        <v>4394</v>
      </c>
      <c r="F283" t="s">
        <v>4395</v>
      </c>
      <c r="G283" t="s">
        <v>249</v>
      </c>
      <c r="H283" t="s">
        <v>249</v>
      </c>
      <c r="I283" t="s">
        <v>249</v>
      </c>
      <c r="J283" t="s">
        <v>249</v>
      </c>
      <c r="K283" t="s">
        <v>249</v>
      </c>
      <c r="L283" t="s">
        <v>4398</v>
      </c>
      <c r="M283">
        <v>0</v>
      </c>
      <c r="N283" s="17">
        <v>44810</v>
      </c>
      <c r="O283" s="17">
        <v>45175</v>
      </c>
      <c r="P283" t="s">
        <v>3109</v>
      </c>
      <c r="R283" t="s">
        <v>249</v>
      </c>
      <c r="S283" t="s">
        <v>249</v>
      </c>
      <c r="T283" t="s">
        <v>4499</v>
      </c>
      <c r="U283" t="s">
        <v>4500</v>
      </c>
      <c r="V283" t="s">
        <v>249</v>
      </c>
    </row>
    <row r="284" spans="1:22" x14ac:dyDescent="0.35">
      <c r="A284" t="s">
        <v>4501</v>
      </c>
      <c r="B284" t="s">
        <v>4502</v>
      </c>
      <c r="C284" t="s">
        <v>4503</v>
      </c>
      <c r="D284" t="s">
        <v>3317</v>
      </c>
      <c r="E284" t="s">
        <v>4394</v>
      </c>
      <c r="F284" t="s">
        <v>4395</v>
      </c>
      <c r="G284" t="s">
        <v>153</v>
      </c>
      <c r="H284" t="s">
        <v>3917</v>
      </c>
      <c r="I284" t="s">
        <v>153</v>
      </c>
      <c r="J284" t="s">
        <v>3918</v>
      </c>
      <c r="K284">
        <v>0</v>
      </c>
      <c r="L284" t="s">
        <v>4398</v>
      </c>
      <c r="M284">
        <v>1</v>
      </c>
      <c r="N284" s="17">
        <v>45117</v>
      </c>
      <c r="O284" s="17">
        <v>45169</v>
      </c>
      <c r="P284" t="s">
        <v>3109</v>
      </c>
      <c r="R284" t="s">
        <v>2041</v>
      </c>
      <c r="S284" t="s">
        <v>3072</v>
      </c>
      <c r="T284" t="s">
        <v>4504</v>
      </c>
      <c r="U284" t="s">
        <v>4505</v>
      </c>
      <c r="V284" t="s">
        <v>3852</v>
      </c>
    </row>
    <row r="285" spans="1:22" x14ac:dyDescent="0.35">
      <c r="A285" t="s">
        <v>4506</v>
      </c>
      <c r="B285" t="s">
        <v>4507</v>
      </c>
      <c r="C285" t="s">
        <v>4508</v>
      </c>
      <c r="D285" t="s">
        <v>3317</v>
      </c>
      <c r="E285" t="s">
        <v>4394</v>
      </c>
      <c r="F285" t="s">
        <v>4395</v>
      </c>
      <c r="G285" t="s">
        <v>153</v>
      </c>
      <c r="H285" t="s">
        <v>3917</v>
      </c>
      <c r="I285" t="s">
        <v>153</v>
      </c>
      <c r="J285" t="s">
        <v>3918</v>
      </c>
      <c r="K285">
        <v>0</v>
      </c>
      <c r="L285" t="s">
        <v>4398</v>
      </c>
      <c r="M285">
        <v>1</v>
      </c>
      <c r="N285" s="17">
        <v>45160</v>
      </c>
      <c r="O285" s="17">
        <v>45195</v>
      </c>
      <c r="P285" t="s">
        <v>3109</v>
      </c>
      <c r="R285" t="s">
        <v>2894</v>
      </c>
      <c r="S285" t="s">
        <v>3434</v>
      </c>
      <c r="T285" t="s">
        <v>4509</v>
      </c>
      <c r="U285" t="s">
        <v>4510</v>
      </c>
      <c r="V285" t="s">
        <v>3852</v>
      </c>
    </row>
    <row r="286" spans="1:22" x14ac:dyDescent="0.35">
      <c r="A286" t="s">
        <v>4511</v>
      </c>
      <c r="B286" t="s">
        <v>4512</v>
      </c>
      <c r="C286" t="s">
        <v>4513</v>
      </c>
      <c r="D286" t="s">
        <v>3317</v>
      </c>
      <c r="E286" t="s">
        <v>4394</v>
      </c>
      <c r="F286" t="s">
        <v>4395</v>
      </c>
      <c r="G286" t="s">
        <v>153</v>
      </c>
      <c r="H286" t="s">
        <v>3917</v>
      </c>
      <c r="I286" t="s">
        <v>153</v>
      </c>
      <c r="J286" t="s">
        <v>3918</v>
      </c>
      <c r="K286">
        <v>0</v>
      </c>
      <c r="L286" t="s">
        <v>4398</v>
      </c>
      <c r="M286">
        <v>1</v>
      </c>
      <c r="N286" s="17">
        <v>45230</v>
      </c>
      <c r="O286" s="17">
        <v>45260</v>
      </c>
      <c r="P286" t="s">
        <v>3109</v>
      </c>
      <c r="R286" t="s">
        <v>2512</v>
      </c>
      <c r="S286" t="s">
        <v>3072</v>
      </c>
      <c r="T286" t="s">
        <v>4514</v>
      </c>
      <c r="U286" t="s">
        <v>4515</v>
      </c>
      <c r="V286" t="s">
        <v>3852</v>
      </c>
    </row>
    <row r="287" spans="1:22" x14ac:dyDescent="0.35">
      <c r="A287" t="s">
        <v>4516</v>
      </c>
      <c r="B287" t="s">
        <v>4517</v>
      </c>
      <c r="C287" t="s">
        <v>4518</v>
      </c>
      <c r="D287" t="s">
        <v>3317</v>
      </c>
      <c r="E287" t="s">
        <v>4394</v>
      </c>
      <c r="F287" t="s">
        <v>4395</v>
      </c>
      <c r="G287" t="s">
        <v>153</v>
      </c>
      <c r="H287" t="s">
        <v>3917</v>
      </c>
      <c r="I287" t="s">
        <v>153</v>
      </c>
      <c r="J287" t="s">
        <v>3918</v>
      </c>
      <c r="K287">
        <v>0</v>
      </c>
      <c r="L287" t="s">
        <v>4398</v>
      </c>
      <c r="M287">
        <v>1</v>
      </c>
      <c r="N287" s="17">
        <v>45230</v>
      </c>
      <c r="O287" s="17">
        <v>45290</v>
      </c>
      <c r="P287" t="s">
        <v>3109</v>
      </c>
      <c r="R287" t="s">
        <v>2041</v>
      </c>
      <c r="S287" t="s">
        <v>3072</v>
      </c>
      <c r="T287" t="s">
        <v>4519</v>
      </c>
      <c r="U287" t="s">
        <v>4520</v>
      </c>
      <c r="V287" t="s">
        <v>3852</v>
      </c>
    </row>
    <row r="288" spans="1:22" x14ac:dyDescent="0.35">
      <c r="A288" t="s">
        <v>4521</v>
      </c>
      <c r="B288" t="s">
        <v>4522</v>
      </c>
      <c r="C288" t="s">
        <v>4523</v>
      </c>
      <c r="D288" t="s">
        <v>3317</v>
      </c>
      <c r="E288" t="s">
        <v>4394</v>
      </c>
      <c r="F288" t="s">
        <v>4395</v>
      </c>
      <c r="G288" t="s">
        <v>153</v>
      </c>
      <c r="H288" t="s">
        <v>3917</v>
      </c>
      <c r="I288" t="s">
        <v>153</v>
      </c>
      <c r="J288" t="s">
        <v>3918</v>
      </c>
      <c r="K288">
        <v>0</v>
      </c>
      <c r="L288" t="s">
        <v>4398</v>
      </c>
      <c r="M288">
        <v>1</v>
      </c>
      <c r="N288" s="17">
        <v>45247</v>
      </c>
      <c r="O288" s="17">
        <v>45303</v>
      </c>
      <c r="P288" t="s">
        <v>3109</v>
      </c>
      <c r="R288" t="s">
        <v>2041</v>
      </c>
      <c r="S288" t="s">
        <v>3072</v>
      </c>
      <c r="T288" t="s">
        <v>4524</v>
      </c>
      <c r="U288" t="s">
        <v>4525</v>
      </c>
      <c r="V288" t="s">
        <v>3852</v>
      </c>
    </row>
    <row r="289" spans="1:22" x14ac:dyDescent="0.35">
      <c r="A289" t="s">
        <v>4526</v>
      </c>
      <c r="B289" t="s">
        <v>4527</v>
      </c>
      <c r="C289" t="s">
        <v>4528</v>
      </c>
      <c r="D289" t="s">
        <v>3317</v>
      </c>
      <c r="E289" t="s">
        <v>4394</v>
      </c>
      <c r="F289" t="s">
        <v>4395</v>
      </c>
      <c r="G289" t="s">
        <v>153</v>
      </c>
      <c r="H289" t="s">
        <v>3917</v>
      </c>
      <c r="I289" t="s">
        <v>153</v>
      </c>
      <c r="J289" t="s">
        <v>3918</v>
      </c>
      <c r="K289">
        <v>0</v>
      </c>
      <c r="L289" t="s">
        <v>4398</v>
      </c>
      <c r="M289">
        <v>1</v>
      </c>
      <c r="N289" s="17">
        <v>45247</v>
      </c>
      <c r="O289" s="17">
        <v>45291</v>
      </c>
      <c r="P289" t="s">
        <v>3109</v>
      </c>
      <c r="R289" t="s">
        <v>2041</v>
      </c>
      <c r="S289" t="s">
        <v>3072</v>
      </c>
      <c r="T289" t="s">
        <v>4529</v>
      </c>
      <c r="U289" t="s">
        <v>4530</v>
      </c>
      <c r="V289" t="s">
        <v>3852</v>
      </c>
    </row>
    <row r="290" spans="1:22" x14ac:dyDescent="0.35">
      <c r="A290" t="s">
        <v>4531</v>
      </c>
      <c r="B290" t="s">
        <v>4532</v>
      </c>
      <c r="C290" t="s">
        <v>4533</v>
      </c>
      <c r="D290" t="s">
        <v>3317</v>
      </c>
      <c r="E290" t="s">
        <v>4394</v>
      </c>
      <c r="F290" t="s">
        <v>4395</v>
      </c>
      <c r="G290" t="s">
        <v>557</v>
      </c>
      <c r="H290" t="s">
        <v>3069</v>
      </c>
      <c r="I290" t="s">
        <v>4534</v>
      </c>
      <c r="J290" t="s">
        <v>4535</v>
      </c>
      <c r="K290">
        <v>0</v>
      </c>
      <c r="L290" t="s">
        <v>4398</v>
      </c>
      <c r="M290">
        <v>1</v>
      </c>
      <c r="N290" s="17">
        <v>45275</v>
      </c>
      <c r="O290" s="17">
        <v>45641</v>
      </c>
      <c r="P290" t="s">
        <v>3109</v>
      </c>
      <c r="R290" t="s">
        <v>3991</v>
      </c>
      <c r="S290" t="s">
        <v>3172</v>
      </c>
      <c r="T290" t="s">
        <v>4536</v>
      </c>
      <c r="U290" t="s">
        <v>4537</v>
      </c>
      <c r="V290" t="s">
        <v>3075</v>
      </c>
    </row>
    <row r="291" spans="1:22" x14ac:dyDescent="0.35">
      <c r="A291" t="s">
        <v>4538</v>
      </c>
      <c r="B291" t="s">
        <v>4539</v>
      </c>
      <c r="C291" t="s">
        <v>4540</v>
      </c>
      <c r="D291" t="s">
        <v>3317</v>
      </c>
      <c r="E291" t="s">
        <v>4394</v>
      </c>
      <c r="F291" t="s">
        <v>4395</v>
      </c>
      <c r="G291" t="s">
        <v>557</v>
      </c>
      <c r="H291" t="s">
        <v>3069</v>
      </c>
      <c r="I291" t="s">
        <v>4534</v>
      </c>
      <c r="J291" t="s">
        <v>4535</v>
      </c>
      <c r="K291">
        <v>0</v>
      </c>
      <c r="L291" t="s">
        <v>4398</v>
      </c>
      <c r="M291">
        <v>1</v>
      </c>
      <c r="N291" s="17">
        <v>45275</v>
      </c>
      <c r="O291" s="17">
        <v>45641</v>
      </c>
      <c r="P291" t="s">
        <v>3109</v>
      </c>
      <c r="R291" t="s">
        <v>3991</v>
      </c>
      <c r="S291" t="s">
        <v>3172</v>
      </c>
      <c r="T291" t="s">
        <v>4541</v>
      </c>
      <c r="U291" t="s">
        <v>4542</v>
      </c>
      <c r="V291" t="s">
        <v>3075</v>
      </c>
    </row>
    <row r="292" spans="1:22" x14ac:dyDescent="0.35">
      <c r="A292" t="s">
        <v>4543</v>
      </c>
      <c r="B292" t="s">
        <v>4544</v>
      </c>
      <c r="C292" t="s">
        <v>4545</v>
      </c>
      <c r="D292" t="s">
        <v>3317</v>
      </c>
      <c r="E292" t="s">
        <v>4394</v>
      </c>
      <c r="F292" t="s">
        <v>4395</v>
      </c>
      <c r="G292" t="s">
        <v>4546</v>
      </c>
      <c r="H292" t="s">
        <v>249</v>
      </c>
      <c r="I292" t="s">
        <v>4547</v>
      </c>
      <c r="J292" t="s">
        <v>3088</v>
      </c>
      <c r="K292">
        <v>0</v>
      </c>
      <c r="L292" t="s">
        <v>4398</v>
      </c>
      <c r="M292">
        <v>1</v>
      </c>
      <c r="N292" s="17">
        <v>45320</v>
      </c>
      <c r="O292" s="17">
        <v>45337</v>
      </c>
      <c r="P292" t="s">
        <v>3109</v>
      </c>
      <c r="R292" t="s">
        <v>2041</v>
      </c>
      <c r="S292" t="s">
        <v>3072</v>
      </c>
      <c r="T292" t="s">
        <v>4548</v>
      </c>
      <c r="U292" t="s">
        <v>4549</v>
      </c>
      <c r="V292" t="s">
        <v>3075</v>
      </c>
    </row>
    <row r="293" spans="1:22" x14ac:dyDescent="0.35">
      <c r="A293" t="s">
        <v>4550</v>
      </c>
      <c r="B293" t="s">
        <v>4551</v>
      </c>
      <c r="C293" t="s">
        <v>4552</v>
      </c>
      <c r="D293" t="s">
        <v>3317</v>
      </c>
      <c r="E293" t="s">
        <v>4394</v>
      </c>
      <c r="F293" t="s">
        <v>4395</v>
      </c>
      <c r="G293" t="s">
        <v>4553</v>
      </c>
      <c r="H293" t="s">
        <v>3139</v>
      </c>
      <c r="I293" t="s">
        <v>4553</v>
      </c>
      <c r="J293" t="s">
        <v>3153</v>
      </c>
      <c r="K293">
        <v>0</v>
      </c>
      <c r="L293" t="s">
        <v>4398</v>
      </c>
      <c r="M293">
        <v>0</v>
      </c>
      <c r="N293" s="17">
        <v>44928</v>
      </c>
      <c r="O293" s="17">
        <v>45292</v>
      </c>
      <c r="P293" t="s">
        <v>3109</v>
      </c>
      <c r="R293" t="s">
        <v>2575</v>
      </c>
      <c r="S293" t="s">
        <v>3172</v>
      </c>
      <c r="T293" t="s">
        <v>4554</v>
      </c>
      <c r="U293" t="s">
        <v>4555</v>
      </c>
      <c r="V293" t="s">
        <v>3852</v>
      </c>
    </row>
    <row r="294" spans="1:22" x14ac:dyDescent="0.35">
      <c r="A294" t="s">
        <v>4556</v>
      </c>
      <c r="B294" t="s">
        <v>4557</v>
      </c>
      <c r="C294" t="s">
        <v>4558</v>
      </c>
      <c r="D294" t="s">
        <v>3317</v>
      </c>
      <c r="E294" t="s">
        <v>4394</v>
      </c>
      <c r="F294" t="s">
        <v>4395</v>
      </c>
      <c r="G294" t="s">
        <v>4478</v>
      </c>
      <c r="H294" t="s">
        <v>3139</v>
      </c>
      <c r="I294" t="s">
        <v>89</v>
      </c>
      <c r="J294" t="s">
        <v>3088</v>
      </c>
      <c r="K294">
        <v>0</v>
      </c>
      <c r="L294" t="s">
        <v>4398</v>
      </c>
      <c r="M294">
        <v>0</v>
      </c>
      <c r="N294" s="17">
        <v>44718</v>
      </c>
      <c r="O294" s="17">
        <v>45084</v>
      </c>
      <c r="P294" t="s">
        <v>3109</v>
      </c>
      <c r="R294" t="s">
        <v>2734</v>
      </c>
      <c r="S294" t="s">
        <v>3146</v>
      </c>
      <c r="T294" t="s">
        <v>4559</v>
      </c>
      <c r="U294" t="s">
        <v>4560</v>
      </c>
      <c r="V294" t="s">
        <v>3075</v>
      </c>
    </row>
    <row r="295" spans="1:22" x14ac:dyDescent="0.35">
      <c r="A295" t="s">
        <v>4561</v>
      </c>
      <c r="B295" t="s">
        <v>4562</v>
      </c>
      <c r="C295" t="s">
        <v>4563</v>
      </c>
      <c r="D295" t="s">
        <v>3317</v>
      </c>
      <c r="E295" t="s">
        <v>4394</v>
      </c>
      <c r="F295" t="s">
        <v>4395</v>
      </c>
      <c r="G295" t="s">
        <v>4478</v>
      </c>
      <c r="H295" t="s">
        <v>3139</v>
      </c>
      <c r="I295" t="s">
        <v>89</v>
      </c>
      <c r="J295" t="s">
        <v>3088</v>
      </c>
      <c r="K295">
        <v>0</v>
      </c>
      <c r="L295" t="s">
        <v>4398</v>
      </c>
      <c r="M295">
        <v>1</v>
      </c>
      <c r="N295" s="17">
        <v>45231</v>
      </c>
      <c r="O295" s="17">
        <v>45316</v>
      </c>
      <c r="P295" t="s">
        <v>3109</v>
      </c>
      <c r="R295" t="s">
        <v>2041</v>
      </c>
      <c r="S295" t="s">
        <v>3072</v>
      </c>
      <c r="T295" t="s">
        <v>4564</v>
      </c>
      <c r="U295" t="s">
        <v>4565</v>
      </c>
      <c r="V295" t="s">
        <v>3075</v>
      </c>
    </row>
    <row r="296" spans="1:22" x14ac:dyDescent="0.35">
      <c r="A296" t="s">
        <v>4566</v>
      </c>
      <c r="B296" t="s">
        <v>4567</v>
      </c>
      <c r="C296" t="s">
        <v>4568</v>
      </c>
      <c r="D296" t="s">
        <v>3317</v>
      </c>
      <c r="E296" t="s">
        <v>4394</v>
      </c>
      <c r="F296" t="s">
        <v>4395</v>
      </c>
      <c r="G296" t="s">
        <v>4478</v>
      </c>
      <c r="H296" t="s">
        <v>3139</v>
      </c>
      <c r="I296" t="s">
        <v>89</v>
      </c>
      <c r="J296" t="s">
        <v>3088</v>
      </c>
      <c r="K296">
        <v>0</v>
      </c>
      <c r="L296" t="s">
        <v>4398</v>
      </c>
      <c r="M296">
        <v>1</v>
      </c>
      <c r="N296" s="17">
        <v>45273</v>
      </c>
      <c r="O296" s="17">
        <v>45335</v>
      </c>
      <c r="P296" t="s">
        <v>3109</v>
      </c>
      <c r="R296" t="s">
        <v>2512</v>
      </c>
      <c r="S296" t="s">
        <v>3072</v>
      </c>
      <c r="T296" t="s">
        <v>4569</v>
      </c>
      <c r="U296" t="s">
        <v>4570</v>
      </c>
      <c r="V296" t="s">
        <v>3075</v>
      </c>
    </row>
    <row r="297" spans="1:22" x14ac:dyDescent="0.35">
      <c r="A297" t="s">
        <v>4571</v>
      </c>
      <c r="B297" t="s">
        <v>4572</v>
      </c>
      <c r="C297" t="s">
        <v>4573</v>
      </c>
      <c r="D297" t="s">
        <v>3317</v>
      </c>
      <c r="E297" t="s">
        <v>4394</v>
      </c>
      <c r="F297" t="s">
        <v>4395</v>
      </c>
      <c r="G297" t="s">
        <v>4478</v>
      </c>
      <c r="H297" t="s">
        <v>3139</v>
      </c>
      <c r="I297" t="s">
        <v>184</v>
      </c>
      <c r="J297" t="s">
        <v>3088</v>
      </c>
      <c r="K297">
        <v>0</v>
      </c>
      <c r="L297" t="s">
        <v>4398</v>
      </c>
      <c r="M297">
        <v>1</v>
      </c>
      <c r="N297" s="17">
        <v>45303</v>
      </c>
      <c r="O297" s="17">
        <v>45455</v>
      </c>
      <c r="P297" t="s">
        <v>3109</v>
      </c>
      <c r="R297" t="s">
        <v>2041</v>
      </c>
      <c r="S297" t="s">
        <v>3072</v>
      </c>
      <c r="T297" t="s">
        <v>4574</v>
      </c>
      <c r="U297" t="s">
        <v>4575</v>
      </c>
      <c r="V297" t="s">
        <v>3075</v>
      </c>
    </row>
    <row r="298" spans="1:22" x14ac:dyDescent="0.35">
      <c r="A298" t="s">
        <v>3328</v>
      </c>
      <c r="B298" t="s">
        <v>3329</v>
      </c>
      <c r="C298" t="s">
        <v>4576</v>
      </c>
      <c r="D298" t="s">
        <v>3317</v>
      </c>
      <c r="E298" t="s">
        <v>4394</v>
      </c>
      <c r="F298" t="s">
        <v>4395</v>
      </c>
      <c r="G298" t="s">
        <v>3086</v>
      </c>
      <c r="H298" t="s">
        <v>3087</v>
      </c>
      <c r="I298" t="s">
        <v>89</v>
      </c>
      <c r="J298" t="s">
        <v>3088</v>
      </c>
      <c r="K298">
        <v>0</v>
      </c>
      <c r="L298" t="s">
        <v>4398</v>
      </c>
      <c r="M298">
        <v>0</v>
      </c>
      <c r="N298" s="17">
        <v>44562</v>
      </c>
      <c r="O298" s="17">
        <v>44925</v>
      </c>
      <c r="P298" t="s">
        <v>3109</v>
      </c>
      <c r="R298" t="s">
        <v>2041</v>
      </c>
      <c r="S298" t="s">
        <v>3072</v>
      </c>
      <c r="T298" t="s">
        <v>4577</v>
      </c>
      <c r="U298" t="s">
        <v>4578</v>
      </c>
      <c r="V298" t="s">
        <v>3075</v>
      </c>
    </row>
    <row r="299" spans="1:22" x14ac:dyDescent="0.35">
      <c r="A299" t="s">
        <v>4579</v>
      </c>
      <c r="B299" t="s">
        <v>4580</v>
      </c>
      <c r="C299" t="s">
        <v>4581</v>
      </c>
      <c r="D299" t="s">
        <v>3317</v>
      </c>
      <c r="E299" t="s">
        <v>4394</v>
      </c>
      <c r="F299" t="s">
        <v>4395</v>
      </c>
      <c r="G299" t="s">
        <v>990</v>
      </c>
      <c r="H299" t="s">
        <v>3087</v>
      </c>
      <c r="I299" t="s">
        <v>990</v>
      </c>
      <c r="J299" t="s">
        <v>3107</v>
      </c>
      <c r="K299">
        <v>0</v>
      </c>
      <c r="L299" t="s">
        <v>4398</v>
      </c>
      <c r="M299">
        <v>2</v>
      </c>
      <c r="N299" s="17">
        <v>45139</v>
      </c>
      <c r="O299" s="17">
        <v>45260</v>
      </c>
      <c r="P299" t="s">
        <v>3109</v>
      </c>
      <c r="R299" t="s">
        <v>249</v>
      </c>
      <c r="S299" t="s">
        <v>249</v>
      </c>
      <c r="T299" t="s">
        <v>4582</v>
      </c>
      <c r="U299" t="s">
        <v>4583</v>
      </c>
      <c r="V299" t="s">
        <v>3852</v>
      </c>
    </row>
    <row r="300" spans="1:22" x14ac:dyDescent="0.35">
      <c r="A300" t="s">
        <v>4584</v>
      </c>
      <c r="B300" t="s">
        <v>4585</v>
      </c>
      <c r="C300" t="s">
        <v>4586</v>
      </c>
      <c r="D300" t="s">
        <v>3317</v>
      </c>
      <c r="E300" t="s">
        <v>4394</v>
      </c>
      <c r="F300" t="s">
        <v>4395</v>
      </c>
      <c r="G300" t="s">
        <v>990</v>
      </c>
      <c r="H300" t="s">
        <v>3087</v>
      </c>
      <c r="I300" t="s">
        <v>132</v>
      </c>
      <c r="J300" t="s">
        <v>3070</v>
      </c>
      <c r="K300">
        <v>0</v>
      </c>
      <c r="L300" t="s">
        <v>4398</v>
      </c>
      <c r="M300">
        <v>1</v>
      </c>
      <c r="N300" s="17">
        <v>45415</v>
      </c>
      <c r="O300" s="17">
        <v>45445</v>
      </c>
      <c r="P300" t="s">
        <v>3109</v>
      </c>
      <c r="R300" t="s">
        <v>2041</v>
      </c>
      <c r="S300" t="s">
        <v>3072</v>
      </c>
      <c r="T300" t="s">
        <v>4587</v>
      </c>
      <c r="U300" t="s">
        <v>4588</v>
      </c>
      <c r="V300" t="s">
        <v>3075</v>
      </c>
    </row>
    <row r="301" spans="1:22" x14ac:dyDescent="0.35">
      <c r="A301" t="s">
        <v>4589</v>
      </c>
      <c r="B301" t="s">
        <v>4590</v>
      </c>
      <c r="C301" t="s">
        <v>4591</v>
      </c>
      <c r="D301" t="s">
        <v>3317</v>
      </c>
      <c r="E301" t="s">
        <v>4394</v>
      </c>
      <c r="F301" t="s">
        <v>4395</v>
      </c>
      <c r="G301" t="s">
        <v>4592</v>
      </c>
      <c r="H301" t="s">
        <v>3087</v>
      </c>
      <c r="I301" t="s">
        <v>4592</v>
      </c>
      <c r="J301" t="s">
        <v>3107</v>
      </c>
      <c r="K301">
        <v>0</v>
      </c>
      <c r="L301" t="s">
        <v>4398</v>
      </c>
      <c r="M301">
        <v>1</v>
      </c>
      <c r="N301" s="17">
        <v>45230</v>
      </c>
      <c r="O301" s="17">
        <v>45279</v>
      </c>
      <c r="P301" t="s">
        <v>3109</v>
      </c>
      <c r="R301" t="s">
        <v>2734</v>
      </c>
      <c r="S301" t="s">
        <v>3146</v>
      </c>
      <c r="T301" t="s">
        <v>4593</v>
      </c>
      <c r="U301" t="s">
        <v>4594</v>
      </c>
      <c r="V301" t="s">
        <v>3852</v>
      </c>
    </row>
    <row r="302" spans="1:22" x14ac:dyDescent="0.35">
      <c r="A302" t="s">
        <v>4595</v>
      </c>
      <c r="B302" t="s">
        <v>4596</v>
      </c>
      <c r="C302" t="s">
        <v>4597</v>
      </c>
      <c r="D302" t="s">
        <v>3317</v>
      </c>
      <c r="E302" t="s">
        <v>4394</v>
      </c>
      <c r="F302" t="s">
        <v>4395</v>
      </c>
      <c r="G302" t="s">
        <v>235</v>
      </c>
      <c r="H302" t="s">
        <v>3139</v>
      </c>
      <c r="I302" t="s">
        <v>89</v>
      </c>
      <c r="J302" t="s">
        <v>3088</v>
      </c>
      <c r="K302">
        <v>0</v>
      </c>
      <c r="L302" t="s">
        <v>4398</v>
      </c>
      <c r="M302">
        <v>1</v>
      </c>
      <c r="N302" s="17">
        <v>0</v>
      </c>
      <c r="O302" s="17">
        <v>0</v>
      </c>
      <c r="P302" t="s">
        <v>3109</v>
      </c>
      <c r="R302" t="s">
        <v>249</v>
      </c>
      <c r="S302" t="s">
        <v>249</v>
      </c>
      <c r="T302" t="s">
        <v>4598</v>
      </c>
      <c r="U302" t="s">
        <v>4599</v>
      </c>
      <c r="V302" t="s">
        <v>3075</v>
      </c>
    </row>
    <row r="303" spans="1:22" x14ac:dyDescent="0.35">
      <c r="A303" t="s">
        <v>4600</v>
      </c>
      <c r="B303" t="s">
        <v>4601</v>
      </c>
      <c r="C303" t="s">
        <v>4602</v>
      </c>
      <c r="D303" t="s">
        <v>3317</v>
      </c>
      <c r="E303" t="s">
        <v>4394</v>
      </c>
      <c r="F303" t="s">
        <v>4395</v>
      </c>
      <c r="G303" t="s">
        <v>235</v>
      </c>
      <c r="H303" t="s">
        <v>3139</v>
      </c>
      <c r="I303" t="s">
        <v>4603</v>
      </c>
      <c r="J303" t="s">
        <v>4604</v>
      </c>
      <c r="K303">
        <v>0</v>
      </c>
      <c r="L303" t="s">
        <v>4398</v>
      </c>
      <c r="M303">
        <v>1</v>
      </c>
      <c r="N303" s="17">
        <v>45388</v>
      </c>
      <c r="O303" s="17">
        <v>45418</v>
      </c>
      <c r="P303" t="s">
        <v>3109</v>
      </c>
      <c r="R303" t="s">
        <v>2894</v>
      </c>
      <c r="S303" t="s">
        <v>3434</v>
      </c>
      <c r="T303" t="s">
        <v>4605</v>
      </c>
      <c r="U303" t="s">
        <v>4606</v>
      </c>
      <c r="V303" t="s">
        <v>3075</v>
      </c>
    </row>
    <row r="304" spans="1:22" x14ac:dyDescent="0.35">
      <c r="A304" t="s">
        <v>4607</v>
      </c>
      <c r="B304" t="s">
        <v>4608</v>
      </c>
      <c r="C304" t="s">
        <v>4609</v>
      </c>
      <c r="D304" t="s">
        <v>3317</v>
      </c>
      <c r="E304" t="s">
        <v>4394</v>
      </c>
      <c r="F304" t="s">
        <v>4395</v>
      </c>
      <c r="G304" t="s">
        <v>219</v>
      </c>
      <c r="H304" t="s">
        <v>3087</v>
      </c>
      <c r="I304" t="s">
        <v>4610</v>
      </c>
      <c r="J304" t="s">
        <v>3989</v>
      </c>
      <c r="K304">
        <v>0</v>
      </c>
      <c r="L304" t="s">
        <v>4398</v>
      </c>
      <c r="M304">
        <v>1</v>
      </c>
      <c r="N304" s="17">
        <v>45461</v>
      </c>
      <c r="O304" s="17">
        <v>45493</v>
      </c>
      <c r="P304" t="s">
        <v>3109</v>
      </c>
      <c r="R304" t="s">
        <v>3349</v>
      </c>
      <c r="S304" t="s">
        <v>3072</v>
      </c>
      <c r="T304" t="s">
        <v>4611</v>
      </c>
      <c r="U304" t="s">
        <v>4612</v>
      </c>
      <c r="V304" t="s">
        <v>3075</v>
      </c>
    </row>
    <row r="305" spans="1:22" x14ac:dyDescent="0.35">
      <c r="A305" t="s">
        <v>951</v>
      </c>
      <c r="B305" t="s">
        <v>3430</v>
      </c>
      <c r="C305" t="s">
        <v>4613</v>
      </c>
      <c r="D305" t="s">
        <v>3317</v>
      </c>
      <c r="E305" t="s">
        <v>4394</v>
      </c>
      <c r="F305" t="s">
        <v>4395</v>
      </c>
      <c r="G305" t="s">
        <v>395</v>
      </c>
      <c r="H305" t="s">
        <v>3130</v>
      </c>
      <c r="I305" t="s">
        <v>89</v>
      </c>
      <c r="J305" t="s">
        <v>3088</v>
      </c>
      <c r="K305">
        <v>0</v>
      </c>
      <c r="L305" t="s">
        <v>4398</v>
      </c>
      <c r="M305">
        <v>5</v>
      </c>
      <c r="N305" s="17">
        <v>45355</v>
      </c>
      <c r="O305" s="17">
        <v>45508</v>
      </c>
      <c r="P305" t="s">
        <v>3109</v>
      </c>
      <c r="R305" t="s">
        <v>3433</v>
      </c>
      <c r="S305" t="s">
        <v>3434</v>
      </c>
      <c r="T305" t="s">
        <v>4614</v>
      </c>
      <c r="U305" t="s">
        <v>4615</v>
      </c>
      <c r="V305" t="s">
        <v>3075</v>
      </c>
    </row>
    <row r="306" spans="1:22" x14ac:dyDescent="0.35">
      <c r="A306" t="s">
        <v>4616</v>
      </c>
      <c r="B306" t="s">
        <v>4617</v>
      </c>
      <c r="C306" t="s">
        <v>4618</v>
      </c>
      <c r="D306" t="s">
        <v>3317</v>
      </c>
      <c r="E306" t="s">
        <v>4394</v>
      </c>
      <c r="F306" t="s">
        <v>4395</v>
      </c>
      <c r="G306" t="s">
        <v>452</v>
      </c>
      <c r="H306" t="s">
        <v>3069</v>
      </c>
      <c r="I306" t="s">
        <v>89</v>
      </c>
      <c r="J306" t="s">
        <v>3088</v>
      </c>
      <c r="K306">
        <v>0</v>
      </c>
      <c r="L306" t="s">
        <v>4398</v>
      </c>
      <c r="M306">
        <v>1</v>
      </c>
      <c r="N306" s="17">
        <v>45119</v>
      </c>
      <c r="O306" s="17">
        <v>45160</v>
      </c>
      <c r="P306" t="s">
        <v>3109</v>
      </c>
      <c r="R306" t="s">
        <v>249</v>
      </c>
      <c r="S306" t="s">
        <v>249</v>
      </c>
      <c r="T306" t="s">
        <v>4619</v>
      </c>
      <c r="U306" t="s">
        <v>4620</v>
      </c>
      <c r="V306" t="s">
        <v>3075</v>
      </c>
    </row>
    <row r="307" spans="1:22" x14ac:dyDescent="0.35">
      <c r="A307" t="s">
        <v>1244</v>
      </c>
      <c r="B307" t="s">
        <v>3444</v>
      </c>
      <c r="C307" t="s">
        <v>4621</v>
      </c>
      <c r="D307" t="s">
        <v>3317</v>
      </c>
      <c r="E307" t="s">
        <v>4394</v>
      </c>
      <c r="F307" t="s">
        <v>4395</v>
      </c>
      <c r="G307" t="s">
        <v>901</v>
      </c>
      <c r="H307" t="s">
        <v>3069</v>
      </c>
      <c r="I307" t="s">
        <v>89</v>
      </c>
      <c r="J307" t="s">
        <v>3088</v>
      </c>
      <c r="K307">
        <v>0</v>
      </c>
      <c r="L307" t="s">
        <v>4398</v>
      </c>
      <c r="M307">
        <v>0</v>
      </c>
      <c r="N307" s="17">
        <v>45103</v>
      </c>
      <c r="O307" s="17">
        <v>45321</v>
      </c>
      <c r="P307" t="s">
        <v>3109</v>
      </c>
      <c r="R307" t="s">
        <v>2041</v>
      </c>
      <c r="S307" t="s">
        <v>3072</v>
      </c>
      <c r="T307" t="s">
        <v>4622</v>
      </c>
      <c r="U307" t="s">
        <v>4623</v>
      </c>
      <c r="V307" t="s">
        <v>3075</v>
      </c>
    </row>
    <row r="308" spans="1:22" x14ac:dyDescent="0.35">
      <c r="A308" t="s">
        <v>4624</v>
      </c>
      <c r="B308" t="s">
        <v>4625</v>
      </c>
      <c r="C308" t="s">
        <v>4626</v>
      </c>
      <c r="D308" t="s">
        <v>3317</v>
      </c>
      <c r="E308" t="s">
        <v>4394</v>
      </c>
      <c r="F308" t="s">
        <v>4395</v>
      </c>
      <c r="G308" t="s">
        <v>4627</v>
      </c>
      <c r="H308" t="s">
        <v>249</v>
      </c>
      <c r="I308" t="s">
        <v>89</v>
      </c>
      <c r="J308" t="s">
        <v>3088</v>
      </c>
      <c r="K308">
        <v>0</v>
      </c>
      <c r="L308" t="s">
        <v>4398</v>
      </c>
      <c r="M308">
        <v>1</v>
      </c>
      <c r="N308" s="17">
        <v>45327</v>
      </c>
      <c r="O308" s="17">
        <v>45370</v>
      </c>
      <c r="P308" t="s">
        <v>3109</v>
      </c>
      <c r="R308" t="s">
        <v>3907</v>
      </c>
      <c r="S308" t="s">
        <v>3072</v>
      </c>
      <c r="T308" t="s">
        <v>4628</v>
      </c>
      <c r="U308" t="s">
        <v>4629</v>
      </c>
      <c r="V308" t="s">
        <v>3075</v>
      </c>
    </row>
    <row r="309" spans="1:22" x14ac:dyDescent="0.35">
      <c r="A309" t="s">
        <v>4630</v>
      </c>
      <c r="B309" t="s">
        <v>4631</v>
      </c>
      <c r="C309" t="s">
        <v>4632</v>
      </c>
      <c r="D309" t="s">
        <v>3317</v>
      </c>
      <c r="E309" t="s">
        <v>4394</v>
      </c>
      <c r="F309" t="s">
        <v>4395</v>
      </c>
      <c r="G309" t="s">
        <v>4633</v>
      </c>
      <c r="H309" t="s">
        <v>249</v>
      </c>
      <c r="I309" t="s">
        <v>4634</v>
      </c>
      <c r="J309" t="s">
        <v>3107</v>
      </c>
      <c r="K309">
        <v>0</v>
      </c>
      <c r="L309" t="s">
        <v>4398</v>
      </c>
      <c r="M309">
        <v>1</v>
      </c>
      <c r="N309" s="17">
        <v>45440</v>
      </c>
      <c r="O309" s="17">
        <v>45470</v>
      </c>
      <c r="P309" t="s">
        <v>3109</v>
      </c>
      <c r="R309" t="s">
        <v>3907</v>
      </c>
      <c r="S309" t="s">
        <v>3072</v>
      </c>
      <c r="T309" t="s">
        <v>4635</v>
      </c>
      <c r="U309" t="s">
        <v>4636</v>
      </c>
      <c r="V309" t="s">
        <v>3075</v>
      </c>
    </row>
    <row r="310" spans="1:22" x14ac:dyDescent="0.35">
      <c r="A310" t="s">
        <v>4637</v>
      </c>
      <c r="B310" t="s">
        <v>4638</v>
      </c>
      <c r="C310" t="s">
        <v>4639</v>
      </c>
      <c r="D310" t="s">
        <v>3317</v>
      </c>
      <c r="E310" t="s">
        <v>4394</v>
      </c>
      <c r="F310" t="s">
        <v>4395</v>
      </c>
      <c r="G310" t="s">
        <v>132</v>
      </c>
      <c r="H310" t="s">
        <v>3997</v>
      </c>
      <c r="I310" t="s">
        <v>132</v>
      </c>
      <c r="J310" t="s">
        <v>3070</v>
      </c>
      <c r="K310">
        <v>0</v>
      </c>
      <c r="L310" t="s">
        <v>4398</v>
      </c>
      <c r="M310">
        <v>1</v>
      </c>
      <c r="N310" s="17">
        <v>45330</v>
      </c>
      <c r="O310" s="17">
        <v>45560</v>
      </c>
      <c r="P310" t="s">
        <v>3109</v>
      </c>
      <c r="R310" t="s">
        <v>2041</v>
      </c>
      <c r="S310" t="s">
        <v>3072</v>
      </c>
      <c r="T310" t="s">
        <v>4640</v>
      </c>
      <c r="U310" t="s">
        <v>4641</v>
      </c>
      <c r="V310" t="s">
        <v>3852</v>
      </c>
    </row>
    <row r="311" spans="1:22" x14ac:dyDescent="0.35">
      <c r="A311" t="s">
        <v>4642</v>
      </c>
      <c r="B311" t="s">
        <v>4643</v>
      </c>
      <c r="C311" t="s">
        <v>4644</v>
      </c>
      <c r="D311" t="s">
        <v>3317</v>
      </c>
      <c r="E311" t="s">
        <v>4394</v>
      </c>
      <c r="F311" t="s">
        <v>4395</v>
      </c>
      <c r="G311" t="s">
        <v>4645</v>
      </c>
      <c r="H311" t="s">
        <v>4646</v>
      </c>
      <c r="I311" t="s">
        <v>89</v>
      </c>
      <c r="J311" t="s">
        <v>3088</v>
      </c>
      <c r="K311">
        <v>0</v>
      </c>
      <c r="L311" t="s">
        <v>4398</v>
      </c>
      <c r="M311">
        <v>6</v>
      </c>
      <c r="N311" s="17">
        <v>45182</v>
      </c>
      <c r="O311" s="17">
        <v>45362</v>
      </c>
      <c r="P311" t="s">
        <v>3109</v>
      </c>
      <c r="R311" t="s">
        <v>2041</v>
      </c>
      <c r="S311" t="s">
        <v>3072</v>
      </c>
      <c r="T311" t="s">
        <v>4647</v>
      </c>
      <c r="U311" t="s">
        <v>4648</v>
      </c>
      <c r="V311" t="s">
        <v>3075</v>
      </c>
    </row>
    <row r="312" spans="1:22" x14ac:dyDescent="0.35">
      <c r="A312" t="s">
        <v>4649</v>
      </c>
      <c r="B312" t="s">
        <v>4650</v>
      </c>
      <c r="C312" t="s">
        <v>4651</v>
      </c>
      <c r="D312" t="s">
        <v>3317</v>
      </c>
      <c r="E312" t="s">
        <v>4394</v>
      </c>
      <c r="F312" t="s">
        <v>4395</v>
      </c>
      <c r="G312" t="s">
        <v>252</v>
      </c>
      <c r="H312" t="s">
        <v>3087</v>
      </c>
      <c r="I312" t="s">
        <v>132</v>
      </c>
      <c r="J312" t="s">
        <v>3070</v>
      </c>
      <c r="K312">
        <v>0</v>
      </c>
      <c r="L312" t="s">
        <v>4398</v>
      </c>
      <c r="M312">
        <v>1</v>
      </c>
      <c r="N312" s="17">
        <v>45252</v>
      </c>
      <c r="O312" s="17">
        <v>45380</v>
      </c>
      <c r="P312" t="s">
        <v>3109</v>
      </c>
      <c r="R312" t="s">
        <v>2041</v>
      </c>
      <c r="S312" t="s">
        <v>3072</v>
      </c>
      <c r="T312" t="s">
        <v>4652</v>
      </c>
      <c r="U312" t="s">
        <v>4653</v>
      </c>
      <c r="V312" t="s">
        <v>3075</v>
      </c>
    </row>
    <row r="313" spans="1:22" x14ac:dyDescent="0.35">
      <c r="A313" t="s">
        <v>4654</v>
      </c>
      <c r="B313" t="s">
        <v>4655</v>
      </c>
      <c r="C313" t="s">
        <v>4656</v>
      </c>
      <c r="D313" t="s">
        <v>3317</v>
      </c>
      <c r="E313" t="s">
        <v>4394</v>
      </c>
      <c r="F313" t="s">
        <v>4395</v>
      </c>
      <c r="G313" t="s">
        <v>4657</v>
      </c>
      <c r="H313" t="s">
        <v>4658</v>
      </c>
      <c r="I313" t="s">
        <v>4657</v>
      </c>
      <c r="J313" t="s">
        <v>3155</v>
      </c>
      <c r="K313">
        <v>0</v>
      </c>
      <c r="L313" t="s">
        <v>4398</v>
      </c>
      <c r="M313">
        <v>0</v>
      </c>
      <c r="N313" s="17">
        <v>45007</v>
      </c>
      <c r="O313" s="17">
        <v>45068</v>
      </c>
      <c r="P313" t="s">
        <v>3109</v>
      </c>
      <c r="R313" t="s">
        <v>249</v>
      </c>
      <c r="S313" t="s">
        <v>249</v>
      </c>
      <c r="T313" t="s">
        <v>4659</v>
      </c>
      <c r="U313" t="s">
        <v>4660</v>
      </c>
      <c r="V313" t="s">
        <v>3852</v>
      </c>
    </row>
    <row r="314" spans="1:22" x14ac:dyDescent="0.35">
      <c r="A314" t="s">
        <v>4661</v>
      </c>
      <c r="B314" t="s">
        <v>4662</v>
      </c>
      <c r="C314" t="s">
        <v>4663</v>
      </c>
      <c r="D314" t="s">
        <v>3317</v>
      </c>
      <c r="E314" t="s">
        <v>4394</v>
      </c>
      <c r="F314" t="s">
        <v>4395</v>
      </c>
      <c r="G314" t="s">
        <v>212</v>
      </c>
      <c r="H314" t="s">
        <v>3087</v>
      </c>
      <c r="I314" t="s">
        <v>3492</v>
      </c>
      <c r="J314" t="s">
        <v>3088</v>
      </c>
      <c r="K314">
        <v>0</v>
      </c>
      <c r="L314" t="s">
        <v>4398</v>
      </c>
      <c r="M314">
        <v>1</v>
      </c>
      <c r="N314" s="17">
        <v>45084</v>
      </c>
      <c r="O314" s="17">
        <v>45114</v>
      </c>
      <c r="P314" t="s">
        <v>3109</v>
      </c>
      <c r="R314" t="s">
        <v>2041</v>
      </c>
      <c r="S314" t="s">
        <v>3072</v>
      </c>
      <c r="T314" t="s">
        <v>4664</v>
      </c>
      <c r="U314" t="s">
        <v>4665</v>
      </c>
      <c r="V314" t="s">
        <v>3075</v>
      </c>
    </row>
    <row r="315" spans="1:22" x14ac:dyDescent="0.35">
      <c r="A315" t="s">
        <v>4666</v>
      </c>
      <c r="B315" t="s">
        <v>4667</v>
      </c>
      <c r="C315" t="s">
        <v>4668</v>
      </c>
      <c r="D315" t="s">
        <v>3317</v>
      </c>
      <c r="E315" t="s">
        <v>4394</v>
      </c>
      <c r="F315" t="s">
        <v>4395</v>
      </c>
      <c r="G315" t="s">
        <v>179</v>
      </c>
      <c r="H315" t="s">
        <v>3069</v>
      </c>
      <c r="I315" t="s">
        <v>89</v>
      </c>
      <c r="J315" t="s">
        <v>3088</v>
      </c>
      <c r="K315">
        <v>0</v>
      </c>
      <c r="L315" t="s">
        <v>4398</v>
      </c>
      <c r="M315">
        <v>0</v>
      </c>
      <c r="N315" s="17">
        <v>45061</v>
      </c>
      <c r="O315" s="17">
        <v>45184</v>
      </c>
      <c r="P315" t="s">
        <v>3109</v>
      </c>
      <c r="R315" t="s">
        <v>249</v>
      </c>
      <c r="S315" t="s">
        <v>249</v>
      </c>
      <c r="T315" t="s">
        <v>4669</v>
      </c>
      <c r="U315" t="s">
        <v>4670</v>
      </c>
      <c r="V315" t="s">
        <v>3075</v>
      </c>
    </row>
    <row r="316" spans="1:22" x14ac:dyDescent="0.35">
      <c r="A316" t="s">
        <v>4671</v>
      </c>
      <c r="B316" t="s">
        <v>4672</v>
      </c>
      <c r="C316" t="s">
        <v>4673</v>
      </c>
      <c r="D316" t="s">
        <v>3317</v>
      </c>
      <c r="E316" t="s">
        <v>4394</v>
      </c>
      <c r="F316" t="s">
        <v>4395</v>
      </c>
      <c r="G316" t="s">
        <v>179</v>
      </c>
      <c r="H316" t="s">
        <v>3069</v>
      </c>
      <c r="I316" t="s">
        <v>89</v>
      </c>
      <c r="J316" t="s">
        <v>3088</v>
      </c>
      <c r="K316">
        <v>0</v>
      </c>
      <c r="L316" t="s">
        <v>4398</v>
      </c>
      <c r="M316">
        <v>1</v>
      </c>
      <c r="N316" s="17">
        <v>45097</v>
      </c>
      <c r="O316" s="17">
        <v>45168</v>
      </c>
      <c r="P316" t="s">
        <v>3109</v>
      </c>
      <c r="R316" t="s">
        <v>2734</v>
      </c>
      <c r="S316" t="s">
        <v>3146</v>
      </c>
      <c r="T316" t="s">
        <v>4674</v>
      </c>
      <c r="U316" t="s">
        <v>4675</v>
      </c>
      <c r="V316" t="s">
        <v>3075</v>
      </c>
    </row>
    <row r="317" spans="1:22" x14ac:dyDescent="0.35">
      <c r="A317" t="s">
        <v>4676</v>
      </c>
      <c r="B317" t="s">
        <v>4677</v>
      </c>
      <c r="C317" t="s">
        <v>4678</v>
      </c>
      <c r="D317" t="s">
        <v>3317</v>
      </c>
      <c r="E317" t="s">
        <v>4394</v>
      </c>
      <c r="F317" t="s">
        <v>4395</v>
      </c>
      <c r="G317" t="s">
        <v>249</v>
      </c>
      <c r="H317" t="s">
        <v>249</v>
      </c>
      <c r="I317" t="s">
        <v>249</v>
      </c>
      <c r="J317" t="s">
        <v>249</v>
      </c>
      <c r="K317" t="s">
        <v>249</v>
      </c>
      <c r="L317" t="s">
        <v>4398</v>
      </c>
      <c r="M317">
        <v>0</v>
      </c>
      <c r="N317" s="17">
        <v>45063</v>
      </c>
      <c r="O317" s="17">
        <v>45163</v>
      </c>
      <c r="P317" t="s">
        <v>3109</v>
      </c>
      <c r="R317" t="s">
        <v>2041</v>
      </c>
      <c r="S317" t="s">
        <v>3072</v>
      </c>
      <c r="T317" t="s">
        <v>4679</v>
      </c>
      <c r="U317" t="s">
        <v>4680</v>
      </c>
      <c r="V317" t="s">
        <v>249</v>
      </c>
    </row>
    <row r="318" spans="1:22" x14ac:dyDescent="0.35">
      <c r="A318" t="s">
        <v>4681</v>
      </c>
      <c r="B318" t="s">
        <v>4682</v>
      </c>
      <c r="C318" t="s">
        <v>4683</v>
      </c>
      <c r="D318" t="s">
        <v>3317</v>
      </c>
      <c r="E318" t="s">
        <v>4394</v>
      </c>
      <c r="F318" t="s">
        <v>4395</v>
      </c>
      <c r="G318" t="s">
        <v>3287</v>
      </c>
      <c r="H318" t="s">
        <v>3069</v>
      </c>
      <c r="I318" t="s">
        <v>89</v>
      </c>
      <c r="J318" t="s">
        <v>3088</v>
      </c>
      <c r="K318">
        <v>0</v>
      </c>
      <c r="L318" t="s">
        <v>4398</v>
      </c>
      <c r="M318">
        <v>1</v>
      </c>
      <c r="N318" s="17">
        <v>45425</v>
      </c>
      <c r="O318" s="17">
        <v>45462</v>
      </c>
      <c r="P318" t="s">
        <v>3109</v>
      </c>
      <c r="R318" t="s">
        <v>2041</v>
      </c>
      <c r="S318" t="s">
        <v>3072</v>
      </c>
      <c r="T318" t="s">
        <v>4684</v>
      </c>
      <c r="U318" t="s">
        <v>4685</v>
      </c>
      <c r="V318" t="s">
        <v>3075</v>
      </c>
    </row>
    <row r="319" spans="1:22" x14ac:dyDescent="0.35">
      <c r="A319" t="s">
        <v>4686</v>
      </c>
      <c r="B319" t="s">
        <v>4687</v>
      </c>
      <c r="C319" t="s">
        <v>4688</v>
      </c>
      <c r="D319" t="s">
        <v>3317</v>
      </c>
      <c r="E319" t="s">
        <v>4394</v>
      </c>
      <c r="F319" t="s">
        <v>4395</v>
      </c>
      <c r="G319" t="s">
        <v>4689</v>
      </c>
      <c r="H319" t="s">
        <v>3087</v>
      </c>
      <c r="I319" t="s">
        <v>4690</v>
      </c>
      <c r="J319" t="s">
        <v>4691</v>
      </c>
      <c r="K319">
        <v>0</v>
      </c>
      <c r="L319" t="s">
        <v>4398</v>
      </c>
      <c r="M319">
        <v>1</v>
      </c>
      <c r="N319" s="17">
        <v>45012</v>
      </c>
      <c r="O319" s="17">
        <v>45073</v>
      </c>
      <c r="P319" t="s">
        <v>3109</v>
      </c>
      <c r="R319" t="s">
        <v>2512</v>
      </c>
      <c r="S319" t="s">
        <v>3072</v>
      </c>
      <c r="T319" t="s">
        <v>4692</v>
      </c>
      <c r="U319" t="s">
        <v>4693</v>
      </c>
      <c r="V319" t="s">
        <v>3075</v>
      </c>
    </row>
    <row r="320" spans="1:22" x14ac:dyDescent="0.35">
      <c r="A320" t="s">
        <v>4694</v>
      </c>
      <c r="B320" t="s">
        <v>4695</v>
      </c>
      <c r="C320" t="s">
        <v>4696</v>
      </c>
      <c r="D320" t="s">
        <v>3317</v>
      </c>
      <c r="E320" t="s">
        <v>4394</v>
      </c>
      <c r="F320" t="s">
        <v>4395</v>
      </c>
      <c r="G320" t="s">
        <v>4697</v>
      </c>
      <c r="H320" t="s">
        <v>3087</v>
      </c>
      <c r="I320" t="s">
        <v>89</v>
      </c>
      <c r="J320" t="s">
        <v>3088</v>
      </c>
      <c r="K320">
        <v>0</v>
      </c>
      <c r="L320" t="s">
        <v>4398</v>
      </c>
      <c r="M320">
        <v>8</v>
      </c>
      <c r="N320" s="17">
        <v>45219</v>
      </c>
      <c r="O320" s="17">
        <v>45445</v>
      </c>
      <c r="P320" t="s">
        <v>3109</v>
      </c>
      <c r="R320" t="s">
        <v>2041</v>
      </c>
      <c r="S320" t="s">
        <v>3072</v>
      </c>
      <c r="T320" t="s">
        <v>4698</v>
      </c>
      <c r="U320" t="s">
        <v>4699</v>
      </c>
      <c r="V320" t="s">
        <v>3075</v>
      </c>
    </row>
    <row r="321" spans="1:22" x14ac:dyDescent="0.35">
      <c r="A321" t="s">
        <v>4700</v>
      </c>
      <c r="B321" t="s">
        <v>4701</v>
      </c>
      <c r="C321" t="s">
        <v>4702</v>
      </c>
      <c r="D321" t="s">
        <v>3317</v>
      </c>
      <c r="E321" t="s">
        <v>4394</v>
      </c>
      <c r="F321" t="s">
        <v>4395</v>
      </c>
      <c r="G321" t="s">
        <v>4703</v>
      </c>
      <c r="H321" t="s">
        <v>3088</v>
      </c>
      <c r="I321" t="s">
        <v>447</v>
      </c>
      <c r="J321" t="s">
        <v>3088</v>
      </c>
      <c r="K321">
        <v>0</v>
      </c>
      <c r="L321" t="s">
        <v>4398</v>
      </c>
      <c r="M321">
        <v>4</v>
      </c>
      <c r="N321" s="17">
        <v>45295</v>
      </c>
      <c r="O321" s="17">
        <v>45412</v>
      </c>
      <c r="P321" t="s">
        <v>3109</v>
      </c>
      <c r="R321" t="s">
        <v>2734</v>
      </c>
      <c r="S321" t="s">
        <v>3146</v>
      </c>
      <c r="T321" t="s">
        <v>4704</v>
      </c>
      <c r="U321" t="s">
        <v>4705</v>
      </c>
      <c r="V321" t="s">
        <v>3075</v>
      </c>
    </row>
    <row r="322" spans="1:22" x14ac:dyDescent="0.35">
      <c r="A322" t="s">
        <v>4706</v>
      </c>
      <c r="B322" t="s">
        <v>4707</v>
      </c>
      <c r="C322" t="s">
        <v>4708</v>
      </c>
      <c r="D322" t="s">
        <v>3317</v>
      </c>
      <c r="E322" t="s">
        <v>4394</v>
      </c>
      <c r="F322" t="s">
        <v>4395</v>
      </c>
      <c r="G322" t="s">
        <v>3584</v>
      </c>
      <c r="H322" t="s">
        <v>3069</v>
      </c>
      <c r="I322" t="s">
        <v>4709</v>
      </c>
      <c r="J322" t="s">
        <v>3155</v>
      </c>
      <c r="K322">
        <v>0</v>
      </c>
      <c r="L322" t="s">
        <v>4398</v>
      </c>
      <c r="M322">
        <v>0</v>
      </c>
      <c r="N322" s="17">
        <v>45138</v>
      </c>
      <c r="O322" s="17">
        <v>45350</v>
      </c>
      <c r="P322" t="s">
        <v>3109</v>
      </c>
      <c r="R322" t="s">
        <v>2041</v>
      </c>
      <c r="S322" t="s">
        <v>3072</v>
      </c>
      <c r="T322" t="s">
        <v>4710</v>
      </c>
      <c r="U322" t="s">
        <v>4711</v>
      </c>
      <c r="V322" t="s">
        <v>3075</v>
      </c>
    </row>
    <row r="323" spans="1:22" x14ac:dyDescent="0.35">
      <c r="A323" t="s">
        <v>4712</v>
      </c>
      <c r="B323" t="s">
        <v>4713</v>
      </c>
      <c r="C323" t="s">
        <v>4714</v>
      </c>
      <c r="D323" t="s">
        <v>3317</v>
      </c>
      <c r="E323" t="s">
        <v>4394</v>
      </c>
      <c r="F323" t="s">
        <v>4395</v>
      </c>
      <c r="G323" t="s">
        <v>4715</v>
      </c>
      <c r="H323" t="s">
        <v>4716</v>
      </c>
      <c r="I323" t="s">
        <v>89</v>
      </c>
      <c r="J323" t="s">
        <v>3088</v>
      </c>
      <c r="K323">
        <v>0</v>
      </c>
      <c r="L323" t="s">
        <v>4398</v>
      </c>
      <c r="M323">
        <v>2</v>
      </c>
      <c r="N323" s="17">
        <v>45209</v>
      </c>
      <c r="O323" s="17">
        <v>45419</v>
      </c>
      <c r="P323" t="s">
        <v>3109</v>
      </c>
      <c r="R323" t="s">
        <v>3907</v>
      </c>
      <c r="S323" t="s">
        <v>3072</v>
      </c>
      <c r="T323" t="s">
        <v>4717</v>
      </c>
      <c r="U323" t="s">
        <v>4718</v>
      </c>
      <c r="V323" t="s">
        <v>3075</v>
      </c>
    </row>
    <row r="324" spans="1:22" x14ac:dyDescent="0.35">
      <c r="A324" t="s">
        <v>4719</v>
      </c>
      <c r="B324" t="s">
        <v>4720</v>
      </c>
      <c r="C324" t="s">
        <v>4721</v>
      </c>
      <c r="D324" t="s">
        <v>3317</v>
      </c>
      <c r="E324" t="s">
        <v>4394</v>
      </c>
      <c r="F324" t="s">
        <v>4395</v>
      </c>
      <c r="G324" t="s">
        <v>4410</v>
      </c>
      <c r="H324" t="s">
        <v>3139</v>
      </c>
      <c r="I324" t="s">
        <v>89</v>
      </c>
      <c r="J324" t="s">
        <v>3088</v>
      </c>
      <c r="K324">
        <v>0</v>
      </c>
      <c r="L324" t="s">
        <v>4398</v>
      </c>
      <c r="M324">
        <v>0</v>
      </c>
      <c r="N324" s="17">
        <v>44634</v>
      </c>
      <c r="O324" s="17">
        <v>44787</v>
      </c>
      <c r="P324" t="s">
        <v>3109</v>
      </c>
      <c r="R324" t="s">
        <v>249</v>
      </c>
      <c r="S324" t="s">
        <v>249</v>
      </c>
      <c r="T324" t="s">
        <v>4722</v>
      </c>
      <c r="U324" t="s">
        <v>4723</v>
      </c>
      <c r="V324" t="s">
        <v>3075</v>
      </c>
    </row>
    <row r="325" spans="1:22" x14ac:dyDescent="0.35">
      <c r="A325" t="s">
        <v>4724</v>
      </c>
      <c r="B325" t="s">
        <v>4725</v>
      </c>
      <c r="C325" t="s">
        <v>4726</v>
      </c>
      <c r="D325" t="s">
        <v>3317</v>
      </c>
      <c r="E325" t="s">
        <v>4394</v>
      </c>
      <c r="F325" t="s">
        <v>4395</v>
      </c>
      <c r="G325" t="s">
        <v>4410</v>
      </c>
      <c r="H325" t="s">
        <v>3139</v>
      </c>
      <c r="I325" t="s">
        <v>89</v>
      </c>
      <c r="J325" t="s">
        <v>3088</v>
      </c>
      <c r="K325">
        <v>0</v>
      </c>
      <c r="L325" t="s">
        <v>4398</v>
      </c>
      <c r="M325">
        <v>0</v>
      </c>
      <c r="N325" s="17">
        <v>44936</v>
      </c>
      <c r="O325" s="17">
        <v>45168</v>
      </c>
      <c r="P325" t="s">
        <v>3109</v>
      </c>
      <c r="R325" t="s">
        <v>2734</v>
      </c>
      <c r="S325" t="s">
        <v>3146</v>
      </c>
      <c r="T325" t="s">
        <v>4727</v>
      </c>
      <c r="U325" t="s">
        <v>4728</v>
      </c>
      <c r="V325" t="s">
        <v>3075</v>
      </c>
    </row>
    <row r="326" spans="1:22" x14ac:dyDescent="0.35">
      <c r="A326" t="s">
        <v>4729</v>
      </c>
      <c r="B326" t="s">
        <v>4730</v>
      </c>
      <c r="C326" t="s">
        <v>4731</v>
      </c>
      <c r="D326" t="s">
        <v>3317</v>
      </c>
      <c r="E326" t="s">
        <v>4394</v>
      </c>
      <c r="F326" t="s">
        <v>4395</v>
      </c>
      <c r="G326" t="s">
        <v>4410</v>
      </c>
      <c r="H326" t="s">
        <v>3139</v>
      </c>
      <c r="I326" t="s">
        <v>89</v>
      </c>
      <c r="J326" t="s">
        <v>3088</v>
      </c>
      <c r="K326">
        <v>0</v>
      </c>
      <c r="L326" t="s">
        <v>4398</v>
      </c>
      <c r="M326">
        <v>1</v>
      </c>
      <c r="N326" s="17">
        <v>45083</v>
      </c>
      <c r="O326" s="17">
        <v>45175</v>
      </c>
      <c r="P326" t="s">
        <v>3109</v>
      </c>
      <c r="R326" t="s">
        <v>2734</v>
      </c>
      <c r="S326" t="s">
        <v>3146</v>
      </c>
      <c r="T326" t="s">
        <v>4732</v>
      </c>
      <c r="U326" t="s">
        <v>4733</v>
      </c>
      <c r="V326" t="s">
        <v>3075</v>
      </c>
    </row>
    <row r="327" spans="1:22" x14ac:dyDescent="0.35">
      <c r="A327" t="s">
        <v>4734</v>
      </c>
      <c r="B327" t="s">
        <v>4735</v>
      </c>
      <c r="C327" t="s">
        <v>4736</v>
      </c>
      <c r="D327" t="s">
        <v>3317</v>
      </c>
      <c r="E327" t="s">
        <v>4394</v>
      </c>
      <c r="F327" t="s">
        <v>4395</v>
      </c>
      <c r="G327" t="s">
        <v>4737</v>
      </c>
      <c r="H327" t="s">
        <v>3139</v>
      </c>
      <c r="I327" t="s">
        <v>4738</v>
      </c>
      <c r="J327" t="s">
        <v>249</v>
      </c>
      <c r="K327">
        <v>0</v>
      </c>
      <c r="L327" t="s">
        <v>4398</v>
      </c>
      <c r="M327">
        <v>1</v>
      </c>
      <c r="N327" s="17">
        <v>44986</v>
      </c>
      <c r="O327" s="17">
        <v>45015</v>
      </c>
      <c r="P327" t="s">
        <v>3109</v>
      </c>
      <c r="R327" t="s">
        <v>2041</v>
      </c>
      <c r="S327" t="s">
        <v>3072</v>
      </c>
      <c r="T327" t="s">
        <v>4739</v>
      </c>
      <c r="U327" t="s">
        <v>4740</v>
      </c>
      <c r="V327" t="s">
        <v>3075</v>
      </c>
    </row>
    <row r="328" spans="1:22" x14ac:dyDescent="0.35">
      <c r="A328" t="s">
        <v>4741</v>
      </c>
      <c r="B328" t="s">
        <v>4742</v>
      </c>
      <c r="C328" t="s">
        <v>4743</v>
      </c>
      <c r="D328" t="s">
        <v>3317</v>
      </c>
      <c r="E328" t="s">
        <v>4394</v>
      </c>
      <c r="F328" t="s">
        <v>4395</v>
      </c>
      <c r="G328" t="s">
        <v>4737</v>
      </c>
      <c r="H328" t="s">
        <v>3139</v>
      </c>
      <c r="I328" t="s">
        <v>89</v>
      </c>
      <c r="J328" t="s">
        <v>3088</v>
      </c>
      <c r="K328">
        <v>0</v>
      </c>
      <c r="L328" t="s">
        <v>4398</v>
      </c>
      <c r="M328">
        <v>1</v>
      </c>
      <c r="N328" s="17">
        <v>44992</v>
      </c>
      <c r="O328" s="17">
        <v>45068</v>
      </c>
      <c r="P328" t="s">
        <v>3109</v>
      </c>
      <c r="R328" t="s">
        <v>2041</v>
      </c>
      <c r="S328" t="s">
        <v>3072</v>
      </c>
      <c r="T328" t="s">
        <v>4744</v>
      </c>
      <c r="U328" t="s">
        <v>4745</v>
      </c>
      <c r="V328" t="s">
        <v>3075</v>
      </c>
    </row>
    <row r="329" spans="1:22" x14ac:dyDescent="0.35">
      <c r="A329" t="s">
        <v>4746</v>
      </c>
      <c r="B329" t="s">
        <v>4746</v>
      </c>
      <c r="C329" t="s">
        <v>4747</v>
      </c>
      <c r="D329" t="s">
        <v>3317</v>
      </c>
      <c r="E329" t="s">
        <v>4394</v>
      </c>
      <c r="F329" t="s">
        <v>4395</v>
      </c>
      <c r="G329" t="s">
        <v>4737</v>
      </c>
      <c r="H329" t="s">
        <v>3139</v>
      </c>
      <c r="I329" t="s">
        <v>89</v>
      </c>
      <c r="J329" t="s">
        <v>3088</v>
      </c>
      <c r="K329">
        <v>0</v>
      </c>
      <c r="L329" t="s">
        <v>4398</v>
      </c>
      <c r="M329">
        <v>1</v>
      </c>
      <c r="N329" s="17">
        <v>45054</v>
      </c>
      <c r="O329" s="17">
        <v>45107</v>
      </c>
      <c r="P329" t="s">
        <v>3109</v>
      </c>
      <c r="R329" t="s">
        <v>2041</v>
      </c>
      <c r="S329" t="s">
        <v>3072</v>
      </c>
      <c r="T329" t="s">
        <v>4748</v>
      </c>
      <c r="U329" t="s">
        <v>4748</v>
      </c>
      <c r="V329" t="s">
        <v>3075</v>
      </c>
    </row>
    <row r="330" spans="1:22" x14ac:dyDescent="0.35">
      <c r="A330" t="s">
        <v>4749</v>
      </c>
      <c r="B330" t="s">
        <v>4750</v>
      </c>
      <c r="C330" t="s">
        <v>4751</v>
      </c>
      <c r="D330" t="s">
        <v>3317</v>
      </c>
      <c r="E330" t="s">
        <v>4394</v>
      </c>
      <c r="F330" t="s">
        <v>4395</v>
      </c>
      <c r="G330" t="s">
        <v>153</v>
      </c>
      <c r="H330" t="s">
        <v>3917</v>
      </c>
      <c r="I330" t="s">
        <v>153</v>
      </c>
      <c r="J330" t="s">
        <v>3918</v>
      </c>
      <c r="K330">
        <v>0</v>
      </c>
      <c r="L330" t="s">
        <v>4398</v>
      </c>
      <c r="M330">
        <v>1</v>
      </c>
      <c r="N330" s="17">
        <v>45478</v>
      </c>
      <c r="O330" s="17">
        <v>45509</v>
      </c>
      <c r="P330" t="s">
        <v>3109</v>
      </c>
      <c r="R330" t="s">
        <v>2041</v>
      </c>
      <c r="S330" t="s">
        <v>3072</v>
      </c>
      <c r="T330" t="s">
        <v>4752</v>
      </c>
      <c r="U330" t="s">
        <v>4753</v>
      </c>
      <c r="V330" t="s">
        <v>3852</v>
      </c>
    </row>
    <row r="331" spans="1:22" x14ac:dyDescent="0.35">
      <c r="A331" t="s">
        <v>4754</v>
      </c>
      <c r="B331" t="s">
        <v>4755</v>
      </c>
      <c r="C331" t="s">
        <v>4756</v>
      </c>
      <c r="D331" t="s">
        <v>3317</v>
      </c>
      <c r="E331" t="s">
        <v>4394</v>
      </c>
      <c r="F331" t="s">
        <v>4395</v>
      </c>
      <c r="G331" t="s">
        <v>132</v>
      </c>
      <c r="H331" t="s">
        <v>3997</v>
      </c>
      <c r="I331" t="s">
        <v>132</v>
      </c>
      <c r="J331" t="s">
        <v>3070</v>
      </c>
      <c r="K331">
        <v>0</v>
      </c>
      <c r="L331" t="s">
        <v>4398</v>
      </c>
      <c r="M331">
        <v>1</v>
      </c>
      <c r="N331" s="17">
        <v>45398</v>
      </c>
      <c r="O331" s="17">
        <v>45443</v>
      </c>
      <c r="P331" t="s">
        <v>3109</v>
      </c>
      <c r="R331" t="s">
        <v>2041</v>
      </c>
      <c r="S331" t="s">
        <v>3072</v>
      </c>
      <c r="T331" t="s">
        <v>4757</v>
      </c>
      <c r="U331" t="s">
        <v>4758</v>
      </c>
      <c r="V331" t="s">
        <v>3852</v>
      </c>
    </row>
    <row r="332" spans="1:22" x14ac:dyDescent="0.35">
      <c r="A332" t="s">
        <v>4759</v>
      </c>
      <c r="B332" t="s">
        <v>4760</v>
      </c>
      <c r="C332" t="s">
        <v>4761</v>
      </c>
      <c r="D332" t="s">
        <v>3317</v>
      </c>
      <c r="E332" t="s">
        <v>4394</v>
      </c>
      <c r="F332" t="s">
        <v>4395</v>
      </c>
      <c r="G332" t="s">
        <v>132</v>
      </c>
      <c r="H332" t="s">
        <v>3997</v>
      </c>
      <c r="I332" t="s">
        <v>132</v>
      </c>
      <c r="J332" t="s">
        <v>3070</v>
      </c>
      <c r="K332">
        <v>0</v>
      </c>
      <c r="L332" t="s">
        <v>4398</v>
      </c>
      <c r="M332">
        <v>2</v>
      </c>
      <c r="N332" s="17">
        <v>45432</v>
      </c>
      <c r="O332" s="17">
        <v>45502</v>
      </c>
      <c r="P332" t="s">
        <v>3109</v>
      </c>
      <c r="R332" t="s">
        <v>2041</v>
      </c>
      <c r="S332" t="s">
        <v>3072</v>
      </c>
      <c r="T332" t="s">
        <v>4762</v>
      </c>
      <c r="U332" t="s">
        <v>4763</v>
      </c>
      <c r="V332" t="s">
        <v>3852</v>
      </c>
    </row>
    <row r="333" spans="1:22" x14ac:dyDescent="0.35">
      <c r="A333" t="s">
        <v>4764</v>
      </c>
      <c r="B333" t="s">
        <v>4765</v>
      </c>
      <c r="C333" t="s">
        <v>4766</v>
      </c>
      <c r="D333" t="s">
        <v>3317</v>
      </c>
      <c r="E333" t="s">
        <v>4394</v>
      </c>
      <c r="F333" t="s">
        <v>4395</v>
      </c>
      <c r="G333" t="s">
        <v>132</v>
      </c>
      <c r="H333" t="s">
        <v>3997</v>
      </c>
      <c r="I333" t="s">
        <v>132</v>
      </c>
      <c r="J333" t="s">
        <v>3070</v>
      </c>
      <c r="K333">
        <v>0</v>
      </c>
      <c r="L333" t="s">
        <v>4398</v>
      </c>
      <c r="M333">
        <v>1</v>
      </c>
      <c r="N333" s="17">
        <v>45446</v>
      </c>
      <c r="O333" s="17">
        <v>45629</v>
      </c>
      <c r="P333" t="s">
        <v>3109</v>
      </c>
      <c r="R333" t="s">
        <v>2041</v>
      </c>
      <c r="S333" t="s">
        <v>3072</v>
      </c>
      <c r="T333" t="s">
        <v>4767</v>
      </c>
      <c r="U333" t="s">
        <v>4768</v>
      </c>
      <c r="V333" t="s">
        <v>3852</v>
      </c>
    </row>
    <row r="334" spans="1:22" x14ac:dyDescent="0.35">
      <c r="A334" t="s">
        <v>4769</v>
      </c>
      <c r="B334" t="s">
        <v>4770</v>
      </c>
      <c r="C334" t="s">
        <v>4771</v>
      </c>
      <c r="D334" t="s">
        <v>3317</v>
      </c>
      <c r="E334" t="s">
        <v>4394</v>
      </c>
      <c r="F334" t="s">
        <v>4395</v>
      </c>
      <c r="G334" t="s">
        <v>4703</v>
      </c>
      <c r="H334" t="s">
        <v>3088</v>
      </c>
      <c r="I334" t="s">
        <v>447</v>
      </c>
      <c r="J334" t="s">
        <v>3088</v>
      </c>
      <c r="K334">
        <v>0</v>
      </c>
      <c r="L334" t="s">
        <v>4398</v>
      </c>
      <c r="M334">
        <v>1</v>
      </c>
      <c r="N334" s="17">
        <v>45427</v>
      </c>
      <c r="O334" s="17">
        <v>45486</v>
      </c>
      <c r="P334" t="s">
        <v>3109</v>
      </c>
      <c r="R334" t="s">
        <v>2734</v>
      </c>
      <c r="S334" t="s">
        <v>3146</v>
      </c>
      <c r="T334" t="s">
        <v>4772</v>
      </c>
      <c r="U334" t="s">
        <v>4773</v>
      </c>
      <c r="V334" t="s">
        <v>3075</v>
      </c>
    </row>
    <row r="335" spans="1:22" x14ac:dyDescent="0.35">
      <c r="A335" t="s">
        <v>4774</v>
      </c>
      <c r="B335" t="s">
        <v>4775</v>
      </c>
      <c r="C335" t="s">
        <v>4776</v>
      </c>
      <c r="D335" t="s">
        <v>3317</v>
      </c>
      <c r="E335" t="s">
        <v>4394</v>
      </c>
      <c r="F335" t="s">
        <v>4395</v>
      </c>
      <c r="G335" t="s">
        <v>249</v>
      </c>
      <c r="H335" t="s">
        <v>249</v>
      </c>
      <c r="I335" t="s">
        <v>249</v>
      </c>
      <c r="J335" t="s">
        <v>249</v>
      </c>
      <c r="K335" t="s">
        <v>249</v>
      </c>
      <c r="L335" t="s">
        <v>4398</v>
      </c>
      <c r="M335">
        <v>0</v>
      </c>
      <c r="N335" s="17">
        <v>0</v>
      </c>
      <c r="O335" s="17">
        <v>45596</v>
      </c>
      <c r="P335" t="s">
        <v>3109</v>
      </c>
      <c r="R335" t="s">
        <v>2512</v>
      </c>
      <c r="S335" t="s">
        <v>3072</v>
      </c>
      <c r="T335" t="s">
        <v>4777</v>
      </c>
      <c r="U335" t="s">
        <v>4778</v>
      </c>
      <c r="V335" t="s">
        <v>249</v>
      </c>
    </row>
    <row r="336" spans="1:22" x14ac:dyDescent="0.35">
      <c r="A336" t="s">
        <v>895</v>
      </c>
      <c r="B336" t="s">
        <v>4779</v>
      </c>
      <c r="C336" t="s">
        <v>4780</v>
      </c>
      <c r="D336" t="s">
        <v>3317</v>
      </c>
      <c r="E336" t="s">
        <v>4394</v>
      </c>
      <c r="F336" t="s">
        <v>4395</v>
      </c>
      <c r="G336" t="s">
        <v>98</v>
      </c>
      <c r="H336" t="s">
        <v>3087</v>
      </c>
      <c r="I336" t="s">
        <v>132</v>
      </c>
      <c r="J336" t="s">
        <v>3070</v>
      </c>
      <c r="K336">
        <v>0</v>
      </c>
      <c r="L336" t="s">
        <v>4398</v>
      </c>
      <c r="M336">
        <v>6</v>
      </c>
      <c r="N336" s="17">
        <v>45083</v>
      </c>
      <c r="O336" s="17">
        <v>45716</v>
      </c>
      <c r="P336" t="s">
        <v>3109</v>
      </c>
      <c r="R336" t="s">
        <v>2041</v>
      </c>
      <c r="S336" t="s">
        <v>3072</v>
      </c>
      <c r="T336" t="s">
        <v>4781</v>
      </c>
      <c r="U336" t="s">
        <v>4782</v>
      </c>
      <c r="V336" t="s">
        <v>3075</v>
      </c>
    </row>
    <row r="337" spans="1:22" x14ac:dyDescent="0.35">
      <c r="A337" t="s">
        <v>4783</v>
      </c>
      <c r="B337" t="s">
        <v>4784</v>
      </c>
      <c r="C337" t="s">
        <v>4785</v>
      </c>
      <c r="D337" t="s">
        <v>3317</v>
      </c>
      <c r="E337" t="s">
        <v>4394</v>
      </c>
      <c r="F337" t="s">
        <v>4395</v>
      </c>
      <c r="G337" t="s">
        <v>4633</v>
      </c>
      <c r="H337" t="s">
        <v>249</v>
      </c>
      <c r="I337" t="s">
        <v>4634</v>
      </c>
      <c r="J337" t="s">
        <v>3107</v>
      </c>
      <c r="K337">
        <v>0</v>
      </c>
      <c r="L337" t="s">
        <v>4398</v>
      </c>
      <c r="M337">
        <v>3</v>
      </c>
      <c r="N337" s="17">
        <v>45467</v>
      </c>
      <c r="O337" s="17">
        <v>45832</v>
      </c>
      <c r="P337" t="s">
        <v>3109</v>
      </c>
      <c r="R337" t="s">
        <v>3907</v>
      </c>
      <c r="S337" t="s">
        <v>3072</v>
      </c>
      <c r="T337" t="s">
        <v>4786</v>
      </c>
      <c r="U337" t="s">
        <v>4787</v>
      </c>
      <c r="V337" t="s">
        <v>3075</v>
      </c>
    </row>
    <row r="338" spans="1:22" x14ac:dyDescent="0.35">
      <c r="A338" t="s">
        <v>4788</v>
      </c>
      <c r="B338" t="s">
        <v>4789</v>
      </c>
      <c r="C338" t="s">
        <v>4790</v>
      </c>
      <c r="D338" t="s">
        <v>3317</v>
      </c>
      <c r="E338" t="s">
        <v>4394</v>
      </c>
      <c r="F338" t="s">
        <v>4395</v>
      </c>
      <c r="G338" t="s">
        <v>132</v>
      </c>
      <c r="H338" t="s">
        <v>3997</v>
      </c>
      <c r="I338" t="s">
        <v>132</v>
      </c>
      <c r="J338" t="s">
        <v>3070</v>
      </c>
      <c r="K338">
        <v>0</v>
      </c>
      <c r="L338" t="s">
        <v>4398</v>
      </c>
      <c r="M338">
        <v>1</v>
      </c>
      <c r="N338" s="17">
        <v>45573</v>
      </c>
      <c r="O338" s="17">
        <v>45618</v>
      </c>
      <c r="P338" t="s">
        <v>3109</v>
      </c>
      <c r="R338" t="s">
        <v>2041</v>
      </c>
      <c r="S338" t="s">
        <v>3072</v>
      </c>
      <c r="T338" t="s">
        <v>4791</v>
      </c>
      <c r="U338" t="s">
        <v>4792</v>
      </c>
      <c r="V338" t="s">
        <v>3852</v>
      </c>
    </row>
    <row r="339" spans="1:22" x14ac:dyDescent="0.35">
      <c r="A339" t="s">
        <v>4793</v>
      </c>
      <c r="B339" t="s">
        <v>4794</v>
      </c>
      <c r="C339" t="s">
        <v>4795</v>
      </c>
      <c r="D339" t="s">
        <v>3317</v>
      </c>
      <c r="E339" t="s">
        <v>4394</v>
      </c>
      <c r="F339" t="s">
        <v>4395</v>
      </c>
      <c r="G339" t="s">
        <v>4410</v>
      </c>
      <c r="H339" t="s">
        <v>3139</v>
      </c>
      <c r="I339" t="s">
        <v>89</v>
      </c>
      <c r="J339" t="s">
        <v>3088</v>
      </c>
      <c r="K339">
        <v>0</v>
      </c>
      <c r="L339" t="s">
        <v>4398</v>
      </c>
      <c r="M339">
        <v>1</v>
      </c>
      <c r="N339" s="17">
        <v>45358</v>
      </c>
      <c r="O339" s="17">
        <v>46088</v>
      </c>
      <c r="P339" t="s">
        <v>3109</v>
      </c>
      <c r="R339" t="s">
        <v>2041</v>
      </c>
      <c r="S339" t="s">
        <v>3072</v>
      </c>
      <c r="T339" t="s">
        <v>4796</v>
      </c>
      <c r="U339" t="s">
        <v>4797</v>
      </c>
      <c r="V339" t="s">
        <v>3075</v>
      </c>
    </row>
    <row r="340" spans="1:22" x14ac:dyDescent="0.35">
      <c r="A340" t="s">
        <v>4798</v>
      </c>
      <c r="B340" t="s">
        <v>4799</v>
      </c>
      <c r="C340" t="s">
        <v>4800</v>
      </c>
      <c r="D340" t="s">
        <v>3317</v>
      </c>
      <c r="E340" t="s">
        <v>4394</v>
      </c>
      <c r="F340" t="s">
        <v>4395</v>
      </c>
      <c r="G340" t="s">
        <v>4410</v>
      </c>
      <c r="H340" t="s">
        <v>3139</v>
      </c>
      <c r="I340" t="s">
        <v>89</v>
      </c>
      <c r="J340" t="s">
        <v>3088</v>
      </c>
      <c r="K340">
        <v>0</v>
      </c>
      <c r="L340" t="s">
        <v>4398</v>
      </c>
      <c r="M340">
        <v>1</v>
      </c>
      <c r="N340" s="17">
        <v>45560</v>
      </c>
      <c r="O340" s="17">
        <v>45601</v>
      </c>
      <c r="P340" t="s">
        <v>3109</v>
      </c>
      <c r="R340" t="s">
        <v>2734</v>
      </c>
      <c r="S340" t="s">
        <v>3146</v>
      </c>
      <c r="T340" t="s">
        <v>4801</v>
      </c>
      <c r="U340" t="s">
        <v>4802</v>
      </c>
      <c r="V340" t="s">
        <v>3075</v>
      </c>
    </row>
    <row r="341" spans="1:22" x14ac:dyDescent="0.35">
      <c r="A341" t="s">
        <v>197</v>
      </c>
      <c r="B341" t="s">
        <v>3750</v>
      </c>
      <c r="C341" t="s">
        <v>4803</v>
      </c>
      <c r="D341" t="s">
        <v>3317</v>
      </c>
      <c r="E341" t="s">
        <v>4394</v>
      </c>
      <c r="F341" t="s">
        <v>4395</v>
      </c>
      <c r="G341" t="s">
        <v>196</v>
      </c>
      <c r="H341" t="s">
        <v>3180</v>
      </c>
      <c r="I341" t="s">
        <v>89</v>
      </c>
      <c r="J341" t="s">
        <v>3088</v>
      </c>
      <c r="K341">
        <v>0</v>
      </c>
      <c r="L341" t="s">
        <v>4398</v>
      </c>
      <c r="M341">
        <v>11</v>
      </c>
      <c r="N341" s="17">
        <v>45415</v>
      </c>
      <c r="O341" s="17">
        <v>45750</v>
      </c>
      <c r="P341" t="s">
        <v>3109</v>
      </c>
      <c r="R341" t="s">
        <v>2041</v>
      </c>
      <c r="S341" t="s">
        <v>3072</v>
      </c>
      <c r="T341" t="s">
        <v>4804</v>
      </c>
      <c r="U341" t="s">
        <v>4805</v>
      </c>
      <c r="V341" t="s">
        <v>3075</v>
      </c>
    </row>
    <row r="342" spans="1:22" x14ac:dyDescent="0.35">
      <c r="A342" t="s">
        <v>4806</v>
      </c>
      <c r="B342" t="s">
        <v>4807</v>
      </c>
      <c r="C342" t="s">
        <v>4808</v>
      </c>
      <c r="D342" t="s">
        <v>3317</v>
      </c>
      <c r="E342" t="s">
        <v>4394</v>
      </c>
      <c r="F342" t="s">
        <v>4395</v>
      </c>
      <c r="G342" t="s">
        <v>4410</v>
      </c>
      <c r="H342" t="s">
        <v>3139</v>
      </c>
      <c r="I342" t="s">
        <v>89</v>
      </c>
      <c r="J342" t="s">
        <v>3088</v>
      </c>
      <c r="K342">
        <v>0</v>
      </c>
      <c r="L342" t="s">
        <v>4398</v>
      </c>
      <c r="M342">
        <v>1</v>
      </c>
      <c r="N342" s="17">
        <v>45582</v>
      </c>
      <c r="O342" s="17">
        <v>45626</v>
      </c>
      <c r="P342" t="s">
        <v>3109</v>
      </c>
      <c r="R342" t="s">
        <v>2734</v>
      </c>
      <c r="S342" t="s">
        <v>3146</v>
      </c>
      <c r="T342" t="s">
        <v>4809</v>
      </c>
      <c r="U342" t="s">
        <v>4810</v>
      </c>
      <c r="V342" t="s">
        <v>3075</v>
      </c>
    </row>
    <row r="343" spans="1:22" x14ac:dyDescent="0.35">
      <c r="A343" t="s">
        <v>4811</v>
      </c>
      <c r="B343" t="s">
        <v>4812</v>
      </c>
      <c r="C343" t="s">
        <v>4813</v>
      </c>
      <c r="D343" t="s">
        <v>3317</v>
      </c>
      <c r="E343" t="s">
        <v>4394</v>
      </c>
      <c r="F343" t="s">
        <v>4395</v>
      </c>
      <c r="G343" t="s">
        <v>153</v>
      </c>
      <c r="H343" t="s">
        <v>3917</v>
      </c>
      <c r="I343" t="s">
        <v>153</v>
      </c>
      <c r="J343" t="s">
        <v>3918</v>
      </c>
      <c r="K343">
        <v>0</v>
      </c>
      <c r="L343" t="s">
        <v>4398</v>
      </c>
      <c r="M343">
        <v>1</v>
      </c>
      <c r="N343" s="17">
        <v>45462</v>
      </c>
      <c r="O343" s="17">
        <v>45644</v>
      </c>
      <c r="P343" t="s">
        <v>3109</v>
      </c>
      <c r="R343" t="s">
        <v>2575</v>
      </c>
      <c r="S343" t="s">
        <v>3172</v>
      </c>
      <c r="T343" t="s">
        <v>4814</v>
      </c>
      <c r="U343" t="s">
        <v>4815</v>
      </c>
      <c r="V343" t="s">
        <v>3852</v>
      </c>
    </row>
    <row r="344" spans="1:22" x14ac:dyDescent="0.35">
      <c r="A344" t="s">
        <v>1051</v>
      </c>
      <c r="B344" t="s">
        <v>4816</v>
      </c>
      <c r="C344" t="s">
        <v>4817</v>
      </c>
      <c r="D344" t="s">
        <v>3317</v>
      </c>
      <c r="E344" t="s">
        <v>4394</v>
      </c>
      <c r="F344" t="s">
        <v>4395</v>
      </c>
      <c r="G344" t="s">
        <v>132</v>
      </c>
      <c r="H344" t="s">
        <v>3997</v>
      </c>
      <c r="I344" t="s">
        <v>132</v>
      </c>
      <c r="J344" t="s">
        <v>3070</v>
      </c>
      <c r="K344">
        <v>0</v>
      </c>
      <c r="L344" t="s">
        <v>4398</v>
      </c>
      <c r="M344">
        <v>2</v>
      </c>
      <c r="N344" s="17">
        <v>45624</v>
      </c>
      <c r="O344" s="17">
        <v>45702</v>
      </c>
      <c r="P344" t="s">
        <v>3109</v>
      </c>
      <c r="R344" t="s">
        <v>2512</v>
      </c>
      <c r="S344" t="s">
        <v>3072</v>
      </c>
      <c r="T344" t="s">
        <v>4818</v>
      </c>
      <c r="U344" t="s">
        <v>4819</v>
      </c>
      <c r="V344" t="s">
        <v>3852</v>
      </c>
    </row>
    <row r="345" spans="1:22" x14ac:dyDescent="0.35">
      <c r="A345" t="s">
        <v>4820</v>
      </c>
      <c r="B345" t="s">
        <v>4821</v>
      </c>
      <c r="C345" t="s">
        <v>4822</v>
      </c>
      <c r="D345" t="s">
        <v>3317</v>
      </c>
      <c r="E345" t="s">
        <v>4394</v>
      </c>
      <c r="F345" t="s">
        <v>4395</v>
      </c>
      <c r="G345" t="s">
        <v>4112</v>
      </c>
      <c r="H345" t="s">
        <v>3088</v>
      </c>
      <c r="I345" t="s">
        <v>4112</v>
      </c>
      <c r="J345" t="s">
        <v>3088</v>
      </c>
      <c r="K345">
        <v>0</v>
      </c>
      <c r="L345" t="s">
        <v>4398</v>
      </c>
      <c r="M345">
        <v>2</v>
      </c>
      <c r="N345" s="17">
        <v>45600</v>
      </c>
      <c r="O345" s="17">
        <v>45689</v>
      </c>
      <c r="P345" t="s">
        <v>3109</v>
      </c>
      <c r="R345" t="s">
        <v>2542</v>
      </c>
      <c r="S345" t="s">
        <v>3434</v>
      </c>
      <c r="T345" t="s">
        <v>4823</v>
      </c>
      <c r="U345" t="s">
        <v>4824</v>
      </c>
      <c r="V345" t="s">
        <v>3852</v>
      </c>
    </row>
    <row r="346" spans="1:22" x14ac:dyDescent="0.35">
      <c r="A346" t="s">
        <v>4825</v>
      </c>
      <c r="B346" t="s">
        <v>4826</v>
      </c>
      <c r="C346" t="s">
        <v>4827</v>
      </c>
      <c r="D346" t="s">
        <v>3317</v>
      </c>
      <c r="E346" t="s">
        <v>4394</v>
      </c>
      <c r="F346" t="s">
        <v>4395</v>
      </c>
      <c r="G346" t="s">
        <v>400</v>
      </c>
      <c r="H346" t="s">
        <v>3153</v>
      </c>
      <c r="I346" t="s">
        <v>89</v>
      </c>
      <c r="J346" t="s">
        <v>3088</v>
      </c>
      <c r="K346">
        <v>0</v>
      </c>
      <c r="L346" t="s">
        <v>4398</v>
      </c>
      <c r="M346">
        <v>1</v>
      </c>
      <c r="N346" s="17">
        <v>45653</v>
      </c>
      <c r="O346" s="17">
        <v>45684</v>
      </c>
      <c r="P346" t="s">
        <v>3109</v>
      </c>
      <c r="R346" t="s">
        <v>2041</v>
      </c>
      <c r="S346" t="s">
        <v>3072</v>
      </c>
      <c r="T346" t="s">
        <v>4828</v>
      </c>
      <c r="U346" t="s">
        <v>4829</v>
      </c>
      <c r="V346" t="s">
        <v>3075</v>
      </c>
    </row>
    <row r="347" spans="1:22" x14ac:dyDescent="0.35">
      <c r="A347" t="s">
        <v>4830</v>
      </c>
      <c r="B347" t="s">
        <v>4831</v>
      </c>
      <c r="C347" t="s">
        <v>4832</v>
      </c>
      <c r="D347" t="s">
        <v>3317</v>
      </c>
      <c r="E347" t="s">
        <v>4394</v>
      </c>
      <c r="F347" t="s">
        <v>4395</v>
      </c>
      <c r="G347" t="s">
        <v>153</v>
      </c>
      <c r="H347" t="s">
        <v>3917</v>
      </c>
      <c r="I347" t="s">
        <v>153</v>
      </c>
      <c r="J347" t="s">
        <v>3918</v>
      </c>
      <c r="K347" t="s">
        <v>3856</v>
      </c>
      <c r="L347" t="s">
        <v>4398</v>
      </c>
      <c r="M347">
        <v>2</v>
      </c>
      <c r="N347" s="17">
        <v>45600</v>
      </c>
      <c r="O347" s="17">
        <v>45694</v>
      </c>
      <c r="P347" t="s">
        <v>3109</v>
      </c>
      <c r="R347" t="s">
        <v>2894</v>
      </c>
      <c r="S347" t="s">
        <v>3434</v>
      </c>
      <c r="T347" t="s">
        <v>4833</v>
      </c>
      <c r="U347" t="s">
        <v>4834</v>
      </c>
      <c r="V347" t="s">
        <v>3852</v>
      </c>
    </row>
    <row r="348" spans="1:22" x14ac:dyDescent="0.35">
      <c r="A348" t="s">
        <v>215</v>
      </c>
      <c r="B348" t="s">
        <v>3803</v>
      </c>
      <c r="C348" t="s">
        <v>4835</v>
      </c>
      <c r="D348" t="s">
        <v>3317</v>
      </c>
      <c r="E348" t="s">
        <v>4394</v>
      </c>
      <c r="F348" t="s">
        <v>4395</v>
      </c>
      <c r="G348" t="s">
        <v>212</v>
      </c>
      <c r="H348" t="s">
        <v>3087</v>
      </c>
      <c r="I348" t="s">
        <v>213</v>
      </c>
      <c r="J348" t="s">
        <v>3806</v>
      </c>
      <c r="K348">
        <v>0</v>
      </c>
      <c r="L348" t="s">
        <v>4398</v>
      </c>
      <c r="M348">
        <v>12</v>
      </c>
      <c r="N348" s="17">
        <v>45489</v>
      </c>
      <c r="O348" s="17">
        <v>45870</v>
      </c>
      <c r="P348" t="s">
        <v>3109</v>
      </c>
      <c r="R348" t="s">
        <v>3433</v>
      </c>
      <c r="S348" t="s">
        <v>3434</v>
      </c>
      <c r="T348" t="s">
        <v>4836</v>
      </c>
      <c r="U348" t="s">
        <v>4837</v>
      </c>
      <c r="V348" t="s">
        <v>3075</v>
      </c>
    </row>
    <row r="349" spans="1:22" x14ac:dyDescent="0.35">
      <c r="A349" t="s">
        <v>4838</v>
      </c>
      <c r="B349" t="s">
        <v>4839</v>
      </c>
      <c r="C349" t="s">
        <v>4840</v>
      </c>
      <c r="D349" t="s">
        <v>3317</v>
      </c>
      <c r="E349" t="s">
        <v>4394</v>
      </c>
      <c r="F349" t="s">
        <v>4395</v>
      </c>
      <c r="G349" t="s">
        <v>4410</v>
      </c>
      <c r="H349" t="s">
        <v>3139</v>
      </c>
      <c r="I349" t="s">
        <v>89</v>
      </c>
      <c r="J349" t="s">
        <v>3088</v>
      </c>
      <c r="K349">
        <v>0</v>
      </c>
      <c r="L349" t="s">
        <v>4398</v>
      </c>
      <c r="M349">
        <v>2</v>
      </c>
      <c r="N349" s="17">
        <v>45560</v>
      </c>
      <c r="O349" s="17">
        <v>45620</v>
      </c>
      <c r="P349" t="s">
        <v>3109</v>
      </c>
      <c r="R349" t="s">
        <v>2575</v>
      </c>
      <c r="S349" t="s">
        <v>3172</v>
      </c>
      <c r="T349" t="s">
        <v>4841</v>
      </c>
      <c r="U349" t="s">
        <v>4842</v>
      </c>
      <c r="V349" t="s">
        <v>3075</v>
      </c>
    </row>
    <row r="350" spans="1:22" x14ac:dyDescent="0.35">
      <c r="A350" t="s">
        <v>4843</v>
      </c>
      <c r="B350" t="s">
        <v>4844</v>
      </c>
      <c r="C350" t="s">
        <v>4845</v>
      </c>
      <c r="D350" t="s">
        <v>3317</v>
      </c>
      <c r="E350" t="s">
        <v>4394</v>
      </c>
      <c r="F350" t="s">
        <v>4395</v>
      </c>
      <c r="G350" t="s">
        <v>357</v>
      </c>
      <c r="H350" t="s">
        <v>3088</v>
      </c>
      <c r="I350" t="s">
        <v>357</v>
      </c>
      <c r="J350" t="s">
        <v>3088</v>
      </c>
      <c r="K350">
        <v>0</v>
      </c>
      <c r="L350" t="s">
        <v>4398</v>
      </c>
      <c r="M350">
        <v>17</v>
      </c>
      <c r="N350" s="17">
        <v>45481</v>
      </c>
      <c r="O350" s="17">
        <v>46150</v>
      </c>
      <c r="P350" t="s">
        <v>3109</v>
      </c>
      <c r="R350" t="s">
        <v>2041</v>
      </c>
      <c r="S350" t="s">
        <v>3072</v>
      </c>
      <c r="T350" t="s">
        <v>4846</v>
      </c>
      <c r="U350" t="s">
        <v>4847</v>
      </c>
      <c r="V350" t="s">
        <v>3852</v>
      </c>
    </row>
    <row r="351" spans="1:22" x14ac:dyDescent="0.35">
      <c r="A351" t="s">
        <v>4848</v>
      </c>
      <c r="B351" t="s">
        <v>4849</v>
      </c>
      <c r="C351" t="s">
        <v>4850</v>
      </c>
      <c r="D351" t="s">
        <v>3317</v>
      </c>
      <c r="E351" t="s">
        <v>4394</v>
      </c>
      <c r="F351" t="s">
        <v>4395</v>
      </c>
      <c r="G351" t="s">
        <v>4478</v>
      </c>
      <c r="H351" t="s">
        <v>3139</v>
      </c>
      <c r="I351" t="s">
        <v>89</v>
      </c>
      <c r="J351" t="s">
        <v>3088</v>
      </c>
      <c r="K351" t="s">
        <v>3088</v>
      </c>
      <c r="L351" t="s">
        <v>4398</v>
      </c>
      <c r="M351">
        <v>1</v>
      </c>
      <c r="N351" s="17">
        <v>45580</v>
      </c>
      <c r="O351" s="17">
        <v>45733</v>
      </c>
      <c r="P351" t="s">
        <v>3109</v>
      </c>
      <c r="R351" t="s">
        <v>2041</v>
      </c>
      <c r="S351" t="s">
        <v>3072</v>
      </c>
      <c r="T351" t="s">
        <v>4851</v>
      </c>
      <c r="U351" t="s">
        <v>4852</v>
      </c>
      <c r="V351" t="s">
        <v>3075</v>
      </c>
    </row>
    <row r="352" spans="1:22" x14ac:dyDescent="0.35">
      <c r="A352" t="s">
        <v>4853</v>
      </c>
      <c r="B352" t="s">
        <v>4854</v>
      </c>
      <c r="C352" t="s">
        <v>4855</v>
      </c>
      <c r="D352" t="s">
        <v>3317</v>
      </c>
      <c r="E352" t="s">
        <v>4394</v>
      </c>
      <c r="F352" t="s">
        <v>4395</v>
      </c>
      <c r="G352" t="s">
        <v>132</v>
      </c>
      <c r="H352" t="s">
        <v>3997</v>
      </c>
      <c r="I352" t="s">
        <v>132</v>
      </c>
      <c r="J352" t="s">
        <v>3070</v>
      </c>
      <c r="K352">
        <v>0</v>
      </c>
      <c r="L352" t="s">
        <v>4398</v>
      </c>
      <c r="M352">
        <v>2</v>
      </c>
      <c r="N352" s="17">
        <v>45604</v>
      </c>
      <c r="O352" s="17">
        <v>45682</v>
      </c>
      <c r="P352" t="s">
        <v>3109</v>
      </c>
      <c r="R352" t="s">
        <v>2512</v>
      </c>
      <c r="S352" t="s">
        <v>3072</v>
      </c>
      <c r="T352" t="s">
        <v>4856</v>
      </c>
      <c r="U352" t="s">
        <v>4857</v>
      </c>
      <c r="V352" t="s">
        <v>3852</v>
      </c>
    </row>
    <row r="353" spans="1:22" x14ac:dyDescent="0.35">
      <c r="A353" t="s">
        <v>4858</v>
      </c>
      <c r="B353" t="s">
        <v>4859</v>
      </c>
      <c r="C353" t="s">
        <v>4860</v>
      </c>
      <c r="D353" t="s">
        <v>3317</v>
      </c>
      <c r="E353" t="s">
        <v>4394</v>
      </c>
      <c r="F353" t="s">
        <v>4395</v>
      </c>
      <c r="G353" t="s">
        <v>132</v>
      </c>
      <c r="H353" t="s">
        <v>3997</v>
      </c>
      <c r="I353" t="s">
        <v>132</v>
      </c>
      <c r="J353" t="s">
        <v>3070</v>
      </c>
      <c r="K353" t="s">
        <v>3879</v>
      </c>
      <c r="L353" t="s">
        <v>4398</v>
      </c>
      <c r="M353">
        <v>3</v>
      </c>
      <c r="N353" s="17">
        <v>45666</v>
      </c>
      <c r="O353" s="17">
        <v>45756</v>
      </c>
      <c r="P353" t="s">
        <v>3109</v>
      </c>
      <c r="R353" t="s">
        <v>4376</v>
      </c>
      <c r="S353" t="s">
        <v>3661</v>
      </c>
      <c r="T353" t="s">
        <v>4861</v>
      </c>
      <c r="U353" t="s">
        <v>4862</v>
      </c>
      <c r="V353" t="s">
        <v>3852</v>
      </c>
    </row>
    <row r="354" spans="1:22" x14ac:dyDescent="0.35">
      <c r="A354" t="s">
        <v>4863</v>
      </c>
      <c r="B354" t="s">
        <v>4864</v>
      </c>
      <c r="C354" t="s">
        <v>4865</v>
      </c>
      <c r="D354" t="s">
        <v>3317</v>
      </c>
      <c r="E354" t="s">
        <v>4394</v>
      </c>
      <c r="F354" t="s">
        <v>4395</v>
      </c>
      <c r="G354" t="s">
        <v>4703</v>
      </c>
      <c r="H354" t="s">
        <v>3088</v>
      </c>
      <c r="I354" t="s">
        <v>89</v>
      </c>
      <c r="J354" t="s">
        <v>3088</v>
      </c>
      <c r="K354" t="s">
        <v>3088</v>
      </c>
      <c r="L354" t="s">
        <v>4398</v>
      </c>
      <c r="M354">
        <v>2</v>
      </c>
      <c r="N354" s="17">
        <v>45762</v>
      </c>
      <c r="O354" s="17">
        <v>45823</v>
      </c>
      <c r="P354" t="s">
        <v>3109</v>
      </c>
      <c r="R354" t="s">
        <v>2734</v>
      </c>
      <c r="S354" t="s">
        <v>3146</v>
      </c>
      <c r="T354" t="s">
        <v>4866</v>
      </c>
      <c r="U354" t="s">
        <v>4867</v>
      </c>
      <c r="V354" t="s">
        <v>3075</v>
      </c>
    </row>
    <row r="355" spans="1:22" x14ac:dyDescent="0.35">
      <c r="A355" t="s">
        <v>274</v>
      </c>
      <c r="B355" t="s">
        <v>4868</v>
      </c>
      <c r="C355" t="s">
        <v>4869</v>
      </c>
      <c r="D355" t="s">
        <v>3317</v>
      </c>
      <c r="E355" t="s">
        <v>4394</v>
      </c>
      <c r="F355" t="s">
        <v>4395</v>
      </c>
      <c r="G355" t="s">
        <v>132</v>
      </c>
      <c r="H355" t="s">
        <v>3997</v>
      </c>
      <c r="I355" t="s">
        <v>132</v>
      </c>
      <c r="J355" t="s">
        <v>3070</v>
      </c>
      <c r="K355" t="s">
        <v>3879</v>
      </c>
      <c r="L355" t="s">
        <v>4398</v>
      </c>
      <c r="M355">
        <v>3</v>
      </c>
      <c r="N355" s="17">
        <v>45705</v>
      </c>
      <c r="O355" s="17">
        <v>45794</v>
      </c>
      <c r="P355" t="s">
        <v>3109</v>
      </c>
      <c r="R355" t="s">
        <v>2041</v>
      </c>
      <c r="S355" t="s">
        <v>3072</v>
      </c>
      <c r="T355" t="s">
        <v>4870</v>
      </c>
      <c r="U355" t="s">
        <v>4871</v>
      </c>
      <c r="V355" t="s">
        <v>3852</v>
      </c>
    </row>
    <row r="356" spans="1:22" x14ac:dyDescent="0.35">
      <c r="A356" t="s">
        <v>4872</v>
      </c>
      <c r="B356" t="s">
        <v>4873</v>
      </c>
      <c r="C356" t="s">
        <v>4874</v>
      </c>
      <c r="D356" t="s">
        <v>3317</v>
      </c>
      <c r="E356" t="s">
        <v>4394</v>
      </c>
      <c r="F356" t="s">
        <v>4395</v>
      </c>
      <c r="G356" t="s">
        <v>4478</v>
      </c>
      <c r="H356" t="s">
        <v>3139</v>
      </c>
      <c r="I356" t="s">
        <v>184</v>
      </c>
      <c r="J356" t="s">
        <v>3088</v>
      </c>
      <c r="K356">
        <v>0</v>
      </c>
      <c r="L356" t="s">
        <v>4398</v>
      </c>
      <c r="M356">
        <v>1</v>
      </c>
      <c r="N356" s="17">
        <v>45594</v>
      </c>
      <c r="O356" s="17">
        <v>45649</v>
      </c>
      <c r="P356" t="s">
        <v>3109</v>
      </c>
      <c r="R356" t="s">
        <v>2041</v>
      </c>
      <c r="S356" t="s">
        <v>3072</v>
      </c>
      <c r="T356" t="s">
        <v>4875</v>
      </c>
      <c r="U356" t="s">
        <v>4876</v>
      </c>
      <c r="V356" t="s">
        <v>3075</v>
      </c>
    </row>
    <row r="357" spans="1:22" x14ac:dyDescent="0.35">
      <c r="A357" t="s">
        <v>127</v>
      </c>
      <c r="B357" t="s">
        <v>3868</v>
      </c>
      <c r="C357" t="s">
        <v>4877</v>
      </c>
      <c r="D357" t="s">
        <v>3317</v>
      </c>
      <c r="E357" t="s">
        <v>4394</v>
      </c>
      <c r="F357" t="s">
        <v>4395</v>
      </c>
      <c r="G357" t="s">
        <v>125</v>
      </c>
      <c r="H357" t="s">
        <v>3087</v>
      </c>
      <c r="I357" t="s">
        <v>89</v>
      </c>
      <c r="J357" t="s">
        <v>3088</v>
      </c>
      <c r="K357" t="s">
        <v>3088</v>
      </c>
      <c r="L357" t="s">
        <v>4398</v>
      </c>
      <c r="M357">
        <v>12</v>
      </c>
      <c r="N357" s="17">
        <v>45280</v>
      </c>
      <c r="O357" s="17">
        <v>45793</v>
      </c>
      <c r="P357" t="s">
        <v>3109</v>
      </c>
      <c r="R357" t="s">
        <v>2041</v>
      </c>
      <c r="S357" t="s">
        <v>3072</v>
      </c>
      <c r="T357" t="s">
        <v>4878</v>
      </c>
      <c r="U357" t="s">
        <v>4879</v>
      </c>
      <c r="V357" t="s">
        <v>3075</v>
      </c>
    </row>
    <row r="358" spans="1:22" x14ac:dyDescent="0.35">
      <c r="A358" t="s">
        <v>4880</v>
      </c>
      <c r="B358" t="s">
        <v>4881</v>
      </c>
      <c r="C358" t="s">
        <v>4882</v>
      </c>
      <c r="D358" t="s">
        <v>3317</v>
      </c>
      <c r="E358" t="s">
        <v>4394</v>
      </c>
      <c r="F358" t="s">
        <v>4395</v>
      </c>
      <c r="G358" t="s">
        <v>4883</v>
      </c>
      <c r="H358" t="s">
        <v>4884</v>
      </c>
      <c r="I358" t="s">
        <v>184</v>
      </c>
      <c r="J358" t="s">
        <v>3088</v>
      </c>
      <c r="K358" t="s">
        <v>3088</v>
      </c>
      <c r="L358" t="s">
        <v>4398</v>
      </c>
      <c r="M358">
        <v>1</v>
      </c>
      <c r="N358" s="17">
        <v>45785</v>
      </c>
      <c r="O358" s="17">
        <v>45816</v>
      </c>
      <c r="P358" t="s">
        <v>3109</v>
      </c>
      <c r="R358" t="s">
        <v>2041</v>
      </c>
      <c r="S358" t="s">
        <v>3072</v>
      </c>
      <c r="T358" t="s">
        <v>4885</v>
      </c>
      <c r="U358" t="s">
        <v>4886</v>
      </c>
      <c r="V358" t="s">
        <v>3075</v>
      </c>
    </row>
    <row r="359" spans="1:22" x14ac:dyDescent="0.35">
      <c r="A359" t="s">
        <v>4887</v>
      </c>
      <c r="B359" t="s">
        <v>4888</v>
      </c>
      <c r="C359" t="s">
        <v>4889</v>
      </c>
      <c r="D359" t="s">
        <v>3317</v>
      </c>
      <c r="E359" t="s">
        <v>4394</v>
      </c>
      <c r="F359" t="s">
        <v>4395</v>
      </c>
      <c r="G359" t="s">
        <v>4478</v>
      </c>
      <c r="H359" t="s">
        <v>3139</v>
      </c>
      <c r="I359" t="s">
        <v>89</v>
      </c>
      <c r="J359" t="s">
        <v>3088</v>
      </c>
      <c r="K359">
        <v>0</v>
      </c>
      <c r="L359" t="s">
        <v>4398</v>
      </c>
      <c r="M359">
        <v>1</v>
      </c>
      <c r="N359" s="17">
        <v>45580</v>
      </c>
      <c r="O359" s="17">
        <v>45624</v>
      </c>
      <c r="P359" t="s">
        <v>3109</v>
      </c>
      <c r="R359" t="s">
        <v>2041</v>
      </c>
      <c r="S359" t="s">
        <v>3072</v>
      </c>
      <c r="T359" t="s">
        <v>4890</v>
      </c>
      <c r="U359" t="s">
        <v>4891</v>
      </c>
      <c r="V359" t="s">
        <v>3075</v>
      </c>
    </row>
    <row r="360" spans="1:22" x14ac:dyDescent="0.35">
      <c r="A360" t="s">
        <v>134</v>
      </c>
      <c r="B360" t="s">
        <v>4892</v>
      </c>
      <c r="C360" t="s">
        <v>4893</v>
      </c>
      <c r="D360" t="s">
        <v>3317</v>
      </c>
      <c r="E360" t="s">
        <v>4394</v>
      </c>
      <c r="F360" t="s">
        <v>4395</v>
      </c>
      <c r="G360" t="s">
        <v>132</v>
      </c>
      <c r="H360" t="s">
        <v>3997</v>
      </c>
      <c r="I360" t="s">
        <v>132</v>
      </c>
      <c r="J360" t="s">
        <v>3070</v>
      </c>
      <c r="K360">
        <v>0</v>
      </c>
      <c r="L360" t="s">
        <v>4398</v>
      </c>
      <c r="M360">
        <v>19</v>
      </c>
      <c r="N360" s="17">
        <v>45412</v>
      </c>
      <c r="O360" s="17">
        <v>46142</v>
      </c>
      <c r="P360" t="s">
        <v>3109</v>
      </c>
      <c r="R360" t="s">
        <v>3789</v>
      </c>
      <c r="S360" t="s">
        <v>3172</v>
      </c>
      <c r="T360" t="s">
        <v>4894</v>
      </c>
      <c r="U360" t="s">
        <v>4895</v>
      </c>
      <c r="V360" t="s">
        <v>3852</v>
      </c>
    </row>
    <row r="361" spans="1:22" x14ac:dyDescent="0.35">
      <c r="A361" t="s">
        <v>4896</v>
      </c>
      <c r="B361" t="s">
        <v>4897</v>
      </c>
      <c r="C361" t="s">
        <v>4898</v>
      </c>
      <c r="D361" t="s">
        <v>3317</v>
      </c>
      <c r="E361" t="s">
        <v>4394</v>
      </c>
      <c r="F361" t="s">
        <v>4395</v>
      </c>
      <c r="G361" t="s">
        <v>132</v>
      </c>
      <c r="H361" t="s">
        <v>3997</v>
      </c>
      <c r="I361" t="s">
        <v>132</v>
      </c>
      <c r="J361" t="s">
        <v>3070</v>
      </c>
      <c r="K361" t="s">
        <v>3879</v>
      </c>
      <c r="L361" t="s">
        <v>4398</v>
      </c>
      <c r="M361">
        <v>2</v>
      </c>
      <c r="N361" s="17">
        <v>45568</v>
      </c>
      <c r="O361" s="17">
        <v>45843</v>
      </c>
      <c r="P361" t="s">
        <v>3109</v>
      </c>
      <c r="R361" t="s">
        <v>2041</v>
      </c>
      <c r="S361" t="s">
        <v>3072</v>
      </c>
      <c r="T361" t="s">
        <v>4899</v>
      </c>
      <c r="U361" t="s">
        <v>4900</v>
      </c>
      <c r="V361" t="s">
        <v>3852</v>
      </c>
    </row>
    <row r="362" spans="1:22" x14ac:dyDescent="0.35">
      <c r="A362" t="s">
        <v>4901</v>
      </c>
      <c r="B362" t="s">
        <v>4902</v>
      </c>
      <c r="C362" t="s">
        <v>4903</v>
      </c>
      <c r="D362" t="s">
        <v>3317</v>
      </c>
      <c r="E362" t="s">
        <v>4394</v>
      </c>
      <c r="F362" t="s">
        <v>4395</v>
      </c>
      <c r="G362" t="s">
        <v>4703</v>
      </c>
      <c r="H362" t="s">
        <v>3088</v>
      </c>
      <c r="I362" t="s">
        <v>89</v>
      </c>
      <c r="J362" t="s">
        <v>3088</v>
      </c>
      <c r="K362">
        <v>0</v>
      </c>
      <c r="L362" t="s">
        <v>4398</v>
      </c>
      <c r="M362">
        <v>2</v>
      </c>
      <c r="N362" s="17">
        <v>45705</v>
      </c>
      <c r="O362" s="17">
        <v>45764</v>
      </c>
      <c r="P362" t="s">
        <v>3109</v>
      </c>
      <c r="R362" t="s">
        <v>3907</v>
      </c>
      <c r="S362" t="s">
        <v>3072</v>
      </c>
      <c r="T362" t="s">
        <v>4904</v>
      </c>
      <c r="U362" t="s">
        <v>4905</v>
      </c>
      <c r="V362" t="s">
        <v>3075</v>
      </c>
    </row>
    <row r="363" spans="1:22" x14ac:dyDescent="0.35">
      <c r="A363" t="s">
        <v>4906</v>
      </c>
      <c r="B363" t="s">
        <v>4907</v>
      </c>
      <c r="C363" t="s">
        <v>4908</v>
      </c>
      <c r="D363" t="s">
        <v>3317</v>
      </c>
      <c r="E363" t="s">
        <v>4394</v>
      </c>
      <c r="F363" t="s">
        <v>4395</v>
      </c>
      <c r="G363" t="s">
        <v>132</v>
      </c>
      <c r="H363" t="s">
        <v>3997</v>
      </c>
      <c r="I363" t="s">
        <v>132</v>
      </c>
      <c r="J363" t="s">
        <v>3070</v>
      </c>
      <c r="K363" t="s">
        <v>3879</v>
      </c>
      <c r="L363" t="s">
        <v>4398</v>
      </c>
      <c r="M363">
        <v>3</v>
      </c>
      <c r="N363" s="17">
        <v>45708</v>
      </c>
      <c r="O363" s="17">
        <v>45799</v>
      </c>
      <c r="P363" t="s">
        <v>3109</v>
      </c>
      <c r="R363" t="s">
        <v>2041</v>
      </c>
      <c r="S363" t="s">
        <v>3072</v>
      </c>
      <c r="T363" t="s">
        <v>4909</v>
      </c>
      <c r="U363" t="s">
        <v>4910</v>
      </c>
      <c r="V363" t="s">
        <v>3852</v>
      </c>
    </row>
    <row r="364" spans="1:22" x14ac:dyDescent="0.35">
      <c r="A364" t="s">
        <v>640</v>
      </c>
      <c r="B364" t="s">
        <v>4911</v>
      </c>
      <c r="C364" t="s">
        <v>4912</v>
      </c>
      <c r="D364" t="s">
        <v>3317</v>
      </c>
      <c r="E364" t="s">
        <v>4394</v>
      </c>
      <c r="F364" t="s">
        <v>4395</v>
      </c>
      <c r="G364" t="s">
        <v>637</v>
      </c>
      <c r="H364" t="s">
        <v>4030</v>
      </c>
      <c r="I364" t="s">
        <v>89</v>
      </c>
      <c r="J364" t="s">
        <v>3088</v>
      </c>
      <c r="K364" t="s">
        <v>3088</v>
      </c>
      <c r="L364" t="s">
        <v>4398</v>
      </c>
      <c r="M364">
        <v>1</v>
      </c>
      <c r="N364" s="17">
        <v>45742</v>
      </c>
      <c r="O364" s="17">
        <v>45803</v>
      </c>
      <c r="P364" t="s">
        <v>3109</v>
      </c>
      <c r="R364" t="s">
        <v>2575</v>
      </c>
      <c r="S364" t="s">
        <v>3172</v>
      </c>
      <c r="T364" t="s">
        <v>4913</v>
      </c>
      <c r="U364" t="s">
        <v>4914</v>
      </c>
      <c r="V364" t="s">
        <v>3075</v>
      </c>
    </row>
    <row r="365" spans="1:22" x14ac:dyDescent="0.35">
      <c r="A365" t="s">
        <v>4915</v>
      </c>
      <c r="B365" t="s">
        <v>4916</v>
      </c>
      <c r="C365" t="s">
        <v>4917</v>
      </c>
      <c r="D365" t="s">
        <v>3317</v>
      </c>
      <c r="E365" t="s">
        <v>4394</v>
      </c>
      <c r="F365" t="s">
        <v>4395</v>
      </c>
      <c r="G365" t="s">
        <v>4112</v>
      </c>
      <c r="H365" t="s">
        <v>3088</v>
      </c>
      <c r="I365" t="s">
        <v>4112</v>
      </c>
      <c r="J365" t="s">
        <v>3088</v>
      </c>
      <c r="K365" t="s">
        <v>3088</v>
      </c>
      <c r="L365" t="s">
        <v>4398</v>
      </c>
      <c r="M365">
        <v>2</v>
      </c>
      <c r="N365" s="17">
        <v>45798</v>
      </c>
      <c r="O365" s="17">
        <v>45859</v>
      </c>
      <c r="P365" t="s">
        <v>3109</v>
      </c>
      <c r="R365" t="s">
        <v>2041</v>
      </c>
      <c r="S365" t="s">
        <v>3072</v>
      </c>
      <c r="T365" t="s">
        <v>4918</v>
      </c>
      <c r="U365" t="s">
        <v>4919</v>
      </c>
      <c r="V365" t="s">
        <v>3852</v>
      </c>
    </row>
    <row r="366" spans="1:22" x14ac:dyDescent="0.35">
      <c r="A366" t="s">
        <v>976</v>
      </c>
      <c r="B366" t="s">
        <v>4920</v>
      </c>
      <c r="C366" t="s">
        <v>4921</v>
      </c>
      <c r="D366" t="s">
        <v>3317</v>
      </c>
      <c r="E366" t="s">
        <v>4394</v>
      </c>
      <c r="F366" t="s">
        <v>4395</v>
      </c>
      <c r="G366" t="s">
        <v>975</v>
      </c>
      <c r="H366" t="s">
        <v>3747</v>
      </c>
      <c r="I366" t="s">
        <v>89</v>
      </c>
      <c r="J366" t="s">
        <v>3088</v>
      </c>
      <c r="K366">
        <v>0</v>
      </c>
      <c r="L366" t="s">
        <v>4398</v>
      </c>
      <c r="M366">
        <v>7</v>
      </c>
      <c r="N366" s="17">
        <v>45427</v>
      </c>
      <c r="O366" s="17">
        <v>45783</v>
      </c>
      <c r="P366" t="s">
        <v>3109</v>
      </c>
      <c r="R366" t="s">
        <v>2041</v>
      </c>
      <c r="S366" t="s">
        <v>3072</v>
      </c>
      <c r="T366" t="s">
        <v>4922</v>
      </c>
      <c r="U366" t="s">
        <v>4923</v>
      </c>
      <c r="V366" t="s">
        <v>3075</v>
      </c>
    </row>
    <row r="367" spans="1:22" x14ac:dyDescent="0.35">
      <c r="A367" t="s">
        <v>959</v>
      </c>
      <c r="B367" t="s">
        <v>3910</v>
      </c>
      <c r="C367" t="s">
        <v>4924</v>
      </c>
      <c r="D367" t="s">
        <v>3317</v>
      </c>
      <c r="E367" t="s">
        <v>4394</v>
      </c>
      <c r="F367" t="s">
        <v>4395</v>
      </c>
      <c r="G367" t="s">
        <v>235</v>
      </c>
      <c r="H367" t="s">
        <v>3139</v>
      </c>
      <c r="I367" t="s">
        <v>3912</v>
      </c>
      <c r="J367" t="s">
        <v>3366</v>
      </c>
      <c r="K367">
        <v>0</v>
      </c>
      <c r="L367" t="s">
        <v>4398</v>
      </c>
      <c r="M367">
        <v>20</v>
      </c>
      <c r="N367" s="17">
        <v>45419</v>
      </c>
      <c r="O367" s="17">
        <v>45968</v>
      </c>
      <c r="P367" t="s">
        <v>3109</v>
      </c>
      <c r="R367" t="s">
        <v>2542</v>
      </c>
      <c r="S367" t="s">
        <v>3434</v>
      </c>
      <c r="T367" t="s">
        <v>4925</v>
      </c>
      <c r="U367" t="s">
        <v>4926</v>
      </c>
      <c r="V367" t="s">
        <v>3075</v>
      </c>
    </row>
    <row r="368" spans="1:22" x14ac:dyDescent="0.35">
      <c r="A368" t="s">
        <v>145</v>
      </c>
      <c r="B368" t="s">
        <v>3928</v>
      </c>
      <c r="C368" t="s">
        <v>4927</v>
      </c>
      <c r="D368" t="s">
        <v>3317</v>
      </c>
      <c r="E368" t="s">
        <v>4394</v>
      </c>
      <c r="F368" t="s">
        <v>4395</v>
      </c>
      <c r="G368" t="s">
        <v>98</v>
      </c>
      <c r="H368" t="s">
        <v>3087</v>
      </c>
      <c r="I368" t="s">
        <v>89</v>
      </c>
      <c r="J368" t="s">
        <v>3088</v>
      </c>
      <c r="K368" t="s">
        <v>3088</v>
      </c>
      <c r="L368" t="s">
        <v>4398</v>
      </c>
      <c r="M368">
        <v>18</v>
      </c>
      <c r="N368" s="17">
        <v>45321</v>
      </c>
      <c r="O368" s="17">
        <v>45990</v>
      </c>
      <c r="P368" t="s">
        <v>3109</v>
      </c>
      <c r="R368" t="s">
        <v>2041</v>
      </c>
      <c r="S368" t="s">
        <v>3072</v>
      </c>
      <c r="T368" t="s">
        <v>4928</v>
      </c>
      <c r="U368" t="s">
        <v>4929</v>
      </c>
      <c r="V368" t="s">
        <v>3075</v>
      </c>
    </row>
    <row r="369" spans="1:22" x14ac:dyDescent="0.35">
      <c r="A369" t="s">
        <v>4930</v>
      </c>
      <c r="B369" t="s">
        <v>4931</v>
      </c>
      <c r="C369" t="s">
        <v>4932</v>
      </c>
      <c r="D369" t="s">
        <v>3317</v>
      </c>
      <c r="E369" t="s">
        <v>4394</v>
      </c>
      <c r="F369" t="s">
        <v>4395</v>
      </c>
      <c r="G369" t="s">
        <v>4933</v>
      </c>
      <c r="H369" t="s">
        <v>4934</v>
      </c>
      <c r="I369" t="s">
        <v>4933</v>
      </c>
      <c r="J369" t="s">
        <v>4934</v>
      </c>
      <c r="K369">
        <v>0</v>
      </c>
      <c r="L369" t="s">
        <v>4398</v>
      </c>
      <c r="M369">
        <v>6</v>
      </c>
      <c r="N369" s="17">
        <v>45558</v>
      </c>
      <c r="O369" s="17">
        <v>45923</v>
      </c>
      <c r="P369" t="s">
        <v>3109</v>
      </c>
      <c r="R369" t="s">
        <v>2041</v>
      </c>
      <c r="S369" t="s">
        <v>3072</v>
      </c>
      <c r="T369" t="s">
        <v>4935</v>
      </c>
      <c r="U369" t="s">
        <v>4936</v>
      </c>
      <c r="V369" t="s">
        <v>3852</v>
      </c>
    </row>
    <row r="370" spans="1:22" x14ac:dyDescent="0.35">
      <c r="A370" t="s">
        <v>4937</v>
      </c>
      <c r="B370" t="s">
        <v>4938</v>
      </c>
      <c r="C370" t="s">
        <v>4939</v>
      </c>
      <c r="D370" t="s">
        <v>3317</v>
      </c>
      <c r="E370" t="s">
        <v>4394</v>
      </c>
      <c r="F370" t="s">
        <v>4395</v>
      </c>
      <c r="G370" t="s">
        <v>4410</v>
      </c>
      <c r="H370" t="s">
        <v>3139</v>
      </c>
      <c r="I370" t="s">
        <v>89</v>
      </c>
      <c r="J370" t="s">
        <v>3088</v>
      </c>
      <c r="K370">
        <v>0</v>
      </c>
      <c r="L370" t="s">
        <v>4398</v>
      </c>
      <c r="M370">
        <v>2</v>
      </c>
      <c r="N370" s="17">
        <v>45560</v>
      </c>
      <c r="O370" s="17">
        <v>45625</v>
      </c>
      <c r="P370" t="s">
        <v>3109</v>
      </c>
      <c r="R370" t="s">
        <v>2575</v>
      </c>
      <c r="S370" t="s">
        <v>3172</v>
      </c>
      <c r="T370" t="s">
        <v>4940</v>
      </c>
      <c r="U370" t="s">
        <v>4941</v>
      </c>
      <c r="V370" t="s">
        <v>3075</v>
      </c>
    </row>
    <row r="371" spans="1:22" x14ac:dyDescent="0.35">
      <c r="A371" t="s">
        <v>406</v>
      </c>
      <c r="B371" t="s">
        <v>4942</v>
      </c>
      <c r="C371" t="s">
        <v>4943</v>
      </c>
      <c r="D371" t="s">
        <v>3317</v>
      </c>
      <c r="E371" t="s">
        <v>4394</v>
      </c>
      <c r="F371" t="s">
        <v>4395</v>
      </c>
      <c r="G371" t="s">
        <v>89</v>
      </c>
      <c r="H371" t="s">
        <v>3088</v>
      </c>
      <c r="I371" t="s">
        <v>89</v>
      </c>
      <c r="J371" t="s">
        <v>3088</v>
      </c>
      <c r="K371" t="s">
        <v>3088</v>
      </c>
      <c r="L371" t="s">
        <v>4398</v>
      </c>
      <c r="M371">
        <v>24</v>
      </c>
      <c r="N371" s="17">
        <v>45600</v>
      </c>
      <c r="O371" s="17">
        <v>46329</v>
      </c>
      <c r="P371" t="s">
        <v>3109</v>
      </c>
      <c r="R371" t="s">
        <v>2041</v>
      </c>
      <c r="S371" t="s">
        <v>3072</v>
      </c>
      <c r="T371" t="s">
        <v>4944</v>
      </c>
      <c r="U371" t="s">
        <v>4945</v>
      </c>
      <c r="V371" t="s">
        <v>3852</v>
      </c>
    </row>
    <row r="372" spans="1:22" x14ac:dyDescent="0.35">
      <c r="A372" t="s">
        <v>406</v>
      </c>
      <c r="B372" t="s">
        <v>4946</v>
      </c>
      <c r="C372" t="s">
        <v>4943</v>
      </c>
      <c r="D372" t="s">
        <v>3317</v>
      </c>
      <c r="E372" t="s">
        <v>4394</v>
      </c>
      <c r="F372" t="s">
        <v>4395</v>
      </c>
      <c r="G372" t="s">
        <v>89</v>
      </c>
      <c r="H372" t="s">
        <v>3088</v>
      </c>
      <c r="I372" t="s">
        <v>89</v>
      </c>
      <c r="J372" t="s">
        <v>3088</v>
      </c>
      <c r="K372" t="s">
        <v>3088</v>
      </c>
      <c r="L372" t="s">
        <v>4398</v>
      </c>
      <c r="M372">
        <v>24</v>
      </c>
      <c r="N372" s="17">
        <v>45600</v>
      </c>
      <c r="O372" s="17">
        <v>46329</v>
      </c>
      <c r="P372" t="s">
        <v>3109</v>
      </c>
      <c r="R372" t="s">
        <v>2041</v>
      </c>
      <c r="S372" t="s">
        <v>3072</v>
      </c>
      <c r="T372" t="s">
        <v>4944</v>
      </c>
      <c r="U372" t="s">
        <v>4947</v>
      </c>
      <c r="V372" t="s">
        <v>3852</v>
      </c>
    </row>
    <row r="373" spans="1:22" x14ac:dyDescent="0.35">
      <c r="A373" t="s">
        <v>406</v>
      </c>
      <c r="B373" t="s">
        <v>4948</v>
      </c>
      <c r="C373" t="s">
        <v>4943</v>
      </c>
      <c r="D373" t="s">
        <v>3317</v>
      </c>
      <c r="E373" t="s">
        <v>4394</v>
      </c>
      <c r="F373" t="s">
        <v>4395</v>
      </c>
      <c r="G373" t="s">
        <v>89</v>
      </c>
      <c r="H373" t="s">
        <v>3088</v>
      </c>
      <c r="I373" t="s">
        <v>89</v>
      </c>
      <c r="J373" t="s">
        <v>3088</v>
      </c>
      <c r="K373" t="s">
        <v>3088</v>
      </c>
      <c r="L373" t="s">
        <v>4398</v>
      </c>
      <c r="M373">
        <v>24</v>
      </c>
      <c r="N373" s="17">
        <v>45600</v>
      </c>
      <c r="O373" s="17">
        <v>46329</v>
      </c>
      <c r="P373" t="s">
        <v>3109</v>
      </c>
      <c r="R373" t="s">
        <v>3907</v>
      </c>
      <c r="S373" t="s">
        <v>3072</v>
      </c>
      <c r="T373" t="s">
        <v>4944</v>
      </c>
      <c r="U373" t="s">
        <v>4949</v>
      </c>
      <c r="V373" t="s">
        <v>3852</v>
      </c>
    </row>
    <row r="374" spans="1:22" x14ac:dyDescent="0.35">
      <c r="A374" t="s">
        <v>4950</v>
      </c>
      <c r="B374" t="s">
        <v>4951</v>
      </c>
      <c r="C374" t="s">
        <v>4952</v>
      </c>
      <c r="D374" t="s">
        <v>3317</v>
      </c>
      <c r="E374" t="s">
        <v>4394</v>
      </c>
      <c r="F374" t="s">
        <v>4395</v>
      </c>
      <c r="G374" t="s">
        <v>132</v>
      </c>
      <c r="H374" t="s">
        <v>3997</v>
      </c>
      <c r="I374" t="s">
        <v>132</v>
      </c>
      <c r="J374" t="s">
        <v>3070</v>
      </c>
      <c r="K374" t="s">
        <v>3879</v>
      </c>
      <c r="L374" t="s">
        <v>4398</v>
      </c>
      <c r="M374">
        <v>3</v>
      </c>
      <c r="N374" s="17">
        <v>45828</v>
      </c>
      <c r="O374" s="17">
        <v>45920</v>
      </c>
      <c r="P374" t="s">
        <v>3109</v>
      </c>
      <c r="R374" t="s">
        <v>4376</v>
      </c>
      <c r="S374" t="s">
        <v>3661</v>
      </c>
      <c r="T374" t="s">
        <v>4953</v>
      </c>
      <c r="U374" t="s">
        <v>4954</v>
      </c>
      <c r="V374" t="s">
        <v>3852</v>
      </c>
    </row>
    <row r="375" spans="1:22" x14ac:dyDescent="0.35">
      <c r="A375" t="s">
        <v>406</v>
      </c>
      <c r="B375" t="s">
        <v>4955</v>
      </c>
      <c r="C375" t="s">
        <v>4943</v>
      </c>
      <c r="D375" t="s">
        <v>3317</v>
      </c>
      <c r="E375" t="s">
        <v>4394</v>
      </c>
      <c r="F375" t="s">
        <v>4956</v>
      </c>
      <c r="G375" t="s">
        <v>89</v>
      </c>
      <c r="H375" t="s">
        <v>3088</v>
      </c>
      <c r="I375" t="s">
        <v>89</v>
      </c>
      <c r="J375" t="s">
        <v>3088</v>
      </c>
      <c r="K375" t="s">
        <v>3088</v>
      </c>
      <c r="L375" t="s">
        <v>4398</v>
      </c>
      <c r="M375">
        <v>24</v>
      </c>
      <c r="N375" s="17">
        <v>45600</v>
      </c>
      <c r="O375" s="17">
        <v>46329</v>
      </c>
      <c r="P375" t="s">
        <v>3109</v>
      </c>
      <c r="R375" t="s">
        <v>2734</v>
      </c>
      <c r="S375" t="s">
        <v>3146</v>
      </c>
      <c r="T375" t="s">
        <v>4944</v>
      </c>
      <c r="U375" t="s">
        <v>4957</v>
      </c>
      <c r="V375" t="s">
        <v>3852</v>
      </c>
    </row>
    <row r="376" spans="1:22" x14ac:dyDescent="0.35">
      <c r="A376" t="s">
        <v>338</v>
      </c>
      <c r="B376" t="s">
        <v>4958</v>
      </c>
      <c r="C376" t="s">
        <v>4959</v>
      </c>
      <c r="D376" t="s">
        <v>3317</v>
      </c>
      <c r="E376" t="s">
        <v>4394</v>
      </c>
      <c r="F376" t="s">
        <v>4956</v>
      </c>
      <c r="G376" t="s">
        <v>132</v>
      </c>
      <c r="H376" t="s">
        <v>3997</v>
      </c>
      <c r="I376" t="s">
        <v>132</v>
      </c>
      <c r="J376" t="s">
        <v>3070</v>
      </c>
      <c r="K376" t="s">
        <v>3879</v>
      </c>
      <c r="L376" t="s">
        <v>4398</v>
      </c>
      <c r="M376">
        <v>4</v>
      </c>
      <c r="N376" s="17">
        <v>45747</v>
      </c>
      <c r="O376" s="17">
        <v>45868</v>
      </c>
      <c r="P376" t="s">
        <v>3109</v>
      </c>
      <c r="R376" t="s">
        <v>2512</v>
      </c>
      <c r="S376" t="s">
        <v>3072</v>
      </c>
      <c r="T376" t="s">
        <v>4960</v>
      </c>
      <c r="U376" t="s">
        <v>4961</v>
      </c>
      <c r="V376" t="s">
        <v>3852</v>
      </c>
    </row>
    <row r="377" spans="1:22" x14ac:dyDescent="0.35">
      <c r="A377" t="s">
        <v>4962</v>
      </c>
      <c r="B377" t="s">
        <v>4963</v>
      </c>
      <c r="C377" t="s">
        <v>4964</v>
      </c>
      <c r="D377" t="s">
        <v>3317</v>
      </c>
      <c r="E377" t="s">
        <v>4394</v>
      </c>
      <c r="F377" t="s">
        <v>4956</v>
      </c>
      <c r="G377" t="s">
        <v>637</v>
      </c>
      <c r="H377" t="s">
        <v>4030</v>
      </c>
      <c r="I377" t="s">
        <v>89</v>
      </c>
      <c r="J377" t="s">
        <v>3088</v>
      </c>
      <c r="K377" t="s">
        <v>3088</v>
      </c>
      <c r="L377" t="s">
        <v>4398</v>
      </c>
      <c r="M377">
        <v>6</v>
      </c>
      <c r="N377" s="17">
        <v>45819</v>
      </c>
      <c r="O377" s="17">
        <v>45991</v>
      </c>
      <c r="P377" t="s">
        <v>3109</v>
      </c>
      <c r="R377" t="s">
        <v>2575</v>
      </c>
      <c r="S377" t="s">
        <v>3172</v>
      </c>
      <c r="T377" t="s">
        <v>4965</v>
      </c>
      <c r="U377" t="s">
        <v>4966</v>
      </c>
      <c r="V377" t="s">
        <v>3075</v>
      </c>
    </row>
    <row r="378" spans="1:22" x14ac:dyDescent="0.35">
      <c r="A378" t="s">
        <v>186</v>
      </c>
      <c r="B378" t="s">
        <v>4005</v>
      </c>
      <c r="C378" t="s">
        <v>4967</v>
      </c>
      <c r="D378" t="s">
        <v>3317</v>
      </c>
      <c r="E378" t="s">
        <v>4394</v>
      </c>
      <c r="F378" t="s">
        <v>4956</v>
      </c>
      <c r="G378" t="s">
        <v>98</v>
      </c>
      <c r="H378" t="s">
        <v>3087</v>
      </c>
      <c r="I378" t="s">
        <v>184</v>
      </c>
      <c r="J378" t="s">
        <v>3088</v>
      </c>
      <c r="K378" t="s">
        <v>3088</v>
      </c>
      <c r="L378" t="s">
        <v>4398</v>
      </c>
      <c r="M378">
        <v>12</v>
      </c>
      <c r="N378" s="17">
        <v>45230</v>
      </c>
      <c r="O378" s="17">
        <v>46066</v>
      </c>
      <c r="P378" t="s">
        <v>3109</v>
      </c>
      <c r="R378" t="s">
        <v>2041</v>
      </c>
      <c r="S378" t="s">
        <v>3072</v>
      </c>
      <c r="T378" t="s">
        <v>4968</v>
      </c>
      <c r="U378" t="s">
        <v>4969</v>
      </c>
      <c r="V378" t="s">
        <v>3075</v>
      </c>
    </row>
    <row r="379" spans="1:22" x14ac:dyDescent="0.35">
      <c r="A379" t="s">
        <v>4970</v>
      </c>
      <c r="B379" t="s">
        <v>4971</v>
      </c>
      <c r="C379" t="s">
        <v>4972</v>
      </c>
      <c r="D379" t="s">
        <v>3317</v>
      </c>
      <c r="E379" t="s">
        <v>4394</v>
      </c>
      <c r="F379" t="s">
        <v>4956</v>
      </c>
      <c r="G379" t="s">
        <v>4403</v>
      </c>
      <c r="H379" t="s">
        <v>3153</v>
      </c>
      <c r="I379" t="s">
        <v>4404</v>
      </c>
      <c r="J379" t="s">
        <v>3249</v>
      </c>
      <c r="K379" t="s">
        <v>3249</v>
      </c>
      <c r="L379" t="s">
        <v>4398</v>
      </c>
      <c r="M379">
        <v>4</v>
      </c>
      <c r="N379" s="17">
        <v>45882</v>
      </c>
      <c r="O379" s="17">
        <v>46004</v>
      </c>
      <c r="P379" t="s">
        <v>3109</v>
      </c>
      <c r="R379" t="s">
        <v>2041</v>
      </c>
      <c r="S379" t="s">
        <v>3072</v>
      </c>
      <c r="T379" t="s">
        <v>4973</v>
      </c>
      <c r="U379" t="s">
        <v>4974</v>
      </c>
      <c r="V379" t="s">
        <v>3075</v>
      </c>
    </row>
    <row r="380" spans="1:22" x14ac:dyDescent="0.35">
      <c r="A380" t="s">
        <v>4975</v>
      </c>
      <c r="B380" t="s">
        <v>4976</v>
      </c>
      <c r="C380" t="s">
        <v>4977</v>
      </c>
      <c r="D380" t="s">
        <v>3317</v>
      </c>
      <c r="E380" t="s">
        <v>4394</v>
      </c>
      <c r="F380" t="s">
        <v>4956</v>
      </c>
      <c r="G380" t="s">
        <v>132</v>
      </c>
      <c r="H380" t="s">
        <v>3997</v>
      </c>
      <c r="I380" t="s">
        <v>132</v>
      </c>
      <c r="J380" t="s">
        <v>3070</v>
      </c>
      <c r="K380" t="s">
        <v>3879</v>
      </c>
      <c r="L380" t="s">
        <v>4398</v>
      </c>
      <c r="M380">
        <v>3</v>
      </c>
      <c r="N380" s="17">
        <v>45887</v>
      </c>
      <c r="O380" s="17">
        <v>45979</v>
      </c>
      <c r="P380" t="s">
        <v>3109</v>
      </c>
      <c r="R380" t="s">
        <v>2512</v>
      </c>
      <c r="S380" t="s">
        <v>3072</v>
      </c>
      <c r="T380" t="s">
        <v>4978</v>
      </c>
      <c r="U380" t="s">
        <v>4979</v>
      </c>
      <c r="V380" t="s">
        <v>3852</v>
      </c>
    </row>
    <row r="381" spans="1:22" x14ac:dyDescent="0.35">
      <c r="A381" t="s">
        <v>4980</v>
      </c>
      <c r="B381" t="s">
        <v>4981</v>
      </c>
      <c r="C381" t="s">
        <v>4982</v>
      </c>
      <c r="D381" t="s">
        <v>3317</v>
      </c>
      <c r="E381" t="s">
        <v>4394</v>
      </c>
      <c r="F381" t="s">
        <v>4956</v>
      </c>
      <c r="G381" t="s">
        <v>132</v>
      </c>
      <c r="H381" t="s">
        <v>3997</v>
      </c>
      <c r="I381" t="s">
        <v>132</v>
      </c>
      <c r="J381" t="s">
        <v>3070</v>
      </c>
      <c r="K381" t="s">
        <v>3879</v>
      </c>
      <c r="L381" t="s">
        <v>4398</v>
      </c>
      <c r="M381">
        <v>3</v>
      </c>
      <c r="N381" s="17">
        <v>45887</v>
      </c>
      <c r="O381" s="17">
        <v>46068</v>
      </c>
      <c r="P381" t="s">
        <v>3109</v>
      </c>
      <c r="R381" t="s">
        <v>2512</v>
      </c>
      <c r="S381" t="s">
        <v>3072</v>
      </c>
      <c r="T381" t="s">
        <v>4983</v>
      </c>
      <c r="U381" t="s">
        <v>4984</v>
      </c>
      <c r="V381" t="s">
        <v>3852</v>
      </c>
    </row>
    <row r="382" spans="1:22" x14ac:dyDescent="0.35">
      <c r="A382" t="s">
        <v>484</v>
      </c>
      <c r="B382" t="s">
        <v>4985</v>
      </c>
      <c r="C382" t="s">
        <v>4986</v>
      </c>
      <c r="D382" t="s">
        <v>3317</v>
      </c>
      <c r="E382" t="s">
        <v>4394</v>
      </c>
      <c r="F382" t="s">
        <v>4956</v>
      </c>
      <c r="G382" t="s">
        <v>132</v>
      </c>
      <c r="H382" t="s">
        <v>3997</v>
      </c>
      <c r="I382" t="s">
        <v>132</v>
      </c>
      <c r="J382" t="s">
        <v>3070</v>
      </c>
      <c r="K382" t="s">
        <v>3879</v>
      </c>
      <c r="L382" t="s">
        <v>4398</v>
      </c>
      <c r="M382">
        <v>7</v>
      </c>
      <c r="N382" s="17">
        <v>45891</v>
      </c>
      <c r="O382" s="17">
        <v>46103</v>
      </c>
      <c r="P382" t="s">
        <v>3109</v>
      </c>
      <c r="R382" t="s">
        <v>2041</v>
      </c>
      <c r="S382" t="s">
        <v>3072</v>
      </c>
      <c r="T382" t="s">
        <v>4987</v>
      </c>
      <c r="U382" t="s">
        <v>4988</v>
      </c>
      <c r="V382" t="s">
        <v>3852</v>
      </c>
    </row>
    <row r="383" spans="1:22" x14ac:dyDescent="0.35">
      <c r="A383" t="s">
        <v>513</v>
      </c>
      <c r="B383" t="s">
        <v>4989</v>
      </c>
      <c r="C383" t="s">
        <v>4990</v>
      </c>
      <c r="D383" t="s">
        <v>3317</v>
      </c>
      <c r="E383" t="s">
        <v>4394</v>
      </c>
      <c r="F383" t="s">
        <v>4956</v>
      </c>
      <c r="G383" t="s">
        <v>132</v>
      </c>
      <c r="H383" t="s">
        <v>3997</v>
      </c>
      <c r="I383" t="s">
        <v>132</v>
      </c>
      <c r="J383" t="s">
        <v>3070</v>
      </c>
      <c r="K383" t="s">
        <v>3879</v>
      </c>
      <c r="L383" t="s">
        <v>4398</v>
      </c>
      <c r="M383">
        <v>3</v>
      </c>
      <c r="N383" s="17">
        <v>45905</v>
      </c>
      <c r="O383" s="17">
        <v>46001</v>
      </c>
      <c r="P383" t="s">
        <v>3109</v>
      </c>
      <c r="R383" t="s">
        <v>2512</v>
      </c>
      <c r="S383" t="s">
        <v>3072</v>
      </c>
      <c r="T383" t="s">
        <v>4991</v>
      </c>
      <c r="U383" t="s">
        <v>4992</v>
      </c>
      <c r="V383" t="s">
        <v>3852</v>
      </c>
    </row>
    <row r="384" spans="1:22" x14ac:dyDescent="0.35">
      <c r="A384" t="s">
        <v>4993</v>
      </c>
      <c r="B384" t="s">
        <v>4993</v>
      </c>
      <c r="C384" t="s">
        <v>4994</v>
      </c>
      <c r="D384" t="s">
        <v>3317</v>
      </c>
      <c r="E384" t="s">
        <v>4394</v>
      </c>
      <c r="F384" t="s">
        <v>4956</v>
      </c>
      <c r="G384" t="s">
        <v>4452</v>
      </c>
      <c r="H384" t="s">
        <v>3139</v>
      </c>
      <c r="I384" t="s">
        <v>4452</v>
      </c>
      <c r="J384" t="s">
        <v>3153</v>
      </c>
      <c r="K384" t="s">
        <v>3088</v>
      </c>
      <c r="L384" t="s">
        <v>4398</v>
      </c>
      <c r="M384">
        <v>0</v>
      </c>
      <c r="N384" s="17">
        <v>45022</v>
      </c>
      <c r="O384" s="17">
        <v>46088</v>
      </c>
      <c r="P384" t="s">
        <v>3109</v>
      </c>
      <c r="R384" t="s">
        <v>249</v>
      </c>
      <c r="S384" t="s">
        <v>249</v>
      </c>
      <c r="T384" t="s">
        <v>4995</v>
      </c>
      <c r="U384" t="s">
        <v>4995</v>
      </c>
      <c r="V384" t="s">
        <v>3852</v>
      </c>
    </row>
    <row r="385" spans="1:22" x14ac:dyDescent="0.35">
      <c r="A385" t="s">
        <v>221</v>
      </c>
      <c r="B385" t="s">
        <v>4079</v>
      </c>
      <c r="C385" t="s">
        <v>4996</v>
      </c>
      <c r="D385" t="s">
        <v>3317</v>
      </c>
      <c r="E385" t="s">
        <v>4394</v>
      </c>
      <c r="F385" t="s">
        <v>4956</v>
      </c>
      <c r="G385" t="s">
        <v>219</v>
      </c>
      <c r="H385" t="s">
        <v>3087</v>
      </c>
      <c r="I385" t="s">
        <v>184</v>
      </c>
      <c r="J385" t="s">
        <v>249</v>
      </c>
      <c r="K385" t="s">
        <v>3088</v>
      </c>
      <c r="L385" t="s">
        <v>4398</v>
      </c>
      <c r="M385">
        <v>12</v>
      </c>
      <c r="N385" s="17">
        <v>45226</v>
      </c>
      <c r="O385" s="17">
        <v>46059</v>
      </c>
      <c r="P385" t="s">
        <v>3109</v>
      </c>
      <c r="R385" t="s">
        <v>3349</v>
      </c>
      <c r="S385" t="s">
        <v>3072</v>
      </c>
      <c r="T385" t="s">
        <v>4997</v>
      </c>
      <c r="U385" t="s">
        <v>4998</v>
      </c>
      <c r="V385" t="s">
        <v>3075</v>
      </c>
    </row>
    <row r="386" spans="1:22" x14ac:dyDescent="0.35">
      <c r="A386" t="s">
        <v>191</v>
      </c>
      <c r="B386" t="s">
        <v>191</v>
      </c>
      <c r="C386" t="s">
        <v>4999</v>
      </c>
      <c r="D386" t="s">
        <v>3317</v>
      </c>
      <c r="E386" t="s">
        <v>4394</v>
      </c>
      <c r="F386" t="s">
        <v>4956</v>
      </c>
      <c r="G386" t="s">
        <v>189</v>
      </c>
      <c r="H386" t="s">
        <v>3139</v>
      </c>
      <c r="I386" t="s">
        <v>189</v>
      </c>
      <c r="J386" t="s">
        <v>3153</v>
      </c>
      <c r="K386">
        <v>0</v>
      </c>
      <c r="L386" t="s">
        <v>4398</v>
      </c>
      <c r="M386">
        <v>0</v>
      </c>
      <c r="N386" s="17">
        <v>44699</v>
      </c>
      <c r="O386" s="17">
        <v>46157</v>
      </c>
      <c r="P386" t="s">
        <v>3109</v>
      </c>
      <c r="R386" t="s">
        <v>2041</v>
      </c>
      <c r="S386" t="s">
        <v>3072</v>
      </c>
      <c r="T386" t="s">
        <v>5000</v>
      </c>
      <c r="U386" t="s">
        <v>5000</v>
      </c>
      <c r="V386" t="s">
        <v>3852</v>
      </c>
    </row>
    <row r="387" spans="1:22" x14ac:dyDescent="0.35">
      <c r="A387" t="s">
        <v>406</v>
      </c>
      <c r="B387" t="s">
        <v>5001</v>
      </c>
      <c r="C387" t="s">
        <v>4943</v>
      </c>
      <c r="D387" t="s">
        <v>3317</v>
      </c>
      <c r="E387" t="s">
        <v>4394</v>
      </c>
      <c r="F387" t="s">
        <v>4956</v>
      </c>
      <c r="G387" t="s">
        <v>89</v>
      </c>
      <c r="H387" t="s">
        <v>3088</v>
      </c>
      <c r="I387" t="s">
        <v>89</v>
      </c>
      <c r="J387" t="s">
        <v>3088</v>
      </c>
      <c r="K387" t="s">
        <v>3088</v>
      </c>
      <c r="L387" t="s">
        <v>4398</v>
      </c>
      <c r="M387">
        <v>24</v>
      </c>
      <c r="N387" s="17">
        <v>45600</v>
      </c>
      <c r="O387" s="17">
        <v>46329</v>
      </c>
      <c r="P387" t="s">
        <v>3109</v>
      </c>
      <c r="R387" t="s">
        <v>249</v>
      </c>
      <c r="S387" t="s">
        <v>249</v>
      </c>
      <c r="T387" t="s">
        <v>4944</v>
      </c>
      <c r="U387" t="s">
        <v>5002</v>
      </c>
      <c r="V387" t="s">
        <v>3852</v>
      </c>
    </row>
    <row r="388" spans="1:22" x14ac:dyDescent="0.35">
      <c r="A388" t="s">
        <v>5003</v>
      </c>
      <c r="B388" t="s">
        <v>5004</v>
      </c>
      <c r="C388" t="s">
        <v>5005</v>
      </c>
      <c r="D388" t="s">
        <v>3317</v>
      </c>
      <c r="E388" t="s">
        <v>4394</v>
      </c>
      <c r="F388" t="s">
        <v>4956</v>
      </c>
      <c r="G388" t="s">
        <v>132</v>
      </c>
      <c r="H388" t="s">
        <v>3997</v>
      </c>
      <c r="I388" t="s">
        <v>132</v>
      </c>
      <c r="J388" t="s">
        <v>3070</v>
      </c>
      <c r="K388" t="s">
        <v>3879</v>
      </c>
      <c r="L388" t="s">
        <v>4398</v>
      </c>
      <c r="M388">
        <v>3</v>
      </c>
      <c r="N388" s="17">
        <v>45803</v>
      </c>
      <c r="O388" s="17">
        <v>45904</v>
      </c>
      <c r="P388" t="s">
        <v>3109</v>
      </c>
      <c r="R388" t="s">
        <v>2041</v>
      </c>
      <c r="S388" t="s">
        <v>3072</v>
      </c>
      <c r="T388" t="s">
        <v>5006</v>
      </c>
      <c r="U388" t="s">
        <v>5007</v>
      </c>
      <c r="V388" t="s">
        <v>3852</v>
      </c>
    </row>
    <row r="389" spans="1:22" x14ac:dyDescent="0.35">
      <c r="A389" t="s">
        <v>406</v>
      </c>
      <c r="B389" t="s">
        <v>5008</v>
      </c>
      <c r="C389" t="s">
        <v>4943</v>
      </c>
      <c r="D389" t="s">
        <v>4036</v>
      </c>
      <c r="E389" t="s">
        <v>4394</v>
      </c>
      <c r="F389" t="s">
        <v>4956</v>
      </c>
      <c r="G389" t="s">
        <v>89</v>
      </c>
      <c r="H389" t="s">
        <v>3088</v>
      </c>
      <c r="I389" t="s">
        <v>89</v>
      </c>
      <c r="J389" t="s">
        <v>3088</v>
      </c>
      <c r="K389" t="s">
        <v>3088</v>
      </c>
      <c r="L389" t="s">
        <v>4398</v>
      </c>
      <c r="M389">
        <v>24</v>
      </c>
      <c r="N389" s="17">
        <v>45600</v>
      </c>
      <c r="O389" s="17">
        <v>46329</v>
      </c>
      <c r="P389" t="s">
        <v>3109</v>
      </c>
      <c r="R389" t="s">
        <v>2734</v>
      </c>
      <c r="S389" t="s">
        <v>3146</v>
      </c>
      <c r="T389" t="s">
        <v>4944</v>
      </c>
      <c r="U389" t="s">
        <v>5009</v>
      </c>
      <c r="V389" t="s">
        <v>3852</v>
      </c>
    </row>
    <row r="390" spans="1:22" x14ac:dyDescent="0.35">
      <c r="A390" t="s">
        <v>5010</v>
      </c>
      <c r="B390" t="s">
        <v>5011</v>
      </c>
      <c r="C390" t="s">
        <v>5012</v>
      </c>
      <c r="D390" t="s">
        <v>3317</v>
      </c>
      <c r="E390" t="s">
        <v>4394</v>
      </c>
      <c r="F390" t="s">
        <v>4956</v>
      </c>
      <c r="G390" t="s">
        <v>4703</v>
      </c>
      <c r="H390" t="s">
        <v>3088</v>
      </c>
      <c r="I390" t="s">
        <v>89</v>
      </c>
      <c r="J390" t="s">
        <v>249</v>
      </c>
      <c r="K390" t="s">
        <v>3088</v>
      </c>
      <c r="L390" t="s">
        <v>4398</v>
      </c>
      <c r="M390">
        <v>1</v>
      </c>
      <c r="N390" s="17">
        <v>45902</v>
      </c>
      <c r="O390" s="17">
        <v>45932</v>
      </c>
      <c r="P390" t="s">
        <v>3109</v>
      </c>
      <c r="R390" t="s">
        <v>2734</v>
      </c>
      <c r="S390" t="s">
        <v>3146</v>
      </c>
      <c r="T390" t="s">
        <v>5013</v>
      </c>
      <c r="U390" t="s">
        <v>5014</v>
      </c>
      <c r="V390" t="s">
        <v>3075</v>
      </c>
    </row>
    <row r="391" spans="1:22" x14ac:dyDescent="0.35">
      <c r="A391" t="s">
        <v>518</v>
      </c>
      <c r="B391" t="s">
        <v>5015</v>
      </c>
      <c r="C391" t="s">
        <v>5016</v>
      </c>
      <c r="D391" t="s">
        <v>4036</v>
      </c>
      <c r="E391" t="s">
        <v>4394</v>
      </c>
      <c r="F391" t="s">
        <v>4956</v>
      </c>
      <c r="G391" t="s">
        <v>516</v>
      </c>
      <c r="H391" t="s">
        <v>3997</v>
      </c>
      <c r="I391" t="s">
        <v>516</v>
      </c>
      <c r="J391" t="s">
        <v>3997</v>
      </c>
      <c r="K391" t="s">
        <v>3879</v>
      </c>
      <c r="L391" t="s">
        <v>4398</v>
      </c>
      <c r="M391">
        <v>4</v>
      </c>
      <c r="N391" s="17">
        <v>45973</v>
      </c>
      <c r="O391" s="17">
        <v>46078</v>
      </c>
      <c r="P391" t="s">
        <v>3109</v>
      </c>
      <c r="R391" t="s">
        <v>2734</v>
      </c>
      <c r="S391" t="s">
        <v>3146</v>
      </c>
      <c r="T391" t="s">
        <v>5017</v>
      </c>
      <c r="U391" t="s">
        <v>5018</v>
      </c>
      <c r="V391" t="s">
        <v>3852</v>
      </c>
    </row>
    <row r="392" spans="1:22" x14ac:dyDescent="0.35">
      <c r="A392" t="s">
        <v>5019</v>
      </c>
      <c r="B392" t="s">
        <v>5020</v>
      </c>
      <c r="C392" t="s">
        <v>5021</v>
      </c>
      <c r="D392" t="s">
        <v>4036</v>
      </c>
      <c r="E392" t="s">
        <v>4394</v>
      </c>
      <c r="F392" t="s">
        <v>4956</v>
      </c>
      <c r="G392" t="s">
        <v>4112</v>
      </c>
      <c r="H392" t="s">
        <v>3088</v>
      </c>
      <c r="I392" t="s">
        <v>4112</v>
      </c>
      <c r="J392" t="s">
        <v>3088</v>
      </c>
      <c r="K392" t="s">
        <v>3088</v>
      </c>
      <c r="L392" t="s">
        <v>4398</v>
      </c>
      <c r="M392">
        <v>4</v>
      </c>
      <c r="N392" s="17">
        <v>45929</v>
      </c>
      <c r="O392" s="17">
        <v>46033</v>
      </c>
      <c r="P392" t="s">
        <v>3109</v>
      </c>
      <c r="R392" t="s">
        <v>2041</v>
      </c>
      <c r="S392" t="s">
        <v>3072</v>
      </c>
      <c r="T392" t="s">
        <v>5022</v>
      </c>
      <c r="U392" t="s">
        <v>5023</v>
      </c>
      <c r="V392" t="s">
        <v>3852</v>
      </c>
    </row>
    <row r="393" spans="1:22" x14ac:dyDescent="0.35">
      <c r="A393" t="s">
        <v>5024</v>
      </c>
      <c r="B393" t="s">
        <v>5025</v>
      </c>
      <c r="C393" t="s">
        <v>5026</v>
      </c>
      <c r="D393" t="s">
        <v>4036</v>
      </c>
      <c r="E393" t="s">
        <v>4394</v>
      </c>
      <c r="F393" t="s">
        <v>4956</v>
      </c>
      <c r="G393" t="s">
        <v>153</v>
      </c>
      <c r="H393" t="s">
        <v>3917</v>
      </c>
      <c r="I393" t="s">
        <v>153</v>
      </c>
      <c r="J393" t="s">
        <v>3918</v>
      </c>
      <c r="K393" t="s">
        <v>3856</v>
      </c>
      <c r="L393" t="s">
        <v>4398</v>
      </c>
      <c r="M393">
        <v>2</v>
      </c>
      <c r="N393" s="17">
        <v>45957</v>
      </c>
      <c r="O393" s="17">
        <v>46018</v>
      </c>
      <c r="P393" t="s">
        <v>3109</v>
      </c>
      <c r="R393" t="s">
        <v>2041</v>
      </c>
      <c r="S393" t="s">
        <v>3072</v>
      </c>
      <c r="T393" t="s">
        <v>5027</v>
      </c>
      <c r="U393" t="s">
        <v>5028</v>
      </c>
      <c r="V393" t="s">
        <v>3852</v>
      </c>
    </row>
    <row r="394" spans="1:22" x14ac:dyDescent="0.35">
      <c r="A394" t="s">
        <v>5029</v>
      </c>
      <c r="B394" t="s">
        <v>5030</v>
      </c>
      <c r="C394" t="s">
        <v>5031</v>
      </c>
      <c r="D394" t="s">
        <v>4036</v>
      </c>
      <c r="E394" t="s">
        <v>4394</v>
      </c>
      <c r="F394" t="s">
        <v>4956</v>
      </c>
      <c r="G394" t="s">
        <v>4703</v>
      </c>
      <c r="H394" t="s">
        <v>3088</v>
      </c>
      <c r="I394" t="s">
        <v>1082</v>
      </c>
      <c r="J394" t="s">
        <v>249</v>
      </c>
      <c r="K394" t="s">
        <v>3153</v>
      </c>
      <c r="L394" t="s">
        <v>4398</v>
      </c>
      <c r="M394">
        <v>2</v>
      </c>
      <c r="N394" s="17">
        <v>46065</v>
      </c>
      <c r="O394" s="17">
        <v>46125</v>
      </c>
      <c r="P394" t="s">
        <v>3109</v>
      </c>
      <c r="R394" t="s">
        <v>3907</v>
      </c>
      <c r="S394" t="s">
        <v>3072</v>
      </c>
      <c r="T394" t="s">
        <v>5032</v>
      </c>
      <c r="U394" t="s">
        <v>5033</v>
      </c>
      <c r="V394" t="s">
        <v>3075</v>
      </c>
    </row>
    <row r="395" spans="1:22" x14ac:dyDescent="0.35">
      <c r="A395" t="s">
        <v>5034</v>
      </c>
      <c r="B395" t="s">
        <v>5035</v>
      </c>
      <c r="C395" t="s">
        <v>5036</v>
      </c>
      <c r="D395" t="s">
        <v>4215</v>
      </c>
      <c r="E395" t="s">
        <v>4394</v>
      </c>
      <c r="F395" t="s">
        <v>4956</v>
      </c>
      <c r="G395" t="s">
        <v>4703</v>
      </c>
      <c r="H395" t="s">
        <v>3088</v>
      </c>
      <c r="I395" t="s">
        <v>89</v>
      </c>
      <c r="J395" t="s">
        <v>249</v>
      </c>
      <c r="K395" t="s">
        <v>3153</v>
      </c>
      <c r="L395" t="s">
        <v>4398</v>
      </c>
      <c r="M395">
        <v>2</v>
      </c>
      <c r="N395" s="17">
        <v>46035</v>
      </c>
      <c r="O395" s="17">
        <v>46094</v>
      </c>
      <c r="P395" t="s">
        <v>3109</v>
      </c>
      <c r="R395" t="s">
        <v>2041</v>
      </c>
      <c r="S395" t="s">
        <v>3072</v>
      </c>
      <c r="T395" t="s">
        <v>5037</v>
      </c>
      <c r="U395" t="s">
        <v>5038</v>
      </c>
      <c r="V395" t="s">
        <v>3075</v>
      </c>
    </row>
    <row r="396" spans="1:22" x14ac:dyDescent="0.35">
      <c r="A396" t="s">
        <v>634</v>
      </c>
      <c r="B396" t="s">
        <v>5039</v>
      </c>
      <c r="C396" t="s">
        <v>5040</v>
      </c>
      <c r="D396" t="s">
        <v>4036</v>
      </c>
      <c r="E396" t="s">
        <v>4394</v>
      </c>
      <c r="F396" t="s">
        <v>4956</v>
      </c>
      <c r="G396" t="s">
        <v>768</v>
      </c>
      <c r="H396" t="s">
        <v>3088</v>
      </c>
      <c r="I396" t="s">
        <v>768</v>
      </c>
      <c r="J396" t="s">
        <v>3088</v>
      </c>
      <c r="K396" t="s">
        <v>3088</v>
      </c>
      <c r="L396" t="s">
        <v>4398</v>
      </c>
      <c r="M396">
        <v>3</v>
      </c>
      <c r="N396" s="17">
        <v>46056</v>
      </c>
      <c r="O396" s="17">
        <v>46145</v>
      </c>
      <c r="P396" t="s">
        <v>3109</v>
      </c>
      <c r="R396" t="s">
        <v>2734</v>
      </c>
      <c r="S396" t="s">
        <v>3146</v>
      </c>
      <c r="T396" t="s">
        <v>5041</v>
      </c>
      <c r="U396" t="s">
        <v>5042</v>
      </c>
      <c r="V396" t="s">
        <v>3852</v>
      </c>
    </row>
    <row r="397" spans="1:22" x14ac:dyDescent="0.35">
      <c r="A397" t="s">
        <v>5043</v>
      </c>
      <c r="B397" t="s">
        <v>5044</v>
      </c>
      <c r="C397" t="s">
        <v>5045</v>
      </c>
      <c r="D397" t="s">
        <v>4036</v>
      </c>
      <c r="E397" t="s">
        <v>4394</v>
      </c>
      <c r="F397" t="s">
        <v>4956</v>
      </c>
      <c r="G397" t="s">
        <v>3766</v>
      </c>
      <c r="H397" t="s">
        <v>3139</v>
      </c>
      <c r="I397" t="s">
        <v>3766</v>
      </c>
      <c r="J397" t="s">
        <v>3153</v>
      </c>
      <c r="K397" t="s">
        <v>3153</v>
      </c>
      <c r="L397" t="s">
        <v>4398</v>
      </c>
      <c r="M397">
        <v>1</v>
      </c>
      <c r="N397" s="17">
        <v>46064</v>
      </c>
      <c r="O397" s="17">
        <v>46254</v>
      </c>
      <c r="P397" t="s">
        <v>3109</v>
      </c>
      <c r="R397" t="s">
        <v>2734</v>
      </c>
      <c r="S397" t="s">
        <v>3146</v>
      </c>
      <c r="T397" t="s">
        <v>5046</v>
      </c>
      <c r="U397" t="s">
        <v>5047</v>
      </c>
      <c r="V397" t="s">
        <v>3852</v>
      </c>
    </row>
    <row r="398" spans="1:22" x14ac:dyDescent="0.35">
      <c r="A398" t="s">
        <v>5048</v>
      </c>
      <c r="B398" t="s">
        <v>5049</v>
      </c>
      <c r="C398" t="s">
        <v>5050</v>
      </c>
      <c r="D398" t="s">
        <v>4036</v>
      </c>
      <c r="E398" t="s">
        <v>4394</v>
      </c>
      <c r="F398" t="s">
        <v>4956</v>
      </c>
      <c r="G398" t="s">
        <v>628</v>
      </c>
      <c r="H398" t="s">
        <v>249</v>
      </c>
      <c r="I398" t="s">
        <v>628</v>
      </c>
      <c r="J398" t="s">
        <v>4282</v>
      </c>
      <c r="K398" t="s">
        <v>3856</v>
      </c>
      <c r="L398" t="s">
        <v>4398</v>
      </c>
      <c r="M398">
        <v>2</v>
      </c>
      <c r="N398" s="17">
        <v>46073</v>
      </c>
      <c r="O398" s="17">
        <v>46261</v>
      </c>
      <c r="R398" t="s">
        <v>2041</v>
      </c>
      <c r="S398" t="s">
        <v>3072</v>
      </c>
      <c r="T398" t="s">
        <v>5051</v>
      </c>
      <c r="U398" t="s">
        <v>5052</v>
      </c>
      <c r="V398" t="s">
        <v>3852</v>
      </c>
    </row>
    <row r="399" spans="1:22" x14ac:dyDescent="0.35">
      <c r="A399" t="s">
        <v>5053</v>
      </c>
      <c r="B399" t="s">
        <v>5054</v>
      </c>
      <c r="C399" t="s">
        <v>5055</v>
      </c>
      <c r="D399" t="s">
        <v>3317</v>
      </c>
      <c r="E399" t="s">
        <v>4394</v>
      </c>
      <c r="F399" t="s">
        <v>4956</v>
      </c>
      <c r="G399" t="s">
        <v>637</v>
      </c>
      <c r="H399" t="s">
        <v>4030</v>
      </c>
      <c r="I399" t="s">
        <v>5056</v>
      </c>
      <c r="J399" t="s">
        <v>4031</v>
      </c>
      <c r="K399" t="s">
        <v>3879</v>
      </c>
      <c r="L399" t="s">
        <v>4398</v>
      </c>
      <c r="M399">
        <v>2</v>
      </c>
      <c r="N399" s="17">
        <v>46077</v>
      </c>
      <c r="O399" s="17">
        <v>46168</v>
      </c>
      <c r="R399" t="s">
        <v>3349</v>
      </c>
      <c r="S399" t="s">
        <v>3072</v>
      </c>
      <c r="T399" t="s">
        <v>5057</v>
      </c>
      <c r="U399" t="s">
        <v>5058</v>
      </c>
      <c r="V399" t="s">
        <v>3075</v>
      </c>
    </row>
    <row r="400" spans="1:22" x14ac:dyDescent="0.35">
      <c r="A400" t="s">
        <v>687</v>
      </c>
      <c r="B400" t="s">
        <v>5059</v>
      </c>
      <c r="C400" t="s">
        <v>5060</v>
      </c>
      <c r="D400" t="s">
        <v>4036</v>
      </c>
      <c r="E400" t="s">
        <v>4394</v>
      </c>
      <c r="F400" t="s">
        <v>4956</v>
      </c>
      <c r="G400" t="s">
        <v>685</v>
      </c>
      <c r="H400" t="s">
        <v>249</v>
      </c>
      <c r="I400" t="s">
        <v>685</v>
      </c>
      <c r="J400" t="s">
        <v>3997</v>
      </c>
      <c r="K400" t="s">
        <v>3879</v>
      </c>
      <c r="L400" t="s">
        <v>4398</v>
      </c>
      <c r="M400">
        <v>4</v>
      </c>
      <c r="N400" s="17">
        <v>46084</v>
      </c>
      <c r="O400" s="17">
        <v>46206</v>
      </c>
      <c r="R400" t="s">
        <v>2041</v>
      </c>
      <c r="S400" t="s">
        <v>3072</v>
      </c>
      <c r="T400" t="s">
        <v>5061</v>
      </c>
      <c r="U400" t="s">
        <v>5062</v>
      </c>
      <c r="V400" t="s">
        <v>3852</v>
      </c>
    </row>
    <row r="401" spans="1:22" x14ac:dyDescent="0.35">
      <c r="A401" t="s">
        <v>679</v>
      </c>
      <c r="B401" t="s">
        <v>5063</v>
      </c>
      <c r="C401" t="s">
        <v>5064</v>
      </c>
      <c r="D401" t="s">
        <v>4036</v>
      </c>
      <c r="E401" t="s">
        <v>4394</v>
      </c>
      <c r="F401" t="s">
        <v>4956</v>
      </c>
      <c r="G401" t="s">
        <v>132</v>
      </c>
      <c r="H401" t="s">
        <v>3997</v>
      </c>
      <c r="I401" t="s">
        <v>132</v>
      </c>
      <c r="J401" t="s">
        <v>3070</v>
      </c>
      <c r="K401" t="s">
        <v>3879</v>
      </c>
      <c r="L401" t="s">
        <v>4398</v>
      </c>
      <c r="M401">
        <v>2</v>
      </c>
      <c r="N401" s="17">
        <v>46090</v>
      </c>
      <c r="O401" s="17">
        <v>46183</v>
      </c>
      <c r="R401" t="s">
        <v>2041</v>
      </c>
      <c r="S401" t="s">
        <v>3072</v>
      </c>
      <c r="T401" t="s">
        <v>5065</v>
      </c>
      <c r="U401" t="s">
        <v>5066</v>
      </c>
      <c r="V401" t="s">
        <v>3852</v>
      </c>
    </row>
    <row r="402" spans="1:22" x14ac:dyDescent="0.35">
      <c r="A402" t="s">
        <v>5067</v>
      </c>
      <c r="B402" t="s">
        <v>5068</v>
      </c>
      <c r="C402" t="s">
        <v>5069</v>
      </c>
      <c r="D402" t="s">
        <v>4036</v>
      </c>
      <c r="E402" t="s">
        <v>4394</v>
      </c>
      <c r="F402" t="s">
        <v>4956</v>
      </c>
      <c r="G402" t="s">
        <v>132</v>
      </c>
      <c r="H402" t="s">
        <v>3997</v>
      </c>
      <c r="I402" t="s">
        <v>132</v>
      </c>
      <c r="J402" t="s">
        <v>3070</v>
      </c>
      <c r="K402" t="s">
        <v>3879</v>
      </c>
      <c r="L402" t="s">
        <v>4398</v>
      </c>
      <c r="M402">
        <v>2</v>
      </c>
      <c r="N402" s="17">
        <v>46090</v>
      </c>
      <c r="O402" s="17">
        <v>46177</v>
      </c>
      <c r="R402" t="s">
        <v>2041</v>
      </c>
      <c r="S402" t="s">
        <v>3072</v>
      </c>
      <c r="T402" t="s">
        <v>5070</v>
      </c>
      <c r="U402" t="s">
        <v>5071</v>
      </c>
      <c r="V402" t="s">
        <v>3852</v>
      </c>
    </row>
    <row r="403" spans="1:22" x14ac:dyDescent="0.35">
      <c r="A403" t="s">
        <v>675</v>
      </c>
      <c r="B403" t="s">
        <v>5072</v>
      </c>
      <c r="C403" t="s">
        <v>5073</v>
      </c>
      <c r="D403" t="s">
        <v>4036</v>
      </c>
      <c r="E403" t="s">
        <v>4394</v>
      </c>
      <c r="F403" t="s">
        <v>4956</v>
      </c>
      <c r="G403" t="s">
        <v>132</v>
      </c>
      <c r="H403" t="s">
        <v>3997</v>
      </c>
      <c r="I403" t="s">
        <v>132</v>
      </c>
      <c r="J403" t="s">
        <v>3070</v>
      </c>
      <c r="K403" t="s">
        <v>3879</v>
      </c>
      <c r="L403" t="s">
        <v>4398</v>
      </c>
      <c r="M403">
        <v>3</v>
      </c>
      <c r="N403" s="17">
        <v>46101</v>
      </c>
      <c r="O403" s="17">
        <v>46193</v>
      </c>
      <c r="R403" t="s">
        <v>2041</v>
      </c>
      <c r="S403" t="s">
        <v>3072</v>
      </c>
      <c r="T403" t="s">
        <v>5074</v>
      </c>
      <c r="U403" t="s">
        <v>5075</v>
      </c>
      <c r="V403" t="s">
        <v>3852</v>
      </c>
    </row>
    <row r="404" spans="1:22" x14ac:dyDescent="0.35">
      <c r="A404" t="s">
        <v>5076</v>
      </c>
      <c r="B404" t="s">
        <v>5077</v>
      </c>
      <c r="C404" t="s">
        <v>5078</v>
      </c>
      <c r="D404" t="s">
        <v>4036</v>
      </c>
      <c r="E404" t="s">
        <v>4394</v>
      </c>
      <c r="F404" t="s">
        <v>4956</v>
      </c>
      <c r="G404" t="s">
        <v>132</v>
      </c>
      <c r="H404" t="s">
        <v>3997</v>
      </c>
      <c r="I404" t="s">
        <v>132</v>
      </c>
      <c r="J404" t="s">
        <v>3070</v>
      </c>
      <c r="K404" t="s">
        <v>3879</v>
      </c>
      <c r="L404" t="s">
        <v>4398</v>
      </c>
      <c r="M404">
        <v>2</v>
      </c>
      <c r="N404" s="17">
        <v>46106</v>
      </c>
      <c r="O404" s="17">
        <v>46183</v>
      </c>
      <c r="R404" t="s">
        <v>2512</v>
      </c>
      <c r="S404" t="s">
        <v>3072</v>
      </c>
      <c r="T404" t="s">
        <v>5079</v>
      </c>
      <c r="U404" t="s">
        <v>5080</v>
      </c>
      <c r="V404" t="s">
        <v>3852</v>
      </c>
    </row>
    <row r="405" spans="1:22" x14ac:dyDescent="0.35">
      <c r="A405" t="s">
        <v>406</v>
      </c>
      <c r="B405" t="s">
        <v>5081</v>
      </c>
      <c r="C405" t="s">
        <v>4943</v>
      </c>
      <c r="D405" t="s">
        <v>4036</v>
      </c>
      <c r="E405" t="s">
        <v>4394</v>
      </c>
      <c r="F405" t="s">
        <v>4956</v>
      </c>
      <c r="G405" t="s">
        <v>89</v>
      </c>
      <c r="H405" t="s">
        <v>3088</v>
      </c>
      <c r="I405" t="s">
        <v>89</v>
      </c>
      <c r="J405" t="s">
        <v>3088</v>
      </c>
      <c r="K405" t="s">
        <v>3088</v>
      </c>
      <c r="L405" t="s">
        <v>4398</v>
      </c>
      <c r="M405">
        <v>24</v>
      </c>
      <c r="N405" s="17">
        <v>45600</v>
      </c>
      <c r="O405" s="17">
        <v>46329</v>
      </c>
      <c r="R405" t="s">
        <v>3907</v>
      </c>
      <c r="S405" t="s">
        <v>3072</v>
      </c>
      <c r="T405" t="s">
        <v>4944</v>
      </c>
      <c r="U405" t="s">
        <v>5082</v>
      </c>
      <c r="V405" t="s">
        <v>3852</v>
      </c>
    </row>
    <row r="406" spans="1:22" x14ac:dyDescent="0.35">
      <c r="A406" t="s">
        <v>720</v>
      </c>
      <c r="B406" t="s">
        <v>5083</v>
      </c>
      <c r="C406" t="s">
        <v>5084</v>
      </c>
      <c r="D406" t="s">
        <v>4036</v>
      </c>
      <c r="E406" t="s">
        <v>4394</v>
      </c>
      <c r="F406" t="s">
        <v>4956</v>
      </c>
      <c r="G406" t="s">
        <v>132</v>
      </c>
      <c r="H406" t="s">
        <v>3997</v>
      </c>
      <c r="I406" t="s">
        <v>132</v>
      </c>
      <c r="J406" t="s">
        <v>3070</v>
      </c>
      <c r="K406" t="s">
        <v>3879</v>
      </c>
      <c r="L406" t="s">
        <v>4398</v>
      </c>
      <c r="M406">
        <v>3</v>
      </c>
      <c r="N406" s="17">
        <v>46137</v>
      </c>
      <c r="O406" s="17">
        <v>46207</v>
      </c>
      <c r="R406" t="s">
        <v>2041</v>
      </c>
      <c r="S406" t="s">
        <v>3072</v>
      </c>
      <c r="T406" t="s">
        <v>5085</v>
      </c>
      <c r="U406" t="s">
        <v>5086</v>
      </c>
      <c r="V406" t="s">
        <v>3852</v>
      </c>
    </row>
    <row r="407" spans="1:22" x14ac:dyDescent="0.35">
      <c r="A407" t="s">
        <v>5087</v>
      </c>
      <c r="B407" t="s">
        <v>5088</v>
      </c>
      <c r="C407" t="s">
        <v>5089</v>
      </c>
      <c r="D407" t="s">
        <v>4215</v>
      </c>
      <c r="E407" t="s">
        <v>4394</v>
      </c>
      <c r="F407" t="s">
        <v>4956</v>
      </c>
      <c r="G407" t="s">
        <v>781</v>
      </c>
      <c r="H407" t="s">
        <v>249</v>
      </c>
      <c r="I407" t="s">
        <v>781</v>
      </c>
      <c r="J407" t="s">
        <v>249</v>
      </c>
      <c r="K407" t="s">
        <v>3694</v>
      </c>
      <c r="L407" t="s">
        <v>4398</v>
      </c>
      <c r="M407">
        <v>2</v>
      </c>
      <c r="N407" s="17">
        <v>46125</v>
      </c>
      <c r="O407" s="17">
        <v>46203</v>
      </c>
      <c r="R407" t="s">
        <v>249</v>
      </c>
      <c r="S407" t="s">
        <v>249</v>
      </c>
      <c r="T407" t="s">
        <v>5090</v>
      </c>
      <c r="U407" t="s">
        <v>5091</v>
      </c>
      <c r="V407" t="s">
        <v>3852</v>
      </c>
    </row>
    <row r="408" spans="1:22" x14ac:dyDescent="0.35">
      <c r="A408" t="s">
        <v>5092</v>
      </c>
      <c r="B408" t="s">
        <v>5093</v>
      </c>
      <c r="C408" t="s">
        <v>5094</v>
      </c>
      <c r="D408" t="s">
        <v>4215</v>
      </c>
      <c r="E408" t="s">
        <v>4394</v>
      </c>
      <c r="F408" t="s">
        <v>4956</v>
      </c>
      <c r="G408" t="s">
        <v>132</v>
      </c>
      <c r="H408" t="s">
        <v>3997</v>
      </c>
      <c r="I408" t="s">
        <v>132</v>
      </c>
      <c r="J408" t="s">
        <v>3070</v>
      </c>
      <c r="K408" t="s">
        <v>3879</v>
      </c>
      <c r="L408" t="s">
        <v>4398</v>
      </c>
      <c r="M408">
        <v>4</v>
      </c>
      <c r="N408" s="17">
        <v>46174</v>
      </c>
      <c r="O408" s="17">
        <v>46297</v>
      </c>
      <c r="R408" t="s">
        <v>249</v>
      </c>
      <c r="S408" t="s">
        <v>249</v>
      </c>
      <c r="T408" t="s">
        <v>5095</v>
      </c>
      <c r="U408" t="s">
        <v>5096</v>
      </c>
      <c r="V408" t="s">
        <v>3852</v>
      </c>
    </row>
    <row r="409" spans="1:22" x14ac:dyDescent="0.35">
      <c r="A409" t="s">
        <v>5097</v>
      </c>
      <c r="B409" t="s">
        <v>5098</v>
      </c>
      <c r="C409" t="s">
        <v>5099</v>
      </c>
      <c r="D409" t="s">
        <v>3317</v>
      </c>
      <c r="E409" t="s">
        <v>2403</v>
      </c>
      <c r="F409" t="s">
        <v>5100</v>
      </c>
      <c r="G409" t="s">
        <v>5101</v>
      </c>
      <c r="H409" t="s">
        <v>3153</v>
      </c>
      <c r="I409" t="s">
        <v>5101</v>
      </c>
      <c r="J409" t="s">
        <v>3153</v>
      </c>
      <c r="K409">
        <v>0</v>
      </c>
      <c r="L409" t="s">
        <v>5102</v>
      </c>
      <c r="M409">
        <v>2</v>
      </c>
      <c r="N409" s="17">
        <v>45427</v>
      </c>
      <c r="O409" s="17">
        <v>45487</v>
      </c>
      <c r="P409" t="s">
        <v>3109</v>
      </c>
      <c r="Q409" t="s">
        <v>5103</v>
      </c>
      <c r="R409" t="s">
        <v>3777</v>
      </c>
      <c r="S409" t="s">
        <v>3172</v>
      </c>
      <c r="T409" t="s">
        <v>5104</v>
      </c>
      <c r="U409" t="s">
        <v>5105</v>
      </c>
      <c r="V409" t="s">
        <v>3075</v>
      </c>
    </row>
    <row r="410" spans="1:22" x14ac:dyDescent="0.35">
      <c r="A410" t="s">
        <v>5106</v>
      </c>
      <c r="B410" t="s">
        <v>5107</v>
      </c>
      <c r="C410" t="s">
        <v>5108</v>
      </c>
      <c r="D410" t="s">
        <v>3317</v>
      </c>
      <c r="E410" t="s">
        <v>2403</v>
      </c>
      <c r="F410" t="s">
        <v>5100</v>
      </c>
      <c r="G410" t="s">
        <v>5109</v>
      </c>
      <c r="H410" t="s">
        <v>3153</v>
      </c>
      <c r="I410" t="s">
        <v>447</v>
      </c>
      <c r="J410" t="s">
        <v>3088</v>
      </c>
      <c r="K410">
        <v>0</v>
      </c>
      <c r="L410" t="s">
        <v>5102</v>
      </c>
      <c r="M410">
        <v>1</v>
      </c>
      <c r="N410" s="17">
        <v>45401</v>
      </c>
      <c r="O410" s="17">
        <v>45431</v>
      </c>
      <c r="P410" t="s">
        <v>3109</v>
      </c>
      <c r="Q410" t="s">
        <v>3968</v>
      </c>
      <c r="R410" t="s">
        <v>2734</v>
      </c>
      <c r="S410" t="s">
        <v>3146</v>
      </c>
      <c r="T410" t="s">
        <v>5110</v>
      </c>
      <c r="U410" t="s">
        <v>5111</v>
      </c>
      <c r="V410" t="s">
        <v>3075</v>
      </c>
    </row>
    <row r="411" spans="1:22" x14ac:dyDescent="0.35">
      <c r="A411" t="s">
        <v>1065</v>
      </c>
      <c r="B411" t="s">
        <v>3726</v>
      </c>
      <c r="C411" t="s">
        <v>5112</v>
      </c>
      <c r="D411" t="s">
        <v>3067</v>
      </c>
      <c r="E411" t="s">
        <v>2403</v>
      </c>
      <c r="F411" t="s">
        <v>5100</v>
      </c>
      <c r="G411" t="s">
        <v>1063</v>
      </c>
      <c r="H411" t="s">
        <v>3728</v>
      </c>
      <c r="I411" t="s">
        <v>89</v>
      </c>
      <c r="J411" t="s">
        <v>3088</v>
      </c>
      <c r="K411" t="s">
        <v>3088</v>
      </c>
      <c r="L411" t="s">
        <v>5102</v>
      </c>
      <c r="M411">
        <v>5</v>
      </c>
      <c r="N411" s="17"/>
      <c r="O411" s="17"/>
      <c r="P411" t="s">
        <v>3109</v>
      </c>
      <c r="Q411" t="s">
        <v>3090</v>
      </c>
      <c r="R411" t="s">
        <v>2041</v>
      </c>
      <c r="S411" t="s">
        <v>3072</v>
      </c>
      <c r="T411" t="s">
        <v>5113</v>
      </c>
      <c r="U411" t="s">
        <v>5114</v>
      </c>
      <c r="V411" t="s">
        <v>3075</v>
      </c>
    </row>
    <row r="412" spans="1:22" x14ac:dyDescent="0.35">
      <c r="A412" t="s">
        <v>1051</v>
      </c>
      <c r="B412" t="s">
        <v>4816</v>
      </c>
      <c r="C412" t="s">
        <v>5115</v>
      </c>
      <c r="D412" t="s">
        <v>3317</v>
      </c>
      <c r="E412" t="s">
        <v>5116</v>
      </c>
      <c r="F412" t="s">
        <v>5100</v>
      </c>
      <c r="G412" t="s">
        <v>132</v>
      </c>
      <c r="H412" t="s">
        <v>3997</v>
      </c>
      <c r="I412" t="s">
        <v>132</v>
      </c>
      <c r="J412" t="s">
        <v>3070</v>
      </c>
      <c r="K412">
        <v>0</v>
      </c>
      <c r="L412" t="s">
        <v>5102</v>
      </c>
      <c r="M412">
        <v>2</v>
      </c>
      <c r="N412" s="17">
        <v>45624</v>
      </c>
      <c r="O412" s="17">
        <v>45701</v>
      </c>
      <c r="P412" t="s">
        <v>3109</v>
      </c>
      <c r="Q412" t="s">
        <v>1050</v>
      </c>
      <c r="R412" t="s">
        <v>2512</v>
      </c>
      <c r="S412" t="s">
        <v>3072</v>
      </c>
      <c r="T412" t="s">
        <v>5117</v>
      </c>
      <c r="U412" t="s">
        <v>5118</v>
      </c>
      <c r="V412" t="s">
        <v>3852</v>
      </c>
    </row>
    <row r="413" spans="1:22" x14ac:dyDescent="0.35">
      <c r="A413" t="s">
        <v>5119</v>
      </c>
      <c r="B413" t="s">
        <v>5120</v>
      </c>
      <c r="C413" t="s">
        <v>5121</v>
      </c>
      <c r="D413" t="s">
        <v>3317</v>
      </c>
      <c r="E413" t="s">
        <v>5116</v>
      </c>
      <c r="F413" t="s">
        <v>5100</v>
      </c>
      <c r="G413" t="s">
        <v>5122</v>
      </c>
      <c r="H413" t="s">
        <v>3728</v>
      </c>
      <c r="I413" t="s">
        <v>5122</v>
      </c>
      <c r="J413" t="s">
        <v>3728</v>
      </c>
      <c r="K413">
        <v>0</v>
      </c>
      <c r="L413" t="s">
        <v>5102</v>
      </c>
      <c r="M413">
        <v>1</v>
      </c>
      <c r="N413" s="17">
        <v>45621</v>
      </c>
      <c r="O413" s="17">
        <v>45877</v>
      </c>
      <c r="P413" t="s">
        <v>3109</v>
      </c>
      <c r="Q413" t="s">
        <v>3349</v>
      </c>
      <c r="R413" t="s">
        <v>3349</v>
      </c>
      <c r="S413" t="s">
        <v>3072</v>
      </c>
      <c r="T413" t="s">
        <v>5123</v>
      </c>
      <c r="U413" t="s">
        <v>5124</v>
      </c>
      <c r="V413" t="s">
        <v>3075</v>
      </c>
    </row>
    <row r="414" spans="1:22" x14ac:dyDescent="0.35">
      <c r="A414" t="s">
        <v>997</v>
      </c>
      <c r="B414" t="s">
        <v>3889</v>
      </c>
      <c r="C414" t="s">
        <v>5125</v>
      </c>
      <c r="D414" t="s">
        <v>3317</v>
      </c>
      <c r="E414" t="s">
        <v>5116</v>
      </c>
      <c r="F414" t="s">
        <v>5100</v>
      </c>
      <c r="G414" t="s">
        <v>996</v>
      </c>
      <c r="H414" t="s">
        <v>3597</v>
      </c>
      <c r="I414" t="s">
        <v>89</v>
      </c>
      <c r="J414" t="s">
        <v>3088</v>
      </c>
      <c r="K414" t="s">
        <v>3088</v>
      </c>
      <c r="L414" t="s">
        <v>5102</v>
      </c>
      <c r="M414">
        <v>8</v>
      </c>
      <c r="N414" s="17">
        <v>45468</v>
      </c>
      <c r="O414" s="17">
        <v>45713</v>
      </c>
      <c r="P414" t="s">
        <v>3109</v>
      </c>
      <c r="Q414" t="s">
        <v>3533</v>
      </c>
      <c r="R414" t="s">
        <v>2041</v>
      </c>
      <c r="S414" t="s">
        <v>3072</v>
      </c>
      <c r="T414" t="s">
        <v>5126</v>
      </c>
      <c r="U414" t="s">
        <v>5127</v>
      </c>
      <c r="V414" t="s">
        <v>3075</v>
      </c>
    </row>
    <row r="415" spans="1:22" x14ac:dyDescent="0.35">
      <c r="A415" t="s">
        <v>976</v>
      </c>
      <c r="B415" t="s">
        <v>4920</v>
      </c>
      <c r="C415" t="s">
        <v>5128</v>
      </c>
      <c r="D415" t="s">
        <v>3317</v>
      </c>
      <c r="E415" t="s">
        <v>5116</v>
      </c>
      <c r="F415" t="s">
        <v>5100</v>
      </c>
      <c r="G415" t="s">
        <v>975</v>
      </c>
      <c r="H415" t="s">
        <v>3747</v>
      </c>
      <c r="I415" t="s">
        <v>89</v>
      </c>
      <c r="J415" t="s">
        <v>3088</v>
      </c>
      <c r="K415">
        <v>0</v>
      </c>
      <c r="L415" t="s">
        <v>5102</v>
      </c>
      <c r="M415">
        <v>7</v>
      </c>
      <c r="N415" s="17">
        <v>45427</v>
      </c>
      <c r="O415" s="17">
        <v>45809</v>
      </c>
      <c r="P415" t="s">
        <v>3109</v>
      </c>
      <c r="Q415" t="s">
        <v>3414</v>
      </c>
      <c r="R415" t="s">
        <v>2041</v>
      </c>
      <c r="S415" t="s">
        <v>3072</v>
      </c>
      <c r="T415" t="s">
        <v>5129</v>
      </c>
      <c r="U415" t="s">
        <v>5130</v>
      </c>
      <c r="V415" t="s">
        <v>3075</v>
      </c>
    </row>
    <row r="416" spans="1:22" x14ac:dyDescent="0.35">
      <c r="A416" t="s">
        <v>1080</v>
      </c>
      <c r="B416" t="s">
        <v>5131</v>
      </c>
      <c r="C416" t="s">
        <v>5132</v>
      </c>
      <c r="D416" t="s">
        <v>3317</v>
      </c>
      <c r="E416" t="s">
        <v>5116</v>
      </c>
      <c r="F416" t="s">
        <v>5100</v>
      </c>
      <c r="G416" t="s">
        <v>975</v>
      </c>
      <c r="H416" t="s">
        <v>3747</v>
      </c>
      <c r="I416" t="s">
        <v>89</v>
      </c>
      <c r="J416" t="s">
        <v>3088</v>
      </c>
      <c r="K416" t="s">
        <v>3088</v>
      </c>
      <c r="L416" t="s">
        <v>5102</v>
      </c>
      <c r="M416">
        <v>4</v>
      </c>
      <c r="N416" s="17">
        <v>45703</v>
      </c>
      <c r="O416" s="17">
        <v>45853</v>
      </c>
      <c r="P416" t="s">
        <v>3109</v>
      </c>
      <c r="Q416" t="s">
        <v>3533</v>
      </c>
      <c r="R416" t="s">
        <v>2041</v>
      </c>
      <c r="S416" t="s">
        <v>3072</v>
      </c>
      <c r="T416" t="s">
        <v>5133</v>
      </c>
      <c r="U416" t="s">
        <v>5134</v>
      </c>
      <c r="V416" t="s">
        <v>3075</v>
      </c>
    </row>
    <row r="417" spans="1:22" x14ac:dyDescent="0.35">
      <c r="A417" t="s">
        <v>5135</v>
      </c>
      <c r="B417" t="s">
        <v>5136</v>
      </c>
      <c r="C417" t="s">
        <v>5137</v>
      </c>
      <c r="D417" t="s">
        <v>3317</v>
      </c>
      <c r="E417" t="s">
        <v>5116</v>
      </c>
      <c r="F417" t="s">
        <v>5100</v>
      </c>
      <c r="G417" t="s">
        <v>5138</v>
      </c>
      <c r="H417" t="s">
        <v>5139</v>
      </c>
      <c r="I417" t="s">
        <v>5138</v>
      </c>
      <c r="J417" t="s">
        <v>5139</v>
      </c>
      <c r="K417" t="s">
        <v>3747</v>
      </c>
      <c r="L417" t="s">
        <v>5102</v>
      </c>
      <c r="M417">
        <v>11</v>
      </c>
      <c r="N417" s="17">
        <v>45525</v>
      </c>
      <c r="O417" s="17">
        <v>45855</v>
      </c>
      <c r="P417" t="s">
        <v>3109</v>
      </c>
      <c r="Q417" t="s">
        <v>2040</v>
      </c>
      <c r="R417" t="s">
        <v>2041</v>
      </c>
      <c r="S417" t="s">
        <v>3072</v>
      </c>
      <c r="T417" t="s">
        <v>5140</v>
      </c>
      <c r="U417" t="s">
        <v>5141</v>
      </c>
      <c r="V417" t="s">
        <v>3075</v>
      </c>
    </row>
    <row r="418" spans="1:22" x14ac:dyDescent="0.35">
      <c r="A418" t="s">
        <v>5142</v>
      </c>
      <c r="B418" t="s">
        <v>5143</v>
      </c>
      <c r="C418" t="s">
        <v>5144</v>
      </c>
      <c r="D418" t="s">
        <v>3317</v>
      </c>
      <c r="E418" t="s">
        <v>5116</v>
      </c>
      <c r="F418" t="s">
        <v>5100</v>
      </c>
      <c r="G418" t="s">
        <v>5145</v>
      </c>
      <c r="H418" t="s">
        <v>3153</v>
      </c>
      <c r="I418" t="s">
        <v>5145</v>
      </c>
      <c r="J418" t="s">
        <v>3153</v>
      </c>
      <c r="K418">
        <v>0</v>
      </c>
      <c r="L418" t="s">
        <v>5102</v>
      </c>
      <c r="M418">
        <v>6</v>
      </c>
      <c r="N418" s="17">
        <v>45536</v>
      </c>
      <c r="O418" s="17">
        <v>45882</v>
      </c>
      <c r="P418" t="s">
        <v>3109</v>
      </c>
      <c r="Q418" t="s">
        <v>2040</v>
      </c>
      <c r="R418" t="s">
        <v>2041</v>
      </c>
      <c r="S418" t="s">
        <v>3072</v>
      </c>
      <c r="T418" t="s">
        <v>5146</v>
      </c>
      <c r="U418" t="s">
        <v>5147</v>
      </c>
      <c r="V418" t="s">
        <v>3075</v>
      </c>
    </row>
    <row r="419" spans="1:22" x14ac:dyDescent="0.35">
      <c r="A419" t="s">
        <v>5148</v>
      </c>
      <c r="B419" t="s">
        <v>5149</v>
      </c>
      <c r="C419" t="s">
        <v>5150</v>
      </c>
      <c r="D419" t="s">
        <v>3067</v>
      </c>
      <c r="E419" t="s">
        <v>5116</v>
      </c>
      <c r="F419" t="s">
        <v>5100</v>
      </c>
      <c r="G419" t="s">
        <v>975</v>
      </c>
      <c r="H419" t="s">
        <v>3747</v>
      </c>
      <c r="I419" t="s">
        <v>4058</v>
      </c>
      <c r="J419" t="s">
        <v>5151</v>
      </c>
      <c r="K419" t="s">
        <v>3249</v>
      </c>
      <c r="L419" t="s">
        <v>5102</v>
      </c>
      <c r="M419">
        <v>12</v>
      </c>
      <c r="N419" s="17"/>
      <c r="O419" s="17"/>
      <c r="P419" t="s">
        <v>3109</v>
      </c>
      <c r="Q419" t="s">
        <v>2040</v>
      </c>
      <c r="R419" t="s">
        <v>2041</v>
      </c>
      <c r="S419" t="s">
        <v>3072</v>
      </c>
      <c r="T419" t="s">
        <v>5152</v>
      </c>
      <c r="U419" t="s">
        <v>5153</v>
      </c>
      <c r="V419" t="s">
        <v>3075</v>
      </c>
    </row>
    <row r="420" spans="1:22" x14ac:dyDescent="0.35">
      <c r="A420" t="s">
        <v>5154</v>
      </c>
      <c r="B420" t="s">
        <v>5155</v>
      </c>
      <c r="C420" t="s">
        <v>5156</v>
      </c>
      <c r="D420" t="s">
        <v>3317</v>
      </c>
      <c r="E420" t="s">
        <v>5116</v>
      </c>
      <c r="G420" t="s">
        <v>332</v>
      </c>
      <c r="H420" t="s">
        <v>3087</v>
      </c>
      <c r="I420" t="s">
        <v>332</v>
      </c>
      <c r="J420" t="s">
        <v>3728</v>
      </c>
      <c r="K420" t="s">
        <v>3747</v>
      </c>
      <c r="L420" t="s">
        <v>5102</v>
      </c>
      <c r="M420">
        <v>8</v>
      </c>
      <c r="N420" s="17">
        <v>45731</v>
      </c>
      <c r="O420" s="17">
        <v>45976</v>
      </c>
      <c r="P420" t="s">
        <v>3109</v>
      </c>
      <c r="Q420" t="s">
        <v>3349</v>
      </c>
      <c r="R420" t="s">
        <v>3349</v>
      </c>
      <c r="S420" t="s">
        <v>3072</v>
      </c>
      <c r="T420" t="s">
        <v>5157</v>
      </c>
      <c r="U420" t="s">
        <v>5158</v>
      </c>
      <c r="V420" t="s">
        <v>3075</v>
      </c>
    </row>
    <row r="421" spans="1:22" x14ac:dyDescent="0.35">
      <c r="A421" t="s">
        <v>5159</v>
      </c>
      <c r="B421" t="s">
        <v>5160</v>
      </c>
      <c r="C421" t="s">
        <v>5161</v>
      </c>
      <c r="D421" t="s">
        <v>3317</v>
      </c>
      <c r="E421" t="s">
        <v>5116</v>
      </c>
      <c r="G421" t="s">
        <v>5101</v>
      </c>
      <c r="H421" t="s">
        <v>3153</v>
      </c>
      <c r="I421" t="s">
        <v>5101</v>
      </c>
      <c r="J421" t="s">
        <v>3153</v>
      </c>
      <c r="K421">
        <v>0</v>
      </c>
      <c r="L421" t="s">
        <v>5102</v>
      </c>
      <c r="M421">
        <v>6</v>
      </c>
      <c r="N421" s="17">
        <v>45566</v>
      </c>
      <c r="O421" s="17">
        <v>45930</v>
      </c>
      <c r="P421" t="s">
        <v>3109</v>
      </c>
      <c r="Q421" t="s">
        <v>5162</v>
      </c>
      <c r="R421" t="s">
        <v>3777</v>
      </c>
      <c r="S421" t="s">
        <v>3172</v>
      </c>
      <c r="T421" t="s">
        <v>5163</v>
      </c>
      <c r="U421" t="s">
        <v>5164</v>
      </c>
      <c r="V421" t="s">
        <v>3075</v>
      </c>
    </row>
    <row r="422" spans="1:22" x14ac:dyDescent="0.35">
      <c r="A422" t="s">
        <v>5165</v>
      </c>
      <c r="B422" t="s">
        <v>5166</v>
      </c>
      <c r="C422" t="s">
        <v>5167</v>
      </c>
      <c r="D422" t="s">
        <v>3317</v>
      </c>
      <c r="E422" t="s">
        <v>5116</v>
      </c>
      <c r="G422" t="s">
        <v>5168</v>
      </c>
      <c r="H422" t="s">
        <v>5169</v>
      </c>
      <c r="I422" t="s">
        <v>5170</v>
      </c>
      <c r="J422" t="s">
        <v>5151</v>
      </c>
      <c r="K422" t="s">
        <v>3249</v>
      </c>
      <c r="L422" t="s">
        <v>5102</v>
      </c>
      <c r="M422">
        <v>3</v>
      </c>
      <c r="N422" s="17">
        <v>45726</v>
      </c>
      <c r="O422" s="17">
        <v>45889</v>
      </c>
      <c r="P422" t="s">
        <v>3109</v>
      </c>
      <c r="Q422" t="s">
        <v>3349</v>
      </c>
      <c r="R422" t="s">
        <v>3349</v>
      </c>
      <c r="S422" t="s">
        <v>3072</v>
      </c>
      <c r="T422" t="s">
        <v>5171</v>
      </c>
      <c r="U422" t="s">
        <v>5172</v>
      </c>
      <c r="V422" t="s">
        <v>3075</v>
      </c>
    </row>
    <row r="423" spans="1:22" x14ac:dyDescent="0.35">
      <c r="A423" t="s">
        <v>5173</v>
      </c>
      <c r="B423" t="s">
        <v>5174</v>
      </c>
      <c r="C423" t="s">
        <v>5175</v>
      </c>
      <c r="D423" t="s">
        <v>4036</v>
      </c>
      <c r="E423" t="s">
        <v>5116</v>
      </c>
      <c r="G423" t="s">
        <v>5176</v>
      </c>
      <c r="H423" t="s">
        <v>5177</v>
      </c>
      <c r="I423" t="s">
        <v>5176</v>
      </c>
      <c r="J423" t="s">
        <v>5177</v>
      </c>
      <c r="K423" t="s">
        <v>3747</v>
      </c>
      <c r="L423" t="s">
        <v>5102</v>
      </c>
      <c r="M423">
        <v>1</v>
      </c>
      <c r="N423" s="17">
        <v>45673</v>
      </c>
      <c r="O423" s="17">
        <v>46091</v>
      </c>
      <c r="P423" t="s">
        <v>3109</v>
      </c>
      <c r="Q423" t="s">
        <v>5178</v>
      </c>
      <c r="R423" t="s">
        <v>2512</v>
      </c>
      <c r="S423" t="s">
        <v>3072</v>
      </c>
      <c r="T423" t="s">
        <v>5179</v>
      </c>
      <c r="U423" t="s">
        <v>5180</v>
      </c>
      <c r="V423" t="s">
        <v>3075</v>
      </c>
    </row>
    <row r="424" spans="1:22" x14ac:dyDescent="0.35">
      <c r="A424" t="s">
        <v>5181</v>
      </c>
      <c r="B424" t="s">
        <v>5182</v>
      </c>
      <c r="C424" t="s">
        <v>5183</v>
      </c>
      <c r="D424" t="s">
        <v>4036</v>
      </c>
      <c r="E424" t="s">
        <v>5116</v>
      </c>
      <c r="G424" t="s">
        <v>89</v>
      </c>
      <c r="H424" t="s">
        <v>3088</v>
      </c>
      <c r="I424" t="s">
        <v>89</v>
      </c>
      <c r="J424" t="s">
        <v>3088</v>
      </c>
      <c r="K424" t="s">
        <v>3088</v>
      </c>
      <c r="L424" t="s">
        <v>5102</v>
      </c>
      <c r="M424">
        <v>36</v>
      </c>
      <c r="N424" s="17">
        <v>45644</v>
      </c>
      <c r="O424" s="17">
        <v>46739</v>
      </c>
      <c r="P424" t="s">
        <v>3109</v>
      </c>
      <c r="Q424" t="s">
        <v>2040</v>
      </c>
      <c r="R424" t="s">
        <v>2041</v>
      </c>
      <c r="S424" t="s">
        <v>3072</v>
      </c>
      <c r="T424" t="s">
        <v>5184</v>
      </c>
      <c r="U424" t="s">
        <v>5185</v>
      </c>
      <c r="V424" t="s">
        <v>3852</v>
      </c>
    </row>
    <row r="425" spans="1:22" x14ac:dyDescent="0.35">
      <c r="A425" t="s">
        <v>402</v>
      </c>
      <c r="B425" t="s">
        <v>4087</v>
      </c>
      <c r="C425" t="s">
        <v>5186</v>
      </c>
      <c r="D425" t="s">
        <v>4036</v>
      </c>
      <c r="E425" t="s">
        <v>5116</v>
      </c>
      <c r="G425" t="s">
        <v>400</v>
      </c>
      <c r="H425" t="s">
        <v>3153</v>
      </c>
      <c r="I425" t="s">
        <v>89</v>
      </c>
      <c r="J425" t="s">
        <v>3153</v>
      </c>
      <c r="K425" t="s">
        <v>3088</v>
      </c>
      <c r="L425" t="s">
        <v>5102</v>
      </c>
      <c r="M425">
        <v>7</v>
      </c>
      <c r="N425" s="17">
        <v>45809</v>
      </c>
      <c r="O425" s="17">
        <v>46360</v>
      </c>
      <c r="P425" t="s">
        <v>3109</v>
      </c>
      <c r="Q425" t="s">
        <v>3533</v>
      </c>
      <c r="R425" t="s">
        <v>2041</v>
      </c>
      <c r="S425" t="s">
        <v>3072</v>
      </c>
      <c r="T425" t="s">
        <v>5187</v>
      </c>
      <c r="U425" t="s">
        <v>5188</v>
      </c>
      <c r="V425" t="s">
        <v>3075</v>
      </c>
    </row>
    <row r="426" spans="1:22" x14ac:dyDescent="0.35">
      <c r="A426" t="s">
        <v>5189</v>
      </c>
      <c r="B426" t="s">
        <v>5190</v>
      </c>
      <c r="C426" t="s">
        <v>5191</v>
      </c>
      <c r="D426" t="s">
        <v>4036</v>
      </c>
      <c r="E426" t="s">
        <v>5116</v>
      </c>
      <c r="G426" t="s">
        <v>357</v>
      </c>
      <c r="H426" t="s">
        <v>3088</v>
      </c>
      <c r="I426" t="s">
        <v>357</v>
      </c>
      <c r="J426" t="s">
        <v>3088</v>
      </c>
      <c r="K426" t="s">
        <v>3088</v>
      </c>
      <c r="L426" t="s">
        <v>5102</v>
      </c>
      <c r="M426">
        <v>3</v>
      </c>
      <c r="N426" s="17">
        <v>45862</v>
      </c>
      <c r="O426" s="17">
        <v>46044</v>
      </c>
      <c r="P426" t="s">
        <v>3109</v>
      </c>
      <c r="Q426" t="s">
        <v>1097</v>
      </c>
      <c r="R426" t="s">
        <v>2041</v>
      </c>
      <c r="S426" t="s">
        <v>3072</v>
      </c>
      <c r="T426" t="s">
        <v>5192</v>
      </c>
      <c r="U426" t="s">
        <v>5193</v>
      </c>
      <c r="V426" t="s">
        <v>3852</v>
      </c>
    </row>
    <row r="427" spans="1:22" x14ac:dyDescent="0.35">
      <c r="A427" t="s">
        <v>5194</v>
      </c>
      <c r="B427" t="s">
        <v>5195</v>
      </c>
      <c r="C427" t="s">
        <v>5196</v>
      </c>
      <c r="D427" t="s">
        <v>4036</v>
      </c>
      <c r="E427" t="s">
        <v>5116</v>
      </c>
      <c r="G427" t="s">
        <v>5197</v>
      </c>
      <c r="H427" t="s">
        <v>249</v>
      </c>
      <c r="I427" t="s">
        <v>5197</v>
      </c>
      <c r="J427" t="s">
        <v>3153</v>
      </c>
      <c r="K427" t="s">
        <v>3249</v>
      </c>
      <c r="L427" t="s">
        <v>5102</v>
      </c>
      <c r="M427">
        <v>6</v>
      </c>
      <c r="N427" s="17">
        <v>45887</v>
      </c>
      <c r="O427" s="17">
        <v>46071</v>
      </c>
      <c r="P427" t="s">
        <v>3109</v>
      </c>
      <c r="Q427" t="s">
        <v>3140</v>
      </c>
      <c r="R427" t="s">
        <v>2041</v>
      </c>
      <c r="S427" t="s">
        <v>3072</v>
      </c>
      <c r="T427" t="s">
        <v>5198</v>
      </c>
      <c r="U427" t="s">
        <v>5199</v>
      </c>
      <c r="V427" t="s">
        <v>3075</v>
      </c>
    </row>
    <row r="428" spans="1:22" x14ac:dyDescent="0.35">
      <c r="A428" t="s">
        <v>5181</v>
      </c>
      <c r="B428" t="s">
        <v>5200</v>
      </c>
      <c r="C428" t="s">
        <v>5183</v>
      </c>
      <c r="D428" t="s">
        <v>4036</v>
      </c>
      <c r="E428" t="s">
        <v>5116</v>
      </c>
      <c r="G428" t="s">
        <v>89</v>
      </c>
      <c r="H428" t="s">
        <v>3088</v>
      </c>
      <c r="I428" t="s">
        <v>89</v>
      </c>
      <c r="J428" t="s">
        <v>3088</v>
      </c>
      <c r="K428" t="s">
        <v>3088</v>
      </c>
      <c r="L428" t="s">
        <v>5102</v>
      </c>
      <c r="M428">
        <v>36</v>
      </c>
      <c r="N428" s="17">
        <v>45644</v>
      </c>
      <c r="O428" s="17">
        <v>46739</v>
      </c>
      <c r="P428" t="s">
        <v>3109</v>
      </c>
      <c r="Q428" t="s">
        <v>2040</v>
      </c>
      <c r="R428" t="s">
        <v>2041</v>
      </c>
      <c r="S428" t="s">
        <v>3072</v>
      </c>
      <c r="T428" t="s">
        <v>5184</v>
      </c>
      <c r="U428" t="s">
        <v>5201</v>
      </c>
      <c r="V428" t="s">
        <v>3852</v>
      </c>
    </row>
    <row r="429" spans="1:22" x14ac:dyDescent="0.35">
      <c r="A429" t="s">
        <v>5202</v>
      </c>
      <c r="B429" t="s">
        <v>5203</v>
      </c>
      <c r="C429" t="s">
        <v>5204</v>
      </c>
      <c r="D429" t="s">
        <v>4036</v>
      </c>
      <c r="E429" t="s">
        <v>5116</v>
      </c>
      <c r="G429" t="s">
        <v>5205</v>
      </c>
      <c r="H429" t="s">
        <v>249</v>
      </c>
      <c r="I429" t="s">
        <v>5205</v>
      </c>
      <c r="J429" t="s">
        <v>5151</v>
      </c>
      <c r="K429" t="s">
        <v>3249</v>
      </c>
      <c r="L429" t="s">
        <v>5102</v>
      </c>
      <c r="M429">
        <v>4</v>
      </c>
      <c r="N429" s="17">
        <v>45992</v>
      </c>
      <c r="O429" s="17">
        <v>46113</v>
      </c>
      <c r="P429" t="s">
        <v>3109</v>
      </c>
      <c r="Q429" t="s">
        <v>5206</v>
      </c>
      <c r="R429" t="s">
        <v>3360</v>
      </c>
      <c r="S429" t="s">
        <v>3072</v>
      </c>
      <c r="T429" t="s">
        <v>5207</v>
      </c>
      <c r="U429" t="s">
        <v>5208</v>
      </c>
      <c r="V429" t="s">
        <v>3075</v>
      </c>
    </row>
    <row r="430" spans="1:22" x14ac:dyDescent="0.35">
      <c r="A430" t="s">
        <v>5209</v>
      </c>
      <c r="B430" t="s">
        <v>5210</v>
      </c>
      <c r="C430" t="s">
        <v>5211</v>
      </c>
      <c r="D430" t="s">
        <v>3317</v>
      </c>
      <c r="E430" t="s">
        <v>5116</v>
      </c>
      <c r="G430" t="s">
        <v>2002</v>
      </c>
      <c r="H430" t="s">
        <v>2002</v>
      </c>
      <c r="I430" t="s">
        <v>2002</v>
      </c>
      <c r="J430" t="s">
        <v>2002</v>
      </c>
      <c r="K430">
        <v>0</v>
      </c>
      <c r="L430" t="s">
        <v>5102</v>
      </c>
      <c r="M430">
        <v>0</v>
      </c>
      <c r="N430" s="17">
        <v>45920</v>
      </c>
      <c r="O430" s="17">
        <v>46132</v>
      </c>
      <c r="P430" t="s">
        <v>3109</v>
      </c>
      <c r="Q430" t="s">
        <v>2040</v>
      </c>
      <c r="R430" t="s">
        <v>2041</v>
      </c>
      <c r="S430" t="s">
        <v>3072</v>
      </c>
      <c r="T430" t="s">
        <v>5212</v>
      </c>
      <c r="U430" t="s">
        <v>5213</v>
      </c>
      <c r="V430" t="s">
        <v>3075</v>
      </c>
    </row>
    <row r="431" spans="1:22" x14ac:dyDescent="0.35">
      <c r="A431" t="s">
        <v>5214</v>
      </c>
      <c r="B431" t="s">
        <v>5215</v>
      </c>
      <c r="C431" t="s">
        <v>5216</v>
      </c>
      <c r="D431" t="s">
        <v>4215</v>
      </c>
      <c r="E431" t="s">
        <v>5116</v>
      </c>
      <c r="G431" t="s">
        <v>5138</v>
      </c>
      <c r="H431" t="s">
        <v>5139</v>
      </c>
      <c r="I431" t="s">
        <v>5138</v>
      </c>
      <c r="J431" t="s">
        <v>5139</v>
      </c>
      <c r="K431" t="s">
        <v>3747</v>
      </c>
      <c r="L431" t="s">
        <v>5102</v>
      </c>
      <c r="M431">
        <v>11</v>
      </c>
      <c r="N431" s="17">
        <v>46073</v>
      </c>
      <c r="O431" s="17">
        <v>46376</v>
      </c>
      <c r="P431" t="s">
        <v>3109</v>
      </c>
      <c r="Q431" t="s">
        <v>2040</v>
      </c>
      <c r="R431" t="s">
        <v>2041</v>
      </c>
      <c r="S431" t="s">
        <v>3072</v>
      </c>
      <c r="T431" t="s">
        <v>5217</v>
      </c>
      <c r="U431" t="s">
        <v>5218</v>
      </c>
      <c r="V431" t="s">
        <v>3075</v>
      </c>
    </row>
    <row r="432" spans="1:22" x14ac:dyDescent="0.35">
      <c r="A432" t="s">
        <v>5024</v>
      </c>
      <c r="B432" t="s">
        <v>5025</v>
      </c>
      <c r="C432" t="s">
        <v>5219</v>
      </c>
      <c r="D432" t="s">
        <v>4036</v>
      </c>
      <c r="E432" t="s">
        <v>5116</v>
      </c>
      <c r="G432" t="s">
        <v>153</v>
      </c>
      <c r="H432" t="s">
        <v>3917</v>
      </c>
      <c r="I432" t="s">
        <v>153</v>
      </c>
      <c r="J432" t="s">
        <v>3918</v>
      </c>
      <c r="K432" t="s">
        <v>3856</v>
      </c>
      <c r="L432" t="s">
        <v>5102</v>
      </c>
      <c r="M432">
        <v>2</v>
      </c>
      <c r="N432" s="17">
        <v>45957</v>
      </c>
      <c r="O432" s="17">
        <v>46018</v>
      </c>
      <c r="P432" t="s">
        <v>3109</v>
      </c>
      <c r="Q432" t="s">
        <v>5220</v>
      </c>
      <c r="R432" t="s">
        <v>2041</v>
      </c>
      <c r="S432" t="s">
        <v>3072</v>
      </c>
      <c r="T432" t="s">
        <v>5221</v>
      </c>
      <c r="U432" t="s">
        <v>5222</v>
      </c>
      <c r="V432" t="s">
        <v>3852</v>
      </c>
    </row>
    <row r="433" spans="1:22" x14ac:dyDescent="0.35">
      <c r="A433" t="s">
        <v>5223</v>
      </c>
      <c r="B433" t="s">
        <v>5224</v>
      </c>
      <c r="C433" t="s">
        <v>5225</v>
      </c>
      <c r="D433" t="s">
        <v>4036</v>
      </c>
      <c r="E433" t="s">
        <v>5116</v>
      </c>
      <c r="G433" t="s">
        <v>252</v>
      </c>
      <c r="H433" t="s">
        <v>3087</v>
      </c>
      <c r="I433" t="s">
        <v>252</v>
      </c>
      <c r="J433" t="s">
        <v>3153</v>
      </c>
      <c r="K433" t="s">
        <v>3694</v>
      </c>
      <c r="L433" t="s">
        <v>5102</v>
      </c>
      <c r="M433">
        <v>9</v>
      </c>
      <c r="N433" s="17"/>
      <c r="O433" s="17"/>
      <c r="Q433" t="s">
        <v>249</v>
      </c>
      <c r="R433" t="s">
        <v>249</v>
      </c>
      <c r="S433" t="s">
        <v>249</v>
      </c>
      <c r="T433" t="s">
        <v>5226</v>
      </c>
      <c r="U433" t="s">
        <v>5227</v>
      </c>
      <c r="V433" t="s">
        <v>3075</v>
      </c>
    </row>
    <row r="434" spans="1:22" x14ac:dyDescent="0.35">
      <c r="A434" t="s">
        <v>651</v>
      </c>
      <c r="B434" t="s">
        <v>4199</v>
      </c>
      <c r="C434" t="s">
        <v>5228</v>
      </c>
      <c r="D434" t="s">
        <v>4036</v>
      </c>
      <c r="E434" t="s">
        <v>5116</v>
      </c>
      <c r="G434" t="s">
        <v>649</v>
      </c>
      <c r="H434" t="s">
        <v>249</v>
      </c>
      <c r="I434" t="s">
        <v>89</v>
      </c>
      <c r="J434" t="s">
        <v>249</v>
      </c>
      <c r="K434" t="s">
        <v>3088</v>
      </c>
      <c r="L434" t="s">
        <v>5102</v>
      </c>
      <c r="M434">
        <v>10</v>
      </c>
      <c r="N434" s="17"/>
      <c r="O434" s="17"/>
      <c r="P434" t="s">
        <v>3413</v>
      </c>
      <c r="Q434" t="s">
        <v>2833</v>
      </c>
      <c r="R434" t="s">
        <v>2041</v>
      </c>
      <c r="S434" t="s">
        <v>3072</v>
      </c>
      <c r="T434" t="s">
        <v>5229</v>
      </c>
      <c r="U434" t="s">
        <v>5230</v>
      </c>
      <c r="V434" t="s">
        <v>3075</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F5B8-6890-4A15-B692-3777C0B2F809}">
  <dimension ref="A1:EJ614"/>
  <sheetViews>
    <sheetView workbookViewId="0">
      <selection activeCell="P355" sqref="P355"/>
    </sheetView>
  </sheetViews>
  <sheetFormatPr defaultRowHeight="14.5" x14ac:dyDescent="0.35"/>
  <cols>
    <col min="1" max="1" width="17.26953125" bestFit="1" customWidth="1"/>
    <col min="2" max="2" width="27.1796875" bestFit="1" customWidth="1"/>
    <col min="3" max="3" width="17.7265625" bestFit="1" customWidth="1"/>
    <col min="4" max="4" width="80.81640625" bestFit="1" customWidth="1"/>
    <col min="5" max="5" width="11.1796875" bestFit="1" customWidth="1"/>
    <col min="6" max="6" width="16.7265625" bestFit="1" customWidth="1"/>
    <col min="7" max="7" width="15.7265625" bestFit="1" customWidth="1"/>
    <col min="8" max="8" width="24.26953125" bestFit="1" customWidth="1"/>
    <col min="9" max="9" width="19.453125" bestFit="1" customWidth="1"/>
    <col min="10" max="10" width="11.453125" bestFit="1" customWidth="1"/>
    <col min="11" max="11" width="15.7265625" bestFit="1" customWidth="1"/>
    <col min="12" max="12" width="31.54296875" bestFit="1" customWidth="1"/>
    <col min="13" max="13" width="25.7265625" bestFit="1" customWidth="1"/>
    <col min="14" max="14" width="38.26953125" bestFit="1" customWidth="1"/>
    <col min="15" max="15" width="28" bestFit="1" customWidth="1"/>
    <col min="16" max="16" width="18.453125" bestFit="1" customWidth="1"/>
    <col min="17" max="17" width="22.1796875" bestFit="1" customWidth="1"/>
    <col min="18" max="18" width="16.453125" bestFit="1" customWidth="1"/>
    <col min="19" max="19" width="14.81640625" bestFit="1" customWidth="1"/>
    <col min="20" max="20" width="16.7265625" bestFit="1" customWidth="1"/>
    <col min="21" max="21" width="80.81640625" bestFit="1" customWidth="1"/>
    <col min="22" max="22" width="19.7265625" bestFit="1" customWidth="1"/>
    <col min="23" max="23" width="23.26953125" bestFit="1" customWidth="1"/>
    <col min="24" max="24" width="25.453125" bestFit="1" customWidth="1"/>
    <col min="25" max="25" width="15.7265625" bestFit="1" customWidth="1"/>
    <col min="26" max="26" width="11.54296875" bestFit="1" customWidth="1"/>
    <col min="27" max="27" width="14.81640625" bestFit="1" customWidth="1"/>
    <col min="28" max="28" width="18" bestFit="1" customWidth="1"/>
    <col min="29" max="30" width="25.1796875" bestFit="1" customWidth="1"/>
    <col min="31" max="31" width="14.453125" bestFit="1" customWidth="1"/>
    <col min="32" max="32" width="18.453125" bestFit="1" customWidth="1"/>
    <col min="33" max="33" width="14.453125" bestFit="1" customWidth="1"/>
    <col min="34" max="34" width="12" bestFit="1" customWidth="1"/>
    <col min="35" max="35" width="12.7265625" bestFit="1" customWidth="1"/>
    <col min="36" max="36" width="12" bestFit="1" customWidth="1"/>
    <col min="37" max="37" width="9.26953125" bestFit="1" customWidth="1"/>
    <col min="38" max="42" width="10" bestFit="1" customWidth="1"/>
    <col min="43" max="48" width="11" bestFit="1" customWidth="1"/>
    <col min="49" max="49" width="12" bestFit="1" customWidth="1"/>
    <col min="50" max="57" width="11" bestFit="1" customWidth="1"/>
    <col min="58" max="58" width="9.26953125" bestFit="1" customWidth="1"/>
    <col min="59" max="59" width="10" bestFit="1" customWidth="1"/>
    <col min="60" max="60" width="9.26953125" bestFit="1" customWidth="1"/>
    <col min="61" max="61" width="10" bestFit="1" customWidth="1"/>
    <col min="62" max="62" width="12" bestFit="1" customWidth="1"/>
    <col min="63" max="63" width="11" bestFit="1" customWidth="1"/>
    <col min="64" max="67" width="10" bestFit="1" customWidth="1"/>
    <col min="68" max="72" width="11" bestFit="1" customWidth="1"/>
    <col min="73" max="73" width="12" bestFit="1" customWidth="1"/>
    <col min="74" max="74" width="11" bestFit="1" customWidth="1"/>
    <col min="75" max="75" width="12" bestFit="1" customWidth="1"/>
    <col min="76" max="81" width="11" bestFit="1" customWidth="1"/>
    <col min="82" max="84" width="10" bestFit="1" customWidth="1"/>
    <col min="85" max="86" width="9.26953125" bestFit="1" customWidth="1"/>
    <col min="87" max="109" width="12" bestFit="1" customWidth="1"/>
    <col min="110" max="111" width="11" bestFit="1" customWidth="1"/>
    <col min="112" max="113" width="10" bestFit="1" customWidth="1"/>
    <col min="114" max="114" width="11" bestFit="1" customWidth="1"/>
    <col min="115" max="123" width="10" bestFit="1" customWidth="1"/>
    <col min="124" max="126" width="9.26953125" bestFit="1" customWidth="1"/>
    <col min="127" max="127" width="10" bestFit="1" customWidth="1"/>
    <col min="128" max="139" width="9.26953125" bestFit="1" customWidth="1"/>
    <col min="140" max="140" width="12" customWidth="1"/>
  </cols>
  <sheetData>
    <row r="1" spans="1:140" x14ac:dyDescent="0.35">
      <c r="A1" t="s">
        <v>810</v>
      </c>
      <c r="B1" t="s">
        <v>5231</v>
      </c>
      <c r="C1" t="s">
        <v>5232</v>
      </c>
      <c r="D1" t="s">
        <v>5233</v>
      </c>
      <c r="E1" t="s">
        <v>3044</v>
      </c>
      <c r="F1" t="s">
        <v>3045</v>
      </c>
      <c r="G1" t="s">
        <v>5234</v>
      </c>
      <c r="H1" t="s">
        <v>5235</v>
      </c>
      <c r="I1" t="s">
        <v>5236</v>
      </c>
      <c r="J1" t="s">
        <v>5237</v>
      </c>
      <c r="K1" t="s">
        <v>5238</v>
      </c>
      <c r="L1" t="s">
        <v>811</v>
      </c>
      <c r="M1" t="s">
        <v>5239</v>
      </c>
      <c r="N1" t="s">
        <v>818</v>
      </c>
      <c r="O1" t="s">
        <v>5240</v>
      </c>
      <c r="P1" t="s">
        <v>5241</v>
      </c>
      <c r="Q1" t="s">
        <v>5242</v>
      </c>
      <c r="R1" t="s">
        <v>36</v>
      </c>
      <c r="S1" t="s">
        <v>5243</v>
      </c>
      <c r="T1" t="s">
        <v>5244</v>
      </c>
      <c r="U1" t="s">
        <v>5245</v>
      </c>
      <c r="V1" t="s">
        <v>5246</v>
      </c>
      <c r="W1" t="s">
        <v>5247</v>
      </c>
      <c r="X1" t="s">
        <v>5248</v>
      </c>
      <c r="Y1" t="s">
        <v>5249</v>
      </c>
      <c r="Z1" t="s">
        <v>5250</v>
      </c>
      <c r="AA1" t="s">
        <v>5251</v>
      </c>
      <c r="AB1" t="s">
        <v>5252</v>
      </c>
      <c r="AC1" t="s">
        <v>5253</v>
      </c>
      <c r="AD1" t="s">
        <v>5254</v>
      </c>
      <c r="AE1" t="s">
        <v>5255</v>
      </c>
      <c r="AF1" t="s">
        <v>5256</v>
      </c>
      <c r="AG1" t="s">
        <v>5257</v>
      </c>
      <c r="AH1" t="s">
        <v>5258</v>
      </c>
      <c r="AI1" t="s">
        <v>5259</v>
      </c>
      <c r="AJ1" t="s">
        <v>5260</v>
      </c>
      <c r="AK1" t="s">
        <v>5261</v>
      </c>
      <c r="AL1" t="s">
        <v>5262</v>
      </c>
      <c r="AM1" t="s">
        <v>5263</v>
      </c>
      <c r="AN1" t="s">
        <v>5264</v>
      </c>
      <c r="AO1" t="s">
        <v>5265</v>
      </c>
      <c r="AP1" t="s">
        <v>5266</v>
      </c>
      <c r="AQ1" t="s">
        <v>5267</v>
      </c>
      <c r="AR1" t="s">
        <v>5268</v>
      </c>
      <c r="AS1" t="s">
        <v>5269</v>
      </c>
      <c r="AT1" t="s">
        <v>5270</v>
      </c>
      <c r="AU1" t="s">
        <v>5271</v>
      </c>
      <c r="AV1" t="s">
        <v>5272</v>
      </c>
      <c r="AW1" t="s">
        <v>5273</v>
      </c>
      <c r="AX1" t="s">
        <v>5274</v>
      </c>
      <c r="AY1" t="s">
        <v>5275</v>
      </c>
      <c r="AZ1" t="s">
        <v>5276</v>
      </c>
      <c r="BA1" t="s">
        <v>5277</v>
      </c>
      <c r="BB1" t="s">
        <v>5278</v>
      </c>
      <c r="BC1" t="s">
        <v>5279</v>
      </c>
      <c r="BD1" t="s">
        <v>5280</v>
      </c>
      <c r="BE1" t="s">
        <v>5281</v>
      </c>
      <c r="BF1" t="s">
        <v>5282</v>
      </c>
      <c r="BG1" t="s">
        <v>5283</v>
      </c>
      <c r="BH1" t="s">
        <v>5284</v>
      </c>
      <c r="BI1" t="s">
        <v>5285</v>
      </c>
      <c r="BJ1" t="s">
        <v>5286</v>
      </c>
      <c r="BK1" t="s">
        <v>5287</v>
      </c>
      <c r="BL1" t="s">
        <v>5288</v>
      </c>
      <c r="BM1" t="s">
        <v>5289</v>
      </c>
      <c r="BN1" t="s">
        <v>5290</v>
      </c>
      <c r="BO1" t="s">
        <v>5291</v>
      </c>
      <c r="BP1" t="s">
        <v>5292</v>
      </c>
      <c r="BQ1" t="s">
        <v>5293</v>
      </c>
      <c r="BR1" t="s">
        <v>5294</v>
      </c>
      <c r="BS1" t="s">
        <v>5295</v>
      </c>
      <c r="BT1" t="s">
        <v>5296</v>
      </c>
      <c r="BU1" t="s">
        <v>5297</v>
      </c>
      <c r="BV1" t="s">
        <v>5298</v>
      </c>
      <c r="BW1" t="s">
        <v>5299</v>
      </c>
      <c r="BX1" t="s">
        <v>5300</v>
      </c>
      <c r="BY1" t="s">
        <v>5301</v>
      </c>
      <c r="BZ1" t="s">
        <v>5302</v>
      </c>
      <c r="CA1" t="s">
        <v>5303</v>
      </c>
      <c r="CB1" t="s">
        <v>5304</v>
      </c>
      <c r="CC1" t="s">
        <v>5305</v>
      </c>
      <c r="CD1" t="s">
        <v>5306</v>
      </c>
      <c r="CE1" t="s">
        <v>5307</v>
      </c>
      <c r="CF1" t="s">
        <v>5308</v>
      </c>
      <c r="CG1" t="s">
        <v>5309</v>
      </c>
      <c r="CH1" t="s">
        <v>5310</v>
      </c>
      <c r="CI1" t="s">
        <v>5311</v>
      </c>
      <c r="CJ1" t="s">
        <v>5312</v>
      </c>
      <c r="CK1" t="s">
        <v>5313</v>
      </c>
      <c r="CL1" t="s">
        <v>5314</v>
      </c>
      <c r="CM1" t="s">
        <v>5315</v>
      </c>
      <c r="CN1" t="s">
        <v>5316</v>
      </c>
      <c r="CO1" t="s">
        <v>5317</v>
      </c>
      <c r="CP1" t="s">
        <v>5318</v>
      </c>
      <c r="CQ1" t="s">
        <v>5319</v>
      </c>
      <c r="CR1" t="s">
        <v>5320</v>
      </c>
      <c r="CS1" t="s">
        <v>5321</v>
      </c>
      <c r="CT1" t="s">
        <v>5322</v>
      </c>
      <c r="CU1" t="s">
        <v>5323</v>
      </c>
      <c r="CV1" t="s">
        <v>5324</v>
      </c>
      <c r="CW1" t="s">
        <v>5325</v>
      </c>
      <c r="CX1" t="s">
        <v>5326</v>
      </c>
      <c r="CY1" t="s">
        <v>5327</v>
      </c>
      <c r="CZ1" t="s">
        <v>5328</v>
      </c>
      <c r="DA1" t="s">
        <v>5329</v>
      </c>
      <c r="DB1" t="s">
        <v>5330</v>
      </c>
      <c r="DC1" t="s">
        <v>5331</v>
      </c>
      <c r="DD1" t="s">
        <v>5332</v>
      </c>
      <c r="DE1" t="s">
        <v>5333</v>
      </c>
      <c r="DF1" t="s">
        <v>5334</v>
      </c>
      <c r="DG1" t="s">
        <v>5335</v>
      </c>
      <c r="DH1" t="s">
        <v>5336</v>
      </c>
      <c r="DI1" t="s">
        <v>5337</v>
      </c>
      <c r="DJ1" t="s">
        <v>5338</v>
      </c>
      <c r="DK1" t="s">
        <v>5339</v>
      </c>
      <c r="DL1" t="s">
        <v>5340</v>
      </c>
      <c r="DM1" t="s">
        <v>5341</v>
      </c>
      <c r="DN1" t="s">
        <v>5342</v>
      </c>
      <c r="DO1" t="s">
        <v>5343</v>
      </c>
      <c r="DP1" t="s">
        <v>5344</v>
      </c>
      <c r="DQ1" t="s">
        <v>5345</v>
      </c>
      <c r="DR1" t="s">
        <v>5346</v>
      </c>
      <c r="DS1" t="s">
        <v>5347</v>
      </c>
      <c r="DT1" t="s">
        <v>5348</v>
      </c>
      <c r="DU1" t="s">
        <v>5349</v>
      </c>
      <c r="DV1" t="s">
        <v>5350</v>
      </c>
      <c r="DW1" t="s">
        <v>5351</v>
      </c>
      <c r="DX1" t="s">
        <v>5352</v>
      </c>
      <c r="DY1" t="s">
        <v>5353</v>
      </c>
      <c r="DZ1" t="s">
        <v>5354</v>
      </c>
      <c r="EA1" t="s">
        <v>5355</v>
      </c>
      <c r="EB1" t="s">
        <v>5356</v>
      </c>
      <c r="EC1" t="s">
        <v>5357</v>
      </c>
      <c r="ED1" t="s">
        <v>5358</v>
      </c>
      <c r="EE1" t="s">
        <v>5359</v>
      </c>
      <c r="EF1" t="s">
        <v>5360</v>
      </c>
      <c r="EG1" t="s">
        <v>5361</v>
      </c>
      <c r="EH1" t="s">
        <v>5362</v>
      </c>
      <c r="EI1" t="s">
        <v>5363</v>
      </c>
      <c r="EJ1" t="s">
        <v>5364</v>
      </c>
    </row>
    <row r="2" spans="1:140" hidden="1" x14ac:dyDescent="0.35">
      <c r="A2" t="s">
        <v>4036</v>
      </c>
      <c r="B2" t="s">
        <v>5365</v>
      </c>
      <c r="D2" t="s">
        <v>5366</v>
      </c>
      <c r="E2" t="s">
        <v>155</v>
      </c>
      <c r="F2" t="s">
        <v>4034</v>
      </c>
      <c r="G2" t="s">
        <v>4035</v>
      </c>
      <c r="H2" t="s">
        <v>5367</v>
      </c>
      <c r="I2" t="s">
        <v>5368</v>
      </c>
      <c r="J2" t="s">
        <v>3849</v>
      </c>
      <c r="K2" t="s">
        <v>3849</v>
      </c>
      <c r="L2" t="s">
        <v>153</v>
      </c>
      <c r="M2" t="s">
        <v>3917</v>
      </c>
      <c r="N2" t="s">
        <v>153</v>
      </c>
      <c r="O2" t="s">
        <v>3918</v>
      </c>
      <c r="P2">
        <v>0</v>
      </c>
      <c r="Q2" t="s">
        <v>3852</v>
      </c>
      <c r="R2" t="s">
        <v>1580</v>
      </c>
      <c r="S2">
        <v>0</v>
      </c>
      <c r="T2" t="s">
        <v>5369</v>
      </c>
      <c r="U2" t="s">
        <v>5370</v>
      </c>
      <c r="V2" s="17">
        <v>45167</v>
      </c>
      <c r="W2" s="17">
        <v>44988</v>
      </c>
      <c r="X2" s="17">
        <v>45080</v>
      </c>
      <c r="Y2">
        <v>-1082</v>
      </c>
      <c r="Z2">
        <v>4</v>
      </c>
      <c r="AA2">
        <v>3.0666666666666669</v>
      </c>
      <c r="AB2">
        <v>1574.8</v>
      </c>
      <c r="AC2" s="17"/>
      <c r="AE2">
        <v>31860</v>
      </c>
      <c r="AF2">
        <v>127440</v>
      </c>
      <c r="AG2">
        <v>31860</v>
      </c>
      <c r="AH2">
        <v>742636.54500000004</v>
      </c>
      <c r="AI2">
        <v>615196.54500000004</v>
      </c>
      <c r="AJ2">
        <v>0</v>
      </c>
      <c r="AW2">
        <v>0</v>
      </c>
      <c r="BJ2">
        <v>495519.44500000001</v>
      </c>
      <c r="BN2">
        <v>30904.2</v>
      </c>
      <c r="BO2">
        <v>31860</v>
      </c>
      <c r="BP2">
        <v>31860</v>
      </c>
      <c r="BQ2">
        <v>55190</v>
      </c>
      <c r="BR2">
        <v>55190</v>
      </c>
      <c r="BS2">
        <v>65155.035000000003</v>
      </c>
      <c r="BT2">
        <v>75120.070000000007</v>
      </c>
      <c r="BU2">
        <v>75120.070000000007</v>
      </c>
      <c r="BV2">
        <v>75120.070000000007</v>
      </c>
      <c r="BW2">
        <v>247117.1</v>
      </c>
      <c r="BX2">
        <v>99268.56</v>
      </c>
      <c r="BY2">
        <v>73924.27</v>
      </c>
      <c r="BZ2">
        <v>73924.27</v>
      </c>
      <c r="CJ2">
        <v>0</v>
      </c>
      <c r="CW2">
        <v>0</v>
      </c>
      <c r="DJ2">
        <v>0</v>
      </c>
      <c r="DW2">
        <v>0</v>
      </c>
      <c r="EJ2">
        <v>0</v>
      </c>
    </row>
    <row r="3" spans="1:140" hidden="1" x14ac:dyDescent="0.35">
      <c r="A3" t="s">
        <v>4036</v>
      </c>
      <c r="B3" t="s">
        <v>5365</v>
      </c>
      <c r="D3" t="s">
        <v>5371</v>
      </c>
      <c r="E3" t="s">
        <v>155</v>
      </c>
      <c r="F3" t="s">
        <v>4034</v>
      </c>
      <c r="G3" t="s">
        <v>4035</v>
      </c>
      <c r="H3" t="s">
        <v>5372</v>
      </c>
      <c r="I3" t="s">
        <v>5373</v>
      </c>
      <c r="J3" t="s">
        <v>3849</v>
      </c>
      <c r="K3" t="s">
        <v>3849</v>
      </c>
      <c r="L3" t="s">
        <v>153</v>
      </c>
      <c r="M3" t="s">
        <v>3917</v>
      </c>
      <c r="N3" t="s">
        <v>153</v>
      </c>
      <c r="O3" t="s">
        <v>3918</v>
      </c>
      <c r="P3">
        <v>0</v>
      </c>
      <c r="Q3" t="s">
        <v>3852</v>
      </c>
      <c r="R3" t="s">
        <v>1580</v>
      </c>
      <c r="S3" t="s">
        <v>5374</v>
      </c>
      <c r="T3" t="s">
        <v>1576</v>
      </c>
      <c r="U3" t="s">
        <v>5375</v>
      </c>
      <c r="V3" s="17">
        <v>45364</v>
      </c>
      <c r="W3" s="17">
        <v>45386</v>
      </c>
      <c r="X3" s="17">
        <v>45477</v>
      </c>
      <c r="Y3">
        <v>-685</v>
      </c>
      <c r="Z3">
        <v>3</v>
      </c>
      <c r="AA3">
        <v>3.0333333333333332</v>
      </c>
      <c r="AB3">
        <v>1561.5666666666666</v>
      </c>
      <c r="AC3" s="17"/>
      <c r="AE3">
        <v>18734.27</v>
      </c>
      <c r="AF3">
        <v>56202.81</v>
      </c>
      <c r="AG3">
        <v>18734.27</v>
      </c>
      <c r="AH3">
        <v>56202.81</v>
      </c>
      <c r="AI3">
        <v>0</v>
      </c>
      <c r="AJ3">
        <v>0</v>
      </c>
      <c r="AW3">
        <v>0</v>
      </c>
      <c r="BJ3">
        <v>0</v>
      </c>
      <c r="BW3">
        <v>56202.81</v>
      </c>
      <c r="CA3">
        <v>18734.27</v>
      </c>
      <c r="CB3">
        <v>18734.27</v>
      </c>
      <c r="CC3">
        <v>18734.27</v>
      </c>
      <c r="CJ3">
        <v>0</v>
      </c>
      <c r="CW3">
        <v>0</v>
      </c>
      <c r="DJ3">
        <v>0</v>
      </c>
      <c r="DW3">
        <v>0</v>
      </c>
      <c r="EJ3">
        <v>0</v>
      </c>
    </row>
    <row r="4" spans="1:140" hidden="1" x14ac:dyDescent="0.35">
      <c r="A4" t="s">
        <v>4036</v>
      </c>
      <c r="B4" t="s">
        <v>5365</v>
      </c>
      <c r="D4" t="s">
        <v>5376</v>
      </c>
      <c r="E4" t="s">
        <v>155</v>
      </c>
      <c r="F4" t="s">
        <v>4034</v>
      </c>
      <c r="G4" t="s">
        <v>4035</v>
      </c>
      <c r="H4" t="s">
        <v>5372</v>
      </c>
      <c r="I4" t="s">
        <v>5373</v>
      </c>
      <c r="J4" t="s">
        <v>3849</v>
      </c>
      <c r="K4" t="s">
        <v>3849</v>
      </c>
      <c r="L4" t="s">
        <v>153</v>
      </c>
      <c r="M4" t="s">
        <v>3917</v>
      </c>
      <c r="N4" t="s">
        <v>153</v>
      </c>
      <c r="O4" t="s">
        <v>3918</v>
      </c>
      <c r="P4">
        <v>0</v>
      </c>
      <c r="Q4" t="s">
        <v>3852</v>
      </c>
      <c r="R4" t="s">
        <v>1580</v>
      </c>
      <c r="S4" t="s">
        <v>5374</v>
      </c>
      <c r="T4" t="s">
        <v>1576</v>
      </c>
      <c r="U4" t="s">
        <v>5377</v>
      </c>
      <c r="V4" s="17">
        <v>45364</v>
      </c>
      <c r="W4" s="17">
        <v>45386</v>
      </c>
      <c r="X4" s="17">
        <v>45477</v>
      </c>
      <c r="Y4">
        <v>-685</v>
      </c>
      <c r="Z4">
        <v>3</v>
      </c>
      <c r="AA4">
        <v>3.0333333333333332</v>
      </c>
      <c r="AB4">
        <v>1561.5666666666666</v>
      </c>
      <c r="AC4" s="17"/>
      <c r="AE4">
        <v>31860</v>
      </c>
      <c r="AF4">
        <v>95580</v>
      </c>
      <c r="AG4">
        <v>31860</v>
      </c>
      <c r="AH4">
        <v>95580</v>
      </c>
      <c r="AI4">
        <v>0</v>
      </c>
      <c r="AJ4">
        <v>0</v>
      </c>
      <c r="AW4">
        <v>0</v>
      </c>
      <c r="BJ4">
        <v>0</v>
      </c>
      <c r="BW4">
        <v>95580</v>
      </c>
      <c r="CA4">
        <v>31860</v>
      </c>
      <c r="CB4">
        <v>31860</v>
      </c>
      <c r="CC4">
        <v>31860</v>
      </c>
      <c r="CJ4">
        <v>0</v>
      </c>
      <c r="CW4">
        <v>0</v>
      </c>
      <c r="DJ4">
        <v>0</v>
      </c>
      <c r="DW4">
        <v>0</v>
      </c>
      <c r="EJ4">
        <v>0</v>
      </c>
    </row>
    <row r="5" spans="1:140" hidden="1" x14ac:dyDescent="0.35">
      <c r="A5" t="s">
        <v>4036</v>
      </c>
      <c r="B5" t="s">
        <v>5365</v>
      </c>
      <c r="D5" t="s">
        <v>5378</v>
      </c>
      <c r="E5" t="s">
        <v>155</v>
      </c>
      <c r="F5" t="s">
        <v>4034</v>
      </c>
      <c r="G5" t="s">
        <v>4035</v>
      </c>
      <c r="H5" t="s">
        <v>5372</v>
      </c>
      <c r="I5" t="s">
        <v>5373</v>
      </c>
      <c r="J5" t="s">
        <v>3849</v>
      </c>
      <c r="K5" t="s">
        <v>3849</v>
      </c>
      <c r="L5" t="s">
        <v>153</v>
      </c>
      <c r="M5" t="s">
        <v>3917</v>
      </c>
      <c r="N5" t="s">
        <v>153</v>
      </c>
      <c r="O5" t="s">
        <v>3918</v>
      </c>
      <c r="P5">
        <v>0</v>
      </c>
      <c r="Q5" t="s">
        <v>3852</v>
      </c>
      <c r="R5" t="s">
        <v>1580</v>
      </c>
      <c r="S5" t="s">
        <v>5374</v>
      </c>
      <c r="T5" t="s">
        <v>1576</v>
      </c>
      <c r="U5" t="s">
        <v>5379</v>
      </c>
      <c r="V5" s="17">
        <v>45364</v>
      </c>
      <c r="W5" s="17">
        <v>45386</v>
      </c>
      <c r="X5" s="17">
        <v>45477</v>
      </c>
      <c r="Y5">
        <v>-685</v>
      </c>
      <c r="Z5">
        <v>3</v>
      </c>
      <c r="AA5">
        <v>3.0333333333333332</v>
      </c>
      <c r="AB5">
        <v>1561.5666666666666</v>
      </c>
      <c r="AC5" s="17"/>
      <c r="AE5">
        <v>23330</v>
      </c>
      <c r="AF5">
        <v>69990</v>
      </c>
      <c r="AG5">
        <v>23330</v>
      </c>
      <c r="AH5">
        <v>69990</v>
      </c>
      <c r="AI5">
        <v>0</v>
      </c>
      <c r="AJ5">
        <v>0</v>
      </c>
      <c r="AW5">
        <v>0</v>
      </c>
      <c r="BJ5">
        <v>0</v>
      </c>
      <c r="BW5">
        <v>69990</v>
      </c>
      <c r="CA5">
        <v>23330</v>
      </c>
      <c r="CB5">
        <v>23330</v>
      </c>
      <c r="CC5">
        <v>23330</v>
      </c>
      <c r="CJ5">
        <v>0</v>
      </c>
      <c r="CW5">
        <v>0</v>
      </c>
      <c r="DJ5">
        <v>0</v>
      </c>
      <c r="DW5">
        <v>0</v>
      </c>
      <c r="EJ5">
        <v>0</v>
      </c>
    </row>
    <row r="6" spans="1:140" hidden="1" x14ac:dyDescent="0.35">
      <c r="A6" t="s">
        <v>4036</v>
      </c>
      <c r="B6" t="s">
        <v>5365</v>
      </c>
      <c r="D6" t="s">
        <v>5380</v>
      </c>
      <c r="E6" t="s">
        <v>155</v>
      </c>
      <c r="F6" t="s">
        <v>4034</v>
      </c>
      <c r="G6" t="s">
        <v>4035</v>
      </c>
      <c r="H6" t="s">
        <v>5372</v>
      </c>
      <c r="I6" t="s">
        <v>5373</v>
      </c>
      <c r="J6" t="s">
        <v>3849</v>
      </c>
      <c r="K6" t="s">
        <v>3849</v>
      </c>
      <c r="L6" t="s">
        <v>153</v>
      </c>
      <c r="M6" t="s">
        <v>3917</v>
      </c>
      <c r="N6" t="s">
        <v>153</v>
      </c>
      <c r="O6" t="s">
        <v>3918</v>
      </c>
      <c r="P6">
        <v>0</v>
      </c>
      <c r="Q6" t="s">
        <v>3852</v>
      </c>
      <c r="R6" t="s">
        <v>2464</v>
      </c>
      <c r="S6" t="s">
        <v>5374</v>
      </c>
      <c r="T6" t="s">
        <v>1576</v>
      </c>
      <c r="U6" t="s">
        <v>5375</v>
      </c>
      <c r="V6" s="17">
        <v>45511</v>
      </c>
      <c r="W6" s="17">
        <v>45492</v>
      </c>
      <c r="X6" s="17">
        <v>45554</v>
      </c>
      <c r="Y6">
        <v>-608</v>
      </c>
      <c r="Z6">
        <v>3</v>
      </c>
      <c r="AA6">
        <v>2.0666666666666669</v>
      </c>
      <c r="AB6">
        <v>1559</v>
      </c>
      <c r="AC6" s="17"/>
      <c r="AE6">
        <v>35044.239999999998</v>
      </c>
      <c r="AF6">
        <v>105132.72</v>
      </c>
      <c r="AG6">
        <v>35044.239999999998</v>
      </c>
      <c r="AH6">
        <v>105132.72</v>
      </c>
      <c r="AI6">
        <v>0</v>
      </c>
      <c r="AJ6">
        <v>0</v>
      </c>
      <c r="AW6">
        <v>0</v>
      </c>
      <c r="BJ6">
        <v>0</v>
      </c>
      <c r="BW6">
        <v>105132.72</v>
      </c>
      <c r="CD6">
        <v>35044.239999999998</v>
      </c>
      <c r="CE6">
        <v>35044.239999999998</v>
      </c>
      <c r="CF6">
        <v>35044.239999999998</v>
      </c>
      <c r="CJ6">
        <v>0</v>
      </c>
      <c r="CW6">
        <v>0</v>
      </c>
      <c r="DJ6">
        <v>0</v>
      </c>
      <c r="DW6">
        <v>0</v>
      </c>
      <c r="EJ6">
        <v>0</v>
      </c>
    </row>
    <row r="7" spans="1:140" hidden="1" x14ac:dyDescent="0.35">
      <c r="A7" t="s">
        <v>4036</v>
      </c>
      <c r="B7" t="s">
        <v>5365</v>
      </c>
      <c r="D7" t="s">
        <v>5381</v>
      </c>
      <c r="E7" t="s">
        <v>155</v>
      </c>
      <c r="F7" t="s">
        <v>4034</v>
      </c>
      <c r="G7" t="s">
        <v>4035</v>
      </c>
      <c r="H7" t="s">
        <v>5372</v>
      </c>
      <c r="I7" t="s">
        <v>5373</v>
      </c>
      <c r="J7" t="s">
        <v>3849</v>
      </c>
      <c r="K7" t="s">
        <v>3849</v>
      </c>
      <c r="L7" t="s">
        <v>153</v>
      </c>
      <c r="M7" t="s">
        <v>3917</v>
      </c>
      <c r="N7" t="s">
        <v>153</v>
      </c>
      <c r="O7" t="s">
        <v>3918</v>
      </c>
      <c r="P7">
        <v>0</v>
      </c>
      <c r="Q7" t="s">
        <v>3852</v>
      </c>
      <c r="R7" t="s">
        <v>2464</v>
      </c>
      <c r="S7" t="s">
        <v>5374</v>
      </c>
      <c r="T7" t="s">
        <v>1576</v>
      </c>
      <c r="U7" t="s">
        <v>5375</v>
      </c>
      <c r="V7" s="17">
        <v>45509</v>
      </c>
      <c r="W7" s="17">
        <v>45492</v>
      </c>
      <c r="X7" s="17">
        <v>45584</v>
      </c>
      <c r="Y7">
        <v>-578</v>
      </c>
      <c r="Z7">
        <v>3</v>
      </c>
      <c r="AA7">
        <v>3.0666666666666669</v>
      </c>
      <c r="AB7">
        <v>1558</v>
      </c>
      <c r="AC7" s="17"/>
      <c r="AE7">
        <v>18734.27</v>
      </c>
      <c r="AF7">
        <v>56202.81</v>
      </c>
      <c r="AG7">
        <v>18734.27</v>
      </c>
      <c r="AH7">
        <v>56202.81</v>
      </c>
      <c r="AI7">
        <v>0</v>
      </c>
      <c r="AJ7">
        <v>0</v>
      </c>
      <c r="AW7">
        <v>0</v>
      </c>
      <c r="BJ7">
        <v>0</v>
      </c>
      <c r="BW7">
        <v>56202.81</v>
      </c>
      <c r="CD7">
        <v>18734.27</v>
      </c>
      <c r="CE7">
        <v>18734.27</v>
      </c>
      <c r="CF7">
        <v>18734.27</v>
      </c>
      <c r="CJ7">
        <v>0</v>
      </c>
      <c r="CW7">
        <v>0</v>
      </c>
      <c r="DJ7">
        <v>0</v>
      </c>
      <c r="DW7">
        <v>0</v>
      </c>
      <c r="EJ7">
        <v>0</v>
      </c>
    </row>
    <row r="8" spans="1:140" hidden="1" x14ac:dyDescent="0.35">
      <c r="A8" t="s">
        <v>4036</v>
      </c>
      <c r="B8" t="s">
        <v>5365</v>
      </c>
      <c r="D8" t="s">
        <v>5382</v>
      </c>
      <c r="E8" t="s">
        <v>155</v>
      </c>
      <c r="F8" t="s">
        <v>4034</v>
      </c>
      <c r="G8" t="s">
        <v>4035</v>
      </c>
      <c r="H8" t="s">
        <v>5372</v>
      </c>
      <c r="I8" t="s">
        <v>5373</v>
      </c>
      <c r="J8" t="s">
        <v>3849</v>
      </c>
      <c r="K8" t="s">
        <v>3849</v>
      </c>
      <c r="L8" t="s">
        <v>153</v>
      </c>
      <c r="M8" t="s">
        <v>3917</v>
      </c>
      <c r="N8" t="s">
        <v>153</v>
      </c>
      <c r="O8" t="s">
        <v>3918</v>
      </c>
      <c r="P8">
        <v>0</v>
      </c>
      <c r="Q8" t="s">
        <v>3852</v>
      </c>
      <c r="R8" t="s">
        <v>2464</v>
      </c>
      <c r="S8" t="s">
        <v>5374</v>
      </c>
      <c r="T8" t="s">
        <v>1576</v>
      </c>
      <c r="U8" t="s">
        <v>5379</v>
      </c>
      <c r="V8" s="17">
        <v>45509</v>
      </c>
      <c r="W8" s="17">
        <v>45492</v>
      </c>
      <c r="X8" s="17">
        <v>45554</v>
      </c>
      <c r="Y8">
        <v>-608</v>
      </c>
      <c r="Z8">
        <v>3</v>
      </c>
      <c r="AA8">
        <v>2.0666666666666669</v>
      </c>
      <c r="AB8">
        <v>1559</v>
      </c>
      <c r="AC8" s="17"/>
      <c r="AE8">
        <v>25663</v>
      </c>
      <c r="AF8">
        <v>76989</v>
      </c>
      <c r="AG8">
        <v>25663</v>
      </c>
      <c r="AH8">
        <v>76989</v>
      </c>
      <c r="AI8">
        <v>0</v>
      </c>
      <c r="AJ8">
        <v>0</v>
      </c>
      <c r="AW8">
        <v>0</v>
      </c>
      <c r="BJ8">
        <v>0</v>
      </c>
      <c r="BW8">
        <v>76989</v>
      </c>
      <c r="CD8">
        <v>25663</v>
      </c>
      <c r="CE8">
        <v>25663</v>
      </c>
      <c r="CF8">
        <v>25663</v>
      </c>
      <c r="CJ8">
        <v>0</v>
      </c>
      <c r="CW8">
        <v>0</v>
      </c>
      <c r="DJ8">
        <v>0</v>
      </c>
      <c r="DW8">
        <v>0</v>
      </c>
      <c r="EJ8">
        <v>0</v>
      </c>
    </row>
    <row r="9" spans="1:140" hidden="1" x14ac:dyDescent="0.35">
      <c r="A9" t="s">
        <v>4036</v>
      </c>
      <c r="B9" t="s">
        <v>5365</v>
      </c>
      <c r="D9" t="s">
        <v>5383</v>
      </c>
      <c r="E9" t="s">
        <v>155</v>
      </c>
      <c r="F9" t="s">
        <v>4034</v>
      </c>
      <c r="G9" t="s">
        <v>4035</v>
      </c>
      <c r="H9" t="s">
        <v>5372</v>
      </c>
      <c r="I9" t="s">
        <v>5373</v>
      </c>
      <c r="J9" t="s">
        <v>3849</v>
      </c>
      <c r="K9" t="s">
        <v>3849</v>
      </c>
      <c r="L9" t="s">
        <v>153</v>
      </c>
      <c r="M9" t="s">
        <v>3917</v>
      </c>
      <c r="N9" t="s">
        <v>153</v>
      </c>
      <c r="O9" t="s">
        <v>3918</v>
      </c>
      <c r="P9">
        <v>0</v>
      </c>
      <c r="Q9" t="s">
        <v>3852</v>
      </c>
      <c r="R9" t="s">
        <v>1580</v>
      </c>
      <c r="S9" t="s">
        <v>5374</v>
      </c>
      <c r="T9" t="s">
        <v>1576</v>
      </c>
      <c r="U9" t="s">
        <v>5377</v>
      </c>
      <c r="V9" s="17">
        <v>45589</v>
      </c>
      <c r="W9" s="17">
        <v>45581</v>
      </c>
      <c r="X9" s="17">
        <v>45668</v>
      </c>
      <c r="Y9">
        <v>-494</v>
      </c>
      <c r="Z9">
        <v>3</v>
      </c>
      <c r="AA9">
        <v>2.9</v>
      </c>
      <c r="AB9">
        <v>1555.2</v>
      </c>
      <c r="AC9" s="17"/>
      <c r="AE9">
        <v>36729.262999999999</v>
      </c>
      <c r="AF9">
        <v>110187.789</v>
      </c>
      <c r="AG9">
        <v>36729.262999999999</v>
      </c>
      <c r="AH9">
        <v>110187.8</v>
      </c>
      <c r="AI9">
        <v>1.0999999999999999E-2</v>
      </c>
      <c r="AJ9">
        <v>0</v>
      </c>
      <c r="AW9">
        <v>0</v>
      </c>
      <c r="BJ9">
        <v>0</v>
      </c>
      <c r="BW9">
        <v>110187.8</v>
      </c>
      <c r="CG9">
        <v>40099.32</v>
      </c>
      <c r="CH9">
        <v>35044.239999999998</v>
      </c>
      <c r="CI9">
        <v>35044.239999999998</v>
      </c>
      <c r="CJ9">
        <v>0</v>
      </c>
      <c r="CW9">
        <v>0</v>
      </c>
      <c r="DJ9">
        <v>0</v>
      </c>
      <c r="DW9">
        <v>0</v>
      </c>
      <c r="EJ9">
        <v>0</v>
      </c>
    </row>
    <row r="10" spans="1:140" hidden="1" x14ac:dyDescent="0.35">
      <c r="A10" t="s">
        <v>4036</v>
      </c>
      <c r="B10" t="s">
        <v>5365</v>
      </c>
      <c r="D10" t="s">
        <v>5384</v>
      </c>
      <c r="E10" t="s">
        <v>155</v>
      </c>
      <c r="F10" t="s">
        <v>4034</v>
      </c>
      <c r="G10" t="s">
        <v>4035</v>
      </c>
      <c r="H10" t="s">
        <v>5372</v>
      </c>
      <c r="I10" t="s">
        <v>5373</v>
      </c>
      <c r="J10" t="s">
        <v>3849</v>
      </c>
      <c r="K10" t="s">
        <v>3849</v>
      </c>
      <c r="L10" t="s">
        <v>153</v>
      </c>
      <c r="M10" t="s">
        <v>3917</v>
      </c>
      <c r="N10" t="s">
        <v>153</v>
      </c>
      <c r="O10" t="s">
        <v>3918</v>
      </c>
      <c r="P10">
        <v>0</v>
      </c>
      <c r="Q10" t="s">
        <v>3852</v>
      </c>
      <c r="R10" t="s">
        <v>1580</v>
      </c>
      <c r="S10" t="s">
        <v>5374</v>
      </c>
      <c r="T10" t="s">
        <v>1576</v>
      </c>
      <c r="U10" t="s">
        <v>5379</v>
      </c>
      <c r="V10" s="17">
        <v>45589</v>
      </c>
      <c r="W10" s="17">
        <v>45581</v>
      </c>
      <c r="X10" s="17">
        <v>45668</v>
      </c>
      <c r="Y10">
        <v>-494</v>
      </c>
      <c r="Z10">
        <v>3</v>
      </c>
      <c r="AA10">
        <v>2.9</v>
      </c>
      <c r="AB10">
        <v>1555.2</v>
      </c>
      <c r="AC10" s="17"/>
      <c r="AE10">
        <v>25663</v>
      </c>
      <c r="AF10">
        <v>76989</v>
      </c>
      <c r="AG10">
        <v>25663</v>
      </c>
      <c r="AH10">
        <v>76989</v>
      </c>
      <c r="AI10">
        <v>0</v>
      </c>
      <c r="AJ10">
        <v>0</v>
      </c>
      <c r="AW10">
        <v>0</v>
      </c>
      <c r="BJ10">
        <v>0</v>
      </c>
      <c r="BW10">
        <v>76989</v>
      </c>
      <c r="CG10">
        <v>25663</v>
      </c>
      <c r="CH10">
        <v>25663</v>
      </c>
      <c r="CI10">
        <v>25663</v>
      </c>
      <c r="CJ10">
        <v>0</v>
      </c>
      <c r="CW10">
        <v>0</v>
      </c>
      <c r="DJ10">
        <v>0</v>
      </c>
      <c r="DW10">
        <v>0</v>
      </c>
      <c r="EJ10">
        <v>0</v>
      </c>
    </row>
    <row r="11" spans="1:140" hidden="1" x14ac:dyDescent="0.35">
      <c r="A11" t="s">
        <v>4036</v>
      </c>
      <c r="B11" t="s">
        <v>5365</v>
      </c>
      <c r="D11" t="s">
        <v>5385</v>
      </c>
      <c r="E11" t="s">
        <v>155</v>
      </c>
      <c r="F11" t="s">
        <v>4034</v>
      </c>
      <c r="G11" t="s">
        <v>4035</v>
      </c>
      <c r="H11" t="s">
        <v>5372</v>
      </c>
      <c r="I11" t="s">
        <v>5373</v>
      </c>
      <c r="J11" t="s">
        <v>3849</v>
      </c>
      <c r="K11" t="s">
        <v>3849</v>
      </c>
      <c r="L11" t="s">
        <v>153</v>
      </c>
      <c r="M11" t="s">
        <v>3917</v>
      </c>
      <c r="N11" t="s">
        <v>153</v>
      </c>
      <c r="O11" t="s">
        <v>3918</v>
      </c>
      <c r="P11">
        <v>0</v>
      </c>
      <c r="Q11" t="s">
        <v>3852</v>
      </c>
      <c r="R11" t="s">
        <v>1580</v>
      </c>
      <c r="S11" t="s">
        <v>5374</v>
      </c>
      <c r="T11" t="s">
        <v>1576</v>
      </c>
      <c r="U11" t="s">
        <v>5375</v>
      </c>
      <c r="V11" s="17">
        <v>45589</v>
      </c>
      <c r="W11" s="17">
        <v>45581</v>
      </c>
      <c r="X11" s="17">
        <v>45668</v>
      </c>
      <c r="Y11">
        <v>-494</v>
      </c>
      <c r="Z11">
        <v>3</v>
      </c>
      <c r="AA11">
        <v>2.9</v>
      </c>
      <c r="AB11">
        <v>1555.2</v>
      </c>
      <c r="AC11" s="17"/>
      <c r="AE11">
        <v>18734.27</v>
      </c>
      <c r="AF11">
        <v>56202.81</v>
      </c>
      <c r="AG11">
        <v>18734.27</v>
      </c>
      <c r="AH11">
        <v>56202.81</v>
      </c>
      <c r="AI11">
        <v>0</v>
      </c>
      <c r="AJ11">
        <v>0</v>
      </c>
      <c r="AW11">
        <v>0</v>
      </c>
      <c r="BJ11">
        <v>0</v>
      </c>
      <c r="BW11">
        <v>56202.81</v>
      </c>
      <c r="CG11">
        <v>18734.27</v>
      </c>
      <c r="CH11">
        <v>18734.27</v>
      </c>
      <c r="CI11">
        <v>18734.27</v>
      </c>
      <c r="CJ11">
        <v>0</v>
      </c>
      <c r="CW11">
        <v>0</v>
      </c>
      <c r="DJ11">
        <v>0</v>
      </c>
      <c r="DW11">
        <v>0</v>
      </c>
      <c r="EJ11">
        <v>0</v>
      </c>
    </row>
    <row r="12" spans="1:140" hidden="1" x14ac:dyDescent="0.35">
      <c r="A12" t="s">
        <v>4036</v>
      </c>
      <c r="B12" t="s">
        <v>5365</v>
      </c>
      <c r="D12" t="s">
        <v>5386</v>
      </c>
      <c r="E12" t="s">
        <v>155</v>
      </c>
      <c r="F12" t="s">
        <v>4034</v>
      </c>
      <c r="G12" t="s">
        <v>4035</v>
      </c>
      <c r="H12" t="s">
        <v>5372</v>
      </c>
      <c r="I12" t="s">
        <v>5373</v>
      </c>
      <c r="J12" t="s">
        <v>3849</v>
      </c>
      <c r="K12" t="s">
        <v>3849</v>
      </c>
      <c r="L12" t="s">
        <v>153</v>
      </c>
      <c r="M12" t="s">
        <v>3917</v>
      </c>
      <c r="N12" t="s">
        <v>153</v>
      </c>
      <c r="O12" t="s">
        <v>3918</v>
      </c>
      <c r="P12">
        <v>0</v>
      </c>
      <c r="Q12" t="s">
        <v>3852</v>
      </c>
      <c r="R12" t="s">
        <v>1580</v>
      </c>
      <c r="S12" t="s">
        <v>5374</v>
      </c>
      <c r="T12" t="s">
        <v>2698</v>
      </c>
      <c r="U12" t="s">
        <v>5387</v>
      </c>
      <c r="V12" s="17">
        <v>45604</v>
      </c>
      <c r="W12" s="17">
        <v>45604</v>
      </c>
      <c r="X12" s="17">
        <v>45634</v>
      </c>
      <c r="Y12">
        <v>-528</v>
      </c>
      <c r="Z12">
        <v>1</v>
      </c>
      <c r="AA12">
        <v>1</v>
      </c>
      <c r="AB12">
        <v>1556.3333333333333</v>
      </c>
      <c r="AC12" s="17"/>
      <c r="AE12">
        <v>35546.160000000003</v>
      </c>
      <c r="AF12">
        <v>35546.160000000003</v>
      </c>
      <c r="AG12">
        <v>35546.160000000003</v>
      </c>
      <c r="AH12">
        <v>35546.160000000003</v>
      </c>
      <c r="AI12">
        <v>0</v>
      </c>
      <c r="AJ12">
        <v>0</v>
      </c>
      <c r="AW12">
        <v>0</v>
      </c>
      <c r="BJ12">
        <v>0</v>
      </c>
      <c r="BW12">
        <v>35546.160000000003</v>
      </c>
      <c r="CH12">
        <v>35546.160000000003</v>
      </c>
      <c r="CJ12">
        <v>0</v>
      </c>
      <c r="CW12">
        <v>0</v>
      </c>
      <c r="DJ12">
        <v>0</v>
      </c>
      <c r="DW12">
        <v>0</v>
      </c>
      <c r="EJ12">
        <v>0</v>
      </c>
    </row>
    <row r="13" spans="1:140" hidden="1" x14ac:dyDescent="0.35">
      <c r="A13" t="s">
        <v>4036</v>
      </c>
      <c r="B13" t="s">
        <v>5365</v>
      </c>
      <c r="D13" t="s">
        <v>5388</v>
      </c>
      <c r="E13" t="s">
        <v>155</v>
      </c>
      <c r="F13" t="s">
        <v>4034</v>
      </c>
      <c r="G13" t="s">
        <v>4035</v>
      </c>
      <c r="H13" t="s">
        <v>5372</v>
      </c>
      <c r="I13" t="s">
        <v>5373</v>
      </c>
      <c r="J13" t="s">
        <v>3849</v>
      </c>
      <c r="K13" t="s">
        <v>3849</v>
      </c>
      <c r="L13" t="s">
        <v>153</v>
      </c>
      <c r="M13" t="s">
        <v>3917</v>
      </c>
      <c r="N13" t="s">
        <v>153</v>
      </c>
      <c r="O13" t="s">
        <v>3918</v>
      </c>
      <c r="P13">
        <v>0</v>
      </c>
      <c r="Q13" t="s">
        <v>3852</v>
      </c>
      <c r="R13" t="s">
        <v>1580</v>
      </c>
      <c r="S13" t="s">
        <v>5374</v>
      </c>
      <c r="T13" t="s">
        <v>2698</v>
      </c>
      <c r="U13" t="s">
        <v>5387</v>
      </c>
      <c r="V13" s="17">
        <v>45625</v>
      </c>
      <c r="W13" s="17">
        <v>45634</v>
      </c>
      <c r="X13" s="17">
        <v>45696</v>
      </c>
      <c r="Y13">
        <v>-466</v>
      </c>
      <c r="Z13">
        <v>2</v>
      </c>
      <c r="AA13">
        <v>2.0666666666666669</v>
      </c>
      <c r="AB13">
        <v>1554.2666666666667</v>
      </c>
      <c r="AC13" s="17"/>
      <c r="AE13">
        <v>35546.160000000003</v>
      </c>
      <c r="AF13">
        <v>71092.320000000007</v>
      </c>
      <c r="AG13">
        <v>35546.160000000003</v>
      </c>
      <c r="AH13">
        <v>71092.320000000007</v>
      </c>
      <c r="AI13">
        <v>0</v>
      </c>
      <c r="AJ13">
        <v>0</v>
      </c>
      <c r="AW13">
        <v>0</v>
      </c>
      <c r="BJ13">
        <v>0</v>
      </c>
      <c r="BW13">
        <v>35546.160000000003</v>
      </c>
      <c r="CI13">
        <v>35546.160000000003</v>
      </c>
      <c r="CJ13">
        <v>35546.160000000003</v>
      </c>
      <c r="CK13">
        <v>35546.160000000003</v>
      </c>
      <c r="CW13">
        <v>0</v>
      </c>
      <c r="DJ13">
        <v>0</v>
      </c>
      <c r="DW13">
        <v>0</v>
      </c>
      <c r="EJ13">
        <v>35546.160000000003</v>
      </c>
    </row>
    <row r="14" spans="1:140" hidden="1" x14ac:dyDescent="0.35">
      <c r="A14" t="s">
        <v>4036</v>
      </c>
      <c r="B14" t="s">
        <v>5365</v>
      </c>
      <c r="D14" t="s">
        <v>5389</v>
      </c>
      <c r="E14" t="s">
        <v>155</v>
      </c>
      <c r="F14" t="s">
        <v>4034</v>
      </c>
      <c r="G14" t="s">
        <v>4035</v>
      </c>
      <c r="H14" t="s">
        <v>5372</v>
      </c>
      <c r="I14" t="s">
        <v>5373</v>
      </c>
      <c r="J14" t="s">
        <v>3849</v>
      </c>
      <c r="K14" t="s">
        <v>3849</v>
      </c>
      <c r="L14" t="s">
        <v>153</v>
      </c>
      <c r="M14" t="s">
        <v>3917</v>
      </c>
      <c r="N14" t="s">
        <v>153</v>
      </c>
      <c r="O14" t="s">
        <v>3918</v>
      </c>
      <c r="P14" t="s">
        <v>3856</v>
      </c>
      <c r="Q14" t="s">
        <v>3852</v>
      </c>
      <c r="R14" t="s">
        <v>1580</v>
      </c>
      <c r="S14" t="s">
        <v>5374</v>
      </c>
      <c r="T14" t="s">
        <v>1576</v>
      </c>
      <c r="U14" t="s">
        <v>5377</v>
      </c>
      <c r="V14" s="17">
        <v>45681</v>
      </c>
      <c r="W14" s="17">
        <v>45668</v>
      </c>
      <c r="X14" s="17">
        <v>45758</v>
      </c>
      <c r="Y14">
        <v>-404</v>
      </c>
      <c r="Z14">
        <v>3</v>
      </c>
      <c r="AA14">
        <v>3</v>
      </c>
      <c r="AB14">
        <v>1552.2</v>
      </c>
      <c r="AC14" s="17"/>
      <c r="AE14">
        <v>35044.239999999998</v>
      </c>
      <c r="AF14">
        <v>105132.72</v>
      </c>
      <c r="AG14">
        <v>35044.239999999998</v>
      </c>
      <c r="AH14">
        <v>105132.72</v>
      </c>
      <c r="AI14">
        <v>0</v>
      </c>
      <c r="AJ14">
        <v>0</v>
      </c>
      <c r="AW14">
        <v>0</v>
      </c>
      <c r="BJ14">
        <v>0</v>
      </c>
      <c r="BW14">
        <v>0</v>
      </c>
      <c r="CJ14">
        <v>105132.72</v>
      </c>
      <c r="CK14">
        <v>35044.239999999998</v>
      </c>
      <c r="CL14">
        <v>35044.239999999998</v>
      </c>
      <c r="CM14">
        <v>35044.239999999998</v>
      </c>
      <c r="CW14">
        <v>0</v>
      </c>
      <c r="DJ14">
        <v>0</v>
      </c>
      <c r="DW14">
        <v>0</v>
      </c>
      <c r="EJ14">
        <v>105132.72</v>
      </c>
    </row>
    <row r="15" spans="1:140" hidden="1" x14ac:dyDescent="0.35">
      <c r="A15" t="s">
        <v>4036</v>
      </c>
      <c r="B15" t="s">
        <v>5365</v>
      </c>
      <c r="D15" t="s">
        <v>5390</v>
      </c>
      <c r="E15" t="s">
        <v>155</v>
      </c>
      <c r="F15" t="s">
        <v>4034</v>
      </c>
      <c r="G15" t="s">
        <v>4035</v>
      </c>
      <c r="H15" t="s">
        <v>5372</v>
      </c>
      <c r="I15" t="s">
        <v>5373</v>
      </c>
      <c r="J15" t="s">
        <v>3849</v>
      </c>
      <c r="K15" t="s">
        <v>3849</v>
      </c>
      <c r="L15" t="s">
        <v>153</v>
      </c>
      <c r="M15" t="s">
        <v>3917</v>
      </c>
      <c r="N15" t="s">
        <v>153</v>
      </c>
      <c r="O15" t="s">
        <v>3918</v>
      </c>
      <c r="P15" t="s">
        <v>3856</v>
      </c>
      <c r="Q15" t="s">
        <v>3852</v>
      </c>
      <c r="R15" t="s">
        <v>1580</v>
      </c>
      <c r="S15" t="s">
        <v>5374</v>
      </c>
      <c r="T15" t="s">
        <v>1576</v>
      </c>
      <c r="U15" t="s">
        <v>5375</v>
      </c>
      <c r="V15" s="17">
        <v>45681</v>
      </c>
      <c r="W15" s="17">
        <v>45668</v>
      </c>
      <c r="X15" s="17">
        <v>45758</v>
      </c>
      <c r="Y15">
        <v>-404</v>
      </c>
      <c r="Z15">
        <v>3</v>
      </c>
      <c r="AA15">
        <v>3</v>
      </c>
      <c r="AB15">
        <v>1552.2</v>
      </c>
      <c r="AC15" s="17"/>
      <c r="AE15">
        <v>18734.27</v>
      </c>
      <c r="AF15">
        <v>56202.81</v>
      </c>
      <c r="AG15">
        <v>18734.27</v>
      </c>
      <c r="AH15">
        <v>56202.81</v>
      </c>
      <c r="AI15">
        <v>0</v>
      </c>
      <c r="AJ15">
        <v>0</v>
      </c>
      <c r="AW15">
        <v>0</v>
      </c>
      <c r="BJ15">
        <v>0</v>
      </c>
      <c r="BW15">
        <v>0</v>
      </c>
      <c r="CJ15">
        <v>56202.81</v>
      </c>
      <c r="CK15">
        <v>18734.27</v>
      </c>
      <c r="CL15">
        <v>18734.27</v>
      </c>
      <c r="CM15">
        <v>18734.27</v>
      </c>
      <c r="CW15">
        <v>0</v>
      </c>
      <c r="DJ15">
        <v>0</v>
      </c>
      <c r="DW15">
        <v>0</v>
      </c>
      <c r="EJ15">
        <v>56202.81</v>
      </c>
    </row>
    <row r="16" spans="1:140" hidden="1" x14ac:dyDescent="0.35">
      <c r="A16" t="s">
        <v>4036</v>
      </c>
      <c r="B16" t="s">
        <v>5365</v>
      </c>
      <c r="D16" t="s">
        <v>5391</v>
      </c>
      <c r="E16" t="s">
        <v>155</v>
      </c>
      <c r="F16" t="s">
        <v>4034</v>
      </c>
      <c r="G16" t="s">
        <v>4035</v>
      </c>
      <c r="H16" t="s">
        <v>5372</v>
      </c>
      <c r="I16" t="s">
        <v>5373</v>
      </c>
      <c r="J16" t="s">
        <v>3849</v>
      </c>
      <c r="K16" t="s">
        <v>3849</v>
      </c>
      <c r="L16" t="s">
        <v>153</v>
      </c>
      <c r="M16" t="s">
        <v>3917</v>
      </c>
      <c r="N16" t="s">
        <v>153</v>
      </c>
      <c r="O16" t="s">
        <v>3918</v>
      </c>
      <c r="P16" t="s">
        <v>3856</v>
      </c>
      <c r="Q16" t="s">
        <v>3852</v>
      </c>
      <c r="R16" t="s">
        <v>1580</v>
      </c>
      <c r="S16" t="s">
        <v>5374</v>
      </c>
      <c r="T16" t="s">
        <v>1576</v>
      </c>
      <c r="U16" t="s">
        <v>5379</v>
      </c>
      <c r="V16" s="17">
        <v>45681</v>
      </c>
      <c r="W16" s="17">
        <v>45668</v>
      </c>
      <c r="X16" s="17">
        <v>45758</v>
      </c>
      <c r="Y16">
        <v>-404</v>
      </c>
      <c r="Z16">
        <v>3</v>
      </c>
      <c r="AA16">
        <v>3</v>
      </c>
      <c r="AB16">
        <v>1552.2</v>
      </c>
      <c r="AC16" s="17"/>
      <c r="AE16">
        <v>25663</v>
      </c>
      <c r="AF16">
        <v>76989</v>
      </c>
      <c r="AG16">
        <v>25663</v>
      </c>
      <c r="AH16">
        <v>76989</v>
      </c>
      <c r="AI16">
        <v>0</v>
      </c>
      <c r="AJ16">
        <v>0</v>
      </c>
      <c r="AW16">
        <v>0</v>
      </c>
      <c r="BJ16">
        <v>0</v>
      </c>
      <c r="BW16">
        <v>0</v>
      </c>
      <c r="CJ16">
        <v>76989</v>
      </c>
      <c r="CK16">
        <v>25663</v>
      </c>
      <c r="CL16">
        <v>25663</v>
      </c>
      <c r="CM16">
        <v>25663</v>
      </c>
      <c r="CW16">
        <v>0</v>
      </c>
      <c r="DJ16">
        <v>0</v>
      </c>
      <c r="DW16">
        <v>0</v>
      </c>
      <c r="EJ16">
        <v>76989</v>
      </c>
    </row>
    <row r="17" spans="1:140" hidden="1" x14ac:dyDescent="0.35">
      <c r="A17" t="s">
        <v>4036</v>
      </c>
      <c r="B17" t="s">
        <v>5365</v>
      </c>
      <c r="D17" t="s">
        <v>5392</v>
      </c>
      <c r="E17" t="s">
        <v>155</v>
      </c>
      <c r="F17" t="s">
        <v>4034</v>
      </c>
      <c r="G17" t="s">
        <v>4035</v>
      </c>
      <c r="H17" t="s">
        <v>5372</v>
      </c>
      <c r="I17" t="s">
        <v>5373</v>
      </c>
      <c r="J17" t="s">
        <v>3849</v>
      </c>
      <c r="K17" t="s">
        <v>3849</v>
      </c>
      <c r="L17" t="s">
        <v>153</v>
      </c>
      <c r="M17" t="s">
        <v>3917</v>
      </c>
      <c r="N17" t="s">
        <v>153</v>
      </c>
      <c r="O17" t="s">
        <v>3918</v>
      </c>
      <c r="P17" t="s">
        <v>3856</v>
      </c>
      <c r="Q17" t="s">
        <v>3852</v>
      </c>
      <c r="R17" t="s">
        <v>1580</v>
      </c>
      <c r="S17" t="s">
        <v>5374</v>
      </c>
      <c r="T17" t="s">
        <v>1576</v>
      </c>
      <c r="U17" t="s">
        <v>5379</v>
      </c>
      <c r="V17" s="17">
        <v>45798</v>
      </c>
      <c r="W17" s="17">
        <v>45758</v>
      </c>
      <c r="X17" s="17">
        <v>45849</v>
      </c>
      <c r="Y17">
        <v>-313</v>
      </c>
      <c r="Z17">
        <v>3</v>
      </c>
      <c r="AA17">
        <v>3.0333333333333332</v>
      </c>
      <c r="AB17">
        <v>1549.1666666666667</v>
      </c>
      <c r="AC17" s="17"/>
      <c r="AE17">
        <v>28896.666700000002</v>
      </c>
      <c r="AF17">
        <v>86690</v>
      </c>
      <c r="AG17">
        <v>28896.666700000002</v>
      </c>
      <c r="AH17">
        <v>86690</v>
      </c>
      <c r="AI17">
        <v>0</v>
      </c>
      <c r="AJ17">
        <v>0</v>
      </c>
      <c r="AW17">
        <v>0</v>
      </c>
      <c r="BJ17">
        <v>0</v>
      </c>
      <c r="BW17">
        <v>0</v>
      </c>
      <c r="CJ17">
        <v>86690</v>
      </c>
      <c r="CN17">
        <v>28896.666700000002</v>
      </c>
      <c r="CO17">
        <v>28896.666700000002</v>
      </c>
      <c r="CP17">
        <v>28896.666700000002</v>
      </c>
      <c r="CW17">
        <v>0</v>
      </c>
      <c r="DJ17">
        <v>0</v>
      </c>
      <c r="DW17">
        <v>0</v>
      </c>
      <c r="EJ17">
        <v>86690</v>
      </c>
    </row>
    <row r="18" spans="1:140" hidden="1" x14ac:dyDescent="0.35">
      <c r="A18" t="s">
        <v>4036</v>
      </c>
      <c r="B18" t="s">
        <v>5365</v>
      </c>
      <c r="D18" t="s">
        <v>5393</v>
      </c>
      <c r="E18" t="s">
        <v>155</v>
      </c>
      <c r="F18" t="s">
        <v>4034</v>
      </c>
      <c r="G18" t="s">
        <v>4035</v>
      </c>
      <c r="H18" t="s">
        <v>5372</v>
      </c>
      <c r="I18" t="s">
        <v>5373</v>
      </c>
      <c r="J18" t="s">
        <v>3849</v>
      </c>
      <c r="K18" t="s">
        <v>3849</v>
      </c>
      <c r="L18" t="s">
        <v>153</v>
      </c>
      <c r="M18" t="s">
        <v>3917</v>
      </c>
      <c r="N18" t="s">
        <v>153</v>
      </c>
      <c r="O18" t="s">
        <v>3918</v>
      </c>
      <c r="P18" t="s">
        <v>3856</v>
      </c>
      <c r="Q18" t="s">
        <v>3852</v>
      </c>
      <c r="R18" t="s">
        <v>1580</v>
      </c>
      <c r="S18" t="s">
        <v>5374</v>
      </c>
      <c r="T18" t="s">
        <v>1576</v>
      </c>
      <c r="U18" t="s">
        <v>5375</v>
      </c>
      <c r="V18" s="17">
        <v>45798</v>
      </c>
      <c r="W18" s="17">
        <v>45758</v>
      </c>
      <c r="X18" s="17">
        <v>45849</v>
      </c>
      <c r="Y18">
        <v>-313</v>
      </c>
      <c r="Z18">
        <v>3</v>
      </c>
      <c r="AA18">
        <v>3.0333333333333332</v>
      </c>
      <c r="AB18">
        <v>1549.1666666666667</v>
      </c>
      <c r="AC18" s="17"/>
      <c r="AE18">
        <v>18734.27</v>
      </c>
      <c r="AF18">
        <v>56202.81</v>
      </c>
      <c r="AG18">
        <v>18734.27</v>
      </c>
      <c r="AH18">
        <v>56202.81</v>
      </c>
      <c r="AI18">
        <v>0</v>
      </c>
      <c r="AJ18">
        <v>0</v>
      </c>
      <c r="AW18">
        <v>0</v>
      </c>
      <c r="BJ18">
        <v>0</v>
      </c>
      <c r="BW18">
        <v>0</v>
      </c>
      <c r="CJ18">
        <v>56202.81</v>
      </c>
      <c r="CN18">
        <v>18734.27</v>
      </c>
      <c r="CO18">
        <v>18734.27</v>
      </c>
      <c r="CP18">
        <v>18734.27</v>
      </c>
      <c r="CW18">
        <v>0</v>
      </c>
      <c r="DJ18">
        <v>0</v>
      </c>
      <c r="DW18">
        <v>0</v>
      </c>
      <c r="EJ18">
        <v>56202.81</v>
      </c>
    </row>
    <row r="19" spans="1:140" hidden="1" x14ac:dyDescent="0.35">
      <c r="A19" t="s">
        <v>4036</v>
      </c>
      <c r="B19" t="s">
        <v>5365</v>
      </c>
      <c r="D19" t="s">
        <v>5394</v>
      </c>
      <c r="E19" t="s">
        <v>155</v>
      </c>
      <c r="F19" t="s">
        <v>4034</v>
      </c>
      <c r="G19" t="s">
        <v>4035</v>
      </c>
      <c r="H19" t="s">
        <v>5372</v>
      </c>
      <c r="I19" t="s">
        <v>5373</v>
      </c>
      <c r="J19" t="s">
        <v>3849</v>
      </c>
      <c r="K19" t="s">
        <v>3849</v>
      </c>
      <c r="L19" t="s">
        <v>153</v>
      </c>
      <c r="M19" t="s">
        <v>3917</v>
      </c>
      <c r="N19" t="s">
        <v>153</v>
      </c>
      <c r="O19" t="s">
        <v>3918</v>
      </c>
      <c r="P19" t="s">
        <v>3856</v>
      </c>
      <c r="Q19" t="s">
        <v>3852</v>
      </c>
      <c r="R19" t="s">
        <v>1580</v>
      </c>
      <c r="S19" t="s">
        <v>5374</v>
      </c>
      <c r="T19" t="s">
        <v>1576</v>
      </c>
      <c r="U19" t="s">
        <v>5377</v>
      </c>
      <c r="V19" s="17">
        <v>45798</v>
      </c>
      <c r="W19" s="17">
        <v>45758</v>
      </c>
      <c r="X19" s="17">
        <v>45849</v>
      </c>
      <c r="Y19">
        <v>-313</v>
      </c>
      <c r="Z19">
        <v>3</v>
      </c>
      <c r="AA19">
        <v>3.0333333333333332</v>
      </c>
      <c r="AB19">
        <v>1549.1666666666667</v>
      </c>
      <c r="AC19" s="17"/>
      <c r="AE19">
        <v>35044.239999999998</v>
      </c>
      <c r="AF19">
        <v>105132.72</v>
      </c>
      <c r="AG19">
        <v>35044.239999999998</v>
      </c>
      <c r="AH19">
        <v>105132.72</v>
      </c>
      <c r="AI19">
        <v>0</v>
      </c>
      <c r="AJ19">
        <v>0</v>
      </c>
      <c r="AW19">
        <v>0</v>
      </c>
      <c r="BJ19">
        <v>0</v>
      </c>
      <c r="BW19">
        <v>0</v>
      </c>
      <c r="CJ19">
        <v>105132.72</v>
      </c>
      <c r="CN19">
        <v>35044.239999999998</v>
      </c>
      <c r="CO19">
        <v>35044.239999999998</v>
      </c>
      <c r="CP19">
        <v>35044.239999999998</v>
      </c>
      <c r="CW19">
        <v>0</v>
      </c>
      <c r="DJ19">
        <v>0</v>
      </c>
      <c r="DW19">
        <v>0</v>
      </c>
      <c r="EJ19">
        <v>105132.72</v>
      </c>
    </row>
    <row r="20" spans="1:140" hidden="1" x14ac:dyDescent="0.35">
      <c r="A20" t="s">
        <v>4036</v>
      </c>
      <c r="B20" t="s">
        <v>5365</v>
      </c>
      <c r="D20" t="s">
        <v>5395</v>
      </c>
      <c r="E20" t="s">
        <v>155</v>
      </c>
      <c r="F20" t="s">
        <v>4034</v>
      </c>
      <c r="G20" t="s">
        <v>4035</v>
      </c>
      <c r="H20" t="s">
        <v>5372</v>
      </c>
      <c r="I20" t="s">
        <v>5373</v>
      </c>
      <c r="J20" t="s">
        <v>3849</v>
      </c>
      <c r="K20" t="s">
        <v>3849</v>
      </c>
      <c r="L20" t="s">
        <v>153</v>
      </c>
      <c r="M20" t="s">
        <v>3917</v>
      </c>
      <c r="N20" t="s">
        <v>153</v>
      </c>
      <c r="O20" t="s">
        <v>3918</v>
      </c>
      <c r="P20" t="s">
        <v>3856</v>
      </c>
      <c r="Q20" t="s">
        <v>3852</v>
      </c>
      <c r="R20" t="s">
        <v>1580</v>
      </c>
      <c r="S20" t="s">
        <v>5374</v>
      </c>
      <c r="T20" t="s">
        <v>1576</v>
      </c>
      <c r="U20" t="s">
        <v>5379</v>
      </c>
      <c r="V20" s="17">
        <v>45868</v>
      </c>
      <c r="W20" s="17">
        <v>45849</v>
      </c>
      <c r="X20" s="17">
        <v>45941</v>
      </c>
      <c r="Y20">
        <v>-221</v>
      </c>
      <c r="Z20">
        <v>1</v>
      </c>
      <c r="AA20">
        <v>3.0666666666666669</v>
      </c>
      <c r="AB20">
        <v>1546.1</v>
      </c>
      <c r="AC20" s="17"/>
      <c r="AE20">
        <v>25098.799999999999</v>
      </c>
      <c r="AF20">
        <v>25098.799999999999</v>
      </c>
      <c r="AG20">
        <v>25098.799999999999</v>
      </c>
      <c r="AH20">
        <v>25098.799999999999</v>
      </c>
      <c r="AI20">
        <v>0</v>
      </c>
      <c r="AJ20">
        <v>0</v>
      </c>
      <c r="AW20">
        <v>0</v>
      </c>
      <c r="BJ20">
        <v>0</v>
      </c>
      <c r="BW20">
        <v>0</v>
      </c>
      <c r="CJ20">
        <v>25098.799999999999</v>
      </c>
      <c r="CQ20">
        <v>25098.799999999999</v>
      </c>
      <c r="CW20">
        <v>0</v>
      </c>
      <c r="DJ20">
        <v>0</v>
      </c>
      <c r="DW20">
        <v>0</v>
      </c>
      <c r="EJ20">
        <v>25098.799999999999</v>
      </c>
    </row>
    <row r="21" spans="1:140" hidden="1" x14ac:dyDescent="0.35">
      <c r="A21" t="s">
        <v>4036</v>
      </c>
      <c r="B21" t="s">
        <v>5365</v>
      </c>
      <c r="D21" t="s">
        <v>5396</v>
      </c>
      <c r="E21" t="s">
        <v>155</v>
      </c>
      <c r="F21" t="s">
        <v>4034</v>
      </c>
      <c r="G21" t="s">
        <v>4035</v>
      </c>
      <c r="H21" t="s">
        <v>5372</v>
      </c>
      <c r="I21" t="s">
        <v>5373</v>
      </c>
      <c r="J21" t="s">
        <v>3849</v>
      </c>
      <c r="K21" t="s">
        <v>3849</v>
      </c>
      <c r="L21" t="s">
        <v>153</v>
      </c>
      <c r="M21" t="s">
        <v>3917</v>
      </c>
      <c r="N21" t="s">
        <v>153</v>
      </c>
      <c r="O21" t="s">
        <v>3918</v>
      </c>
      <c r="P21" t="s">
        <v>3856</v>
      </c>
      <c r="Q21" t="s">
        <v>3852</v>
      </c>
      <c r="R21" t="s">
        <v>1580</v>
      </c>
      <c r="S21" t="s">
        <v>5374</v>
      </c>
      <c r="T21" t="s">
        <v>1576</v>
      </c>
      <c r="U21" t="s">
        <v>5375</v>
      </c>
      <c r="V21" s="17">
        <v>45868</v>
      </c>
      <c r="W21" s="17">
        <v>45849</v>
      </c>
      <c r="X21" s="17">
        <v>45941</v>
      </c>
      <c r="Y21">
        <v>-221</v>
      </c>
      <c r="Z21">
        <v>3</v>
      </c>
      <c r="AA21">
        <v>3.0666666666666669</v>
      </c>
      <c r="AB21">
        <v>1546.1</v>
      </c>
      <c r="AC21" s="17"/>
      <c r="AE21">
        <v>18734.27</v>
      </c>
      <c r="AF21">
        <v>56202.81</v>
      </c>
      <c r="AG21">
        <v>18734.27</v>
      </c>
      <c r="AH21">
        <v>56202.81</v>
      </c>
      <c r="AI21">
        <v>0</v>
      </c>
      <c r="AJ21">
        <v>0</v>
      </c>
      <c r="AW21">
        <v>0</v>
      </c>
      <c r="BJ21">
        <v>0</v>
      </c>
      <c r="BW21">
        <v>0</v>
      </c>
      <c r="CJ21">
        <v>56202.81</v>
      </c>
      <c r="CQ21">
        <v>18734.27</v>
      </c>
      <c r="CR21">
        <v>18734.27</v>
      </c>
      <c r="CS21">
        <v>18734.27</v>
      </c>
      <c r="CW21">
        <v>0</v>
      </c>
      <c r="DJ21">
        <v>0</v>
      </c>
      <c r="DW21">
        <v>0</v>
      </c>
      <c r="EJ21">
        <v>56202.81</v>
      </c>
    </row>
    <row r="22" spans="1:140" hidden="1" x14ac:dyDescent="0.35">
      <c r="A22" t="s">
        <v>4036</v>
      </c>
      <c r="B22" t="s">
        <v>5365</v>
      </c>
      <c r="D22" t="s">
        <v>5397</v>
      </c>
      <c r="E22" t="s">
        <v>155</v>
      </c>
      <c r="F22" t="s">
        <v>4034</v>
      </c>
      <c r="G22" t="s">
        <v>4035</v>
      </c>
      <c r="H22" t="s">
        <v>5372</v>
      </c>
      <c r="I22" t="s">
        <v>5373</v>
      </c>
      <c r="J22" t="s">
        <v>3849</v>
      </c>
      <c r="K22" t="s">
        <v>3849</v>
      </c>
      <c r="L22" t="s">
        <v>153</v>
      </c>
      <c r="M22" t="s">
        <v>3917</v>
      </c>
      <c r="N22" t="s">
        <v>153</v>
      </c>
      <c r="O22" t="s">
        <v>3918</v>
      </c>
      <c r="P22" t="s">
        <v>3856</v>
      </c>
      <c r="Q22" t="s">
        <v>3852</v>
      </c>
      <c r="R22" t="s">
        <v>1580</v>
      </c>
      <c r="S22" t="s">
        <v>5374</v>
      </c>
      <c r="T22" t="s">
        <v>1576</v>
      </c>
      <c r="U22" t="s">
        <v>5377</v>
      </c>
      <c r="V22" s="17">
        <v>45869</v>
      </c>
      <c r="W22" s="17">
        <v>45849</v>
      </c>
      <c r="X22" s="17">
        <v>45941</v>
      </c>
      <c r="Y22">
        <v>-221</v>
      </c>
      <c r="Z22">
        <v>3</v>
      </c>
      <c r="AA22">
        <v>3.0666666666666669</v>
      </c>
      <c r="AB22">
        <v>1546.1</v>
      </c>
      <c r="AC22" s="17"/>
      <c r="AE22">
        <v>38159.129999999997</v>
      </c>
      <c r="AF22">
        <v>114477.39</v>
      </c>
      <c r="AG22">
        <v>38159.129999999997</v>
      </c>
      <c r="AH22">
        <v>114477.39</v>
      </c>
      <c r="AI22">
        <v>0</v>
      </c>
      <c r="AJ22">
        <v>0</v>
      </c>
      <c r="AW22">
        <v>0</v>
      </c>
      <c r="BJ22">
        <v>0</v>
      </c>
      <c r="BW22">
        <v>0</v>
      </c>
      <c r="CJ22">
        <v>114477.39</v>
      </c>
      <c r="CQ22">
        <v>38159.129999999997</v>
      </c>
      <c r="CR22">
        <v>38159.129999999997</v>
      </c>
      <c r="CS22">
        <v>38159.129999999997</v>
      </c>
      <c r="CW22">
        <v>0</v>
      </c>
      <c r="DJ22">
        <v>0</v>
      </c>
      <c r="DW22">
        <v>0</v>
      </c>
      <c r="EJ22">
        <v>114477.39</v>
      </c>
    </row>
    <row r="23" spans="1:140" hidden="1" x14ac:dyDescent="0.35">
      <c r="A23" t="s">
        <v>4036</v>
      </c>
      <c r="B23" t="s">
        <v>5365</v>
      </c>
      <c r="D23" t="s">
        <v>5398</v>
      </c>
      <c r="E23" t="s">
        <v>155</v>
      </c>
      <c r="F23" t="s">
        <v>4034</v>
      </c>
      <c r="G23" t="s">
        <v>4035</v>
      </c>
      <c r="H23" t="s">
        <v>5372</v>
      </c>
      <c r="I23" t="s">
        <v>5373</v>
      </c>
      <c r="J23" t="s">
        <v>3849</v>
      </c>
      <c r="K23" t="s">
        <v>3849</v>
      </c>
      <c r="L23" t="s">
        <v>153</v>
      </c>
      <c r="M23" t="s">
        <v>3917</v>
      </c>
      <c r="N23" t="s">
        <v>153</v>
      </c>
      <c r="O23" t="s">
        <v>3918</v>
      </c>
      <c r="P23" t="s">
        <v>3989</v>
      </c>
      <c r="Q23" t="s">
        <v>3852</v>
      </c>
      <c r="R23" t="s">
        <v>1580</v>
      </c>
      <c r="S23" t="s">
        <v>5374</v>
      </c>
      <c r="T23" t="s">
        <v>2363</v>
      </c>
      <c r="U23" t="s">
        <v>5387</v>
      </c>
      <c r="V23" s="17">
        <v>45901</v>
      </c>
      <c r="W23" s="17">
        <v>45901</v>
      </c>
      <c r="X23" s="17">
        <v>45930</v>
      </c>
      <c r="Y23">
        <v>-232</v>
      </c>
      <c r="Z23">
        <v>1</v>
      </c>
      <c r="AA23">
        <v>0.96666666666666667</v>
      </c>
      <c r="AB23">
        <v>1546.4666666666667</v>
      </c>
      <c r="AC23" s="17"/>
      <c r="AE23">
        <v>12642.48</v>
      </c>
      <c r="AF23">
        <v>12642.48</v>
      </c>
      <c r="AG23">
        <v>12642.48</v>
      </c>
      <c r="AH23">
        <v>12642.48</v>
      </c>
      <c r="AI23">
        <v>0</v>
      </c>
      <c r="AJ23">
        <v>0</v>
      </c>
      <c r="AW23">
        <v>0</v>
      </c>
      <c r="BJ23">
        <v>0</v>
      </c>
      <c r="BW23">
        <v>0</v>
      </c>
      <c r="CJ23">
        <v>12642.48</v>
      </c>
      <c r="CS23">
        <v>12642.48</v>
      </c>
      <c r="CW23">
        <v>0</v>
      </c>
      <c r="DJ23">
        <v>0</v>
      </c>
      <c r="DW23">
        <v>0</v>
      </c>
      <c r="EJ23">
        <v>12642.48</v>
      </c>
    </row>
    <row r="24" spans="1:140" hidden="1" x14ac:dyDescent="0.35">
      <c r="A24" t="s">
        <v>4036</v>
      </c>
      <c r="B24" t="s">
        <v>5365</v>
      </c>
      <c r="D24" t="s">
        <v>5399</v>
      </c>
      <c r="E24" t="s">
        <v>155</v>
      </c>
      <c r="F24" t="s">
        <v>4034</v>
      </c>
      <c r="G24" t="s">
        <v>4035</v>
      </c>
      <c r="H24" t="s">
        <v>5372</v>
      </c>
      <c r="I24" t="s">
        <v>5373</v>
      </c>
      <c r="J24" t="s">
        <v>3849</v>
      </c>
      <c r="K24" t="s">
        <v>3849</v>
      </c>
      <c r="L24" t="s">
        <v>153</v>
      </c>
      <c r="M24" t="s">
        <v>3917</v>
      </c>
      <c r="N24" t="s">
        <v>153</v>
      </c>
      <c r="O24" t="s">
        <v>3918</v>
      </c>
      <c r="P24" t="s">
        <v>3856</v>
      </c>
      <c r="Q24" t="s">
        <v>3852</v>
      </c>
      <c r="R24" t="s">
        <v>2464</v>
      </c>
      <c r="S24" t="s">
        <v>5374</v>
      </c>
      <c r="T24" t="s">
        <v>1576</v>
      </c>
      <c r="U24" t="s">
        <v>5400</v>
      </c>
      <c r="V24" s="17">
        <v>45946</v>
      </c>
      <c r="W24" s="17">
        <v>45941</v>
      </c>
      <c r="X24" s="17">
        <v>46032</v>
      </c>
      <c r="Y24">
        <v>-130</v>
      </c>
      <c r="Z24">
        <v>3</v>
      </c>
      <c r="AA24">
        <v>3.0333333333333332</v>
      </c>
      <c r="AB24">
        <v>1543.0666666666666</v>
      </c>
      <c r="AC24" s="17"/>
      <c r="AE24">
        <v>0</v>
      </c>
      <c r="AF24">
        <v>56202.81</v>
      </c>
      <c r="AG24">
        <v>18734.27</v>
      </c>
      <c r="AH24">
        <v>56202.81</v>
      </c>
      <c r="AI24">
        <v>0</v>
      </c>
      <c r="AJ24">
        <v>0</v>
      </c>
      <c r="AW24">
        <v>0</v>
      </c>
      <c r="BJ24">
        <v>0</v>
      </c>
      <c r="BW24">
        <v>0</v>
      </c>
      <c r="CJ24">
        <v>56202.81</v>
      </c>
      <c r="CT24">
        <v>18734.27</v>
      </c>
      <c r="CU24">
        <v>18734.27</v>
      </c>
      <c r="CV24">
        <v>18734.27</v>
      </c>
      <c r="CW24">
        <v>0</v>
      </c>
      <c r="DJ24">
        <v>0</v>
      </c>
      <c r="DW24">
        <v>0</v>
      </c>
      <c r="EJ24">
        <v>56202.81</v>
      </c>
    </row>
    <row r="25" spans="1:140" hidden="1" x14ac:dyDescent="0.35">
      <c r="A25" t="s">
        <v>4036</v>
      </c>
      <c r="B25" t="s">
        <v>5365</v>
      </c>
      <c r="D25" t="s">
        <v>5401</v>
      </c>
      <c r="E25" t="s">
        <v>438</v>
      </c>
      <c r="F25" t="s">
        <v>4040</v>
      </c>
      <c r="G25" t="s">
        <v>4041</v>
      </c>
      <c r="H25" t="s">
        <v>5402</v>
      </c>
      <c r="I25" t="s">
        <v>5368</v>
      </c>
      <c r="J25" t="s">
        <v>3849</v>
      </c>
      <c r="K25" t="s">
        <v>3849</v>
      </c>
      <c r="L25" t="s">
        <v>153</v>
      </c>
      <c r="M25" t="s">
        <v>3917</v>
      </c>
      <c r="N25" t="s">
        <v>153</v>
      </c>
      <c r="O25" t="s">
        <v>3918</v>
      </c>
      <c r="P25">
        <v>0</v>
      </c>
      <c r="Q25" t="s">
        <v>3852</v>
      </c>
      <c r="R25" t="s">
        <v>1580</v>
      </c>
      <c r="S25">
        <v>0</v>
      </c>
      <c r="T25">
        <v>0</v>
      </c>
      <c r="U25" t="s">
        <v>5403</v>
      </c>
      <c r="V25" s="17">
        <v>45279</v>
      </c>
      <c r="W25" s="17">
        <v>45289</v>
      </c>
      <c r="X25" s="17">
        <v>45380</v>
      </c>
      <c r="Y25">
        <v>-782</v>
      </c>
      <c r="Z25">
        <v>3</v>
      </c>
      <c r="AA25">
        <v>3.0333333333333332</v>
      </c>
      <c r="AB25">
        <v>1564.8</v>
      </c>
      <c r="AC25" s="17"/>
      <c r="AE25">
        <v>50212.26</v>
      </c>
      <c r="AF25">
        <v>150636.78</v>
      </c>
      <c r="AG25">
        <v>50212.26</v>
      </c>
      <c r="AH25">
        <v>150636.78</v>
      </c>
      <c r="AI25">
        <v>0</v>
      </c>
      <c r="AJ25">
        <v>0</v>
      </c>
      <c r="AW25">
        <v>0</v>
      </c>
      <c r="BJ25">
        <v>0</v>
      </c>
      <c r="BW25">
        <v>150636.78</v>
      </c>
      <c r="BX25">
        <v>50212.26</v>
      </c>
      <c r="BY25">
        <v>50212.26</v>
      </c>
      <c r="BZ25">
        <v>50212.26</v>
      </c>
      <c r="CJ25">
        <v>0</v>
      </c>
      <c r="CW25">
        <v>0</v>
      </c>
      <c r="DJ25">
        <v>0</v>
      </c>
      <c r="DW25">
        <v>0</v>
      </c>
      <c r="EJ25">
        <v>0</v>
      </c>
    </row>
    <row r="26" spans="1:140" hidden="1" x14ac:dyDescent="0.35">
      <c r="A26" t="s">
        <v>4036</v>
      </c>
      <c r="B26" t="s">
        <v>5365</v>
      </c>
      <c r="D26" t="s">
        <v>5404</v>
      </c>
      <c r="E26" t="s">
        <v>438</v>
      </c>
      <c r="F26" t="s">
        <v>4040</v>
      </c>
      <c r="G26" t="s">
        <v>4041</v>
      </c>
      <c r="H26" t="s">
        <v>5405</v>
      </c>
      <c r="I26" t="s">
        <v>5373</v>
      </c>
      <c r="J26" t="s">
        <v>3849</v>
      </c>
      <c r="K26" t="s">
        <v>3849</v>
      </c>
      <c r="L26" t="s">
        <v>153</v>
      </c>
      <c r="M26" t="s">
        <v>3917</v>
      </c>
      <c r="N26" t="s">
        <v>153</v>
      </c>
      <c r="O26" t="s">
        <v>3918</v>
      </c>
      <c r="P26">
        <v>0</v>
      </c>
      <c r="Q26" t="s">
        <v>3852</v>
      </c>
      <c r="R26" t="s">
        <v>2464</v>
      </c>
      <c r="S26" t="s">
        <v>5374</v>
      </c>
      <c r="T26" t="s">
        <v>5406</v>
      </c>
      <c r="U26" t="s">
        <v>5403</v>
      </c>
      <c r="V26" s="17">
        <v>45379</v>
      </c>
      <c r="W26" s="17">
        <v>45380</v>
      </c>
      <c r="X26" s="17">
        <v>45472</v>
      </c>
      <c r="Y26">
        <v>-690</v>
      </c>
      <c r="Z26">
        <v>3</v>
      </c>
      <c r="AA26">
        <v>3.0666666666666669</v>
      </c>
      <c r="AB26">
        <v>1561.7333333333333</v>
      </c>
      <c r="AC26" s="17"/>
      <c r="AE26">
        <v>50212.26</v>
      </c>
      <c r="AF26">
        <v>150636.78</v>
      </c>
      <c r="AG26">
        <v>50212.26</v>
      </c>
      <c r="AH26">
        <v>150636.78</v>
      </c>
      <c r="AI26">
        <v>0</v>
      </c>
      <c r="AJ26">
        <v>0</v>
      </c>
      <c r="AW26">
        <v>0</v>
      </c>
      <c r="BJ26">
        <v>0</v>
      </c>
      <c r="BW26">
        <v>150636.78</v>
      </c>
      <c r="CA26">
        <v>50212.26</v>
      </c>
      <c r="CB26">
        <v>50212.26</v>
      </c>
      <c r="CC26">
        <v>50212.26</v>
      </c>
      <c r="CJ26">
        <v>0</v>
      </c>
      <c r="CW26">
        <v>0</v>
      </c>
      <c r="DJ26">
        <v>0</v>
      </c>
      <c r="DW26">
        <v>0</v>
      </c>
      <c r="EJ26">
        <v>0</v>
      </c>
    </row>
    <row r="27" spans="1:140" hidden="1" x14ac:dyDescent="0.35">
      <c r="A27" t="s">
        <v>4036</v>
      </c>
      <c r="B27" t="s">
        <v>5365</v>
      </c>
      <c r="D27" t="s">
        <v>5407</v>
      </c>
      <c r="E27" t="s">
        <v>438</v>
      </c>
      <c r="F27" t="s">
        <v>4040</v>
      </c>
      <c r="G27" t="s">
        <v>4041</v>
      </c>
      <c r="H27" t="s">
        <v>5405</v>
      </c>
      <c r="I27" t="s">
        <v>5373</v>
      </c>
      <c r="J27" t="s">
        <v>3849</v>
      </c>
      <c r="K27" t="s">
        <v>3849</v>
      </c>
      <c r="L27" t="s">
        <v>153</v>
      </c>
      <c r="M27" t="s">
        <v>3917</v>
      </c>
      <c r="N27" t="s">
        <v>153</v>
      </c>
      <c r="O27" t="s">
        <v>3918</v>
      </c>
      <c r="P27">
        <v>0</v>
      </c>
      <c r="Q27" t="s">
        <v>3852</v>
      </c>
      <c r="R27" t="s">
        <v>2464</v>
      </c>
      <c r="S27" t="s">
        <v>5374</v>
      </c>
      <c r="T27" t="s">
        <v>1576</v>
      </c>
      <c r="U27" t="s">
        <v>5408</v>
      </c>
      <c r="V27" s="17">
        <v>45462</v>
      </c>
      <c r="W27" s="17">
        <v>45472</v>
      </c>
      <c r="X27" s="17">
        <v>45827</v>
      </c>
      <c r="Y27">
        <v>-335</v>
      </c>
      <c r="Z27">
        <v>12</v>
      </c>
      <c r="AA27">
        <v>11.833333333333334</v>
      </c>
      <c r="AB27">
        <v>1549.9</v>
      </c>
      <c r="AC27" s="17"/>
      <c r="AE27">
        <v>30982.683300000001</v>
      </c>
      <c r="AF27">
        <v>1115376.6000000001</v>
      </c>
      <c r="AG27">
        <v>92948.05</v>
      </c>
      <c r="AH27">
        <v>1115376.5900000001</v>
      </c>
      <c r="AI27">
        <v>-0.01</v>
      </c>
      <c r="AJ27">
        <v>0</v>
      </c>
      <c r="AW27">
        <v>0</v>
      </c>
      <c r="BJ27">
        <v>0</v>
      </c>
      <c r="BW27">
        <v>534786.41</v>
      </c>
      <c r="CD27">
        <v>57836.26</v>
      </c>
      <c r="CE27">
        <v>95390.03</v>
      </c>
      <c r="CF27">
        <v>95390.03</v>
      </c>
      <c r="CG27">
        <v>95390.03</v>
      </c>
      <c r="CH27">
        <v>95390.03</v>
      </c>
      <c r="CI27">
        <v>95390.03</v>
      </c>
      <c r="CJ27">
        <v>580590.18000000005</v>
      </c>
      <c r="CK27">
        <v>95390.03</v>
      </c>
      <c r="CL27">
        <v>95390.03</v>
      </c>
      <c r="CM27">
        <v>95390.03</v>
      </c>
      <c r="CN27">
        <v>95390.03</v>
      </c>
      <c r="CO27">
        <v>95390.03</v>
      </c>
      <c r="CP27">
        <v>103640.03</v>
      </c>
      <c r="CW27">
        <v>0</v>
      </c>
      <c r="DJ27">
        <v>0</v>
      </c>
      <c r="DW27">
        <v>0</v>
      </c>
      <c r="EJ27">
        <v>580590.18000000005</v>
      </c>
    </row>
    <row r="28" spans="1:140" hidden="1" x14ac:dyDescent="0.35">
      <c r="A28" t="s">
        <v>4036</v>
      </c>
      <c r="B28" t="s">
        <v>5365</v>
      </c>
      <c r="D28" t="s">
        <v>5409</v>
      </c>
      <c r="E28" t="s">
        <v>438</v>
      </c>
      <c r="F28" t="s">
        <v>4040</v>
      </c>
      <c r="G28" t="s">
        <v>4041</v>
      </c>
      <c r="H28" t="s">
        <v>5405</v>
      </c>
      <c r="I28" t="s">
        <v>5373</v>
      </c>
      <c r="J28" t="s">
        <v>3849</v>
      </c>
      <c r="K28" t="s">
        <v>3849</v>
      </c>
      <c r="L28" t="s">
        <v>153</v>
      </c>
      <c r="M28" t="s">
        <v>3917</v>
      </c>
      <c r="N28" t="s">
        <v>153</v>
      </c>
      <c r="O28" t="s">
        <v>3918</v>
      </c>
      <c r="P28">
        <v>0</v>
      </c>
      <c r="Q28" t="s">
        <v>3852</v>
      </c>
      <c r="R28" t="s">
        <v>2464</v>
      </c>
      <c r="S28" t="s">
        <v>5374</v>
      </c>
      <c r="T28" t="s">
        <v>1576</v>
      </c>
      <c r="U28" t="s">
        <v>5410</v>
      </c>
      <c r="V28" s="17">
        <v>45532</v>
      </c>
      <c r="W28" s="17">
        <v>45837</v>
      </c>
      <c r="X28" s="17">
        <v>45868</v>
      </c>
      <c r="Y28">
        <v>-294</v>
      </c>
      <c r="Z28">
        <v>1</v>
      </c>
      <c r="AA28">
        <v>1.0333333333333334</v>
      </c>
      <c r="AB28">
        <v>1548.5333333333333</v>
      </c>
      <c r="AC28" s="17"/>
      <c r="AE28">
        <v>21966.6</v>
      </c>
      <c r="AF28">
        <v>21966.6</v>
      </c>
      <c r="AG28">
        <v>21966.6</v>
      </c>
      <c r="AH28">
        <v>21966.6</v>
      </c>
      <c r="AI28">
        <v>0</v>
      </c>
      <c r="AJ28">
        <v>0</v>
      </c>
      <c r="AW28">
        <v>0</v>
      </c>
      <c r="BJ28">
        <v>0</v>
      </c>
      <c r="BW28">
        <v>0</v>
      </c>
      <c r="CJ28">
        <v>21966.6</v>
      </c>
      <c r="CQ28">
        <v>21966.6</v>
      </c>
      <c r="CW28">
        <v>0</v>
      </c>
      <c r="DJ28">
        <v>0</v>
      </c>
      <c r="DW28">
        <v>0</v>
      </c>
      <c r="EJ28">
        <v>21966.6</v>
      </c>
    </row>
    <row r="29" spans="1:140" hidden="1" x14ac:dyDescent="0.35">
      <c r="A29" t="s">
        <v>4036</v>
      </c>
      <c r="B29" t="s">
        <v>249</v>
      </c>
      <c r="D29" t="s">
        <v>5411</v>
      </c>
      <c r="E29" t="s">
        <v>438</v>
      </c>
      <c r="F29" t="s">
        <v>4040</v>
      </c>
      <c r="G29" t="s">
        <v>4041</v>
      </c>
      <c r="H29" t="s">
        <v>5405</v>
      </c>
      <c r="I29" t="s">
        <v>5373</v>
      </c>
      <c r="J29" t="s">
        <v>3849</v>
      </c>
      <c r="K29" t="s">
        <v>3849</v>
      </c>
      <c r="L29" t="s">
        <v>153</v>
      </c>
      <c r="M29" t="s">
        <v>3917</v>
      </c>
      <c r="N29" t="s">
        <v>153</v>
      </c>
      <c r="O29" t="s">
        <v>3918</v>
      </c>
      <c r="P29" t="s">
        <v>3856</v>
      </c>
      <c r="Q29" t="s">
        <v>3852</v>
      </c>
      <c r="R29" t="s">
        <v>2464</v>
      </c>
      <c r="S29" t="s">
        <v>5374</v>
      </c>
      <c r="T29" t="s">
        <v>2363</v>
      </c>
      <c r="U29" t="s">
        <v>5412</v>
      </c>
      <c r="V29" s="17">
        <v>45961</v>
      </c>
      <c r="W29" s="17">
        <v>45899</v>
      </c>
      <c r="X29" s="17">
        <v>46259</v>
      </c>
      <c r="Y29">
        <v>97</v>
      </c>
      <c r="Z29">
        <v>12</v>
      </c>
      <c r="AA29">
        <v>12</v>
      </c>
      <c r="AB29">
        <v>1535.5</v>
      </c>
      <c r="AC29" s="17"/>
      <c r="AE29">
        <v>32751.64</v>
      </c>
      <c r="AF29">
        <v>393019.68</v>
      </c>
      <c r="AG29">
        <v>32751.64</v>
      </c>
      <c r="AH29">
        <v>393019.68</v>
      </c>
      <c r="AI29">
        <v>0</v>
      </c>
      <c r="AJ29">
        <v>0</v>
      </c>
      <c r="AW29">
        <v>0</v>
      </c>
      <c r="BJ29">
        <v>0</v>
      </c>
      <c r="BW29">
        <v>0</v>
      </c>
      <c r="CJ29">
        <v>163758.20000000001</v>
      </c>
      <c r="CR29">
        <v>32751.64</v>
      </c>
      <c r="CS29">
        <v>32751.64</v>
      </c>
      <c r="CT29">
        <v>32751.64</v>
      </c>
      <c r="CU29">
        <v>32751.64</v>
      </c>
      <c r="CV29">
        <v>32751.64</v>
      </c>
      <c r="CW29">
        <v>229261.48</v>
      </c>
      <c r="CX29">
        <v>32751.64</v>
      </c>
      <c r="CY29">
        <v>32751.64</v>
      </c>
      <c r="CZ29">
        <v>32751.64</v>
      </c>
      <c r="DA29">
        <v>32751.64</v>
      </c>
      <c r="DB29">
        <v>32751.64</v>
      </c>
      <c r="DC29">
        <v>32751.64</v>
      </c>
      <c r="DD29">
        <v>32751.64</v>
      </c>
      <c r="DJ29">
        <v>0</v>
      </c>
      <c r="DW29">
        <v>0</v>
      </c>
      <c r="EJ29">
        <v>393019.68000000005</v>
      </c>
    </row>
    <row r="30" spans="1:140" hidden="1" x14ac:dyDescent="0.35">
      <c r="A30" t="s">
        <v>4036</v>
      </c>
      <c r="B30" t="s">
        <v>249</v>
      </c>
      <c r="D30" t="s">
        <v>5413</v>
      </c>
      <c r="E30" t="s">
        <v>4235</v>
      </c>
      <c r="F30" t="s">
        <v>4236</v>
      </c>
      <c r="G30" t="s">
        <v>4237</v>
      </c>
      <c r="H30" t="s">
        <v>5414</v>
      </c>
      <c r="I30" t="s">
        <v>5368</v>
      </c>
      <c r="J30" t="s">
        <v>3849</v>
      </c>
      <c r="K30" t="s">
        <v>3849</v>
      </c>
      <c r="L30" t="s">
        <v>153</v>
      </c>
      <c r="M30" t="s">
        <v>3917</v>
      </c>
      <c r="N30" t="s">
        <v>153</v>
      </c>
      <c r="O30" t="s">
        <v>3918</v>
      </c>
      <c r="P30" t="s">
        <v>3856</v>
      </c>
      <c r="Q30" t="s">
        <v>3852</v>
      </c>
      <c r="R30" t="s">
        <v>2464</v>
      </c>
      <c r="S30" t="s">
        <v>5374</v>
      </c>
      <c r="T30" t="s">
        <v>2363</v>
      </c>
      <c r="U30" t="s">
        <v>5415</v>
      </c>
      <c r="V30" s="17">
        <v>46108</v>
      </c>
      <c r="W30" s="17">
        <v>45899</v>
      </c>
      <c r="X30" s="17">
        <v>46259</v>
      </c>
      <c r="Y30">
        <v>97</v>
      </c>
      <c r="Z30">
        <v>4</v>
      </c>
      <c r="AA30">
        <v>12</v>
      </c>
      <c r="AB30">
        <v>1535.5</v>
      </c>
      <c r="AC30" s="17"/>
      <c r="AE30">
        <v>39011.629999999997</v>
      </c>
      <c r="AF30">
        <v>156046.51999999999</v>
      </c>
      <c r="AG30">
        <v>39011.629999999997</v>
      </c>
      <c r="AH30">
        <v>156046.51999999999</v>
      </c>
      <c r="AI30">
        <v>0</v>
      </c>
      <c r="AJ30">
        <v>0</v>
      </c>
      <c r="AW30">
        <v>0</v>
      </c>
      <c r="BJ30">
        <v>0</v>
      </c>
      <c r="BW30">
        <v>0</v>
      </c>
      <c r="CJ30">
        <v>0</v>
      </c>
      <c r="CW30">
        <v>156046.51999999999</v>
      </c>
      <c r="DA30">
        <v>40511.629999999997</v>
      </c>
      <c r="DB30">
        <v>37511.629999999997</v>
      </c>
      <c r="DC30">
        <v>37511.629999999997</v>
      </c>
      <c r="DD30">
        <v>40511.629999999997</v>
      </c>
      <c r="DJ30">
        <v>0</v>
      </c>
      <c r="DW30">
        <v>0</v>
      </c>
      <c r="EJ30">
        <v>156046.51999999999</v>
      </c>
    </row>
    <row r="31" spans="1:140" hidden="1" x14ac:dyDescent="0.35">
      <c r="A31" t="s">
        <v>4036</v>
      </c>
      <c r="B31" t="s">
        <v>5365</v>
      </c>
      <c r="D31" t="s">
        <v>5416</v>
      </c>
      <c r="E31" t="s">
        <v>4044</v>
      </c>
      <c r="F31" t="s">
        <v>4045</v>
      </c>
      <c r="G31" t="s">
        <v>4046</v>
      </c>
      <c r="H31" t="s">
        <v>5417</v>
      </c>
      <c r="I31" t="s">
        <v>5368</v>
      </c>
      <c r="J31" t="s">
        <v>3849</v>
      </c>
      <c r="K31" t="s">
        <v>3849</v>
      </c>
      <c r="L31" t="s">
        <v>153</v>
      </c>
      <c r="M31" t="s">
        <v>3917</v>
      </c>
      <c r="N31" t="s">
        <v>153</v>
      </c>
      <c r="O31" t="s">
        <v>3918</v>
      </c>
      <c r="P31" t="s">
        <v>3856</v>
      </c>
      <c r="Q31" t="s">
        <v>3852</v>
      </c>
      <c r="R31" t="s">
        <v>1580</v>
      </c>
      <c r="S31" t="s">
        <v>5374</v>
      </c>
      <c r="T31" t="s">
        <v>2363</v>
      </c>
      <c r="U31" t="s">
        <v>5418</v>
      </c>
      <c r="V31" s="17">
        <v>45692</v>
      </c>
      <c r="W31" s="17">
        <v>45692</v>
      </c>
      <c r="X31" s="17">
        <v>46057</v>
      </c>
      <c r="Y31">
        <v>-105</v>
      </c>
      <c r="Z31">
        <v>12</v>
      </c>
      <c r="AA31">
        <v>12.166666666666666</v>
      </c>
      <c r="AB31">
        <v>1542.2333333333333</v>
      </c>
      <c r="AC31" s="17"/>
      <c r="AE31">
        <v>0</v>
      </c>
      <c r="AF31">
        <v>0</v>
      </c>
      <c r="AG31">
        <v>0</v>
      </c>
      <c r="AH31">
        <v>0</v>
      </c>
      <c r="AI31">
        <v>0</v>
      </c>
      <c r="AJ31">
        <v>0</v>
      </c>
      <c r="AW31">
        <v>0</v>
      </c>
      <c r="BJ31">
        <v>0</v>
      </c>
      <c r="BW31">
        <v>0</v>
      </c>
      <c r="CJ31">
        <v>0</v>
      </c>
      <c r="CW31">
        <v>0</v>
      </c>
      <c r="DJ31">
        <v>0</v>
      </c>
      <c r="DW31">
        <v>0</v>
      </c>
      <c r="EJ31">
        <v>0</v>
      </c>
    </row>
    <row r="32" spans="1:140" hidden="1" x14ac:dyDescent="0.35">
      <c r="A32" t="s">
        <v>4036</v>
      </c>
      <c r="B32" t="s">
        <v>5365</v>
      </c>
      <c r="D32" t="s">
        <v>5419</v>
      </c>
      <c r="E32" t="s">
        <v>530</v>
      </c>
      <c r="F32" t="s">
        <v>4047</v>
      </c>
      <c r="G32" t="s">
        <v>4048</v>
      </c>
      <c r="H32" t="s">
        <v>5420</v>
      </c>
      <c r="I32" t="s">
        <v>5373</v>
      </c>
      <c r="J32" t="s">
        <v>3849</v>
      </c>
      <c r="K32" t="s">
        <v>3849</v>
      </c>
      <c r="L32" t="s">
        <v>153</v>
      </c>
      <c r="M32" t="s">
        <v>3917</v>
      </c>
      <c r="N32" t="s">
        <v>153</v>
      </c>
      <c r="O32" t="s">
        <v>3918</v>
      </c>
      <c r="P32" t="s">
        <v>3989</v>
      </c>
      <c r="Q32" t="s">
        <v>3852</v>
      </c>
      <c r="R32" t="s">
        <v>1580</v>
      </c>
      <c r="S32" t="s">
        <v>5374</v>
      </c>
      <c r="T32" t="s">
        <v>1576</v>
      </c>
      <c r="U32" t="s">
        <v>5387</v>
      </c>
      <c r="V32" s="17">
        <v>45698</v>
      </c>
      <c r="W32" s="17">
        <v>45697</v>
      </c>
      <c r="X32" s="17">
        <v>45786</v>
      </c>
      <c r="Y32">
        <v>-376</v>
      </c>
      <c r="Z32">
        <v>3</v>
      </c>
      <c r="AA32">
        <v>2.9666666666666668</v>
      </c>
      <c r="AB32">
        <v>1551.2666666666667</v>
      </c>
      <c r="AC32" s="17"/>
      <c r="AE32">
        <v>35546.160000000003</v>
      </c>
      <c r="AF32">
        <v>106638.48</v>
      </c>
      <c r="AG32">
        <v>35546.160000000003</v>
      </c>
      <c r="AH32">
        <v>106638.48</v>
      </c>
      <c r="AI32">
        <v>0</v>
      </c>
      <c r="AJ32">
        <v>0</v>
      </c>
      <c r="AW32">
        <v>0</v>
      </c>
      <c r="BJ32">
        <v>0</v>
      </c>
      <c r="BW32">
        <v>0</v>
      </c>
      <c r="CJ32">
        <v>106638.48</v>
      </c>
      <c r="CL32">
        <v>35546.160000000003</v>
      </c>
      <c r="CM32">
        <v>35546.160000000003</v>
      </c>
      <c r="CN32">
        <v>35546.160000000003</v>
      </c>
      <c r="CW32">
        <v>0</v>
      </c>
      <c r="DJ32">
        <v>0</v>
      </c>
      <c r="DW32">
        <v>0</v>
      </c>
      <c r="EJ32">
        <v>106638.48</v>
      </c>
    </row>
    <row r="33" spans="1:140" hidden="1" x14ac:dyDescent="0.35">
      <c r="A33" t="s">
        <v>4036</v>
      </c>
      <c r="B33" t="s">
        <v>5365</v>
      </c>
      <c r="D33" t="s">
        <v>5421</v>
      </c>
      <c r="E33" t="s">
        <v>530</v>
      </c>
      <c r="F33" t="s">
        <v>4047</v>
      </c>
      <c r="G33" t="s">
        <v>4048</v>
      </c>
      <c r="H33" t="s">
        <v>5420</v>
      </c>
      <c r="I33" t="s">
        <v>5373</v>
      </c>
      <c r="J33" t="s">
        <v>3849</v>
      </c>
      <c r="K33" t="s">
        <v>3849</v>
      </c>
      <c r="L33" t="s">
        <v>153</v>
      </c>
      <c r="M33" t="s">
        <v>3917</v>
      </c>
      <c r="N33" t="s">
        <v>153</v>
      </c>
      <c r="O33" t="s">
        <v>3918</v>
      </c>
      <c r="P33" t="s">
        <v>3989</v>
      </c>
      <c r="Q33" t="s">
        <v>3852</v>
      </c>
      <c r="R33" t="s">
        <v>1580</v>
      </c>
      <c r="S33" t="s">
        <v>5374</v>
      </c>
      <c r="T33" t="s">
        <v>1576</v>
      </c>
      <c r="U33" t="s">
        <v>5387</v>
      </c>
      <c r="V33" s="17">
        <v>45798</v>
      </c>
      <c r="W33" s="17">
        <v>45786</v>
      </c>
      <c r="X33" s="17">
        <v>45878</v>
      </c>
      <c r="Y33">
        <v>-284</v>
      </c>
      <c r="Z33">
        <v>3</v>
      </c>
      <c r="AA33">
        <v>3.0666666666666669</v>
      </c>
      <c r="AB33">
        <v>1548.2</v>
      </c>
      <c r="AC33" s="17"/>
      <c r="AE33">
        <v>35546.160000000003</v>
      </c>
      <c r="AF33">
        <v>106638.48</v>
      </c>
      <c r="AG33">
        <v>35546.160000000003</v>
      </c>
      <c r="AH33">
        <v>106638.48</v>
      </c>
      <c r="AI33">
        <v>0</v>
      </c>
      <c r="AJ33">
        <v>0</v>
      </c>
      <c r="AW33">
        <v>0</v>
      </c>
      <c r="BJ33">
        <v>0</v>
      </c>
      <c r="BW33">
        <v>0</v>
      </c>
      <c r="CJ33">
        <v>106638.48</v>
      </c>
      <c r="CO33">
        <v>35546.160000000003</v>
      </c>
      <c r="CP33">
        <v>35546.160000000003</v>
      </c>
      <c r="CQ33">
        <v>35546.160000000003</v>
      </c>
      <c r="CW33">
        <v>0</v>
      </c>
      <c r="DJ33">
        <v>0</v>
      </c>
      <c r="DW33">
        <v>0</v>
      </c>
      <c r="EJ33">
        <v>106638.48</v>
      </c>
    </row>
    <row r="34" spans="1:140" hidden="1" x14ac:dyDescent="0.35">
      <c r="A34" t="s">
        <v>4036</v>
      </c>
      <c r="B34" t="s">
        <v>5365</v>
      </c>
      <c r="D34" t="s">
        <v>5422</v>
      </c>
      <c r="E34" t="s">
        <v>530</v>
      </c>
      <c r="F34" t="s">
        <v>4047</v>
      </c>
      <c r="G34" t="s">
        <v>4048</v>
      </c>
      <c r="H34" t="s">
        <v>5420</v>
      </c>
      <c r="I34" t="s">
        <v>5373</v>
      </c>
      <c r="J34" t="s">
        <v>3849</v>
      </c>
      <c r="K34" t="s">
        <v>3849</v>
      </c>
      <c r="L34" t="s">
        <v>153</v>
      </c>
      <c r="M34" t="s">
        <v>3917</v>
      </c>
      <c r="N34" t="s">
        <v>153</v>
      </c>
      <c r="O34" t="s">
        <v>3918</v>
      </c>
      <c r="P34" t="s">
        <v>3989</v>
      </c>
      <c r="Q34" t="s">
        <v>3852</v>
      </c>
      <c r="R34" t="s">
        <v>1580</v>
      </c>
      <c r="S34" t="s">
        <v>5374</v>
      </c>
      <c r="T34" t="s">
        <v>1576</v>
      </c>
      <c r="U34" t="s">
        <v>5387</v>
      </c>
      <c r="V34" s="17">
        <v>45870</v>
      </c>
      <c r="W34" s="17">
        <v>45878</v>
      </c>
      <c r="X34" s="17">
        <v>45970</v>
      </c>
      <c r="Y34">
        <v>-192</v>
      </c>
      <c r="Z34">
        <v>3</v>
      </c>
      <c r="AA34">
        <v>3.0666666666666669</v>
      </c>
      <c r="AB34">
        <v>1545.1333333333334</v>
      </c>
      <c r="AC34" s="17"/>
      <c r="AE34">
        <v>35546.160000000003</v>
      </c>
      <c r="AF34">
        <v>106638.48</v>
      </c>
      <c r="AG34">
        <v>35546.160000000003</v>
      </c>
      <c r="AH34">
        <v>106638.48</v>
      </c>
      <c r="AI34">
        <v>0</v>
      </c>
      <c r="AJ34">
        <v>0</v>
      </c>
      <c r="AW34">
        <v>0</v>
      </c>
      <c r="BJ34">
        <v>0</v>
      </c>
      <c r="BW34">
        <v>0</v>
      </c>
      <c r="CJ34">
        <v>106638.48</v>
      </c>
      <c r="CR34">
        <v>35546.160000000003</v>
      </c>
      <c r="CS34">
        <v>35546.160000000003</v>
      </c>
      <c r="CT34">
        <v>35546.160000000003</v>
      </c>
      <c r="CW34">
        <v>0</v>
      </c>
      <c r="DJ34">
        <v>0</v>
      </c>
      <c r="DW34">
        <v>0</v>
      </c>
      <c r="EJ34">
        <v>106638.48</v>
      </c>
    </row>
    <row r="35" spans="1:140" hidden="1" x14ac:dyDescent="0.35">
      <c r="A35" t="s">
        <v>4036</v>
      </c>
      <c r="B35" t="s">
        <v>5365</v>
      </c>
      <c r="D35" t="s">
        <v>5423</v>
      </c>
      <c r="E35" t="s">
        <v>530</v>
      </c>
      <c r="F35" t="s">
        <v>4047</v>
      </c>
      <c r="G35" t="s">
        <v>4048</v>
      </c>
      <c r="H35" t="s">
        <v>5420</v>
      </c>
      <c r="I35" t="s">
        <v>5373</v>
      </c>
      <c r="J35" t="s">
        <v>3849</v>
      </c>
      <c r="K35" t="s">
        <v>3849</v>
      </c>
      <c r="L35" t="s">
        <v>153</v>
      </c>
      <c r="M35" t="s">
        <v>3917</v>
      </c>
      <c r="N35" t="s">
        <v>153</v>
      </c>
      <c r="O35" t="s">
        <v>3918</v>
      </c>
      <c r="P35" t="s">
        <v>3989</v>
      </c>
      <c r="Q35" t="s">
        <v>3852</v>
      </c>
      <c r="R35" t="s">
        <v>1580</v>
      </c>
      <c r="S35" t="s">
        <v>5374</v>
      </c>
      <c r="T35" t="s">
        <v>1576</v>
      </c>
      <c r="U35" t="s">
        <v>5424</v>
      </c>
      <c r="V35" s="17">
        <v>45923</v>
      </c>
      <c r="W35" s="17">
        <v>45923</v>
      </c>
      <c r="X35" s="17">
        <v>45968</v>
      </c>
      <c r="Y35">
        <v>-194</v>
      </c>
      <c r="Z35">
        <v>1.5</v>
      </c>
      <c r="AA35">
        <v>1.5</v>
      </c>
      <c r="AB35">
        <v>1545.2</v>
      </c>
      <c r="AC35" s="17"/>
      <c r="AE35">
        <v>0</v>
      </c>
      <c r="AF35">
        <v>26686.514999999999</v>
      </c>
      <c r="AG35">
        <v>17791.009999999998</v>
      </c>
      <c r="AH35">
        <v>26686.514999999999</v>
      </c>
      <c r="AI35">
        <v>0</v>
      </c>
      <c r="AJ35">
        <v>0</v>
      </c>
      <c r="AW35">
        <v>0</v>
      </c>
      <c r="BJ35">
        <v>0</v>
      </c>
      <c r="BW35">
        <v>0</v>
      </c>
      <c r="CJ35">
        <v>26686.514999999999</v>
      </c>
      <c r="CV35">
        <v>26686.514999999999</v>
      </c>
      <c r="CW35">
        <v>0</v>
      </c>
      <c r="DJ35">
        <v>0</v>
      </c>
      <c r="DW35">
        <v>0</v>
      </c>
      <c r="EJ35">
        <v>26686.514999999999</v>
      </c>
    </row>
    <row r="36" spans="1:140" hidden="1" x14ac:dyDescent="0.35">
      <c r="A36" t="s">
        <v>4036</v>
      </c>
      <c r="B36" t="s">
        <v>5365</v>
      </c>
      <c r="D36" t="s">
        <v>5425</v>
      </c>
      <c r="E36" t="s">
        <v>530</v>
      </c>
      <c r="F36" t="s">
        <v>4047</v>
      </c>
      <c r="G36" t="s">
        <v>4048</v>
      </c>
      <c r="H36" t="s">
        <v>5420</v>
      </c>
      <c r="I36" t="s">
        <v>5373</v>
      </c>
      <c r="J36" t="s">
        <v>3849</v>
      </c>
      <c r="K36" t="s">
        <v>3849</v>
      </c>
      <c r="L36" t="s">
        <v>153</v>
      </c>
      <c r="M36" t="s">
        <v>3917</v>
      </c>
      <c r="N36" t="s">
        <v>153</v>
      </c>
      <c r="O36" t="s">
        <v>3918</v>
      </c>
      <c r="P36" t="s">
        <v>3989</v>
      </c>
      <c r="Q36" t="s">
        <v>3852</v>
      </c>
      <c r="R36" t="s">
        <v>2464</v>
      </c>
      <c r="S36" t="s">
        <v>5374</v>
      </c>
      <c r="T36" t="s">
        <v>1576</v>
      </c>
      <c r="U36" t="s">
        <v>5387</v>
      </c>
      <c r="V36" s="17">
        <v>45950</v>
      </c>
      <c r="W36" s="17">
        <v>45968</v>
      </c>
      <c r="X36" s="17">
        <v>46058</v>
      </c>
      <c r="Y36">
        <v>-104</v>
      </c>
      <c r="Z36">
        <v>3</v>
      </c>
      <c r="AA36">
        <v>3</v>
      </c>
      <c r="AB36">
        <v>1542.2</v>
      </c>
      <c r="AC36" s="17"/>
      <c r="AE36">
        <v>0</v>
      </c>
      <c r="AF36">
        <v>106638.48</v>
      </c>
      <c r="AG36">
        <v>35546.160000000003</v>
      </c>
      <c r="AH36">
        <v>119234.66</v>
      </c>
      <c r="AI36">
        <v>12596.18</v>
      </c>
      <c r="AJ36">
        <v>0</v>
      </c>
      <c r="AW36">
        <v>0</v>
      </c>
      <c r="BJ36">
        <v>0</v>
      </c>
      <c r="BW36">
        <v>0</v>
      </c>
      <c r="CJ36">
        <v>83688.5</v>
      </c>
      <c r="CU36">
        <v>48142.34</v>
      </c>
      <c r="CV36">
        <v>35546.160000000003</v>
      </c>
      <c r="CW36">
        <v>35546.160000000003</v>
      </c>
      <c r="CX36">
        <v>35546.160000000003</v>
      </c>
      <c r="DJ36">
        <v>0</v>
      </c>
      <c r="DW36">
        <v>0</v>
      </c>
      <c r="EJ36">
        <v>119234.66</v>
      </c>
    </row>
    <row r="37" spans="1:140" hidden="1" x14ac:dyDescent="0.35">
      <c r="A37" t="s">
        <v>4036</v>
      </c>
      <c r="B37" t="s">
        <v>5365</v>
      </c>
      <c r="D37" t="s">
        <v>5426</v>
      </c>
      <c r="E37" t="s">
        <v>530</v>
      </c>
      <c r="F37" t="s">
        <v>4047</v>
      </c>
      <c r="G37" t="s">
        <v>4048</v>
      </c>
      <c r="H37" t="s">
        <v>5427</v>
      </c>
      <c r="I37" t="s">
        <v>5368</v>
      </c>
      <c r="J37" t="s">
        <v>3849</v>
      </c>
      <c r="K37" t="s">
        <v>3849</v>
      </c>
      <c r="L37" t="s">
        <v>153</v>
      </c>
      <c r="M37" t="s">
        <v>3917</v>
      </c>
      <c r="N37" t="s">
        <v>153</v>
      </c>
      <c r="O37" t="s">
        <v>3918</v>
      </c>
      <c r="P37" t="s">
        <v>3989</v>
      </c>
      <c r="Q37" t="s">
        <v>3852</v>
      </c>
      <c r="R37" t="s">
        <v>1580</v>
      </c>
      <c r="S37" t="s">
        <v>5374</v>
      </c>
      <c r="T37" t="s">
        <v>1576</v>
      </c>
      <c r="U37" t="s">
        <v>5428</v>
      </c>
      <c r="V37" s="17">
        <v>45980</v>
      </c>
      <c r="W37" s="17">
        <v>45980</v>
      </c>
      <c r="X37" s="17">
        <v>46041</v>
      </c>
      <c r="Y37">
        <v>-121</v>
      </c>
      <c r="Z37">
        <v>2</v>
      </c>
      <c r="AA37">
        <v>2.0333333333333332</v>
      </c>
      <c r="AB37">
        <v>1542.7666666666667</v>
      </c>
      <c r="AC37" s="17"/>
      <c r="AE37">
        <v>29068.11</v>
      </c>
      <c r="AF37">
        <v>58136.22</v>
      </c>
      <c r="AG37">
        <v>29068.11</v>
      </c>
      <c r="AH37">
        <v>76871.22</v>
      </c>
      <c r="AI37">
        <v>18735</v>
      </c>
      <c r="AJ37">
        <v>0</v>
      </c>
      <c r="AW37">
        <v>0</v>
      </c>
      <c r="BJ37">
        <v>0</v>
      </c>
      <c r="BW37">
        <v>0</v>
      </c>
      <c r="CJ37">
        <v>47803.11</v>
      </c>
      <c r="CV37">
        <v>47803.11</v>
      </c>
      <c r="CW37">
        <v>29068.11</v>
      </c>
      <c r="CX37">
        <v>29068.11</v>
      </c>
      <c r="DJ37">
        <v>0</v>
      </c>
      <c r="DW37">
        <v>0</v>
      </c>
      <c r="EJ37">
        <v>76871.22</v>
      </c>
    </row>
    <row r="38" spans="1:140" hidden="1" x14ac:dyDescent="0.35">
      <c r="A38" t="s">
        <v>4036</v>
      </c>
      <c r="B38" t="s">
        <v>5365</v>
      </c>
      <c r="D38" t="s">
        <v>5429</v>
      </c>
      <c r="E38" t="s">
        <v>530</v>
      </c>
      <c r="F38" t="s">
        <v>4047</v>
      </c>
      <c r="G38" t="s">
        <v>4048</v>
      </c>
      <c r="H38" t="s">
        <v>5420</v>
      </c>
      <c r="I38" t="s">
        <v>5373</v>
      </c>
      <c r="J38" t="s">
        <v>3849</v>
      </c>
      <c r="K38" t="s">
        <v>3849</v>
      </c>
      <c r="L38" t="s">
        <v>153</v>
      </c>
      <c r="M38" t="s">
        <v>3917</v>
      </c>
      <c r="N38" t="s">
        <v>153</v>
      </c>
      <c r="O38" t="s">
        <v>3918</v>
      </c>
      <c r="P38" t="s">
        <v>3989</v>
      </c>
      <c r="Q38" t="s">
        <v>3852</v>
      </c>
      <c r="R38" t="s">
        <v>1580</v>
      </c>
      <c r="S38" t="s">
        <v>5374</v>
      </c>
      <c r="T38" t="s">
        <v>1576</v>
      </c>
      <c r="U38" t="s">
        <v>5428</v>
      </c>
      <c r="V38" s="17">
        <v>46052</v>
      </c>
      <c r="W38" s="17">
        <v>46059</v>
      </c>
      <c r="X38" s="17">
        <v>46118</v>
      </c>
      <c r="Y38">
        <v>-44</v>
      </c>
      <c r="Z38">
        <v>2</v>
      </c>
      <c r="AA38">
        <v>1.9666666666666666</v>
      </c>
      <c r="AB38">
        <v>1540.2</v>
      </c>
      <c r="AC38" s="17"/>
      <c r="AE38">
        <v>35546.160000000003</v>
      </c>
      <c r="AF38">
        <v>71092.320000000007</v>
      </c>
      <c r="AG38">
        <v>35546.160000000003</v>
      </c>
      <c r="AH38">
        <v>91655.77</v>
      </c>
      <c r="AI38">
        <v>20563.45</v>
      </c>
      <c r="AJ38">
        <v>0</v>
      </c>
      <c r="AW38">
        <v>0</v>
      </c>
      <c r="BJ38">
        <v>0</v>
      </c>
      <c r="BW38">
        <v>0</v>
      </c>
      <c r="CJ38">
        <v>0</v>
      </c>
      <c r="CW38">
        <v>91655.77</v>
      </c>
      <c r="CY38">
        <v>48142.34</v>
      </c>
      <c r="CZ38">
        <v>43513.43</v>
      </c>
      <c r="DJ38">
        <v>0</v>
      </c>
      <c r="DW38">
        <v>0</v>
      </c>
      <c r="EJ38">
        <v>91655.77</v>
      </c>
    </row>
    <row r="39" spans="1:140" hidden="1" x14ac:dyDescent="0.35">
      <c r="A39" t="s">
        <v>4036</v>
      </c>
      <c r="B39" t="s">
        <v>5365</v>
      </c>
      <c r="D39" t="s">
        <v>5430</v>
      </c>
      <c r="E39" t="s">
        <v>626</v>
      </c>
      <c r="F39" t="s">
        <v>4051</v>
      </c>
      <c r="G39" t="s">
        <v>4052</v>
      </c>
      <c r="H39" t="s">
        <v>5431</v>
      </c>
      <c r="I39" t="s">
        <v>5368</v>
      </c>
      <c r="J39" t="s">
        <v>3849</v>
      </c>
      <c r="K39" t="s">
        <v>3849</v>
      </c>
      <c r="L39" t="s">
        <v>153</v>
      </c>
      <c r="M39" t="s">
        <v>3917</v>
      </c>
      <c r="N39" t="s">
        <v>153</v>
      </c>
      <c r="O39" t="s">
        <v>3918</v>
      </c>
      <c r="P39" t="s">
        <v>3856</v>
      </c>
      <c r="Q39" t="s">
        <v>3852</v>
      </c>
      <c r="R39" t="s">
        <v>2464</v>
      </c>
      <c r="S39" t="s">
        <v>5374</v>
      </c>
      <c r="T39" t="s">
        <v>1576</v>
      </c>
      <c r="U39" t="s">
        <v>5432</v>
      </c>
      <c r="V39" s="17">
        <v>45805</v>
      </c>
      <c r="W39" s="17">
        <v>45811</v>
      </c>
      <c r="X39" s="17">
        <v>45903</v>
      </c>
      <c r="Y39">
        <v>-259</v>
      </c>
      <c r="Z39">
        <v>3</v>
      </c>
      <c r="AA39">
        <v>3.0666666666666669</v>
      </c>
      <c r="AB39">
        <v>1547.3666666666666</v>
      </c>
      <c r="AC39" s="17"/>
      <c r="AE39">
        <v>35558.26</v>
      </c>
      <c r="AF39">
        <v>106674.78</v>
      </c>
      <c r="AG39">
        <v>35558.26</v>
      </c>
      <c r="AH39">
        <v>106674.78</v>
      </c>
      <c r="AI39">
        <v>0</v>
      </c>
      <c r="AJ39">
        <v>0</v>
      </c>
      <c r="AW39">
        <v>0</v>
      </c>
      <c r="BJ39">
        <v>0</v>
      </c>
      <c r="BW39">
        <v>0</v>
      </c>
      <c r="CJ39">
        <v>106674.78</v>
      </c>
      <c r="CP39">
        <v>35558.26</v>
      </c>
      <c r="CQ39">
        <v>35558.26</v>
      </c>
      <c r="CR39">
        <v>35558.26</v>
      </c>
      <c r="CW39">
        <v>0</v>
      </c>
      <c r="DJ39">
        <v>0</v>
      </c>
      <c r="DW39">
        <v>0</v>
      </c>
      <c r="EJ39">
        <v>106674.78</v>
      </c>
    </row>
    <row r="40" spans="1:140" hidden="1" x14ac:dyDescent="0.35">
      <c r="A40" t="s">
        <v>4036</v>
      </c>
      <c r="B40" t="s">
        <v>5365</v>
      </c>
      <c r="D40" t="s">
        <v>5433</v>
      </c>
      <c r="E40" t="s">
        <v>626</v>
      </c>
      <c r="F40" t="s">
        <v>4051</v>
      </c>
      <c r="G40" t="s">
        <v>4052</v>
      </c>
      <c r="H40" t="s">
        <v>5434</v>
      </c>
      <c r="I40" t="s">
        <v>5373</v>
      </c>
      <c r="J40" t="s">
        <v>3849</v>
      </c>
      <c r="K40" t="s">
        <v>3849</v>
      </c>
      <c r="L40" t="s">
        <v>153</v>
      </c>
      <c r="M40" t="s">
        <v>3917</v>
      </c>
      <c r="N40" t="s">
        <v>153</v>
      </c>
      <c r="O40" t="s">
        <v>3918</v>
      </c>
      <c r="P40" t="s">
        <v>3856</v>
      </c>
      <c r="Q40" t="s">
        <v>3852</v>
      </c>
      <c r="R40" t="s">
        <v>2464</v>
      </c>
      <c r="S40" t="s">
        <v>5374</v>
      </c>
      <c r="T40" t="s">
        <v>1576</v>
      </c>
      <c r="U40" t="s">
        <v>5432</v>
      </c>
      <c r="V40" s="17">
        <v>45930</v>
      </c>
      <c r="W40" s="17">
        <v>45903</v>
      </c>
      <c r="X40" s="17">
        <v>45994</v>
      </c>
      <c r="Y40">
        <v>-168</v>
      </c>
      <c r="Z40">
        <v>3</v>
      </c>
      <c r="AA40">
        <v>3.0333333333333332</v>
      </c>
      <c r="AB40">
        <v>1544.3333333333333</v>
      </c>
      <c r="AC40" s="17"/>
      <c r="AE40">
        <v>35558.26</v>
      </c>
      <c r="AF40">
        <v>106674.78</v>
      </c>
      <c r="AG40">
        <v>35558.26</v>
      </c>
      <c r="AH40">
        <v>106674.78</v>
      </c>
      <c r="AI40">
        <v>0</v>
      </c>
      <c r="AJ40">
        <v>0</v>
      </c>
      <c r="AW40">
        <v>0</v>
      </c>
      <c r="BJ40">
        <v>0</v>
      </c>
      <c r="BW40">
        <v>0</v>
      </c>
      <c r="CJ40">
        <v>106674.78</v>
      </c>
      <c r="CS40">
        <v>35558.26</v>
      </c>
      <c r="CT40">
        <v>35558.26</v>
      </c>
      <c r="CU40">
        <v>35558.26</v>
      </c>
      <c r="CW40">
        <v>0</v>
      </c>
      <c r="DJ40">
        <v>0</v>
      </c>
      <c r="DW40">
        <v>0</v>
      </c>
      <c r="EJ40">
        <v>106674.78</v>
      </c>
    </row>
    <row r="41" spans="1:140" hidden="1" x14ac:dyDescent="0.35">
      <c r="A41" t="s">
        <v>4036</v>
      </c>
      <c r="B41" t="s">
        <v>5365</v>
      </c>
      <c r="D41" t="s">
        <v>5435</v>
      </c>
      <c r="E41" t="s">
        <v>626</v>
      </c>
      <c r="F41" t="s">
        <v>4051</v>
      </c>
      <c r="G41" t="s">
        <v>4052</v>
      </c>
      <c r="H41" t="s">
        <v>5434</v>
      </c>
      <c r="I41" t="s">
        <v>5373</v>
      </c>
      <c r="J41" t="s">
        <v>3849</v>
      </c>
      <c r="K41" t="s">
        <v>3849</v>
      </c>
      <c r="L41" t="s">
        <v>153</v>
      </c>
      <c r="M41" t="s">
        <v>3917</v>
      </c>
      <c r="N41" t="s">
        <v>153</v>
      </c>
      <c r="O41" t="s">
        <v>3918</v>
      </c>
      <c r="P41" t="s">
        <v>3856</v>
      </c>
      <c r="Q41" t="s">
        <v>3852</v>
      </c>
      <c r="R41" t="s">
        <v>1580</v>
      </c>
      <c r="S41" t="s">
        <v>5374</v>
      </c>
      <c r="T41" t="s">
        <v>2363</v>
      </c>
      <c r="U41" t="s">
        <v>5436</v>
      </c>
      <c r="V41" s="17">
        <v>45946</v>
      </c>
      <c r="W41" s="17">
        <v>45946</v>
      </c>
      <c r="X41" s="17">
        <v>45978</v>
      </c>
      <c r="Y41">
        <v>-184</v>
      </c>
      <c r="Z41">
        <v>1</v>
      </c>
      <c r="AA41">
        <v>1.0666666666666667</v>
      </c>
      <c r="AB41">
        <v>1544.8666666666666</v>
      </c>
      <c r="AC41" s="17"/>
      <c r="AE41">
        <v>18599.88</v>
      </c>
      <c r="AF41">
        <v>18599.88</v>
      </c>
      <c r="AG41">
        <v>18599.88</v>
      </c>
      <c r="AH41">
        <v>18599.88</v>
      </c>
      <c r="AI41">
        <v>0</v>
      </c>
      <c r="AJ41">
        <v>0</v>
      </c>
      <c r="AW41">
        <v>0</v>
      </c>
      <c r="BJ41">
        <v>0</v>
      </c>
      <c r="BW41">
        <v>0</v>
      </c>
      <c r="CJ41">
        <v>18599.88</v>
      </c>
      <c r="CU41">
        <v>18599.88</v>
      </c>
      <c r="CW41">
        <v>0</v>
      </c>
      <c r="DJ41">
        <v>0</v>
      </c>
      <c r="DW41">
        <v>0</v>
      </c>
      <c r="EJ41">
        <v>18599.88</v>
      </c>
    </row>
    <row r="42" spans="1:140" hidden="1" x14ac:dyDescent="0.35">
      <c r="A42" t="s">
        <v>4036</v>
      </c>
      <c r="B42" t="s">
        <v>5365</v>
      </c>
      <c r="D42" t="s">
        <v>5437</v>
      </c>
      <c r="E42" t="s">
        <v>626</v>
      </c>
      <c r="F42" t="s">
        <v>4051</v>
      </c>
      <c r="G42" t="s">
        <v>4052</v>
      </c>
      <c r="H42" t="s">
        <v>5434</v>
      </c>
      <c r="I42" t="s">
        <v>5373</v>
      </c>
      <c r="J42" t="s">
        <v>3849</v>
      </c>
      <c r="K42" t="s">
        <v>3849</v>
      </c>
      <c r="L42" t="s">
        <v>153</v>
      </c>
      <c r="M42" t="s">
        <v>3917</v>
      </c>
      <c r="N42" t="s">
        <v>153</v>
      </c>
      <c r="O42" t="s">
        <v>3918</v>
      </c>
      <c r="P42" t="s">
        <v>3856</v>
      </c>
      <c r="Q42" t="s">
        <v>3852</v>
      </c>
      <c r="R42" t="s">
        <v>2464</v>
      </c>
      <c r="S42" t="s">
        <v>5374</v>
      </c>
      <c r="T42" t="s">
        <v>1576</v>
      </c>
      <c r="U42" t="s">
        <v>5432</v>
      </c>
      <c r="V42" s="17">
        <v>46000</v>
      </c>
      <c r="W42" s="17">
        <v>45978</v>
      </c>
      <c r="X42" s="17">
        <v>46008</v>
      </c>
      <c r="Y42">
        <v>-154</v>
      </c>
      <c r="Z42">
        <v>1</v>
      </c>
      <c r="AA42">
        <v>1</v>
      </c>
      <c r="AB42">
        <v>1543.8666666666666</v>
      </c>
      <c r="AC42" s="17"/>
      <c r="AE42">
        <v>35558.26</v>
      </c>
      <c r="AF42">
        <v>35558.26</v>
      </c>
      <c r="AG42">
        <v>35558.26</v>
      </c>
      <c r="AH42">
        <v>35558.26</v>
      </c>
      <c r="AI42">
        <v>0</v>
      </c>
      <c r="AJ42">
        <v>0</v>
      </c>
      <c r="AW42">
        <v>0</v>
      </c>
      <c r="BJ42">
        <v>0</v>
      </c>
      <c r="BW42">
        <v>0</v>
      </c>
      <c r="CJ42">
        <v>35558.26</v>
      </c>
      <c r="CU42">
        <v>17779.13</v>
      </c>
      <c r="CV42">
        <v>17779.13</v>
      </c>
      <c r="CW42">
        <v>0</v>
      </c>
      <c r="DJ42">
        <v>0</v>
      </c>
      <c r="DW42">
        <v>0</v>
      </c>
      <c r="EJ42">
        <v>35558.26</v>
      </c>
    </row>
    <row r="43" spans="1:140" hidden="1" x14ac:dyDescent="0.35">
      <c r="A43" t="s">
        <v>4036</v>
      </c>
      <c r="B43" t="s">
        <v>249</v>
      </c>
      <c r="D43" t="s">
        <v>5438</v>
      </c>
      <c r="E43" t="s">
        <v>626</v>
      </c>
      <c r="F43" t="s">
        <v>4051</v>
      </c>
      <c r="G43" t="s">
        <v>4052</v>
      </c>
      <c r="H43" t="s">
        <v>5434</v>
      </c>
      <c r="I43" t="s">
        <v>5373</v>
      </c>
      <c r="J43" t="s">
        <v>3849</v>
      </c>
      <c r="K43" t="s">
        <v>3849</v>
      </c>
      <c r="L43" t="s">
        <v>153</v>
      </c>
      <c r="M43" t="s">
        <v>3917</v>
      </c>
      <c r="N43" t="s">
        <v>153</v>
      </c>
      <c r="O43" t="s">
        <v>3918</v>
      </c>
      <c r="P43" t="s">
        <v>3856</v>
      </c>
      <c r="Q43" t="s">
        <v>3852</v>
      </c>
      <c r="R43" t="s">
        <v>2464</v>
      </c>
      <c r="S43" t="s">
        <v>5374</v>
      </c>
      <c r="T43" t="s">
        <v>1576</v>
      </c>
      <c r="U43" t="s">
        <v>5439</v>
      </c>
      <c r="V43" s="17">
        <v>46065</v>
      </c>
      <c r="W43" s="17">
        <v>46008</v>
      </c>
      <c r="X43" s="17">
        <v>46343</v>
      </c>
      <c r="Y43">
        <v>181</v>
      </c>
      <c r="Z43">
        <v>11</v>
      </c>
      <c r="AA43">
        <v>11.166666666666666</v>
      </c>
      <c r="AB43">
        <v>1532.7</v>
      </c>
      <c r="AC43" s="17"/>
      <c r="AE43">
        <v>44255.626400000001</v>
      </c>
      <c r="AF43">
        <v>486811.89</v>
      </c>
      <c r="AG43">
        <v>44255.626400000001</v>
      </c>
      <c r="AH43">
        <v>493811.93</v>
      </c>
      <c r="AI43">
        <v>7000.04</v>
      </c>
      <c r="AJ43">
        <v>0</v>
      </c>
      <c r="AW43">
        <v>0</v>
      </c>
      <c r="BJ43">
        <v>0</v>
      </c>
      <c r="BW43">
        <v>0</v>
      </c>
      <c r="CJ43">
        <v>0</v>
      </c>
      <c r="CW43">
        <v>493811.93</v>
      </c>
      <c r="CX43">
        <v>47755.63</v>
      </c>
      <c r="CY43">
        <v>44255.63</v>
      </c>
      <c r="CZ43">
        <v>44255.63</v>
      </c>
      <c r="DA43">
        <v>44255.63</v>
      </c>
      <c r="DB43">
        <v>44255.63</v>
      </c>
      <c r="DC43">
        <v>44255.63</v>
      </c>
      <c r="DD43">
        <v>44255.63</v>
      </c>
      <c r="DE43">
        <v>44255.63</v>
      </c>
      <c r="DF43">
        <v>44255.63</v>
      </c>
      <c r="DG43">
        <v>44255.63</v>
      </c>
      <c r="DH43">
        <v>47755.63</v>
      </c>
      <c r="DJ43">
        <v>0</v>
      </c>
      <c r="DW43">
        <v>0</v>
      </c>
      <c r="EJ43">
        <v>493811.93</v>
      </c>
    </row>
    <row r="44" spans="1:140" hidden="1" x14ac:dyDescent="0.35">
      <c r="A44" t="s">
        <v>4036</v>
      </c>
      <c r="B44" t="s">
        <v>5365</v>
      </c>
      <c r="D44" t="s">
        <v>5440</v>
      </c>
      <c r="E44" t="s">
        <v>5024</v>
      </c>
      <c r="F44" t="s">
        <v>5025</v>
      </c>
      <c r="G44" t="s">
        <v>5026</v>
      </c>
      <c r="H44" t="s">
        <v>5441</v>
      </c>
      <c r="I44" t="s">
        <v>5368</v>
      </c>
      <c r="J44" t="s">
        <v>3203</v>
      </c>
      <c r="K44" t="s">
        <v>3203</v>
      </c>
      <c r="L44" t="s">
        <v>153</v>
      </c>
      <c r="M44" t="s">
        <v>3917</v>
      </c>
      <c r="N44" t="s">
        <v>153</v>
      </c>
      <c r="O44" t="s">
        <v>3918</v>
      </c>
      <c r="P44" t="s">
        <v>3856</v>
      </c>
      <c r="Q44" t="s">
        <v>3852</v>
      </c>
      <c r="R44" t="s">
        <v>4394</v>
      </c>
      <c r="S44" t="s">
        <v>5374</v>
      </c>
      <c r="T44" t="s">
        <v>1576</v>
      </c>
      <c r="U44" t="s">
        <v>5442</v>
      </c>
      <c r="V44" s="17">
        <v>45957</v>
      </c>
      <c r="W44" s="17">
        <v>45957</v>
      </c>
      <c r="X44" s="17">
        <v>46018</v>
      </c>
      <c r="Y44">
        <v>-144</v>
      </c>
      <c r="Z44">
        <v>2</v>
      </c>
      <c r="AA44">
        <v>2.0333333333333332</v>
      </c>
      <c r="AB44">
        <v>1543.5333333333333</v>
      </c>
      <c r="AC44" s="17"/>
      <c r="AE44">
        <v>0</v>
      </c>
      <c r="AF44">
        <v>74784</v>
      </c>
      <c r="AG44">
        <v>37392</v>
      </c>
      <c r="AH44">
        <v>45264</v>
      </c>
      <c r="AI44">
        <v>-29520</v>
      </c>
      <c r="AJ44">
        <v>0</v>
      </c>
      <c r="AW44">
        <v>0</v>
      </c>
      <c r="BJ44">
        <v>0</v>
      </c>
      <c r="BW44">
        <v>0</v>
      </c>
      <c r="CJ44">
        <v>45264</v>
      </c>
      <c r="CV44">
        <v>45264</v>
      </c>
      <c r="CW44">
        <v>0</v>
      </c>
      <c r="DJ44">
        <v>0</v>
      </c>
      <c r="DW44">
        <v>0</v>
      </c>
      <c r="EJ44">
        <v>45264</v>
      </c>
    </row>
    <row r="45" spans="1:140" hidden="1" x14ac:dyDescent="0.35">
      <c r="A45" t="s">
        <v>4036</v>
      </c>
      <c r="B45" t="s">
        <v>5365</v>
      </c>
      <c r="D45" t="s">
        <v>5440</v>
      </c>
      <c r="E45" t="s">
        <v>5024</v>
      </c>
      <c r="F45" t="s">
        <v>5025</v>
      </c>
      <c r="G45" t="s">
        <v>5219</v>
      </c>
      <c r="H45" t="s">
        <v>5441</v>
      </c>
      <c r="I45" t="s">
        <v>5368</v>
      </c>
      <c r="J45" t="s">
        <v>2002</v>
      </c>
      <c r="K45" t="s">
        <v>5102</v>
      </c>
      <c r="L45" t="s">
        <v>153</v>
      </c>
      <c r="M45" t="s">
        <v>3917</v>
      </c>
      <c r="N45" t="s">
        <v>153</v>
      </c>
      <c r="O45" t="s">
        <v>3918</v>
      </c>
      <c r="P45" t="s">
        <v>3856</v>
      </c>
      <c r="Q45" t="s">
        <v>3075</v>
      </c>
      <c r="R45" t="s">
        <v>4394</v>
      </c>
      <c r="S45" t="s">
        <v>5374</v>
      </c>
      <c r="T45" t="s">
        <v>1576</v>
      </c>
      <c r="U45" t="s">
        <v>5442</v>
      </c>
      <c r="V45" s="17">
        <v>45957</v>
      </c>
      <c r="W45" s="17">
        <v>45957</v>
      </c>
      <c r="X45" s="17">
        <v>46018</v>
      </c>
      <c r="Y45">
        <v>-144</v>
      </c>
      <c r="Z45">
        <v>2</v>
      </c>
      <c r="AA45">
        <v>2.0333333333333332</v>
      </c>
      <c r="AB45">
        <v>1543.5333333333333</v>
      </c>
      <c r="AC45" s="17"/>
      <c r="AE45">
        <v>0</v>
      </c>
      <c r="AF45">
        <v>74784</v>
      </c>
      <c r="AG45">
        <v>37392</v>
      </c>
      <c r="AH45">
        <v>29520</v>
      </c>
      <c r="AI45">
        <v>-45264</v>
      </c>
      <c r="AJ45">
        <v>0</v>
      </c>
      <c r="AW45">
        <v>0</v>
      </c>
      <c r="BJ45">
        <v>0</v>
      </c>
      <c r="BW45">
        <v>0</v>
      </c>
      <c r="CJ45">
        <v>29520</v>
      </c>
      <c r="CV45">
        <v>29520</v>
      </c>
      <c r="CW45">
        <v>0</v>
      </c>
      <c r="DJ45">
        <v>0</v>
      </c>
      <c r="DW45">
        <v>0</v>
      </c>
      <c r="EJ45">
        <v>29520</v>
      </c>
    </row>
    <row r="46" spans="1:140" hidden="1" x14ac:dyDescent="0.35">
      <c r="A46" t="s">
        <v>4036</v>
      </c>
      <c r="B46" t="s">
        <v>249</v>
      </c>
      <c r="D46" t="s">
        <v>5443</v>
      </c>
      <c r="E46" t="s">
        <v>4055</v>
      </c>
      <c r="F46" t="s">
        <v>4056</v>
      </c>
      <c r="G46" t="s">
        <v>4057</v>
      </c>
      <c r="H46" t="s">
        <v>5444</v>
      </c>
      <c r="I46" t="s">
        <v>5368</v>
      </c>
      <c r="J46" t="s">
        <v>3071</v>
      </c>
      <c r="K46" t="s">
        <v>3071</v>
      </c>
      <c r="L46" t="s">
        <v>975</v>
      </c>
      <c r="M46" t="s">
        <v>3747</v>
      </c>
      <c r="N46" t="s">
        <v>4058</v>
      </c>
      <c r="O46" t="s">
        <v>249</v>
      </c>
      <c r="P46" t="s">
        <v>3747</v>
      </c>
      <c r="Q46" t="s">
        <v>3075</v>
      </c>
      <c r="R46" t="s">
        <v>2513</v>
      </c>
      <c r="S46" t="s">
        <v>5374</v>
      </c>
      <c r="T46" t="s">
        <v>2363</v>
      </c>
      <c r="U46" t="s">
        <v>5445</v>
      </c>
      <c r="V46" s="17">
        <v>45903</v>
      </c>
      <c r="W46" s="17">
        <v>45945</v>
      </c>
      <c r="X46" s="17">
        <v>46310</v>
      </c>
      <c r="Y46">
        <v>148</v>
      </c>
      <c r="Z46">
        <v>12</v>
      </c>
      <c r="AA46">
        <v>12.166666666666666</v>
      </c>
      <c r="AB46">
        <v>1533.8</v>
      </c>
      <c r="AC46" s="17"/>
      <c r="AE46">
        <v>35495.909500000002</v>
      </c>
      <c r="AF46">
        <v>425950.91460000002</v>
      </c>
      <c r="AG46">
        <v>35495.909599999999</v>
      </c>
      <c r="AH46">
        <v>389958.82449999999</v>
      </c>
      <c r="AI46">
        <v>-35992.090100000001</v>
      </c>
      <c r="AJ46">
        <v>0</v>
      </c>
      <c r="AW46">
        <v>0</v>
      </c>
      <c r="BJ46">
        <v>0</v>
      </c>
      <c r="BW46">
        <v>0</v>
      </c>
      <c r="CJ46">
        <v>85877.198999999993</v>
      </c>
      <c r="CT46">
        <v>14885.38</v>
      </c>
      <c r="CU46">
        <v>35495.909500000002</v>
      </c>
      <c r="CV46">
        <v>35495.909500000002</v>
      </c>
      <c r="CW46">
        <v>304081.62550000002</v>
      </c>
      <c r="CX46">
        <v>35495.909500000002</v>
      </c>
      <c r="CY46">
        <v>35495.909500000002</v>
      </c>
      <c r="CZ46">
        <v>35495.909500000002</v>
      </c>
      <c r="DA46">
        <v>35495.909500000002</v>
      </c>
      <c r="DB46">
        <v>35495.909500000002</v>
      </c>
      <c r="DC46">
        <v>35495.909500000002</v>
      </c>
      <c r="DD46">
        <v>35495.909500000002</v>
      </c>
      <c r="DE46">
        <v>35495.909500000002</v>
      </c>
      <c r="DF46">
        <v>20114.3495</v>
      </c>
      <c r="DJ46">
        <v>0</v>
      </c>
      <c r="DW46">
        <v>0</v>
      </c>
      <c r="EJ46">
        <v>389958.82449999999</v>
      </c>
    </row>
    <row r="47" spans="1:140" hidden="1" x14ac:dyDescent="0.35">
      <c r="A47" t="s">
        <v>4036</v>
      </c>
      <c r="B47" t="s">
        <v>249</v>
      </c>
      <c r="D47" t="s">
        <v>5443</v>
      </c>
      <c r="E47" t="s">
        <v>4055</v>
      </c>
      <c r="F47" t="s">
        <v>4056</v>
      </c>
      <c r="G47" t="s">
        <v>4359</v>
      </c>
      <c r="H47" t="s">
        <v>5444</v>
      </c>
      <c r="I47" t="s">
        <v>5368</v>
      </c>
      <c r="J47" t="s">
        <v>2002</v>
      </c>
      <c r="K47" t="s">
        <v>4313</v>
      </c>
      <c r="L47" t="s">
        <v>975</v>
      </c>
      <c r="M47" t="s">
        <v>3747</v>
      </c>
      <c r="N47" t="s">
        <v>4058</v>
      </c>
      <c r="O47" t="s">
        <v>249</v>
      </c>
      <c r="P47" t="s">
        <v>3747</v>
      </c>
      <c r="Q47" t="s">
        <v>3075</v>
      </c>
      <c r="R47" t="s">
        <v>2513</v>
      </c>
      <c r="S47" t="s">
        <v>5374</v>
      </c>
      <c r="T47" t="s">
        <v>2363</v>
      </c>
      <c r="U47" t="s">
        <v>5445</v>
      </c>
      <c r="V47" s="17">
        <v>45903</v>
      </c>
      <c r="W47" s="17">
        <v>45945</v>
      </c>
      <c r="X47" s="17">
        <v>46310</v>
      </c>
      <c r="Y47">
        <v>148</v>
      </c>
      <c r="Z47">
        <v>12</v>
      </c>
      <c r="AA47">
        <v>12.166666666666666</v>
      </c>
      <c r="AB47">
        <v>1533.8</v>
      </c>
      <c r="AC47" s="17"/>
      <c r="AE47">
        <v>35495.909500000002</v>
      </c>
      <c r="AF47">
        <v>425950.91460000002</v>
      </c>
      <c r="AG47">
        <v>35495.909599999999</v>
      </c>
      <c r="AH47">
        <v>35992.089999999997</v>
      </c>
      <c r="AI47">
        <v>-389958.82459999999</v>
      </c>
      <c r="AJ47">
        <v>0</v>
      </c>
      <c r="AW47">
        <v>0</v>
      </c>
      <c r="BJ47">
        <v>0</v>
      </c>
      <c r="BW47">
        <v>0</v>
      </c>
      <c r="CJ47">
        <v>35992.089999999997</v>
      </c>
      <c r="CS47">
        <v>15381.56</v>
      </c>
      <c r="CT47">
        <v>20610.53</v>
      </c>
      <c r="CW47">
        <v>0</v>
      </c>
      <c r="DJ47">
        <v>0</v>
      </c>
      <c r="DW47">
        <v>0</v>
      </c>
      <c r="EJ47">
        <v>35992.089999999997</v>
      </c>
    </row>
    <row r="48" spans="1:140" hidden="1" x14ac:dyDescent="0.35">
      <c r="A48" t="s">
        <v>4036</v>
      </c>
      <c r="B48" t="s">
        <v>5365</v>
      </c>
      <c r="D48" t="s">
        <v>5446</v>
      </c>
      <c r="E48" t="s">
        <v>5043</v>
      </c>
      <c r="F48" t="s">
        <v>5044</v>
      </c>
      <c r="G48" t="s">
        <v>5045</v>
      </c>
      <c r="H48" t="s">
        <v>5447</v>
      </c>
      <c r="I48" t="s">
        <v>5448</v>
      </c>
      <c r="J48" t="s">
        <v>3203</v>
      </c>
      <c r="K48" t="s">
        <v>3203</v>
      </c>
      <c r="L48" t="s">
        <v>3766</v>
      </c>
      <c r="M48" t="s">
        <v>3139</v>
      </c>
      <c r="N48" t="s">
        <v>3766</v>
      </c>
      <c r="O48" t="s">
        <v>3153</v>
      </c>
      <c r="P48" t="s">
        <v>3153</v>
      </c>
      <c r="Q48" t="s">
        <v>3852</v>
      </c>
      <c r="R48" t="s">
        <v>4394</v>
      </c>
      <c r="S48" t="s">
        <v>5374</v>
      </c>
      <c r="T48" t="s">
        <v>2363</v>
      </c>
      <c r="U48" t="s">
        <v>5449</v>
      </c>
      <c r="V48" s="17">
        <v>46052</v>
      </c>
      <c r="W48" s="17">
        <v>46064</v>
      </c>
      <c r="X48" s="17">
        <v>46092</v>
      </c>
      <c r="Y48">
        <v>-70</v>
      </c>
      <c r="Z48">
        <v>1</v>
      </c>
      <c r="AA48">
        <v>0.93333333333333335</v>
      </c>
      <c r="AB48">
        <v>1541.0666666666666</v>
      </c>
      <c r="AC48" s="17"/>
      <c r="AE48">
        <v>76155.850000000006</v>
      </c>
      <c r="AF48">
        <v>76155.850000000006</v>
      </c>
      <c r="AG48">
        <v>76155.850000000006</v>
      </c>
      <c r="AH48">
        <v>76154.5</v>
      </c>
      <c r="AI48">
        <v>-1.35</v>
      </c>
      <c r="AJ48">
        <v>0</v>
      </c>
      <c r="AW48">
        <v>0</v>
      </c>
      <c r="BJ48">
        <v>0</v>
      </c>
      <c r="BW48">
        <v>0</v>
      </c>
      <c r="CJ48">
        <v>0</v>
      </c>
      <c r="CW48">
        <v>76154.5</v>
      </c>
      <c r="CY48">
        <v>28471.15</v>
      </c>
      <c r="CZ48">
        <v>7947.45</v>
      </c>
      <c r="DA48">
        <v>7947.45</v>
      </c>
      <c r="DB48">
        <v>7947.45</v>
      </c>
      <c r="DC48">
        <v>7947</v>
      </c>
      <c r="DD48">
        <v>7947</v>
      </c>
      <c r="DE48">
        <v>7947</v>
      </c>
      <c r="DJ48">
        <v>0</v>
      </c>
      <c r="DW48">
        <v>0</v>
      </c>
      <c r="EJ48">
        <v>76154.5</v>
      </c>
    </row>
    <row r="49" spans="1:140" hidden="1" x14ac:dyDescent="0.35">
      <c r="A49" t="s">
        <v>4036</v>
      </c>
      <c r="B49" t="s">
        <v>5365</v>
      </c>
      <c r="D49" t="s">
        <v>5450</v>
      </c>
      <c r="E49" t="s">
        <v>457</v>
      </c>
      <c r="F49" t="s">
        <v>4061</v>
      </c>
      <c r="G49" t="s">
        <v>4062</v>
      </c>
      <c r="H49" t="s">
        <v>5451</v>
      </c>
      <c r="I49" t="s">
        <v>5368</v>
      </c>
      <c r="J49" t="s">
        <v>3849</v>
      </c>
      <c r="K49" t="s">
        <v>3849</v>
      </c>
      <c r="L49" t="s">
        <v>455</v>
      </c>
      <c r="M49" t="s">
        <v>3088</v>
      </c>
      <c r="N49" t="s">
        <v>455</v>
      </c>
      <c r="O49" t="s">
        <v>3088</v>
      </c>
      <c r="P49" t="s">
        <v>3088</v>
      </c>
      <c r="Q49" t="s">
        <v>3852</v>
      </c>
      <c r="R49" t="s">
        <v>1580</v>
      </c>
      <c r="S49" t="s">
        <v>5452</v>
      </c>
      <c r="T49" t="s">
        <v>2363</v>
      </c>
      <c r="U49" t="s">
        <v>5453</v>
      </c>
      <c r="V49" s="17">
        <v>45853</v>
      </c>
      <c r="W49" s="17">
        <v>45853</v>
      </c>
      <c r="X49" s="17">
        <v>46068</v>
      </c>
      <c r="Y49">
        <v>-94</v>
      </c>
      <c r="Z49">
        <v>7</v>
      </c>
      <c r="AA49">
        <v>7.166666666666667</v>
      </c>
      <c r="AB49">
        <v>1541.8666666666666</v>
      </c>
      <c r="AC49" s="17"/>
      <c r="AE49">
        <v>52932.662400000001</v>
      </c>
      <c r="AF49">
        <v>1111585.9099999999</v>
      </c>
      <c r="AG49">
        <v>158797.9871</v>
      </c>
      <c r="AH49">
        <v>1111585.92</v>
      </c>
      <c r="AI49">
        <v>0.01</v>
      </c>
      <c r="AJ49">
        <v>0</v>
      </c>
      <c r="AW49">
        <v>0</v>
      </c>
      <c r="BJ49">
        <v>0</v>
      </c>
      <c r="BW49">
        <v>0</v>
      </c>
      <c r="CJ49">
        <v>775213.24</v>
      </c>
      <c r="CR49">
        <v>123467.88</v>
      </c>
      <c r="CS49">
        <v>162936.34</v>
      </c>
      <c r="CT49">
        <v>162936.34</v>
      </c>
      <c r="CU49">
        <v>162936.34</v>
      </c>
      <c r="CV49">
        <v>162936.34</v>
      </c>
      <c r="CW49">
        <v>336372.68</v>
      </c>
      <c r="CX49">
        <v>162936.34</v>
      </c>
      <c r="CY49">
        <v>173436.34</v>
      </c>
      <c r="DJ49">
        <v>0</v>
      </c>
      <c r="DW49">
        <v>0</v>
      </c>
      <c r="EJ49">
        <v>1111585.92</v>
      </c>
    </row>
    <row r="50" spans="1:140" hidden="1" x14ac:dyDescent="0.35">
      <c r="A50" t="s">
        <v>4036</v>
      </c>
      <c r="B50" t="s">
        <v>249</v>
      </c>
      <c r="D50" t="s">
        <v>5454</v>
      </c>
      <c r="E50" t="s">
        <v>713</v>
      </c>
      <c r="F50" t="s">
        <v>4163</v>
      </c>
      <c r="G50" t="s">
        <v>4164</v>
      </c>
      <c r="H50" t="s">
        <v>5455</v>
      </c>
      <c r="I50" t="s">
        <v>5368</v>
      </c>
      <c r="J50" t="s">
        <v>3849</v>
      </c>
      <c r="K50" t="s">
        <v>3849</v>
      </c>
      <c r="L50" t="s">
        <v>455</v>
      </c>
      <c r="M50" t="s">
        <v>3088</v>
      </c>
      <c r="N50" t="s">
        <v>455</v>
      </c>
      <c r="O50" t="s">
        <v>3088</v>
      </c>
      <c r="P50" t="s">
        <v>3088</v>
      </c>
      <c r="Q50" t="s">
        <v>3852</v>
      </c>
      <c r="R50" t="s">
        <v>1580</v>
      </c>
      <c r="S50" t="s">
        <v>5374</v>
      </c>
      <c r="T50" t="s">
        <v>1576</v>
      </c>
      <c r="U50" t="s">
        <v>5456</v>
      </c>
      <c r="V50" s="17">
        <v>45986</v>
      </c>
      <c r="W50" s="17">
        <v>45992</v>
      </c>
      <c r="X50" s="17">
        <v>46935</v>
      </c>
      <c r="Y50">
        <v>773</v>
      </c>
      <c r="Z50">
        <v>31</v>
      </c>
      <c r="AA50">
        <v>31.433333333333334</v>
      </c>
      <c r="AB50">
        <v>1512.9666666666667</v>
      </c>
      <c r="AC50" s="17"/>
      <c r="AE50">
        <v>32595.825799999999</v>
      </c>
      <c r="AF50">
        <v>9094235.4056000002</v>
      </c>
      <c r="AG50">
        <v>293362.43239999999</v>
      </c>
      <c r="AH50">
        <v>3506816.95</v>
      </c>
      <c r="AI50">
        <v>-5587418.4556</v>
      </c>
      <c r="AJ50">
        <v>0</v>
      </c>
      <c r="AW50">
        <v>0</v>
      </c>
      <c r="BJ50">
        <v>0</v>
      </c>
      <c r="BW50">
        <v>0</v>
      </c>
      <c r="CJ50">
        <v>205144.64</v>
      </c>
      <c r="CU50">
        <v>81839.14</v>
      </c>
      <c r="CV50">
        <v>123305.5</v>
      </c>
      <c r="CW50">
        <v>2133498.58</v>
      </c>
      <c r="CX50">
        <v>123182.8</v>
      </c>
      <c r="CY50">
        <v>128502.34</v>
      </c>
      <c r="CZ50">
        <v>169420.58</v>
      </c>
      <c r="DA50">
        <v>176376.91</v>
      </c>
      <c r="DB50">
        <v>178422.89</v>
      </c>
      <c r="DC50">
        <v>178422.89</v>
      </c>
      <c r="DD50">
        <v>187321.46</v>
      </c>
      <c r="DE50">
        <v>214737.57</v>
      </c>
      <c r="DF50">
        <v>214737.57</v>
      </c>
      <c r="DG50">
        <v>214737.57</v>
      </c>
      <c r="DH50">
        <v>173818</v>
      </c>
      <c r="DI50">
        <v>173818</v>
      </c>
      <c r="DJ50">
        <v>1168173.73</v>
      </c>
      <c r="DK50">
        <v>168193</v>
      </c>
      <c r="DL50">
        <v>168193</v>
      </c>
      <c r="DM50">
        <v>168193</v>
      </c>
      <c r="DN50">
        <v>168193</v>
      </c>
      <c r="DO50">
        <v>142108.21</v>
      </c>
      <c r="DP50">
        <v>95564.97</v>
      </c>
      <c r="DQ50">
        <v>95564.97</v>
      </c>
      <c r="DR50">
        <v>95564.97</v>
      </c>
      <c r="DS50">
        <v>66598.61</v>
      </c>
      <c r="DW50">
        <v>0</v>
      </c>
      <c r="EJ50">
        <v>3506816.95</v>
      </c>
    </row>
    <row r="51" spans="1:140" hidden="1" x14ac:dyDescent="0.35">
      <c r="A51" t="s">
        <v>4036</v>
      </c>
      <c r="B51" t="s">
        <v>249</v>
      </c>
      <c r="D51" t="s">
        <v>5454</v>
      </c>
      <c r="E51" t="s">
        <v>670</v>
      </c>
      <c r="F51" t="s">
        <v>4167</v>
      </c>
      <c r="G51" t="s">
        <v>4168</v>
      </c>
      <c r="H51" t="s">
        <v>5457</v>
      </c>
      <c r="I51" t="s">
        <v>5368</v>
      </c>
      <c r="J51" t="s">
        <v>2002</v>
      </c>
      <c r="K51" t="s">
        <v>3849</v>
      </c>
      <c r="L51" t="s">
        <v>455</v>
      </c>
      <c r="M51" t="s">
        <v>3088</v>
      </c>
      <c r="N51" t="s">
        <v>455</v>
      </c>
      <c r="O51" t="s">
        <v>3088</v>
      </c>
      <c r="P51" t="s">
        <v>3088</v>
      </c>
      <c r="Q51" t="s">
        <v>3852</v>
      </c>
      <c r="R51" t="s">
        <v>1580</v>
      </c>
      <c r="S51" t="s">
        <v>5374</v>
      </c>
      <c r="T51" t="s">
        <v>1576</v>
      </c>
      <c r="U51" t="s">
        <v>5456</v>
      </c>
      <c r="V51" s="17">
        <v>45986</v>
      </c>
      <c r="W51" s="17">
        <v>45992</v>
      </c>
      <c r="X51" s="17">
        <v>46935</v>
      </c>
      <c r="Y51">
        <v>773</v>
      </c>
      <c r="Z51">
        <v>31</v>
      </c>
      <c r="AA51">
        <v>31.433333333333334</v>
      </c>
      <c r="AB51">
        <v>1512.9666666666667</v>
      </c>
      <c r="AC51" s="17"/>
      <c r="AE51">
        <v>32595.825799999999</v>
      </c>
      <c r="AF51">
        <v>9094235.4056000002</v>
      </c>
      <c r="AG51">
        <v>293362.43239999999</v>
      </c>
      <c r="AH51">
        <v>4223913.43</v>
      </c>
      <c r="AI51">
        <v>-4870321.9755999995</v>
      </c>
      <c r="AJ51">
        <v>0</v>
      </c>
      <c r="AW51">
        <v>0</v>
      </c>
      <c r="BJ51">
        <v>0</v>
      </c>
      <c r="BW51">
        <v>0</v>
      </c>
      <c r="CJ51">
        <v>327355.67</v>
      </c>
      <c r="CU51">
        <v>122757.82</v>
      </c>
      <c r="CV51">
        <v>204597.85</v>
      </c>
      <c r="CW51">
        <v>1994776.3</v>
      </c>
      <c r="CX51">
        <v>188544.49</v>
      </c>
      <c r="CY51">
        <v>147957.44</v>
      </c>
      <c r="CZ51">
        <v>147957.44</v>
      </c>
      <c r="DA51">
        <v>196129</v>
      </c>
      <c r="DB51">
        <v>200220.95</v>
      </c>
      <c r="DC51">
        <v>238148.62</v>
      </c>
      <c r="DD51">
        <v>157222.60999999999</v>
      </c>
      <c r="DE51">
        <v>143719.15</v>
      </c>
      <c r="DF51">
        <v>143719.15</v>
      </c>
      <c r="DG51">
        <v>143719.15</v>
      </c>
      <c r="DH51">
        <v>143719.15</v>
      </c>
      <c r="DI51">
        <v>143719.15</v>
      </c>
      <c r="DJ51">
        <v>1510032.02</v>
      </c>
      <c r="DK51">
        <v>143719.15</v>
      </c>
      <c r="DL51">
        <v>143719.15</v>
      </c>
      <c r="DM51">
        <v>143719.15</v>
      </c>
      <c r="DN51">
        <v>143719.15</v>
      </c>
      <c r="DO51">
        <v>164178.93</v>
      </c>
      <c r="DP51">
        <v>123259.36</v>
      </c>
      <c r="DQ51">
        <v>123259.36</v>
      </c>
      <c r="DR51">
        <v>123259.36</v>
      </c>
      <c r="DS51">
        <v>123259.36</v>
      </c>
      <c r="DT51">
        <v>92646.35</v>
      </c>
      <c r="DU51">
        <v>92646.35</v>
      </c>
      <c r="DV51">
        <v>92646.35</v>
      </c>
      <c r="DW51">
        <v>391749.44</v>
      </c>
      <c r="DX51">
        <v>97937.36</v>
      </c>
      <c r="DY51">
        <v>97937.36</v>
      </c>
      <c r="DZ51">
        <v>97937</v>
      </c>
      <c r="EA51">
        <v>97937</v>
      </c>
      <c r="EJ51">
        <v>4223913.43</v>
      </c>
    </row>
    <row r="52" spans="1:140" hidden="1" x14ac:dyDescent="0.35">
      <c r="A52" t="s">
        <v>4036</v>
      </c>
      <c r="B52" t="s">
        <v>249</v>
      </c>
      <c r="D52" t="s">
        <v>5454</v>
      </c>
      <c r="E52" t="s">
        <v>659</v>
      </c>
      <c r="F52" t="s">
        <v>4171</v>
      </c>
      <c r="G52" t="s">
        <v>4172</v>
      </c>
      <c r="H52" t="s">
        <v>5458</v>
      </c>
      <c r="I52" t="s">
        <v>5368</v>
      </c>
      <c r="J52" t="s">
        <v>2002</v>
      </c>
      <c r="K52" t="s">
        <v>3849</v>
      </c>
      <c r="L52" t="s">
        <v>455</v>
      </c>
      <c r="M52" t="s">
        <v>3088</v>
      </c>
      <c r="N52" t="s">
        <v>455</v>
      </c>
      <c r="O52" t="s">
        <v>3088</v>
      </c>
      <c r="P52" t="s">
        <v>3088</v>
      </c>
      <c r="Q52" t="s">
        <v>3852</v>
      </c>
      <c r="R52" t="s">
        <v>1580</v>
      </c>
      <c r="S52" t="s">
        <v>5374</v>
      </c>
      <c r="T52" t="s">
        <v>1576</v>
      </c>
      <c r="U52" t="s">
        <v>5456</v>
      </c>
      <c r="V52" s="17">
        <v>45986</v>
      </c>
      <c r="W52" s="17">
        <v>45992</v>
      </c>
      <c r="X52" s="17">
        <v>46935</v>
      </c>
      <c r="Y52">
        <v>773</v>
      </c>
      <c r="Z52">
        <v>31</v>
      </c>
      <c r="AA52">
        <v>31.433333333333334</v>
      </c>
      <c r="AB52">
        <v>1512.9666666666667</v>
      </c>
      <c r="AC52" s="17"/>
      <c r="AE52">
        <v>32595.825799999999</v>
      </c>
      <c r="AF52">
        <v>9094235.4056000002</v>
      </c>
      <c r="AG52">
        <v>293362.43239999999</v>
      </c>
      <c r="AH52">
        <v>1363504.15</v>
      </c>
      <c r="AI52">
        <v>-7730731.2555999998</v>
      </c>
      <c r="AJ52">
        <v>0</v>
      </c>
      <c r="AW52">
        <v>0</v>
      </c>
      <c r="BJ52">
        <v>0</v>
      </c>
      <c r="BW52">
        <v>0</v>
      </c>
      <c r="CJ52">
        <v>271766.39</v>
      </c>
      <c r="CU52">
        <v>122758.71</v>
      </c>
      <c r="CV52">
        <v>149007.67999999999</v>
      </c>
      <c r="CW52">
        <v>1091737.76</v>
      </c>
      <c r="CX52">
        <v>110703.3</v>
      </c>
      <c r="CY52">
        <v>94335.47</v>
      </c>
      <c r="CZ52">
        <v>134888.15</v>
      </c>
      <c r="DA52">
        <v>134888.15</v>
      </c>
      <c r="DB52">
        <v>170036.68</v>
      </c>
      <c r="DC52">
        <v>134041.22</v>
      </c>
      <c r="DD52">
        <v>137314.78</v>
      </c>
      <c r="DE52">
        <v>123811.33</v>
      </c>
      <c r="DF52">
        <v>51718.68</v>
      </c>
      <c r="DJ52">
        <v>0</v>
      </c>
      <c r="DW52">
        <v>0</v>
      </c>
      <c r="EJ52">
        <v>1363504.15</v>
      </c>
    </row>
    <row r="53" spans="1:140" hidden="1" x14ac:dyDescent="0.35">
      <c r="A53" t="s">
        <v>4036</v>
      </c>
      <c r="B53" t="s">
        <v>249</v>
      </c>
      <c r="D53" t="s">
        <v>5459</v>
      </c>
      <c r="E53" t="s">
        <v>1142</v>
      </c>
      <c r="F53" t="s">
        <v>4185</v>
      </c>
      <c r="G53" t="s">
        <v>4186</v>
      </c>
      <c r="H53" t="s">
        <v>5460</v>
      </c>
      <c r="I53" t="s">
        <v>5368</v>
      </c>
      <c r="J53" t="s">
        <v>3849</v>
      </c>
      <c r="K53" t="s">
        <v>3849</v>
      </c>
      <c r="L53" t="s">
        <v>1141</v>
      </c>
      <c r="M53" t="s">
        <v>3088</v>
      </c>
      <c r="N53" t="s">
        <v>1141</v>
      </c>
      <c r="O53" t="s">
        <v>3088</v>
      </c>
      <c r="P53" t="s">
        <v>3088</v>
      </c>
      <c r="Q53" t="s">
        <v>3852</v>
      </c>
      <c r="R53" t="s">
        <v>1580</v>
      </c>
      <c r="S53" t="s">
        <v>5452</v>
      </c>
      <c r="T53" t="s">
        <v>1576</v>
      </c>
      <c r="U53" t="s">
        <v>5461</v>
      </c>
      <c r="V53" s="17">
        <v>46059</v>
      </c>
      <c r="W53" s="17">
        <v>46097</v>
      </c>
      <c r="X53" s="17">
        <v>46250</v>
      </c>
      <c r="Y53">
        <v>88</v>
      </c>
      <c r="Z53">
        <v>5</v>
      </c>
      <c r="AA53">
        <v>5.0999999999999996</v>
      </c>
      <c r="AB53">
        <v>1535.8</v>
      </c>
      <c r="AC53" s="17"/>
      <c r="AE53">
        <v>43085.856</v>
      </c>
      <c r="AF53">
        <v>215429.28</v>
      </c>
      <c r="AG53">
        <v>43085.856</v>
      </c>
      <c r="AH53">
        <v>215429.3</v>
      </c>
      <c r="AI53">
        <v>0.02</v>
      </c>
      <c r="AJ53">
        <v>0</v>
      </c>
      <c r="AW53">
        <v>0</v>
      </c>
      <c r="BJ53">
        <v>0</v>
      </c>
      <c r="BW53">
        <v>0</v>
      </c>
      <c r="CJ53">
        <v>0</v>
      </c>
      <c r="CW53">
        <v>215429.3</v>
      </c>
      <c r="CZ53">
        <v>44885.86</v>
      </c>
      <c r="DA53">
        <v>41885.86</v>
      </c>
      <c r="DB53">
        <v>41885.86</v>
      </c>
      <c r="DC53">
        <v>41885.86</v>
      </c>
      <c r="DD53">
        <v>44885.86</v>
      </c>
      <c r="DJ53">
        <v>0</v>
      </c>
      <c r="DW53">
        <v>0</v>
      </c>
      <c r="EJ53">
        <v>215429.3</v>
      </c>
    </row>
    <row r="54" spans="1:140" hidden="1" x14ac:dyDescent="0.35">
      <c r="A54" t="s">
        <v>4036</v>
      </c>
      <c r="B54" t="s">
        <v>5462</v>
      </c>
      <c r="D54" t="s">
        <v>5463</v>
      </c>
      <c r="E54" t="s">
        <v>359</v>
      </c>
      <c r="F54" t="s">
        <v>4065</v>
      </c>
      <c r="G54" t="s">
        <v>4066</v>
      </c>
      <c r="H54" t="s">
        <v>5464</v>
      </c>
      <c r="I54" t="s">
        <v>5368</v>
      </c>
      <c r="J54" t="s">
        <v>3849</v>
      </c>
      <c r="K54" t="s">
        <v>3849</v>
      </c>
      <c r="L54" t="s">
        <v>357</v>
      </c>
      <c r="M54" t="s">
        <v>3088</v>
      </c>
      <c r="N54" t="s">
        <v>357</v>
      </c>
      <c r="O54" t="s">
        <v>3088</v>
      </c>
      <c r="P54" t="s">
        <v>3088</v>
      </c>
      <c r="Q54" t="s">
        <v>3852</v>
      </c>
      <c r="R54" t="s">
        <v>1580</v>
      </c>
      <c r="S54" t="s">
        <v>5374</v>
      </c>
      <c r="T54" t="s">
        <v>1576</v>
      </c>
      <c r="U54" t="s">
        <v>5465</v>
      </c>
      <c r="V54" s="17">
        <v>45749</v>
      </c>
      <c r="W54" s="17">
        <v>45757</v>
      </c>
      <c r="X54" s="17">
        <v>46176</v>
      </c>
      <c r="Y54">
        <v>14</v>
      </c>
      <c r="Z54">
        <v>14</v>
      </c>
      <c r="AA54">
        <v>13.966666666666667</v>
      </c>
      <c r="AB54">
        <v>1538.2666666666667</v>
      </c>
      <c r="AC54" s="17"/>
      <c r="AE54">
        <v>31200.97</v>
      </c>
      <c r="AF54">
        <v>1540499.8</v>
      </c>
      <c r="AG54">
        <v>110035.7</v>
      </c>
      <c r="AH54">
        <v>1540499.76</v>
      </c>
      <c r="AI54">
        <v>-0.04</v>
      </c>
      <c r="AJ54">
        <v>0</v>
      </c>
      <c r="AW54">
        <v>0</v>
      </c>
      <c r="BJ54">
        <v>0</v>
      </c>
      <c r="BW54">
        <v>0</v>
      </c>
      <c r="CJ54">
        <v>1113369.04</v>
      </c>
      <c r="CN54">
        <v>125957.48</v>
      </c>
      <c r="CO54">
        <v>126439.58</v>
      </c>
      <c r="CP54">
        <v>120413.31</v>
      </c>
      <c r="CQ54">
        <v>126439.58</v>
      </c>
      <c r="CR54">
        <v>120413.31</v>
      </c>
      <c r="CS54">
        <v>126439.58</v>
      </c>
      <c r="CT54">
        <v>120413.31</v>
      </c>
      <c r="CU54">
        <v>126439.58</v>
      </c>
      <c r="CV54">
        <v>120413.31</v>
      </c>
      <c r="CW54">
        <v>427130.72</v>
      </c>
      <c r="CX54">
        <v>105955.46</v>
      </c>
      <c r="CY54">
        <v>99929.19</v>
      </c>
      <c r="CZ54">
        <v>105714.41</v>
      </c>
      <c r="DA54">
        <v>56379.79</v>
      </c>
      <c r="DB54">
        <v>59151.87</v>
      </c>
      <c r="DJ54">
        <v>0</v>
      </c>
      <c r="DW54">
        <v>0</v>
      </c>
      <c r="EJ54">
        <v>1540499.76</v>
      </c>
    </row>
    <row r="55" spans="1:140" hidden="1" x14ac:dyDescent="0.35">
      <c r="A55" t="s">
        <v>4036</v>
      </c>
      <c r="B55" t="s">
        <v>249</v>
      </c>
      <c r="D55" t="s">
        <v>5466</v>
      </c>
      <c r="E55" t="s">
        <v>359</v>
      </c>
      <c r="F55" t="s">
        <v>4065</v>
      </c>
      <c r="G55" t="s">
        <v>4066</v>
      </c>
      <c r="H55" t="s">
        <v>5467</v>
      </c>
      <c r="I55" t="s">
        <v>5373</v>
      </c>
      <c r="J55" t="s">
        <v>3849</v>
      </c>
      <c r="K55" t="s">
        <v>3849</v>
      </c>
      <c r="L55" t="s">
        <v>357</v>
      </c>
      <c r="M55" t="s">
        <v>3088</v>
      </c>
      <c r="N55" t="s">
        <v>357</v>
      </c>
      <c r="O55" t="s">
        <v>3088</v>
      </c>
      <c r="P55" t="s">
        <v>3088</v>
      </c>
      <c r="Q55" t="s">
        <v>3852</v>
      </c>
      <c r="R55" t="s">
        <v>1580</v>
      </c>
      <c r="S55" t="s">
        <v>5374</v>
      </c>
      <c r="T55" t="s">
        <v>1576</v>
      </c>
      <c r="U55" t="s">
        <v>5468</v>
      </c>
      <c r="V55" s="17">
        <v>46044</v>
      </c>
      <c r="W55" s="17">
        <v>46027</v>
      </c>
      <c r="X55" s="17">
        <v>46356</v>
      </c>
      <c r="Y55">
        <v>194</v>
      </c>
      <c r="Z55">
        <v>11</v>
      </c>
      <c r="AA55">
        <v>10.966666666666667</v>
      </c>
      <c r="AB55">
        <v>1532.2666666666667</v>
      </c>
      <c r="AC55" s="17"/>
      <c r="AE55">
        <v>21275.098900000001</v>
      </c>
      <c r="AF55">
        <v>936104.35</v>
      </c>
      <c r="AG55">
        <v>85100.395499999999</v>
      </c>
      <c r="AH55">
        <v>936104.35</v>
      </c>
      <c r="AI55">
        <v>0</v>
      </c>
      <c r="AJ55">
        <v>0</v>
      </c>
      <c r="AW55">
        <v>0</v>
      </c>
      <c r="BJ55">
        <v>0</v>
      </c>
      <c r="BW55">
        <v>0</v>
      </c>
      <c r="CJ55">
        <v>0</v>
      </c>
      <c r="CW55">
        <v>936104.35</v>
      </c>
      <c r="CX55">
        <v>20484.12</v>
      </c>
      <c r="CY55">
        <v>20484.12</v>
      </c>
      <c r="CZ55">
        <v>20484.12</v>
      </c>
      <c r="DA55">
        <v>64033.52</v>
      </c>
      <c r="DB55">
        <v>70059.8</v>
      </c>
      <c r="DC55">
        <v>120413.31</v>
      </c>
      <c r="DD55">
        <v>126439.58</v>
      </c>
      <c r="DE55">
        <v>120413.31</v>
      </c>
      <c r="DF55">
        <v>126439.58</v>
      </c>
      <c r="DG55">
        <v>120413.31</v>
      </c>
      <c r="DH55">
        <v>126439.58</v>
      </c>
      <c r="DJ55">
        <v>0</v>
      </c>
      <c r="DW55">
        <v>0</v>
      </c>
      <c r="EJ55">
        <v>936104.35</v>
      </c>
    </row>
    <row r="56" spans="1:140" hidden="1" x14ac:dyDescent="0.35">
      <c r="A56" t="s">
        <v>4036</v>
      </c>
      <c r="B56" t="s">
        <v>5365</v>
      </c>
      <c r="D56" t="s">
        <v>5469</v>
      </c>
      <c r="E56" t="s">
        <v>5189</v>
      </c>
      <c r="F56" t="s">
        <v>5190</v>
      </c>
      <c r="G56" t="s">
        <v>5191</v>
      </c>
      <c r="H56" t="s">
        <v>5470</v>
      </c>
      <c r="I56" t="s">
        <v>5368</v>
      </c>
      <c r="J56" t="s">
        <v>5102</v>
      </c>
      <c r="K56" t="s">
        <v>5102</v>
      </c>
      <c r="L56" t="s">
        <v>357</v>
      </c>
      <c r="M56" t="s">
        <v>3088</v>
      </c>
      <c r="N56" t="s">
        <v>357</v>
      </c>
      <c r="O56" t="s">
        <v>3088</v>
      </c>
      <c r="P56" t="s">
        <v>3088</v>
      </c>
      <c r="Q56" t="s">
        <v>3852</v>
      </c>
      <c r="R56" t="s">
        <v>5116</v>
      </c>
      <c r="S56" t="s">
        <v>5374</v>
      </c>
      <c r="T56" t="s">
        <v>2363</v>
      </c>
      <c r="U56" t="s">
        <v>5471</v>
      </c>
      <c r="V56" s="17">
        <v>45859</v>
      </c>
      <c r="W56" s="17">
        <v>45862</v>
      </c>
      <c r="X56" s="17">
        <v>45954</v>
      </c>
      <c r="Y56">
        <v>-208</v>
      </c>
      <c r="Z56">
        <v>3</v>
      </c>
      <c r="AA56">
        <v>3.0666666666666669</v>
      </c>
      <c r="AB56">
        <v>1545.6666666666667</v>
      </c>
      <c r="AC56" s="17"/>
      <c r="AE56">
        <v>66666.666700000002</v>
      </c>
      <c r="AF56">
        <v>200000</v>
      </c>
      <c r="AG56">
        <v>66666.666700000002</v>
      </c>
      <c r="AH56">
        <v>200000.01</v>
      </c>
      <c r="AI56">
        <v>0.01</v>
      </c>
      <c r="AJ56">
        <v>0</v>
      </c>
      <c r="AW56">
        <v>0</v>
      </c>
      <c r="BJ56">
        <v>0</v>
      </c>
      <c r="BW56">
        <v>0</v>
      </c>
      <c r="CJ56">
        <v>200000.01</v>
      </c>
      <c r="CQ56">
        <v>90791.65</v>
      </c>
      <c r="CR56">
        <v>54604.18</v>
      </c>
      <c r="CS56">
        <v>54604.18</v>
      </c>
      <c r="CW56">
        <v>0</v>
      </c>
      <c r="DJ56">
        <v>0</v>
      </c>
      <c r="DW56">
        <v>0</v>
      </c>
      <c r="EJ56">
        <v>200000.01</v>
      </c>
    </row>
    <row r="57" spans="1:140" hidden="1" x14ac:dyDescent="0.35">
      <c r="A57" t="s">
        <v>4036</v>
      </c>
      <c r="B57" t="s">
        <v>5365</v>
      </c>
      <c r="D57" t="s">
        <v>5472</v>
      </c>
      <c r="E57" t="s">
        <v>5189</v>
      </c>
      <c r="F57" t="s">
        <v>5190</v>
      </c>
      <c r="G57" t="s">
        <v>5191</v>
      </c>
      <c r="H57" t="s">
        <v>5473</v>
      </c>
      <c r="I57" t="s">
        <v>5373</v>
      </c>
      <c r="J57" t="s">
        <v>5102</v>
      </c>
      <c r="K57" t="s">
        <v>5102</v>
      </c>
      <c r="L57" t="s">
        <v>357</v>
      </c>
      <c r="M57" t="s">
        <v>3088</v>
      </c>
      <c r="N57" t="s">
        <v>357</v>
      </c>
      <c r="O57" t="s">
        <v>3088</v>
      </c>
      <c r="P57" t="s">
        <v>3088</v>
      </c>
      <c r="Q57" t="s">
        <v>3852</v>
      </c>
      <c r="R57" t="s">
        <v>5116</v>
      </c>
      <c r="S57" t="s">
        <v>5374</v>
      </c>
      <c r="T57" t="s">
        <v>1576</v>
      </c>
      <c r="U57" t="s">
        <v>5474</v>
      </c>
      <c r="V57" s="17">
        <v>45993</v>
      </c>
      <c r="W57" s="17">
        <v>45955</v>
      </c>
      <c r="X57" s="17">
        <v>46044</v>
      </c>
      <c r="Y57">
        <v>-118</v>
      </c>
      <c r="Z57">
        <v>3</v>
      </c>
      <c r="AA57">
        <v>2.9666666666666668</v>
      </c>
      <c r="AB57">
        <v>1542.6666666666667</v>
      </c>
      <c r="AC57" s="17"/>
      <c r="AE57">
        <v>64183.713300000003</v>
      </c>
      <c r="AF57">
        <v>192551.14</v>
      </c>
      <c r="AG57">
        <v>64183.713300000003</v>
      </c>
      <c r="AH57">
        <v>192551.14</v>
      </c>
      <c r="AI57">
        <v>0</v>
      </c>
      <c r="AJ57">
        <v>0</v>
      </c>
      <c r="AW57">
        <v>0</v>
      </c>
      <c r="BJ57">
        <v>0</v>
      </c>
      <c r="BW57">
        <v>0</v>
      </c>
      <c r="CJ57">
        <v>142424.19</v>
      </c>
      <c r="CU57">
        <v>66835.929999999993</v>
      </c>
      <c r="CV57">
        <v>75588.259999999995</v>
      </c>
      <c r="CW57">
        <v>50126.95</v>
      </c>
      <c r="CX57">
        <v>50126.95</v>
      </c>
      <c r="DJ57">
        <v>0</v>
      </c>
      <c r="DW57">
        <v>0</v>
      </c>
      <c r="EJ57">
        <v>192551.14</v>
      </c>
    </row>
    <row r="58" spans="1:140" hidden="1" x14ac:dyDescent="0.35">
      <c r="A58" t="s">
        <v>4036</v>
      </c>
      <c r="B58" t="s">
        <v>5365</v>
      </c>
      <c r="D58" t="s">
        <v>5475</v>
      </c>
      <c r="E58" t="s">
        <v>4993</v>
      </c>
      <c r="F58" t="s">
        <v>4993</v>
      </c>
      <c r="G58" t="s">
        <v>4994</v>
      </c>
      <c r="H58" t="s">
        <v>5476</v>
      </c>
      <c r="I58" t="s">
        <v>5477</v>
      </c>
      <c r="J58" t="s">
        <v>3203</v>
      </c>
      <c r="K58" t="s">
        <v>3203</v>
      </c>
      <c r="L58" t="s">
        <v>4452</v>
      </c>
      <c r="M58" t="s">
        <v>3139</v>
      </c>
      <c r="N58" t="s">
        <v>4452</v>
      </c>
      <c r="O58" t="s">
        <v>3153</v>
      </c>
      <c r="P58">
        <v>0</v>
      </c>
      <c r="Q58" t="s">
        <v>3852</v>
      </c>
      <c r="R58">
        <v>0</v>
      </c>
      <c r="S58">
        <v>0</v>
      </c>
      <c r="T58" t="s">
        <v>5369</v>
      </c>
      <c r="U58" t="s">
        <v>5478</v>
      </c>
      <c r="V58" s="17">
        <v>44994</v>
      </c>
      <c r="W58" s="17">
        <v>45022</v>
      </c>
      <c r="X58" s="17">
        <v>46088</v>
      </c>
      <c r="Y58">
        <v>-74</v>
      </c>
      <c r="Z58">
        <v>0</v>
      </c>
      <c r="AA58">
        <v>35.533333333333331</v>
      </c>
      <c r="AB58">
        <v>1541.2</v>
      </c>
      <c r="AC58" s="17"/>
      <c r="AE58">
        <v>0</v>
      </c>
      <c r="AF58">
        <v>100000</v>
      </c>
      <c r="AH58">
        <v>0</v>
      </c>
      <c r="AI58">
        <v>-100000</v>
      </c>
      <c r="AJ58">
        <v>0</v>
      </c>
      <c r="AW58">
        <v>0</v>
      </c>
      <c r="BJ58">
        <v>0</v>
      </c>
      <c r="BW58">
        <v>0</v>
      </c>
      <c r="CJ58">
        <v>0</v>
      </c>
      <c r="CW58">
        <v>0</v>
      </c>
      <c r="DJ58">
        <v>0</v>
      </c>
      <c r="DW58">
        <v>0</v>
      </c>
      <c r="EJ58">
        <v>0</v>
      </c>
    </row>
    <row r="59" spans="1:140" hidden="1" x14ac:dyDescent="0.35">
      <c r="A59" t="s">
        <v>4036</v>
      </c>
      <c r="B59" t="s">
        <v>5365</v>
      </c>
      <c r="D59" t="s">
        <v>5479</v>
      </c>
      <c r="E59" t="s">
        <v>4993</v>
      </c>
      <c r="F59" t="s">
        <v>5480</v>
      </c>
      <c r="G59" t="s">
        <v>4994</v>
      </c>
      <c r="H59" t="s">
        <v>5481</v>
      </c>
      <c r="I59" t="s">
        <v>5448</v>
      </c>
      <c r="J59" t="s">
        <v>3203</v>
      </c>
      <c r="K59" t="s">
        <v>3203</v>
      </c>
      <c r="L59" t="s">
        <v>4452</v>
      </c>
      <c r="M59" t="s">
        <v>3139</v>
      </c>
      <c r="N59" t="s">
        <v>184</v>
      </c>
      <c r="O59" t="s">
        <v>3153</v>
      </c>
      <c r="P59">
        <v>0</v>
      </c>
      <c r="Q59" t="s">
        <v>3075</v>
      </c>
      <c r="R59">
        <v>0</v>
      </c>
      <c r="S59">
        <v>0</v>
      </c>
      <c r="T59" t="s">
        <v>5369</v>
      </c>
      <c r="U59" t="s">
        <v>5482</v>
      </c>
      <c r="V59" s="17">
        <v>45042</v>
      </c>
      <c r="W59" s="17">
        <v>45042</v>
      </c>
      <c r="X59" s="17">
        <v>45071</v>
      </c>
      <c r="Y59">
        <v>-1091</v>
      </c>
      <c r="Z59">
        <v>0</v>
      </c>
      <c r="AA59">
        <v>0.96666666666666667</v>
      </c>
      <c r="AB59">
        <v>1575.1</v>
      </c>
      <c r="AC59" s="17"/>
      <c r="AE59">
        <v>0</v>
      </c>
      <c r="AF59">
        <v>33493.199999999997</v>
      </c>
      <c r="AH59">
        <v>33493.199999999997</v>
      </c>
      <c r="AI59">
        <v>0</v>
      </c>
      <c r="AJ59">
        <v>0</v>
      </c>
      <c r="AW59">
        <v>0</v>
      </c>
      <c r="BJ59">
        <v>33493.199999999997</v>
      </c>
      <c r="BO59">
        <v>25119.9</v>
      </c>
      <c r="BP59">
        <v>8373.2999999999993</v>
      </c>
      <c r="BW59">
        <v>0</v>
      </c>
      <c r="CJ59">
        <v>0</v>
      </c>
      <c r="CW59">
        <v>0</v>
      </c>
      <c r="DJ59">
        <v>0</v>
      </c>
      <c r="DW59">
        <v>0</v>
      </c>
      <c r="EJ59">
        <v>0</v>
      </c>
    </row>
    <row r="60" spans="1:140" hidden="1" x14ac:dyDescent="0.35">
      <c r="A60" t="s">
        <v>4036</v>
      </c>
      <c r="B60" t="s">
        <v>5365</v>
      </c>
      <c r="D60" t="s">
        <v>5483</v>
      </c>
      <c r="E60" t="s">
        <v>4993</v>
      </c>
      <c r="F60" t="s">
        <v>5484</v>
      </c>
      <c r="G60" t="s">
        <v>4994</v>
      </c>
      <c r="H60" t="s">
        <v>5481</v>
      </c>
      <c r="I60" t="s">
        <v>5448</v>
      </c>
      <c r="J60" t="s">
        <v>3203</v>
      </c>
      <c r="K60" t="s">
        <v>3203</v>
      </c>
      <c r="L60" t="s">
        <v>4452</v>
      </c>
      <c r="M60" t="s">
        <v>3139</v>
      </c>
      <c r="N60" t="s">
        <v>184</v>
      </c>
      <c r="O60" t="s">
        <v>3153</v>
      </c>
      <c r="P60">
        <v>0</v>
      </c>
      <c r="Q60" t="s">
        <v>3075</v>
      </c>
      <c r="R60">
        <v>0</v>
      </c>
      <c r="S60">
        <v>0</v>
      </c>
      <c r="T60" t="s">
        <v>5485</v>
      </c>
      <c r="U60" t="s">
        <v>5486</v>
      </c>
      <c r="V60" s="17">
        <v>45218</v>
      </c>
      <c r="W60" s="17">
        <v>45218</v>
      </c>
      <c r="X60" s="17">
        <v>45279</v>
      </c>
      <c r="Y60">
        <v>-883</v>
      </c>
      <c r="Z60">
        <v>2</v>
      </c>
      <c r="AA60">
        <v>2.0333333333333332</v>
      </c>
      <c r="AB60">
        <v>1568.1666666666667</v>
      </c>
      <c r="AC60" s="17"/>
      <c r="AE60">
        <v>0</v>
      </c>
      <c r="AF60">
        <v>86329.52</v>
      </c>
      <c r="AG60">
        <v>43164.76</v>
      </c>
      <c r="AH60">
        <v>86329.919999999998</v>
      </c>
      <c r="AI60">
        <v>0.4</v>
      </c>
      <c r="AJ60">
        <v>0</v>
      </c>
      <c r="AW60">
        <v>0</v>
      </c>
      <c r="BJ60">
        <v>45466.52</v>
      </c>
      <c r="BU60">
        <v>32541.02</v>
      </c>
      <c r="BV60">
        <v>12925.5</v>
      </c>
      <c r="BW60">
        <v>40863.4</v>
      </c>
      <c r="BX60">
        <v>40863.4</v>
      </c>
      <c r="CJ60">
        <v>0</v>
      </c>
      <c r="CW60">
        <v>0</v>
      </c>
      <c r="DJ60">
        <v>0</v>
      </c>
      <c r="DW60">
        <v>0</v>
      </c>
      <c r="EJ60">
        <v>0</v>
      </c>
    </row>
    <row r="61" spans="1:140" hidden="1" x14ac:dyDescent="0.35">
      <c r="A61" t="s">
        <v>4036</v>
      </c>
      <c r="B61" t="s">
        <v>5365</v>
      </c>
      <c r="D61" t="s">
        <v>5487</v>
      </c>
      <c r="E61" t="s">
        <v>4993</v>
      </c>
      <c r="F61" t="s">
        <v>5488</v>
      </c>
      <c r="G61" t="s">
        <v>4994</v>
      </c>
      <c r="H61" t="s">
        <v>5481</v>
      </c>
      <c r="I61" t="s">
        <v>5448</v>
      </c>
      <c r="J61" t="s">
        <v>3203</v>
      </c>
      <c r="K61" t="s">
        <v>3203</v>
      </c>
      <c r="L61" t="s">
        <v>4452</v>
      </c>
      <c r="M61" t="s">
        <v>3139</v>
      </c>
      <c r="N61" t="s">
        <v>3325</v>
      </c>
      <c r="O61" t="s">
        <v>3153</v>
      </c>
      <c r="P61">
        <v>0</v>
      </c>
      <c r="Q61" t="s">
        <v>3075</v>
      </c>
      <c r="R61" t="s">
        <v>4394</v>
      </c>
      <c r="S61" t="s">
        <v>5374</v>
      </c>
      <c r="T61" t="s">
        <v>1576</v>
      </c>
      <c r="U61" t="s">
        <v>5489</v>
      </c>
      <c r="V61" s="17">
        <v>45350</v>
      </c>
      <c r="W61" s="17">
        <v>45350</v>
      </c>
      <c r="X61" s="17">
        <v>45379</v>
      </c>
      <c r="Y61">
        <v>-783</v>
      </c>
      <c r="Z61">
        <v>1</v>
      </c>
      <c r="AA61">
        <v>0.96666666666666667</v>
      </c>
      <c r="AB61">
        <v>1564.8333333333333</v>
      </c>
      <c r="AC61" s="17"/>
      <c r="AE61">
        <v>25567.200000000001</v>
      </c>
      <c r="AF61">
        <v>25567.200000000001</v>
      </c>
      <c r="AG61">
        <v>25567.200000000001</v>
      </c>
      <c r="AH61">
        <v>25567.200000000001</v>
      </c>
      <c r="AI61">
        <v>0</v>
      </c>
      <c r="AJ61">
        <v>0</v>
      </c>
      <c r="AW61">
        <v>0</v>
      </c>
      <c r="BJ61">
        <v>0</v>
      </c>
      <c r="BW61">
        <v>25567.200000000001</v>
      </c>
      <c r="CA61">
        <v>20453.759999999998</v>
      </c>
      <c r="CB61">
        <v>5113.4399999999996</v>
      </c>
      <c r="CJ61">
        <v>0</v>
      </c>
      <c r="CW61">
        <v>0</v>
      </c>
      <c r="DJ61">
        <v>0</v>
      </c>
      <c r="DW61">
        <v>0</v>
      </c>
      <c r="EJ61">
        <v>0</v>
      </c>
    </row>
    <row r="62" spans="1:140" hidden="1" x14ac:dyDescent="0.35">
      <c r="A62" t="s">
        <v>4036</v>
      </c>
      <c r="B62" t="s">
        <v>5365</v>
      </c>
      <c r="D62" t="s">
        <v>5490</v>
      </c>
      <c r="E62" t="s">
        <v>4993</v>
      </c>
      <c r="F62" t="s">
        <v>5491</v>
      </c>
      <c r="G62" t="s">
        <v>4994</v>
      </c>
      <c r="H62" t="s">
        <v>5481</v>
      </c>
      <c r="I62" t="s">
        <v>5448</v>
      </c>
      <c r="J62" t="s">
        <v>3203</v>
      </c>
      <c r="K62" t="s">
        <v>3203</v>
      </c>
      <c r="L62" t="s">
        <v>4452</v>
      </c>
      <c r="M62" t="s">
        <v>3139</v>
      </c>
      <c r="N62" t="s">
        <v>184</v>
      </c>
      <c r="O62" t="s">
        <v>3153</v>
      </c>
      <c r="P62">
        <v>0</v>
      </c>
      <c r="Q62" t="s">
        <v>3075</v>
      </c>
      <c r="R62" t="s">
        <v>4394</v>
      </c>
      <c r="S62" t="s">
        <v>5374</v>
      </c>
      <c r="T62" t="s">
        <v>5485</v>
      </c>
      <c r="U62" t="s">
        <v>5492</v>
      </c>
      <c r="V62" s="17">
        <v>45428</v>
      </c>
      <c r="W62" s="17">
        <v>45428</v>
      </c>
      <c r="X62" s="17">
        <v>45459</v>
      </c>
      <c r="Y62">
        <v>-703</v>
      </c>
      <c r="Z62">
        <v>1</v>
      </c>
      <c r="AA62">
        <v>1.0333333333333334</v>
      </c>
      <c r="AB62">
        <v>1562.1666666666667</v>
      </c>
      <c r="AC62" s="17"/>
      <c r="AE62">
        <v>12783.6</v>
      </c>
      <c r="AF62">
        <v>12783.6</v>
      </c>
      <c r="AG62">
        <v>12783.6</v>
      </c>
      <c r="AH62">
        <v>12783.6</v>
      </c>
      <c r="AI62">
        <v>0</v>
      </c>
      <c r="AJ62">
        <v>0</v>
      </c>
      <c r="AW62">
        <v>0</v>
      </c>
      <c r="BJ62">
        <v>0</v>
      </c>
      <c r="BW62">
        <v>12783.6</v>
      </c>
      <c r="CB62">
        <v>10226.879999999999</v>
      </c>
      <c r="CC62">
        <v>2556.7199999999998</v>
      </c>
      <c r="CJ62">
        <v>0</v>
      </c>
      <c r="CW62">
        <v>0</v>
      </c>
      <c r="DJ62">
        <v>0</v>
      </c>
      <c r="DW62">
        <v>0</v>
      </c>
      <c r="EJ62">
        <v>0</v>
      </c>
    </row>
    <row r="63" spans="1:140" hidden="1" x14ac:dyDescent="0.35">
      <c r="A63" t="s">
        <v>4036</v>
      </c>
      <c r="B63" t="s">
        <v>5365</v>
      </c>
      <c r="D63" t="s">
        <v>5493</v>
      </c>
      <c r="E63" t="s">
        <v>4993</v>
      </c>
      <c r="F63" t="s">
        <v>5494</v>
      </c>
      <c r="G63" t="s">
        <v>4994</v>
      </c>
      <c r="H63" t="s">
        <v>5481</v>
      </c>
      <c r="I63" t="s">
        <v>5448</v>
      </c>
      <c r="J63" t="s">
        <v>3203</v>
      </c>
      <c r="K63" t="s">
        <v>3203</v>
      </c>
      <c r="L63" t="s">
        <v>4452</v>
      </c>
      <c r="M63" t="s">
        <v>3139</v>
      </c>
      <c r="N63" t="s">
        <v>5495</v>
      </c>
      <c r="O63" t="s">
        <v>3153</v>
      </c>
      <c r="P63">
        <v>0</v>
      </c>
      <c r="Q63" t="s">
        <v>3075</v>
      </c>
      <c r="R63" t="s">
        <v>4394</v>
      </c>
      <c r="S63" t="s">
        <v>5374</v>
      </c>
      <c r="T63" t="s">
        <v>5485</v>
      </c>
      <c r="U63" t="s">
        <v>5496</v>
      </c>
      <c r="V63" s="17">
        <v>45468</v>
      </c>
      <c r="W63" s="17">
        <v>45468</v>
      </c>
      <c r="X63" s="17">
        <v>45498</v>
      </c>
      <c r="Y63">
        <v>-664</v>
      </c>
      <c r="Z63">
        <v>1</v>
      </c>
      <c r="AA63">
        <v>1</v>
      </c>
      <c r="AB63">
        <v>1560.8666666666666</v>
      </c>
      <c r="AC63" s="17"/>
      <c r="AE63">
        <v>63918</v>
      </c>
      <c r="AF63">
        <v>63918</v>
      </c>
      <c r="AG63">
        <v>63918</v>
      </c>
      <c r="AH63">
        <v>63918</v>
      </c>
      <c r="AI63">
        <v>0</v>
      </c>
      <c r="AJ63">
        <v>0</v>
      </c>
      <c r="AW63">
        <v>0</v>
      </c>
      <c r="BJ63">
        <v>0</v>
      </c>
      <c r="BW63">
        <v>63918</v>
      </c>
      <c r="CE63">
        <v>44742.6</v>
      </c>
      <c r="CF63">
        <v>19175.400000000001</v>
      </c>
      <c r="CJ63">
        <v>0</v>
      </c>
      <c r="CW63">
        <v>0</v>
      </c>
      <c r="DJ63">
        <v>0</v>
      </c>
      <c r="DW63">
        <v>0</v>
      </c>
      <c r="EJ63">
        <v>0</v>
      </c>
    </row>
    <row r="64" spans="1:140" hidden="1" x14ac:dyDescent="0.35">
      <c r="A64" t="s">
        <v>4036</v>
      </c>
      <c r="B64" t="s">
        <v>5365</v>
      </c>
      <c r="D64" t="s">
        <v>5497</v>
      </c>
      <c r="E64" t="s">
        <v>4993</v>
      </c>
      <c r="F64" t="s">
        <v>5491</v>
      </c>
      <c r="G64" t="s">
        <v>4994</v>
      </c>
      <c r="H64" t="s">
        <v>5481</v>
      </c>
      <c r="I64" t="s">
        <v>5448</v>
      </c>
      <c r="J64" t="s">
        <v>3203</v>
      </c>
      <c r="K64" t="s">
        <v>3203</v>
      </c>
      <c r="L64" t="s">
        <v>4452</v>
      </c>
      <c r="M64" t="s">
        <v>3139</v>
      </c>
      <c r="N64" t="s">
        <v>184</v>
      </c>
      <c r="O64" t="s">
        <v>3153</v>
      </c>
      <c r="P64">
        <v>0</v>
      </c>
      <c r="Q64" t="s">
        <v>3075</v>
      </c>
      <c r="R64" t="s">
        <v>4394</v>
      </c>
      <c r="S64" t="s">
        <v>5374</v>
      </c>
      <c r="T64" t="s">
        <v>5485</v>
      </c>
      <c r="U64" t="s">
        <v>5498</v>
      </c>
      <c r="V64" s="17">
        <v>45496</v>
      </c>
      <c r="W64" s="17">
        <v>45496</v>
      </c>
      <c r="X64" s="17">
        <v>45527</v>
      </c>
      <c r="Y64">
        <v>-635</v>
      </c>
      <c r="Z64">
        <v>1</v>
      </c>
      <c r="AA64">
        <v>1.0333333333333334</v>
      </c>
      <c r="AB64">
        <v>1559.9</v>
      </c>
      <c r="AC64" s="17"/>
      <c r="AE64">
        <v>15510.6</v>
      </c>
      <c r="AF64">
        <v>15510.6</v>
      </c>
      <c r="AG64">
        <v>15510.6</v>
      </c>
      <c r="AH64">
        <v>15510.6</v>
      </c>
      <c r="AI64">
        <v>0</v>
      </c>
      <c r="AJ64">
        <v>0</v>
      </c>
      <c r="AW64">
        <v>0</v>
      </c>
      <c r="BJ64">
        <v>0</v>
      </c>
      <c r="BW64">
        <v>15510.6</v>
      </c>
      <c r="CE64">
        <v>12408.48</v>
      </c>
      <c r="CF64">
        <v>3102.12</v>
      </c>
      <c r="CJ64">
        <v>0</v>
      </c>
      <c r="CW64">
        <v>0</v>
      </c>
      <c r="DJ64">
        <v>0</v>
      </c>
      <c r="DW64">
        <v>0</v>
      </c>
      <c r="EJ64">
        <v>0</v>
      </c>
    </row>
    <row r="65" spans="1:140" hidden="1" x14ac:dyDescent="0.35">
      <c r="A65" t="s">
        <v>4036</v>
      </c>
      <c r="B65" t="s">
        <v>5365</v>
      </c>
      <c r="D65" t="s">
        <v>5499</v>
      </c>
      <c r="E65" t="s">
        <v>4993</v>
      </c>
      <c r="F65" t="s">
        <v>5500</v>
      </c>
      <c r="G65" t="s">
        <v>4994</v>
      </c>
      <c r="H65" t="s">
        <v>5481</v>
      </c>
      <c r="I65" t="s">
        <v>5448</v>
      </c>
      <c r="J65" t="s">
        <v>3203</v>
      </c>
      <c r="K65" t="s">
        <v>3203</v>
      </c>
      <c r="L65" t="s">
        <v>4452</v>
      </c>
      <c r="M65" t="s">
        <v>3139</v>
      </c>
      <c r="N65" t="s">
        <v>5501</v>
      </c>
      <c r="O65" t="s">
        <v>3153</v>
      </c>
      <c r="P65">
        <v>0</v>
      </c>
      <c r="Q65" t="s">
        <v>3075</v>
      </c>
      <c r="R65" t="s">
        <v>4394</v>
      </c>
      <c r="S65" t="s">
        <v>5374</v>
      </c>
      <c r="T65" t="s">
        <v>5485</v>
      </c>
      <c r="U65" t="s">
        <v>5502</v>
      </c>
      <c r="V65" s="17">
        <v>45586</v>
      </c>
      <c r="W65" s="17">
        <v>45586</v>
      </c>
      <c r="X65" s="17">
        <v>45617</v>
      </c>
      <c r="Y65">
        <v>-545</v>
      </c>
      <c r="Z65">
        <v>1</v>
      </c>
      <c r="AA65">
        <v>1.0333333333333334</v>
      </c>
      <c r="AB65">
        <v>1556.9</v>
      </c>
      <c r="AC65" s="17"/>
      <c r="AE65">
        <v>15953.76</v>
      </c>
      <c r="AF65">
        <v>15953.76</v>
      </c>
      <c r="AG65">
        <v>15953.76</v>
      </c>
      <c r="AH65">
        <v>15953.76</v>
      </c>
      <c r="AI65">
        <v>0</v>
      </c>
      <c r="AJ65">
        <v>0</v>
      </c>
      <c r="AW65">
        <v>0</v>
      </c>
      <c r="BJ65">
        <v>0</v>
      </c>
      <c r="BW65">
        <v>15953.76</v>
      </c>
      <c r="CI65">
        <v>15953.76</v>
      </c>
      <c r="CJ65">
        <v>0</v>
      </c>
      <c r="CW65">
        <v>0</v>
      </c>
      <c r="DJ65">
        <v>0</v>
      </c>
      <c r="DW65">
        <v>0</v>
      </c>
      <c r="EJ65">
        <v>0</v>
      </c>
    </row>
    <row r="66" spans="1:140" hidden="1" x14ac:dyDescent="0.35">
      <c r="A66" t="s">
        <v>4036</v>
      </c>
      <c r="B66" t="s">
        <v>5365</v>
      </c>
      <c r="D66" t="s">
        <v>5503</v>
      </c>
      <c r="E66" t="s">
        <v>4993</v>
      </c>
      <c r="F66" t="s">
        <v>5504</v>
      </c>
      <c r="G66" t="s">
        <v>4994</v>
      </c>
      <c r="H66" t="s">
        <v>5481</v>
      </c>
      <c r="I66" t="s">
        <v>5448</v>
      </c>
      <c r="J66" t="s">
        <v>3203</v>
      </c>
      <c r="K66" t="s">
        <v>3203</v>
      </c>
      <c r="L66" t="s">
        <v>4452</v>
      </c>
      <c r="M66" t="s">
        <v>3139</v>
      </c>
      <c r="N66" t="s">
        <v>184</v>
      </c>
      <c r="O66" t="s">
        <v>3153</v>
      </c>
      <c r="P66">
        <v>0</v>
      </c>
      <c r="Q66" t="s">
        <v>3075</v>
      </c>
      <c r="R66" t="s">
        <v>4394</v>
      </c>
      <c r="S66" t="s">
        <v>5374</v>
      </c>
      <c r="T66" t="s">
        <v>2363</v>
      </c>
      <c r="U66" t="s">
        <v>5505</v>
      </c>
      <c r="V66" s="17">
        <v>45604</v>
      </c>
      <c r="W66" s="17">
        <v>45604</v>
      </c>
      <c r="X66" s="17">
        <v>45654</v>
      </c>
      <c r="Y66">
        <v>-508</v>
      </c>
      <c r="Z66">
        <v>2</v>
      </c>
      <c r="AA66">
        <v>1.6666666666666667</v>
      </c>
      <c r="AB66">
        <v>1555.6666666666667</v>
      </c>
      <c r="AC66" s="17"/>
      <c r="AE66">
        <v>58497.120000000003</v>
      </c>
      <c r="AF66">
        <v>116994.24000000001</v>
      </c>
      <c r="AG66">
        <v>58497.120000000003</v>
      </c>
      <c r="AH66">
        <v>116994.24000000001</v>
      </c>
      <c r="AI66">
        <v>0</v>
      </c>
      <c r="AJ66">
        <v>0</v>
      </c>
      <c r="AW66">
        <v>0</v>
      </c>
      <c r="BJ66">
        <v>0</v>
      </c>
      <c r="BW66">
        <v>54951.839999999997</v>
      </c>
      <c r="CI66">
        <v>54951.839999999997</v>
      </c>
      <c r="CJ66">
        <v>62042.400000000001</v>
      </c>
      <c r="CK66">
        <v>62042.400000000001</v>
      </c>
      <c r="CW66">
        <v>0</v>
      </c>
      <c r="DJ66">
        <v>0</v>
      </c>
      <c r="DW66">
        <v>0</v>
      </c>
      <c r="EJ66">
        <v>62042.400000000001</v>
      </c>
    </row>
    <row r="67" spans="1:140" hidden="1" x14ac:dyDescent="0.35">
      <c r="A67" t="s">
        <v>4036</v>
      </c>
      <c r="B67" t="s">
        <v>5365</v>
      </c>
      <c r="D67" t="s">
        <v>5506</v>
      </c>
      <c r="E67" t="s">
        <v>4993</v>
      </c>
      <c r="F67" t="s">
        <v>5507</v>
      </c>
      <c r="G67" t="s">
        <v>4994</v>
      </c>
      <c r="H67" t="s">
        <v>5481</v>
      </c>
      <c r="I67" t="s">
        <v>5448</v>
      </c>
      <c r="J67" t="s">
        <v>3203</v>
      </c>
      <c r="K67" t="s">
        <v>3203</v>
      </c>
      <c r="L67" t="s">
        <v>4452</v>
      </c>
      <c r="M67" t="s">
        <v>3139</v>
      </c>
      <c r="N67" t="s">
        <v>447</v>
      </c>
      <c r="O67" t="s">
        <v>3153</v>
      </c>
      <c r="P67" t="s">
        <v>3088</v>
      </c>
      <c r="Q67" t="s">
        <v>3075</v>
      </c>
      <c r="R67" t="s">
        <v>4394</v>
      </c>
      <c r="S67" t="s">
        <v>5374</v>
      </c>
      <c r="T67" t="s">
        <v>1576</v>
      </c>
      <c r="U67" t="s">
        <v>5508</v>
      </c>
      <c r="V67" s="17">
        <v>45728</v>
      </c>
      <c r="W67" s="17">
        <v>45728</v>
      </c>
      <c r="X67" s="17">
        <v>45759</v>
      </c>
      <c r="Y67">
        <v>-403</v>
      </c>
      <c r="Z67">
        <v>1</v>
      </c>
      <c r="AA67">
        <v>1.0333333333333334</v>
      </c>
      <c r="AB67">
        <v>1552.1666666666667</v>
      </c>
      <c r="AC67" s="17"/>
      <c r="AE67">
        <v>68025.06</v>
      </c>
      <c r="AF67">
        <v>68025.06</v>
      </c>
      <c r="AG67">
        <v>68025.06</v>
      </c>
      <c r="AH67">
        <v>68025.06</v>
      </c>
      <c r="AI67">
        <v>0</v>
      </c>
      <c r="AJ67">
        <v>0</v>
      </c>
      <c r="AW67">
        <v>0</v>
      </c>
      <c r="BJ67">
        <v>0</v>
      </c>
      <c r="BW67">
        <v>0</v>
      </c>
      <c r="CJ67">
        <v>68025.06</v>
      </c>
      <c r="CN67">
        <v>40815.036</v>
      </c>
      <c r="CO67">
        <v>13605.012000000001</v>
      </c>
      <c r="CP67">
        <v>13605.012000000001</v>
      </c>
      <c r="CW67">
        <v>0</v>
      </c>
      <c r="DJ67">
        <v>0</v>
      </c>
      <c r="DW67">
        <v>0</v>
      </c>
      <c r="EJ67">
        <v>68025.06</v>
      </c>
    </row>
    <row r="68" spans="1:140" hidden="1" x14ac:dyDescent="0.35">
      <c r="A68" t="s">
        <v>4036</v>
      </c>
      <c r="B68" t="s">
        <v>5365</v>
      </c>
      <c r="D68" t="s">
        <v>5509</v>
      </c>
      <c r="E68" t="s">
        <v>5173</v>
      </c>
      <c r="F68" t="s">
        <v>5174</v>
      </c>
      <c r="G68" t="s">
        <v>5175</v>
      </c>
      <c r="H68" t="s">
        <v>5510</v>
      </c>
      <c r="I68" t="s">
        <v>5368</v>
      </c>
      <c r="J68" t="s">
        <v>5102</v>
      </c>
      <c r="K68" t="s">
        <v>5102</v>
      </c>
      <c r="L68" t="s">
        <v>5176</v>
      </c>
      <c r="M68" t="s">
        <v>5177</v>
      </c>
      <c r="N68" t="s">
        <v>5176</v>
      </c>
      <c r="O68" t="s">
        <v>5177</v>
      </c>
      <c r="P68" t="s">
        <v>3747</v>
      </c>
      <c r="Q68" t="s">
        <v>3075</v>
      </c>
      <c r="R68" t="s">
        <v>2403</v>
      </c>
      <c r="S68" t="s">
        <v>5452</v>
      </c>
      <c r="T68" t="s">
        <v>1576</v>
      </c>
      <c r="U68" t="s">
        <v>5511</v>
      </c>
      <c r="V68" s="17">
        <v>45657</v>
      </c>
      <c r="W68" s="17">
        <v>45698</v>
      </c>
      <c r="X68" s="17">
        <v>45728</v>
      </c>
      <c r="Y68">
        <v>-434</v>
      </c>
      <c r="Z68">
        <v>1</v>
      </c>
      <c r="AA68">
        <v>1</v>
      </c>
      <c r="AB68">
        <v>1553.2</v>
      </c>
      <c r="AC68" s="17"/>
      <c r="AE68">
        <v>40000</v>
      </c>
      <c r="AF68">
        <v>40000</v>
      </c>
      <c r="AG68">
        <v>40000</v>
      </c>
      <c r="AH68">
        <v>40000</v>
      </c>
      <c r="AI68">
        <v>0</v>
      </c>
      <c r="AJ68">
        <v>0</v>
      </c>
      <c r="AW68">
        <v>0</v>
      </c>
      <c r="BJ68">
        <v>0</v>
      </c>
      <c r="BW68">
        <v>0</v>
      </c>
      <c r="CJ68">
        <v>40000</v>
      </c>
      <c r="CL68">
        <v>40000</v>
      </c>
      <c r="CW68">
        <v>0</v>
      </c>
      <c r="DJ68">
        <v>0</v>
      </c>
      <c r="DW68">
        <v>0</v>
      </c>
      <c r="EJ68">
        <v>40000</v>
      </c>
    </row>
    <row r="69" spans="1:140" hidden="1" x14ac:dyDescent="0.35">
      <c r="A69" t="s">
        <v>4036</v>
      </c>
      <c r="B69" t="s">
        <v>5365</v>
      </c>
      <c r="D69" t="s">
        <v>5512</v>
      </c>
      <c r="E69" t="s">
        <v>5173</v>
      </c>
      <c r="F69" t="s">
        <v>5174</v>
      </c>
      <c r="G69" t="s">
        <v>5175</v>
      </c>
      <c r="H69" t="s">
        <v>5513</v>
      </c>
      <c r="I69" t="s">
        <v>5373</v>
      </c>
      <c r="J69" t="s">
        <v>5102</v>
      </c>
      <c r="K69" t="s">
        <v>5102</v>
      </c>
      <c r="L69" t="s">
        <v>5176</v>
      </c>
      <c r="M69" t="s">
        <v>5177</v>
      </c>
      <c r="N69" t="s">
        <v>5176</v>
      </c>
      <c r="O69" t="s">
        <v>5177</v>
      </c>
      <c r="P69" t="s">
        <v>3747</v>
      </c>
      <c r="Q69" t="s">
        <v>3075</v>
      </c>
      <c r="R69" t="s">
        <v>5116</v>
      </c>
      <c r="S69" t="s">
        <v>5374</v>
      </c>
      <c r="T69" t="s">
        <v>2363</v>
      </c>
      <c r="U69" t="s">
        <v>5514</v>
      </c>
      <c r="V69" s="17">
        <v>45762</v>
      </c>
      <c r="W69" s="17">
        <v>45762</v>
      </c>
      <c r="X69" s="17">
        <v>46091</v>
      </c>
      <c r="Y69">
        <v>-71</v>
      </c>
      <c r="Z69">
        <v>11</v>
      </c>
      <c r="AA69">
        <v>10.966666666666667</v>
      </c>
      <c r="AB69">
        <v>1541.1</v>
      </c>
      <c r="AC69" s="17"/>
      <c r="AE69">
        <v>29153.2264</v>
      </c>
      <c r="AF69">
        <v>320685.49</v>
      </c>
      <c r="AG69">
        <v>29153.2264</v>
      </c>
      <c r="AH69">
        <v>304759.95</v>
      </c>
      <c r="AI69">
        <v>-15925.54</v>
      </c>
      <c r="AJ69">
        <v>0</v>
      </c>
      <c r="AW69">
        <v>0</v>
      </c>
      <c r="BJ69">
        <v>0</v>
      </c>
      <c r="BW69">
        <v>0</v>
      </c>
      <c r="CJ69">
        <v>248819.27439999999</v>
      </c>
      <c r="CN69">
        <v>28386.59</v>
      </c>
      <c r="CO69">
        <v>27554.085599999999</v>
      </c>
      <c r="CP69">
        <v>27554.085599999999</v>
      </c>
      <c r="CQ69">
        <v>27554.085599999999</v>
      </c>
      <c r="CR69">
        <v>27554.085599999999</v>
      </c>
      <c r="CS69">
        <v>27554.085599999999</v>
      </c>
      <c r="CT69">
        <v>27554.085599999999</v>
      </c>
      <c r="CU69">
        <v>27554.085599999999</v>
      </c>
      <c r="CV69">
        <v>27554.085599999999</v>
      </c>
      <c r="CW69">
        <v>55940.675600000002</v>
      </c>
      <c r="CX69">
        <v>28386.59</v>
      </c>
      <c r="CY69">
        <v>27554.085599999999</v>
      </c>
      <c r="DJ69">
        <v>0</v>
      </c>
      <c r="DW69">
        <v>0</v>
      </c>
      <c r="EJ69">
        <v>304759.95</v>
      </c>
    </row>
    <row r="70" spans="1:140" hidden="1" x14ac:dyDescent="0.35">
      <c r="A70" t="s">
        <v>4215</v>
      </c>
      <c r="B70" t="s">
        <v>5515</v>
      </c>
      <c r="C70">
        <v>-264</v>
      </c>
      <c r="D70" t="s">
        <v>5516</v>
      </c>
      <c r="E70" t="s">
        <v>5214</v>
      </c>
      <c r="F70" t="s">
        <v>5215</v>
      </c>
      <c r="G70" t="s">
        <v>5216</v>
      </c>
      <c r="H70" t="s">
        <v>5517</v>
      </c>
      <c r="I70" t="s">
        <v>5368</v>
      </c>
      <c r="J70" t="s">
        <v>5102</v>
      </c>
      <c r="K70" t="s">
        <v>5102</v>
      </c>
      <c r="L70" t="s">
        <v>5138</v>
      </c>
      <c r="M70" t="s">
        <v>5139</v>
      </c>
      <c r="N70" t="s">
        <v>5138</v>
      </c>
      <c r="O70" t="s">
        <v>5139</v>
      </c>
      <c r="P70" t="s">
        <v>3747</v>
      </c>
      <c r="Q70" t="s">
        <v>3075</v>
      </c>
      <c r="R70" t="s">
        <v>5116</v>
      </c>
      <c r="S70" t="s">
        <v>5374</v>
      </c>
      <c r="T70" t="s">
        <v>2363</v>
      </c>
      <c r="U70" t="s">
        <v>5518</v>
      </c>
      <c r="V70" s="17">
        <v>45898</v>
      </c>
      <c r="W70" s="17">
        <v>45952</v>
      </c>
      <c r="X70" s="17">
        <v>46283</v>
      </c>
      <c r="Y70">
        <v>121</v>
      </c>
      <c r="Z70">
        <v>11</v>
      </c>
      <c r="AA70">
        <v>11.033333333333333</v>
      </c>
      <c r="AB70">
        <v>1534.7</v>
      </c>
      <c r="AC70" s="17"/>
      <c r="AE70">
        <v>17667.506000000001</v>
      </c>
      <c r="AF70">
        <v>194342.56599999999</v>
      </c>
      <c r="AG70">
        <v>17667.506000000001</v>
      </c>
      <c r="AH70">
        <v>194342.5</v>
      </c>
      <c r="AI70">
        <v>-6.6000000000000003E-2</v>
      </c>
      <c r="AJ70">
        <v>0</v>
      </c>
      <c r="AW70">
        <v>0</v>
      </c>
      <c r="BJ70">
        <v>0</v>
      </c>
      <c r="BW70">
        <v>0</v>
      </c>
      <c r="CJ70">
        <v>0</v>
      </c>
      <c r="CW70">
        <v>123672.5</v>
      </c>
      <c r="DC70">
        <v>17667.5</v>
      </c>
      <c r="DD70">
        <v>17667.5</v>
      </c>
      <c r="DE70">
        <v>17667.5</v>
      </c>
      <c r="DF70">
        <v>17667.5</v>
      </c>
      <c r="DG70">
        <v>17667.5</v>
      </c>
      <c r="DH70">
        <v>17667.5</v>
      </c>
      <c r="DI70">
        <v>17667.5</v>
      </c>
      <c r="DJ70">
        <v>70670</v>
      </c>
      <c r="DK70">
        <v>17667.5</v>
      </c>
      <c r="DL70">
        <v>17667.5</v>
      </c>
      <c r="DM70">
        <v>17667.5</v>
      </c>
      <c r="DN70">
        <v>17667.5</v>
      </c>
      <c r="DW70">
        <v>0</v>
      </c>
      <c r="EJ70">
        <v>194342.5</v>
      </c>
    </row>
    <row r="71" spans="1:140" hidden="1" x14ac:dyDescent="0.35">
      <c r="A71" t="s">
        <v>4036</v>
      </c>
      <c r="B71" t="s">
        <v>249</v>
      </c>
      <c r="D71" t="s">
        <v>5519</v>
      </c>
      <c r="E71" t="s">
        <v>651</v>
      </c>
      <c r="F71" t="s">
        <v>4199</v>
      </c>
      <c r="G71" t="s">
        <v>4200</v>
      </c>
      <c r="H71" t="s">
        <v>5520</v>
      </c>
      <c r="I71" t="s">
        <v>5368</v>
      </c>
      <c r="J71" t="s">
        <v>3071</v>
      </c>
      <c r="K71" t="s">
        <v>3071</v>
      </c>
      <c r="L71" t="s">
        <v>649</v>
      </c>
      <c r="M71" t="s">
        <v>249</v>
      </c>
      <c r="N71" t="s">
        <v>89</v>
      </c>
      <c r="O71" t="s">
        <v>249</v>
      </c>
      <c r="P71" t="s">
        <v>3088</v>
      </c>
      <c r="Q71" t="s">
        <v>3075</v>
      </c>
      <c r="R71" t="s">
        <v>2513</v>
      </c>
      <c r="S71" t="s">
        <v>5452</v>
      </c>
      <c r="T71" t="s">
        <v>2363</v>
      </c>
      <c r="U71" t="s">
        <v>5521</v>
      </c>
      <c r="V71" s="17">
        <v>46078</v>
      </c>
      <c r="W71" s="17">
        <v>46101</v>
      </c>
      <c r="X71" s="17">
        <v>46407</v>
      </c>
      <c r="Y71">
        <v>245</v>
      </c>
      <c r="Z71">
        <v>10</v>
      </c>
      <c r="AA71">
        <v>10.199999999999999</v>
      </c>
      <c r="AB71">
        <v>1530.5666666666666</v>
      </c>
      <c r="AC71" s="17"/>
      <c r="AE71">
        <v>38373</v>
      </c>
      <c r="AF71">
        <v>767460</v>
      </c>
      <c r="AG71">
        <v>76746</v>
      </c>
      <c r="AH71">
        <v>609560</v>
      </c>
      <c r="AI71">
        <v>-157900</v>
      </c>
      <c r="AJ71">
        <v>0</v>
      </c>
      <c r="AW71">
        <v>0</v>
      </c>
      <c r="BJ71">
        <v>0</v>
      </c>
      <c r="BW71">
        <v>0</v>
      </c>
      <c r="CJ71">
        <v>0</v>
      </c>
      <c r="CW71">
        <v>609560</v>
      </c>
      <c r="CZ71">
        <v>105500</v>
      </c>
      <c r="DA71">
        <v>75580</v>
      </c>
      <c r="DB71">
        <v>70580</v>
      </c>
      <c r="DC71">
        <v>70580</v>
      </c>
      <c r="DD71">
        <v>70580</v>
      </c>
      <c r="DE71">
        <v>73080</v>
      </c>
      <c r="DF71">
        <v>35290</v>
      </c>
      <c r="DG71">
        <v>35290</v>
      </c>
      <c r="DH71">
        <v>35290</v>
      </c>
      <c r="DI71">
        <v>37790</v>
      </c>
      <c r="DJ71">
        <v>0</v>
      </c>
      <c r="DW71">
        <v>0</v>
      </c>
      <c r="EJ71">
        <v>609560</v>
      </c>
    </row>
    <row r="72" spans="1:140" hidden="1" x14ac:dyDescent="0.35">
      <c r="A72" t="s">
        <v>4036</v>
      </c>
      <c r="B72" t="s">
        <v>249</v>
      </c>
      <c r="D72" t="s">
        <v>5519</v>
      </c>
      <c r="E72" t="s">
        <v>651</v>
      </c>
      <c r="F72" t="s">
        <v>4199</v>
      </c>
      <c r="G72" t="s">
        <v>5228</v>
      </c>
      <c r="H72" t="s">
        <v>5520</v>
      </c>
      <c r="I72" t="s">
        <v>5368</v>
      </c>
      <c r="J72" t="s">
        <v>5102</v>
      </c>
      <c r="K72" t="s">
        <v>5102</v>
      </c>
      <c r="L72" t="s">
        <v>649</v>
      </c>
      <c r="M72" t="s">
        <v>249</v>
      </c>
      <c r="N72" t="s">
        <v>89</v>
      </c>
      <c r="O72" t="s">
        <v>249</v>
      </c>
      <c r="P72" t="s">
        <v>3088</v>
      </c>
      <c r="Q72" t="s">
        <v>3075</v>
      </c>
      <c r="R72" t="s">
        <v>2513</v>
      </c>
      <c r="S72" t="s">
        <v>5452</v>
      </c>
      <c r="T72" t="s">
        <v>2363</v>
      </c>
      <c r="U72" t="s">
        <v>5521</v>
      </c>
      <c r="V72" s="17">
        <v>46078</v>
      </c>
      <c r="W72" s="17">
        <v>46101</v>
      </c>
      <c r="X72" s="17">
        <v>46407</v>
      </c>
      <c r="Y72">
        <v>245</v>
      </c>
      <c r="Z72">
        <v>10</v>
      </c>
      <c r="AA72">
        <v>10.199999999999999</v>
      </c>
      <c r="AB72">
        <v>1530.5666666666666</v>
      </c>
      <c r="AC72" s="17"/>
      <c r="AE72">
        <v>38373</v>
      </c>
      <c r="AF72">
        <v>767460</v>
      </c>
      <c r="AG72">
        <v>76746</v>
      </c>
      <c r="AH72">
        <v>157900</v>
      </c>
      <c r="AI72">
        <v>-609560</v>
      </c>
      <c r="AJ72">
        <v>0</v>
      </c>
      <c r="AW72">
        <v>0</v>
      </c>
      <c r="BJ72">
        <v>0</v>
      </c>
      <c r="BW72">
        <v>0</v>
      </c>
      <c r="CJ72">
        <v>0</v>
      </c>
      <c r="CW72">
        <v>149950</v>
      </c>
      <c r="DB72">
        <v>62500</v>
      </c>
      <c r="DC72">
        <v>15900</v>
      </c>
      <c r="DD72">
        <v>15900</v>
      </c>
      <c r="DE72">
        <v>15900</v>
      </c>
      <c r="DF72">
        <v>15900</v>
      </c>
      <c r="DG72">
        <v>7950</v>
      </c>
      <c r="DH72">
        <v>7950</v>
      </c>
      <c r="DI72">
        <v>7950</v>
      </c>
      <c r="DJ72">
        <v>7950</v>
      </c>
      <c r="DK72">
        <v>7950</v>
      </c>
      <c r="DW72">
        <v>0</v>
      </c>
      <c r="EJ72">
        <v>157900</v>
      </c>
    </row>
    <row r="73" spans="1:140" hidden="1" x14ac:dyDescent="0.35">
      <c r="A73" t="s">
        <v>4036</v>
      </c>
      <c r="B73" t="s">
        <v>5365</v>
      </c>
      <c r="D73" t="s">
        <v>5522</v>
      </c>
      <c r="E73" t="s">
        <v>651</v>
      </c>
      <c r="F73" t="s">
        <v>4199</v>
      </c>
      <c r="G73" t="s">
        <v>5228</v>
      </c>
      <c r="H73" t="s">
        <v>5523</v>
      </c>
      <c r="I73" t="s">
        <v>5373</v>
      </c>
      <c r="J73" t="s">
        <v>5102</v>
      </c>
      <c r="K73" t="s">
        <v>5102</v>
      </c>
      <c r="L73" t="s">
        <v>649</v>
      </c>
      <c r="M73" t="s">
        <v>249</v>
      </c>
      <c r="N73" t="s">
        <v>89</v>
      </c>
      <c r="O73" t="s">
        <v>249</v>
      </c>
      <c r="P73" t="s">
        <v>3088</v>
      </c>
      <c r="Q73" t="s">
        <v>3075</v>
      </c>
      <c r="R73" t="s">
        <v>5116</v>
      </c>
      <c r="S73" t="s">
        <v>5374</v>
      </c>
      <c r="T73" t="s">
        <v>2363</v>
      </c>
      <c r="U73" t="s">
        <v>5524</v>
      </c>
      <c r="V73" s="17">
        <v>46105</v>
      </c>
      <c r="W73" s="17">
        <v>46105</v>
      </c>
      <c r="X73" s="17">
        <v>46136</v>
      </c>
      <c r="Y73">
        <v>-26</v>
      </c>
      <c r="Z73">
        <v>1</v>
      </c>
      <c r="AA73">
        <v>1.0333333333333334</v>
      </c>
      <c r="AB73">
        <v>1539.6</v>
      </c>
      <c r="AC73" s="17"/>
      <c r="AE73">
        <v>32361.52</v>
      </c>
      <c r="AF73">
        <v>32361.52</v>
      </c>
      <c r="AG73">
        <v>32361.52</v>
      </c>
      <c r="AH73">
        <v>64723.040000000001</v>
      </c>
      <c r="AI73">
        <v>32361.52</v>
      </c>
      <c r="AJ73">
        <v>0</v>
      </c>
      <c r="AW73">
        <v>0</v>
      </c>
      <c r="BJ73">
        <v>0</v>
      </c>
      <c r="BW73">
        <v>0</v>
      </c>
      <c r="CJ73">
        <v>0</v>
      </c>
      <c r="CW73">
        <v>64723.040000000001</v>
      </c>
      <c r="DA73">
        <v>32361.52</v>
      </c>
      <c r="DB73">
        <v>32361.52</v>
      </c>
      <c r="DJ73">
        <v>0</v>
      </c>
      <c r="DW73">
        <v>0</v>
      </c>
      <c r="EJ73">
        <v>64723.040000000001</v>
      </c>
    </row>
    <row r="74" spans="1:140" hidden="1" x14ac:dyDescent="0.35">
      <c r="A74" t="s">
        <v>4036</v>
      </c>
      <c r="B74" t="s">
        <v>5365</v>
      </c>
      <c r="D74" t="s">
        <v>5525</v>
      </c>
      <c r="E74" t="s">
        <v>605</v>
      </c>
      <c r="F74" t="s">
        <v>4070</v>
      </c>
      <c r="G74" t="s">
        <v>4071</v>
      </c>
      <c r="H74" t="s">
        <v>5526</v>
      </c>
      <c r="I74" t="s">
        <v>5368</v>
      </c>
      <c r="J74" t="s">
        <v>3071</v>
      </c>
      <c r="K74" t="s">
        <v>3071</v>
      </c>
      <c r="L74" t="s">
        <v>235</v>
      </c>
      <c r="M74" t="s">
        <v>3139</v>
      </c>
      <c r="N74" t="s">
        <v>235</v>
      </c>
      <c r="O74" t="s">
        <v>3107</v>
      </c>
      <c r="P74" t="s">
        <v>3747</v>
      </c>
      <c r="Q74" t="s">
        <v>3075</v>
      </c>
      <c r="R74" t="s">
        <v>2513</v>
      </c>
      <c r="S74" t="s">
        <v>5374</v>
      </c>
      <c r="T74" t="s">
        <v>1576</v>
      </c>
      <c r="U74" t="s">
        <v>5527</v>
      </c>
      <c r="V74" s="17">
        <v>45691</v>
      </c>
      <c r="W74" s="17">
        <v>45691</v>
      </c>
      <c r="X74" s="17">
        <v>46056</v>
      </c>
      <c r="Y74">
        <v>-106</v>
      </c>
      <c r="Z74">
        <v>12</v>
      </c>
      <c r="AA74">
        <v>12.166666666666666</v>
      </c>
      <c r="AB74">
        <v>1542.2666666666667</v>
      </c>
      <c r="AC74" s="17"/>
      <c r="AE74">
        <v>50000</v>
      </c>
      <c r="AF74">
        <v>600000</v>
      </c>
      <c r="AG74">
        <v>50000</v>
      </c>
      <c r="AH74">
        <v>600000</v>
      </c>
      <c r="AI74">
        <v>0</v>
      </c>
      <c r="AJ74">
        <v>0</v>
      </c>
      <c r="AW74">
        <v>0</v>
      </c>
      <c r="BJ74">
        <v>0</v>
      </c>
      <c r="BW74">
        <v>0</v>
      </c>
      <c r="CJ74">
        <v>511666.6667</v>
      </c>
      <c r="CL74">
        <v>11666.6667</v>
      </c>
      <c r="CM74">
        <v>50000</v>
      </c>
      <c r="CN74">
        <v>50000</v>
      </c>
      <c r="CO74">
        <v>50000</v>
      </c>
      <c r="CP74">
        <v>50000</v>
      </c>
      <c r="CQ74">
        <v>50000</v>
      </c>
      <c r="CR74">
        <v>50000</v>
      </c>
      <c r="CS74">
        <v>50000</v>
      </c>
      <c r="CT74">
        <v>50000</v>
      </c>
      <c r="CU74">
        <v>50000</v>
      </c>
      <c r="CV74">
        <v>50000</v>
      </c>
      <c r="CW74">
        <v>88333.333299999998</v>
      </c>
      <c r="CX74">
        <v>50000</v>
      </c>
      <c r="CY74">
        <v>38333.333299999998</v>
      </c>
      <c r="DJ74">
        <v>0</v>
      </c>
      <c r="DW74">
        <v>0</v>
      </c>
      <c r="EJ74">
        <v>600000</v>
      </c>
    </row>
    <row r="75" spans="1:140" hidden="1" x14ac:dyDescent="0.35">
      <c r="A75" t="s">
        <v>4036</v>
      </c>
      <c r="B75" t="s">
        <v>5365</v>
      </c>
      <c r="D75" t="s">
        <v>5528</v>
      </c>
      <c r="E75" t="s">
        <v>605</v>
      </c>
      <c r="F75" t="s">
        <v>4070</v>
      </c>
      <c r="G75" t="s">
        <v>4071</v>
      </c>
      <c r="H75" t="s">
        <v>5529</v>
      </c>
      <c r="I75" t="s">
        <v>5373</v>
      </c>
      <c r="J75" t="s">
        <v>3071</v>
      </c>
      <c r="K75" t="s">
        <v>3071</v>
      </c>
      <c r="L75" t="s">
        <v>235</v>
      </c>
      <c r="M75" t="s">
        <v>3139</v>
      </c>
      <c r="N75" t="s">
        <v>235</v>
      </c>
      <c r="O75" t="s">
        <v>3107</v>
      </c>
      <c r="P75" t="s">
        <v>3747</v>
      </c>
      <c r="Q75" t="s">
        <v>3075</v>
      </c>
      <c r="R75" t="s">
        <v>2513</v>
      </c>
      <c r="S75" t="s">
        <v>5374</v>
      </c>
      <c r="T75" t="s">
        <v>1576</v>
      </c>
      <c r="U75" t="s">
        <v>5527</v>
      </c>
      <c r="V75" s="17">
        <v>46101</v>
      </c>
      <c r="W75" s="17">
        <v>46056</v>
      </c>
      <c r="X75" s="17">
        <v>46084</v>
      </c>
      <c r="Y75">
        <v>-78</v>
      </c>
      <c r="Z75">
        <v>1</v>
      </c>
      <c r="AA75">
        <v>0.93333333333333335</v>
      </c>
      <c r="AB75">
        <v>1541.3333333333333</v>
      </c>
      <c r="AC75" s="17"/>
      <c r="AE75">
        <v>30000</v>
      </c>
      <c r="AF75">
        <v>30000</v>
      </c>
      <c r="AG75">
        <v>30000</v>
      </c>
      <c r="AH75">
        <v>30000</v>
      </c>
      <c r="AI75">
        <v>0</v>
      </c>
      <c r="AJ75">
        <v>0</v>
      </c>
      <c r="AW75">
        <v>0</v>
      </c>
      <c r="BJ75">
        <v>0</v>
      </c>
      <c r="BW75">
        <v>0</v>
      </c>
      <c r="CJ75">
        <v>0</v>
      </c>
      <c r="CW75">
        <v>30000</v>
      </c>
      <c r="CZ75">
        <v>30000</v>
      </c>
      <c r="DJ75">
        <v>0</v>
      </c>
      <c r="DW75">
        <v>0</v>
      </c>
      <c r="EJ75">
        <v>30000</v>
      </c>
    </row>
    <row r="76" spans="1:140" hidden="1" x14ac:dyDescent="0.35">
      <c r="A76" t="s">
        <v>4036</v>
      </c>
      <c r="B76" t="s">
        <v>5365</v>
      </c>
      <c r="D76" t="s">
        <v>5530</v>
      </c>
      <c r="E76" t="s">
        <v>288</v>
      </c>
      <c r="F76" t="s">
        <v>4074</v>
      </c>
      <c r="G76" t="s">
        <v>4075</v>
      </c>
      <c r="H76" t="s">
        <v>5531</v>
      </c>
      <c r="I76" t="s">
        <v>5368</v>
      </c>
      <c r="J76" t="s">
        <v>3071</v>
      </c>
      <c r="K76" t="s">
        <v>3071</v>
      </c>
      <c r="L76" t="s">
        <v>286</v>
      </c>
      <c r="M76" t="s">
        <v>3130</v>
      </c>
      <c r="N76" t="s">
        <v>89</v>
      </c>
      <c r="O76" t="s">
        <v>249</v>
      </c>
      <c r="P76" t="s">
        <v>3088</v>
      </c>
      <c r="Q76" t="s">
        <v>3075</v>
      </c>
      <c r="R76" t="s">
        <v>2513</v>
      </c>
      <c r="S76" t="s">
        <v>5374</v>
      </c>
      <c r="T76" t="s">
        <v>5485</v>
      </c>
      <c r="U76" t="s">
        <v>5532</v>
      </c>
      <c r="V76" s="17">
        <v>45468</v>
      </c>
      <c r="W76" s="17">
        <v>45474</v>
      </c>
      <c r="X76" s="17">
        <v>45838</v>
      </c>
      <c r="Y76">
        <v>-324</v>
      </c>
      <c r="Z76">
        <v>12</v>
      </c>
      <c r="AA76">
        <v>12.133333333333333</v>
      </c>
      <c r="AB76">
        <v>1549.5333333333333</v>
      </c>
      <c r="AC76" s="17"/>
      <c r="AE76">
        <v>29887</v>
      </c>
      <c r="AF76">
        <v>358644</v>
      </c>
      <c r="AG76">
        <v>29887</v>
      </c>
      <c r="AH76">
        <v>358644</v>
      </c>
      <c r="AI76">
        <v>0</v>
      </c>
      <c r="AJ76">
        <v>0</v>
      </c>
      <c r="AW76">
        <v>0</v>
      </c>
      <c r="BJ76">
        <v>0</v>
      </c>
      <c r="BW76">
        <v>179322</v>
      </c>
      <c r="CD76">
        <v>29887</v>
      </c>
      <c r="CE76">
        <v>29887</v>
      </c>
      <c r="CF76">
        <v>29887</v>
      </c>
      <c r="CG76">
        <v>29887</v>
      </c>
      <c r="CH76">
        <v>29887</v>
      </c>
      <c r="CI76">
        <v>29887</v>
      </c>
      <c r="CJ76">
        <v>179322</v>
      </c>
      <c r="CK76">
        <v>29887</v>
      </c>
      <c r="CL76">
        <v>29887</v>
      </c>
      <c r="CM76">
        <v>29887</v>
      </c>
      <c r="CN76">
        <v>29887</v>
      </c>
      <c r="CO76">
        <v>29887</v>
      </c>
      <c r="CP76">
        <v>29887</v>
      </c>
      <c r="CW76">
        <v>0</v>
      </c>
      <c r="DJ76">
        <v>0</v>
      </c>
      <c r="DW76">
        <v>0</v>
      </c>
      <c r="EJ76">
        <v>179322</v>
      </c>
    </row>
    <row r="77" spans="1:140" hidden="1" x14ac:dyDescent="0.35">
      <c r="A77" t="s">
        <v>4036</v>
      </c>
      <c r="B77" t="s">
        <v>5365</v>
      </c>
      <c r="D77" t="s">
        <v>5533</v>
      </c>
      <c r="E77" t="s">
        <v>288</v>
      </c>
      <c r="F77" t="s">
        <v>4074</v>
      </c>
      <c r="G77" t="s">
        <v>4075</v>
      </c>
      <c r="H77" t="s">
        <v>5534</v>
      </c>
      <c r="I77" t="s">
        <v>5373</v>
      </c>
      <c r="J77" t="s">
        <v>3071</v>
      </c>
      <c r="K77" t="s">
        <v>3071</v>
      </c>
      <c r="L77" t="s">
        <v>286</v>
      </c>
      <c r="M77" t="s">
        <v>3130</v>
      </c>
      <c r="N77" t="s">
        <v>89</v>
      </c>
      <c r="O77" t="s">
        <v>249</v>
      </c>
      <c r="P77" t="s">
        <v>3088</v>
      </c>
      <c r="Q77" t="s">
        <v>3075</v>
      </c>
      <c r="R77" t="s">
        <v>2513</v>
      </c>
      <c r="S77" t="s">
        <v>5374</v>
      </c>
      <c r="T77" t="s">
        <v>1576</v>
      </c>
      <c r="U77" t="s">
        <v>5532</v>
      </c>
      <c r="V77" s="17">
        <v>45835</v>
      </c>
      <c r="W77" s="17">
        <v>45839</v>
      </c>
      <c r="X77" s="17">
        <v>46143</v>
      </c>
      <c r="Y77">
        <v>-19</v>
      </c>
      <c r="Z77">
        <v>10</v>
      </c>
      <c r="AA77">
        <v>10.133333333333333</v>
      </c>
      <c r="AB77">
        <v>1539.3666666666666</v>
      </c>
      <c r="AC77" s="17"/>
      <c r="AE77">
        <v>29887</v>
      </c>
      <c r="AF77">
        <v>298870</v>
      </c>
      <c r="AG77">
        <v>29887</v>
      </c>
      <c r="AH77">
        <v>298870</v>
      </c>
      <c r="AI77">
        <v>0</v>
      </c>
      <c r="AJ77">
        <v>0</v>
      </c>
      <c r="AW77">
        <v>0</v>
      </c>
      <c r="BJ77">
        <v>0</v>
      </c>
      <c r="BW77">
        <v>0</v>
      </c>
      <c r="CJ77">
        <v>179322</v>
      </c>
      <c r="CQ77">
        <v>29887</v>
      </c>
      <c r="CR77">
        <v>29887</v>
      </c>
      <c r="CS77">
        <v>29887</v>
      </c>
      <c r="CT77">
        <v>29887</v>
      </c>
      <c r="CU77">
        <v>29887</v>
      </c>
      <c r="CV77">
        <v>29887</v>
      </c>
      <c r="CW77">
        <v>119548</v>
      </c>
      <c r="CX77">
        <v>29887</v>
      </c>
      <c r="CY77">
        <v>29887</v>
      </c>
      <c r="CZ77">
        <v>29887</v>
      </c>
      <c r="DA77">
        <v>29887</v>
      </c>
      <c r="DJ77">
        <v>0</v>
      </c>
      <c r="DW77">
        <v>0</v>
      </c>
      <c r="EJ77">
        <v>298870</v>
      </c>
    </row>
    <row r="78" spans="1:140" hidden="1" x14ac:dyDescent="0.35">
      <c r="A78" t="s">
        <v>4036</v>
      </c>
      <c r="B78" t="s">
        <v>5462</v>
      </c>
      <c r="D78" t="s">
        <v>5535</v>
      </c>
      <c r="E78" t="s">
        <v>288</v>
      </c>
      <c r="F78" t="s">
        <v>4074</v>
      </c>
      <c r="G78" t="s">
        <v>4075</v>
      </c>
      <c r="H78" t="s">
        <v>5534</v>
      </c>
      <c r="I78" t="s">
        <v>5373</v>
      </c>
      <c r="J78" t="s">
        <v>3071</v>
      </c>
      <c r="K78" t="s">
        <v>3071</v>
      </c>
      <c r="L78" t="s">
        <v>286</v>
      </c>
      <c r="M78" t="s">
        <v>3130</v>
      </c>
      <c r="N78" t="s">
        <v>89</v>
      </c>
      <c r="O78" t="s">
        <v>249</v>
      </c>
      <c r="P78" t="s">
        <v>3747</v>
      </c>
      <c r="Q78" t="s">
        <v>3075</v>
      </c>
      <c r="R78" t="s">
        <v>1580</v>
      </c>
      <c r="S78" t="s">
        <v>5374</v>
      </c>
      <c r="T78" t="s">
        <v>1576</v>
      </c>
      <c r="U78" t="s">
        <v>5532</v>
      </c>
      <c r="V78" s="17">
        <v>46139</v>
      </c>
      <c r="W78" s="17">
        <v>46143</v>
      </c>
      <c r="X78" s="17">
        <v>46203</v>
      </c>
      <c r="Y78">
        <v>41</v>
      </c>
      <c r="Z78">
        <v>2</v>
      </c>
      <c r="AA78">
        <v>2</v>
      </c>
      <c r="AB78">
        <v>1537.3666666666666</v>
      </c>
      <c r="AC78" s="17"/>
      <c r="AE78">
        <v>30887</v>
      </c>
      <c r="AF78">
        <v>61774</v>
      </c>
      <c r="AG78">
        <v>30887</v>
      </c>
      <c r="AH78">
        <v>59774</v>
      </c>
      <c r="AI78">
        <v>-2000</v>
      </c>
      <c r="AJ78">
        <v>0</v>
      </c>
      <c r="AW78">
        <v>0</v>
      </c>
      <c r="BJ78">
        <v>0</v>
      </c>
      <c r="BW78">
        <v>0</v>
      </c>
      <c r="CJ78">
        <v>0</v>
      </c>
      <c r="CW78">
        <v>59774</v>
      </c>
      <c r="DB78">
        <v>29887</v>
      </c>
      <c r="DC78">
        <v>29887</v>
      </c>
      <c r="DJ78">
        <v>0</v>
      </c>
      <c r="DW78">
        <v>0</v>
      </c>
      <c r="EJ78">
        <v>59774</v>
      </c>
    </row>
    <row r="79" spans="1:140" hidden="1" x14ac:dyDescent="0.35">
      <c r="A79" t="s">
        <v>4036</v>
      </c>
      <c r="B79" t="s">
        <v>5462</v>
      </c>
      <c r="D79" t="s">
        <v>5536</v>
      </c>
      <c r="E79" t="s">
        <v>587</v>
      </c>
      <c r="F79" t="s">
        <v>4158</v>
      </c>
      <c r="G79" t="s">
        <v>4159</v>
      </c>
      <c r="H79" t="s">
        <v>5537</v>
      </c>
      <c r="I79" t="s">
        <v>5368</v>
      </c>
      <c r="J79" t="s">
        <v>3079</v>
      </c>
      <c r="K79" t="s">
        <v>3079</v>
      </c>
      <c r="L79" t="s">
        <v>584</v>
      </c>
      <c r="M79" t="s">
        <v>249</v>
      </c>
      <c r="N79" t="s">
        <v>585</v>
      </c>
      <c r="O79" t="s">
        <v>249</v>
      </c>
      <c r="P79" t="s">
        <v>3747</v>
      </c>
      <c r="Q79" t="s">
        <v>3075</v>
      </c>
      <c r="R79" t="s">
        <v>2464</v>
      </c>
      <c r="S79" t="s">
        <v>5374</v>
      </c>
      <c r="T79" t="s">
        <v>1576</v>
      </c>
      <c r="U79" t="s">
        <v>5538</v>
      </c>
      <c r="V79" s="17">
        <v>45953</v>
      </c>
      <c r="W79" s="17">
        <v>46021</v>
      </c>
      <c r="X79" s="17">
        <v>46203</v>
      </c>
      <c r="Y79">
        <v>41</v>
      </c>
      <c r="Z79">
        <v>6</v>
      </c>
      <c r="AA79">
        <v>6.0666666666666664</v>
      </c>
      <c r="AB79">
        <v>1537.3666666666666</v>
      </c>
      <c r="AC79" s="17"/>
      <c r="AE79">
        <v>25000</v>
      </c>
      <c r="AF79">
        <v>150000</v>
      </c>
      <c r="AG79">
        <v>25000</v>
      </c>
      <c r="AH79">
        <v>150000</v>
      </c>
      <c r="AI79">
        <v>0</v>
      </c>
      <c r="AJ79">
        <v>0</v>
      </c>
      <c r="AW79">
        <v>0</v>
      </c>
      <c r="BJ79">
        <v>0</v>
      </c>
      <c r="BW79">
        <v>0</v>
      </c>
      <c r="CJ79">
        <v>50000</v>
      </c>
      <c r="CU79">
        <v>25000</v>
      </c>
      <c r="CV79">
        <v>25000</v>
      </c>
      <c r="CW79">
        <v>100000</v>
      </c>
      <c r="CX79">
        <v>25000</v>
      </c>
      <c r="CY79">
        <v>25000</v>
      </c>
      <c r="CZ79">
        <v>25000</v>
      </c>
      <c r="DA79">
        <v>25000</v>
      </c>
      <c r="DJ79">
        <v>0</v>
      </c>
      <c r="DW79">
        <v>0</v>
      </c>
      <c r="EJ79">
        <v>150000</v>
      </c>
    </row>
    <row r="80" spans="1:140" hidden="1" x14ac:dyDescent="0.35">
      <c r="A80" t="s">
        <v>4036</v>
      </c>
      <c r="B80" t="s">
        <v>5365</v>
      </c>
      <c r="D80" t="s">
        <v>5539</v>
      </c>
      <c r="E80" t="s">
        <v>221</v>
      </c>
      <c r="F80" t="s">
        <v>4079</v>
      </c>
      <c r="G80" t="s">
        <v>4080</v>
      </c>
      <c r="H80" t="s">
        <v>5540</v>
      </c>
      <c r="I80" t="s">
        <v>5368</v>
      </c>
      <c r="J80" t="s">
        <v>3071</v>
      </c>
      <c r="K80" t="s">
        <v>3071</v>
      </c>
      <c r="L80" t="s">
        <v>219</v>
      </c>
      <c r="M80" t="s">
        <v>3087</v>
      </c>
      <c r="N80" t="s">
        <v>184</v>
      </c>
      <c r="O80" t="s">
        <v>249</v>
      </c>
      <c r="P80" t="s">
        <v>3088</v>
      </c>
      <c r="Q80" t="s">
        <v>3075</v>
      </c>
      <c r="R80">
        <v>0</v>
      </c>
      <c r="S80">
        <v>0</v>
      </c>
      <c r="T80" t="s">
        <v>5369</v>
      </c>
      <c r="U80" t="s">
        <v>5541</v>
      </c>
      <c r="V80" s="17">
        <v>45219</v>
      </c>
      <c r="W80" s="17">
        <v>45226</v>
      </c>
      <c r="X80" s="17">
        <v>45592</v>
      </c>
      <c r="Y80">
        <v>-570</v>
      </c>
      <c r="Z80">
        <v>12</v>
      </c>
      <c r="AA80">
        <v>12.2</v>
      </c>
      <c r="AB80">
        <v>1557.7333333333333</v>
      </c>
      <c r="AC80" s="17"/>
      <c r="AE80">
        <v>24082.202499999999</v>
      </c>
      <c r="AF80">
        <v>577972.86</v>
      </c>
      <c r="AG80">
        <v>48164.404999999999</v>
      </c>
      <c r="AH80">
        <v>577735.85</v>
      </c>
      <c r="AI80">
        <v>-237.01</v>
      </c>
      <c r="AJ80">
        <v>0</v>
      </c>
      <c r="AW80">
        <v>0</v>
      </c>
      <c r="BJ80">
        <v>74197.91</v>
      </c>
      <c r="BU80">
        <v>32402.23</v>
      </c>
      <c r="BV80">
        <v>41795.68</v>
      </c>
      <c r="BW80">
        <v>503537.94</v>
      </c>
      <c r="BX80">
        <v>54689.13</v>
      </c>
      <c r="BY80">
        <v>54689.13</v>
      </c>
      <c r="BZ80">
        <v>54689.13</v>
      </c>
      <c r="CA80">
        <v>54689.13</v>
      </c>
      <c r="CB80">
        <v>54689.13</v>
      </c>
      <c r="CC80">
        <v>54689.13</v>
      </c>
      <c r="CD80">
        <v>54689.13</v>
      </c>
      <c r="CE80">
        <v>54689.13</v>
      </c>
      <c r="CF80">
        <v>40238.01</v>
      </c>
      <c r="CG80">
        <v>25786.89</v>
      </c>
      <c r="CJ80">
        <v>0</v>
      </c>
      <c r="CW80">
        <v>0</v>
      </c>
      <c r="DJ80">
        <v>0</v>
      </c>
      <c r="DW80">
        <v>0</v>
      </c>
      <c r="EJ80">
        <v>0</v>
      </c>
    </row>
    <row r="81" spans="1:140" hidden="1" x14ac:dyDescent="0.35">
      <c r="A81" t="s">
        <v>4036</v>
      </c>
      <c r="B81" t="s">
        <v>5365</v>
      </c>
      <c r="D81" t="s">
        <v>5542</v>
      </c>
      <c r="E81" t="s">
        <v>221</v>
      </c>
      <c r="F81" t="s">
        <v>4079</v>
      </c>
      <c r="G81" t="s">
        <v>4080</v>
      </c>
      <c r="H81" t="s">
        <v>5543</v>
      </c>
      <c r="I81" t="s">
        <v>5373</v>
      </c>
      <c r="J81" t="s">
        <v>3071</v>
      </c>
      <c r="K81" t="s">
        <v>3071</v>
      </c>
      <c r="L81" t="s">
        <v>219</v>
      </c>
      <c r="M81" t="s">
        <v>3087</v>
      </c>
      <c r="N81" t="s">
        <v>184</v>
      </c>
      <c r="O81" t="s">
        <v>249</v>
      </c>
      <c r="P81" t="s">
        <v>3088</v>
      </c>
      <c r="Q81" t="s">
        <v>3075</v>
      </c>
      <c r="R81" t="s">
        <v>2513</v>
      </c>
      <c r="S81" t="s">
        <v>5374</v>
      </c>
      <c r="T81" t="s">
        <v>5369</v>
      </c>
      <c r="U81" t="s">
        <v>5541</v>
      </c>
      <c r="V81" s="17">
        <v>45562</v>
      </c>
      <c r="W81" s="17">
        <v>45523</v>
      </c>
      <c r="X81" s="17">
        <v>45688</v>
      </c>
      <c r="Y81">
        <v>-474</v>
      </c>
      <c r="Z81">
        <v>5</v>
      </c>
      <c r="AA81">
        <v>5.5</v>
      </c>
      <c r="AB81">
        <v>1554.5333333333333</v>
      </c>
      <c r="AC81" s="17"/>
      <c r="AE81">
        <v>28638.12</v>
      </c>
      <c r="AF81">
        <v>143190.6</v>
      </c>
      <c r="AG81">
        <v>28638.12</v>
      </c>
      <c r="AH81">
        <v>143190.6</v>
      </c>
      <c r="AI81">
        <v>0</v>
      </c>
      <c r="AJ81">
        <v>0</v>
      </c>
      <c r="AW81">
        <v>0</v>
      </c>
      <c r="BJ81">
        <v>0</v>
      </c>
      <c r="BW81">
        <v>112902.48</v>
      </c>
      <c r="CF81">
        <v>30288.12</v>
      </c>
      <c r="CG81">
        <v>27538.12</v>
      </c>
      <c r="CH81">
        <v>27538.12</v>
      </c>
      <c r="CI81">
        <v>27538.12</v>
      </c>
      <c r="CJ81">
        <v>30288.12</v>
      </c>
      <c r="CK81">
        <v>30288.12</v>
      </c>
      <c r="CW81">
        <v>0</v>
      </c>
      <c r="DJ81">
        <v>0</v>
      </c>
      <c r="DW81">
        <v>0</v>
      </c>
      <c r="EJ81">
        <v>30288.12</v>
      </c>
    </row>
    <row r="82" spans="1:140" hidden="1" x14ac:dyDescent="0.35">
      <c r="A82" t="s">
        <v>4036</v>
      </c>
      <c r="B82" t="s">
        <v>5365</v>
      </c>
      <c r="D82" t="s">
        <v>5544</v>
      </c>
      <c r="E82" t="s">
        <v>221</v>
      </c>
      <c r="F82" t="s">
        <v>4079</v>
      </c>
      <c r="G82" t="s">
        <v>4080</v>
      </c>
      <c r="H82" t="s">
        <v>5543</v>
      </c>
      <c r="I82" t="s">
        <v>5373</v>
      </c>
      <c r="J82" t="s">
        <v>3071</v>
      </c>
      <c r="K82" t="s">
        <v>3071</v>
      </c>
      <c r="L82" t="s">
        <v>219</v>
      </c>
      <c r="M82" t="s">
        <v>3087</v>
      </c>
      <c r="N82" t="s">
        <v>184</v>
      </c>
      <c r="O82" t="s">
        <v>249</v>
      </c>
      <c r="P82" t="s">
        <v>3088</v>
      </c>
      <c r="Q82" t="s">
        <v>3075</v>
      </c>
      <c r="R82" t="s">
        <v>2513</v>
      </c>
      <c r="S82" t="s">
        <v>5374</v>
      </c>
      <c r="T82" t="s">
        <v>1576</v>
      </c>
      <c r="U82" t="s">
        <v>5541</v>
      </c>
      <c r="V82" s="17">
        <v>45595</v>
      </c>
      <c r="W82" s="17">
        <v>45592</v>
      </c>
      <c r="X82" s="17">
        <v>45848</v>
      </c>
      <c r="Y82">
        <v>-314</v>
      </c>
      <c r="Z82">
        <v>8.5</v>
      </c>
      <c r="AA82">
        <v>8.5333333333333332</v>
      </c>
      <c r="AB82">
        <v>1549.2</v>
      </c>
      <c r="AC82" s="17"/>
      <c r="AE82">
        <v>49971.347000000002</v>
      </c>
      <c r="AF82">
        <v>424756.44949999999</v>
      </c>
      <c r="AG82">
        <v>49971.347000000002</v>
      </c>
      <c r="AH82">
        <v>424756.44500000001</v>
      </c>
      <c r="AI82">
        <v>-4.4999999999999997E-3</v>
      </c>
      <c r="AJ82">
        <v>0</v>
      </c>
      <c r="AW82">
        <v>0</v>
      </c>
      <c r="BJ82">
        <v>0</v>
      </c>
      <c r="BW82">
        <v>83038.34</v>
      </c>
      <c r="CH82">
        <v>53767.81</v>
      </c>
      <c r="CI82">
        <v>29270.53</v>
      </c>
      <c r="CJ82">
        <v>341718.10499999998</v>
      </c>
      <c r="CK82">
        <v>29270.53</v>
      </c>
      <c r="CL82">
        <v>56808.65</v>
      </c>
      <c r="CM82">
        <v>56808.65</v>
      </c>
      <c r="CN82">
        <v>56808.65</v>
      </c>
      <c r="CO82">
        <v>56808.65</v>
      </c>
      <c r="CP82">
        <v>56808.65</v>
      </c>
      <c r="CQ82">
        <v>28404.325000000001</v>
      </c>
      <c r="CW82">
        <v>0</v>
      </c>
      <c r="DJ82">
        <v>0</v>
      </c>
      <c r="DW82">
        <v>0</v>
      </c>
      <c r="EJ82">
        <v>341718.10499999998</v>
      </c>
    </row>
    <row r="83" spans="1:140" hidden="1" x14ac:dyDescent="0.35">
      <c r="A83" t="s">
        <v>4036</v>
      </c>
      <c r="B83" t="s">
        <v>5365</v>
      </c>
      <c r="D83" t="s">
        <v>5545</v>
      </c>
      <c r="E83" t="s">
        <v>221</v>
      </c>
      <c r="F83" t="s">
        <v>4079</v>
      </c>
      <c r="G83" t="s">
        <v>4080</v>
      </c>
      <c r="H83" t="s">
        <v>5543</v>
      </c>
      <c r="I83" t="s">
        <v>5373</v>
      </c>
      <c r="J83" t="s">
        <v>3071</v>
      </c>
      <c r="K83" t="s">
        <v>3071</v>
      </c>
      <c r="L83" t="s">
        <v>219</v>
      </c>
      <c r="M83" t="s">
        <v>3087</v>
      </c>
      <c r="N83" t="s">
        <v>184</v>
      </c>
      <c r="O83" t="s">
        <v>249</v>
      </c>
      <c r="P83" t="s">
        <v>3088</v>
      </c>
      <c r="Q83" t="s">
        <v>3075</v>
      </c>
      <c r="R83" t="s">
        <v>2513</v>
      </c>
      <c r="S83" t="s">
        <v>5374</v>
      </c>
      <c r="T83" t="s">
        <v>1576</v>
      </c>
      <c r="U83" t="s">
        <v>5546</v>
      </c>
      <c r="V83" s="17">
        <v>45797</v>
      </c>
      <c r="W83" s="17">
        <v>45848</v>
      </c>
      <c r="X83" s="17">
        <v>45938</v>
      </c>
      <c r="Y83">
        <v>-224</v>
      </c>
      <c r="Z83">
        <v>3</v>
      </c>
      <c r="AA83">
        <v>3</v>
      </c>
      <c r="AB83">
        <v>1546.2</v>
      </c>
      <c r="AC83" s="17"/>
      <c r="AE83">
        <v>28404.325000000001</v>
      </c>
      <c r="AF83">
        <v>170425.95</v>
      </c>
      <c r="AG83">
        <v>56808.65</v>
      </c>
      <c r="AH83">
        <v>170425.95</v>
      </c>
      <c r="AI83">
        <v>0</v>
      </c>
      <c r="AJ83">
        <v>0</v>
      </c>
      <c r="AW83">
        <v>0</v>
      </c>
      <c r="BJ83">
        <v>0</v>
      </c>
      <c r="BW83">
        <v>0</v>
      </c>
      <c r="CJ83">
        <v>170425.95</v>
      </c>
      <c r="CQ83">
        <v>28404.325000000001</v>
      </c>
      <c r="CR83">
        <v>56808.65</v>
      </c>
      <c r="CS83">
        <v>56808.65</v>
      </c>
      <c r="CT83">
        <v>28404.325000000001</v>
      </c>
      <c r="CW83">
        <v>0</v>
      </c>
      <c r="DJ83">
        <v>0</v>
      </c>
      <c r="DW83">
        <v>0</v>
      </c>
      <c r="EJ83">
        <v>170425.95</v>
      </c>
    </row>
    <row r="84" spans="1:140" hidden="1" x14ac:dyDescent="0.35">
      <c r="A84" t="s">
        <v>4036</v>
      </c>
      <c r="B84" t="s">
        <v>5365</v>
      </c>
      <c r="D84" t="s">
        <v>5547</v>
      </c>
      <c r="E84" t="s">
        <v>221</v>
      </c>
      <c r="F84" t="s">
        <v>4079</v>
      </c>
      <c r="G84" t="s">
        <v>4080</v>
      </c>
      <c r="H84" t="s">
        <v>5543</v>
      </c>
      <c r="I84" t="s">
        <v>5373</v>
      </c>
      <c r="J84" t="s">
        <v>3071</v>
      </c>
      <c r="K84" t="s">
        <v>3071</v>
      </c>
      <c r="L84" t="s">
        <v>219</v>
      </c>
      <c r="M84" t="s">
        <v>3087</v>
      </c>
      <c r="N84" t="s">
        <v>184</v>
      </c>
      <c r="O84" t="s">
        <v>249</v>
      </c>
      <c r="P84" t="s">
        <v>3088</v>
      </c>
      <c r="Q84" t="s">
        <v>3075</v>
      </c>
      <c r="R84" t="s">
        <v>2513</v>
      </c>
      <c r="S84" t="s">
        <v>5374</v>
      </c>
      <c r="T84" t="s">
        <v>1576</v>
      </c>
      <c r="U84" t="s">
        <v>5546</v>
      </c>
      <c r="V84" s="17">
        <v>45930</v>
      </c>
      <c r="W84" s="17">
        <v>45938</v>
      </c>
      <c r="X84" s="17">
        <v>46028</v>
      </c>
      <c r="Y84">
        <v>-134</v>
      </c>
      <c r="Z84">
        <v>3</v>
      </c>
      <c r="AA84">
        <v>3</v>
      </c>
      <c r="AB84">
        <v>1543.2</v>
      </c>
      <c r="AC84" s="17"/>
      <c r="AE84">
        <v>21312.333299999998</v>
      </c>
      <c r="AF84">
        <v>191811</v>
      </c>
      <c r="AG84">
        <v>63937</v>
      </c>
      <c r="AH84">
        <v>191811</v>
      </c>
      <c r="AI84">
        <v>0</v>
      </c>
      <c r="AJ84">
        <v>0</v>
      </c>
      <c r="AW84">
        <v>0</v>
      </c>
      <c r="BJ84">
        <v>0</v>
      </c>
      <c r="BW84">
        <v>0</v>
      </c>
      <c r="CJ84">
        <v>159842.5</v>
      </c>
      <c r="CT84">
        <v>31968.5</v>
      </c>
      <c r="CU84">
        <v>63937</v>
      </c>
      <c r="CV84">
        <v>63937</v>
      </c>
      <c r="CW84">
        <v>31968.5</v>
      </c>
      <c r="CX84">
        <v>31968.5</v>
      </c>
      <c r="DJ84">
        <v>0</v>
      </c>
      <c r="DW84">
        <v>0</v>
      </c>
      <c r="EJ84">
        <v>191811</v>
      </c>
    </row>
    <row r="85" spans="1:140" hidden="1" x14ac:dyDescent="0.35">
      <c r="A85" t="s">
        <v>4036</v>
      </c>
      <c r="B85" t="s">
        <v>5365</v>
      </c>
      <c r="D85" t="s">
        <v>5548</v>
      </c>
      <c r="E85" t="s">
        <v>221</v>
      </c>
      <c r="F85" t="s">
        <v>4079</v>
      </c>
      <c r="G85" t="s">
        <v>4080</v>
      </c>
      <c r="H85" t="s">
        <v>5543</v>
      </c>
      <c r="I85" t="s">
        <v>5373</v>
      </c>
      <c r="J85" t="s">
        <v>3071</v>
      </c>
      <c r="K85" t="s">
        <v>3071</v>
      </c>
      <c r="L85" t="s">
        <v>219</v>
      </c>
      <c r="M85" t="s">
        <v>3087</v>
      </c>
      <c r="N85" t="s">
        <v>184</v>
      </c>
      <c r="O85" t="s">
        <v>249</v>
      </c>
      <c r="P85" t="s">
        <v>3989</v>
      </c>
      <c r="Q85" t="s">
        <v>3075</v>
      </c>
      <c r="R85" t="s">
        <v>2513</v>
      </c>
      <c r="S85" t="s">
        <v>5374</v>
      </c>
      <c r="T85" t="s">
        <v>1576</v>
      </c>
      <c r="U85" t="s">
        <v>5546</v>
      </c>
      <c r="V85" s="17">
        <v>46052</v>
      </c>
      <c r="W85" s="17">
        <v>46028</v>
      </c>
      <c r="X85" s="17">
        <v>46118</v>
      </c>
      <c r="Y85">
        <v>-44</v>
      </c>
      <c r="Z85">
        <v>3</v>
      </c>
      <c r="AA85">
        <v>3</v>
      </c>
      <c r="AB85">
        <v>1540.2</v>
      </c>
      <c r="AC85" s="17"/>
      <c r="AE85">
        <v>0</v>
      </c>
      <c r="AF85">
        <v>139423.39000000001</v>
      </c>
      <c r="AG85">
        <v>46474.463300000003</v>
      </c>
      <c r="AH85">
        <v>139423.39000000001</v>
      </c>
      <c r="AI85">
        <v>0</v>
      </c>
      <c r="AJ85">
        <v>0</v>
      </c>
      <c r="AW85">
        <v>0</v>
      </c>
      <c r="BJ85">
        <v>0</v>
      </c>
      <c r="BW85">
        <v>0</v>
      </c>
      <c r="CJ85">
        <v>0</v>
      </c>
      <c r="CW85">
        <v>139423.39000000001</v>
      </c>
      <c r="CY85">
        <v>63937.01</v>
      </c>
      <c r="CZ85">
        <v>37743.19</v>
      </c>
      <c r="DA85">
        <v>37743.19</v>
      </c>
      <c r="DJ85">
        <v>0</v>
      </c>
      <c r="DW85">
        <v>0</v>
      </c>
      <c r="EJ85">
        <v>139423.39000000001</v>
      </c>
    </row>
    <row r="86" spans="1:140" hidden="1" x14ac:dyDescent="0.35">
      <c r="A86" t="s">
        <v>4036</v>
      </c>
      <c r="B86" t="s">
        <v>5365</v>
      </c>
      <c r="D86" t="s">
        <v>5549</v>
      </c>
      <c r="E86" t="s">
        <v>221</v>
      </c>
      <c r="F86" t="s">
        <v>4079</v>
      </c>
      <c r="G86" t="s">
        <v>4080</v>
      </c>
      <c r="H86" t="s">
        <v>5543</v>
      </c>
      <c r="I86" t="s">
        <v>5373</v>
      </c>
      <c r="J86" t="s">
        <v>3071</v>
      </c>
      <c r="K86" t="s">
        <v>3071</v>
      </c>
      <c r="L86" t="s">
        <v>219</v>
      </c>
      <c r="M86" t="s">
        <v>3087</v>
      </c>
      <c r="N86" t="s">
        <v>184</v>
      </c>
      <c r="O86" t="s">
        <v>249</v>
      </c>
      <c r="P86" t="s">
        <v>3088</v>
      </c>
      <c r="Q86" t="s">
        <v>3075</v>
      </c>
      <c r="R86" t="s">
        <v>2513</v>
      </c>
      <c r="S86" t="s">
        <v>5374</v>
      </c>
      <c r="T86" t="s">
        <v>1576</v>
      </c>
      <c r="U86" t="s">
        <v>5546</v>
      </c>
      <c r="V86" s="17">
        <v>46010</v>
      </c>
      <c r="W86" s="17">
        <v>46028</v>
      </c>
      <c r="X86" s="17">
        <v>46059</v>
      </c>
      <c r="Y86">
        <v>-103</v>
      </c>
      <c r="Z86">
        <v>1</v>
      </c>
      <c r="AA86">
        <v>1.0333333333333334</v>
      </c>
      <c r="AB86">
        <v>1542.1666666666667</v>
      </c>
      <c r="AC86" s="17"/>
      <c r="AE86">
        <v>31968.5</v>
      </c>
      <c r="AF86">
        <v>63937</v>
      </c>
      <c r="AG86">
        <v>63937</v>
      </c>
      <c r="AH86">
        <v>63937</v>
      </c>
      <c r="AI86">
        <v>0</v>
      </c>
      <c r="AJ86">
        <v>0</v>
      </c>
      <c r="AW86">
        <v>0</v>
      </c>
      <c r="BJ86">
        <v>0</v>
      </c>
      <c r="BW86">
        <v>0</v>
      </c>
      <c r="CJ86">
        <v>0</v>
      </c>
      <c r="CW86">
        <v>63937</v>
      </c>
      <c r="CX86">
        <v>31968.5</v>
      </c>
      <c r="CY86">
        <v>31968.5</v>
      </c>
      <c r="DJ86">
        <v>0</v>
      </c>
      <c r="DW86">
        <v>0</v>
      </c>
      <c r="EJ86">
        <v>63937</v>
      </c>
    </row>
    <row r="87" spans="1:140" hidden="1" x14ac:dyDescent="0.35">
      <c r="A87" t="s">
        <v>4036</v>
      </c>
      <c r="B87" t="s">
        <v>5365</v>
      </c>
      <c r="D87" t="s">
        <v>5550</v>
      </c>
      <c r="E87" t="s">
        <v>5202</v>
      </c>
      <c r="F87" t="s">
        <v>5203</v>
      </c>
      <c r="G87" t="s">
        <v>5204</v>
      </c>
      <c r="H87" t="s">
        <v>5551</v>
      </c>
      <c r="I87" t="s">
        <v>5368</v>
      </c>
      <c r="J87" t="s">
        <v>5102</v>
      </c>
      <c r="K87" t="s">
        <v>5102</v>
      </c>
      <c r="L87" t="s">
        <v>5205</v>
      </c>
      <c r="M87" t="s">
        <v>249</v>
      </c>
      <c r="N87" t="s">
        <v>5205</v>
      </c>
      <c r="O87" t="s">
        <v>5151</v>
      </c>
      <c r="P87" t="s">
        <v>3249</v>
      </c>
      <c r="Q87" t="s">
        <v>3075</v>
      </c>
      <c r="R87" t="s">
        <v>5116</v>
      </c>
      <c r="S87" t="s">
        <v>5452</v>
      </c>
      <c r="T87" t="s">
        <v>2363</v>
      </c>
      <c r="U87" t="s">
        <v>5552</v>
      </c>
      <c r="V87" s="17">
        <v>45898</v>
      </c>
      <c r="W87" s="17">
        <v>45992</v>
      </c>
      <c r="X87" s="17">
        <v>46113</v>
      </c>
      <c r="Y87">
        <v>-49</v>
      </c>
      <c r="Z87">
        <v>4</v>
      </c>
      <c r="AA87">
        <v>4.0333333333333332</v>
      </c>
      <c r="AB87">
        <v>1540.3666666666666</v>
      </c>
      <c r="AC87" s="17"/>
      <c r="AE87">
        <v>62500</v>
      </c>
      <c r="AF87">
        <v>250000</v>
      </c>
      <c r="AG87">
        <v>62500</v>
      </c>
      <c r="AH87">
        <v>250000</v>
      </c>
      <c r="AI87">
        <v>0</v>
      </c>
      <c r="AJ87">
        <v>0</v>
      </c>
      <c r="AW87">
        <v>0</v>
      </c>
      <c r="BJ87">
        <v>0</v>
      </c>
      <c r="BW87">
        <v>0</v>
      </c>
      <c r="CJ87">
        <v>187500</v>
      </c>
      <c r="CT87">
        <v>62500</v>
      </c>
      <c r="CU87">
        <v>62500</v>
      </c>
      <c r="CV87">
        <v>62500</v>
      </c>
      <c r="CW87">
        <v>62500</v>
      </c>
      <c r="CX87">
        <v>62500</v>
      </c>
      <c r="DJ87">
        <v>0</v>
      </c>
      <c r="DW87">
        <v>0</v>
      </c>
      <c r="EJ87">
        <v>250000</v>
      </c>
    </row>
    <row r="88" spans="1:140" hidden="1" x14ac:dyDescent="0.35">
      <c r="A88" t="s">
        <v>4036</v>
      </c>
      <c r="B88" t="s">
        <v>249</v>
      </c>
      <c r="D88" t="s">
        <v>5553</v>
      </c>
      <c r="E88" t="s">
        <v>317</v>
      </c>
      <c r="F88" t="s">
        <v>4083</v>
      </c>
      <c r="G88" t="s">
        <v>4084</v>
      </c>
      <c r="H88" t="s">
        <v>5554</v>
      </c>
      <c r="I88" t="s">
        <v>5368</v>
      </c>
      <c r="J88" t="s">
        <v>3071</v>
      </c>
      <c r="K88" t="s">
        <v>3071</v>
      </c>
      <c r="L88" t="s">
        <v>316</v>
      </c>
      <c r="M88" t="s">
        <v>3153</v>
      </c>
      <c r="N88" t="s">
        <v>89</v>
      </c>
      <c r="O88" t="s">
        <v>3107</v>
      </c>
      <c r="P88" t="s">
        <v>3747</v>
      </c>
      <c r="Q88" t="s">
        <v>3075</v>
      </c>
      <c r="R88" t="s">
        <v>1580</v>
      </c>
      <c r="S88" t="s">
        <v>5452</v>
      </c>
      <c r="T88" t="s">
        <v>1576</v>
      </c>
      <c r="U88" t="s">
        <v>5555</v>
      </c>
      <c r="V88" s="17">
        <v>45726</v>
      </c>
      <c r="W88" s="17">
        <v>45762</v>
      </c>
      <c r="X88" s="17">
        <v>46331</v>
      </c>
      <c r="Y88">
        <v>169</v>
      </c>
      <c r="Z88">
        <v>19</v>
      </c>
      <c r="AA88">
        <v>18.966666666666665</v>
      </c>
      <c r="AB88">
        <v>1533.1</v>
      </c>
      <c r="AC88" s="17"/>
      <c r="AE88">
        <v>24853.95</v>
      </c>
      <c r="AF88">
        <v>2700000.25</v>
      </c>
      <c r="AG88">
        <v>142105.2763</v>
      </c>
      <c r="AH88">
        <v>2700000.3100999999</v>
      </c>
      <c r="AI88">
        <v>6.0100000000000001E-2</v>
      </c>
      <c r="AJ88">
        <v>0</v>
      </c>
      <c r="AW88">
        <v>0</v>
      </c>
      <c r="BJ88">
        <v>0</v>
      </c>
      <c r="BW88">
        <v>0</v>
      </c>
      <c r="CJ88">
        <v>1558130.5597999999</v>
      </c>
      <c r="CM88">
        <v>105894.89780000001</v>
      </c>
      <c r="CN88">
        <v>161488.21530000001</v>
      </c>
      <c r="CO88">
        <v>177513.13190000001</v>
      </c>
      <c r="CP88">
        <v>175763.13190000001</v>
      </c>
      <c r="CQ88">
        <v>174763.13190000001</v>
      </c>
      <c r="CR88">
        <v>175763.13190000001</v>
      </c>
      <c r="CS88">
        <v>177013.13190000001</v>
      </c>
      <c r="CT88">
        <v>137143.92910000001</v>
      </c>
      <c r="CU88">
        <v>135643.92910000001</v>
      </c>
      <c r="CV88">
        <v>137143.92910000001</v>
      </c>
      <c r="CW88">
        <v>1141869.7501999999</v>
      </c>
      <c r="CX88">
        <v>135643.92910000001</v>
      </c>
      <c r="CY88">
        <v>137143.92910000001</v>
      </c>
      <c r="CZ88">
        <v>135643.92910000001</v>
      </c>
      <c r="DA88">
        <v>137143.92910000001</v>
      </c>
      <c r="DB88">
        <v>135643.92910000001</v>
      </c>
      <c r="DC88">
        <v>137143.92910000001</v>
      </c>
      <c r="DD88">
        <v>135643.92910000001</v>
      </c>
      <c r="DE88">
        <v>142643.92910000001</v>
      </c>
      <c r="DF88">
        <v>45218.317499999997</v>
      </c>
      <c r="DJ88">
        <v>0</v>
      </c>
      <c r="DW88">
        <v>0</v>
      </c>
      <c r="EJ88">
        <v>2700000.3099999996</v>
      </c>
    </row>
    <row r="89" spans="1:140" hidden="1" x14ac:dyDescent="0.35">
      <c r="A89" t="s">
        <v>4036</v>
      </c>
      <c r="B89" t="s">
        <v>5365</v>
      </c>
      <c r="D89" t="s">
        <v>5556</v>
      </c>
      <c r="E89" t="s">
        <v>317</v>
      </c>
      <c r="F89" t="s">
        <v>4083</v>
      </c>
      <c r="G89" t="s">
        <v>4084</v>
      </c>
      <c r="H89" t="s">
        <v>5557</v>
      </c>
      <c r="I89" t="s">
        <v>5373</v>
      </c>
      <c r="J89" t="s">
        <v>3071</v>
      </c>
      <c r="K89" t="s">
        <v>3071</v>
      </c>
      <c r="L89" t="s">
        <v>316</v>
      </c>
      <c r="M89" t="s">
        <v>3153</v>
      </c>
      <c r="N89" t="s">
        <v>89</v>
      </c>
      <c r="O89" t="s">
        <v>3107</v>
      </c>
      <c r="P89" t="s">
        <v>3747</v>
      </c>
      <c r="Q89" t="s">
        <v>3075</v>
      </c>
      <c r="R89" t="s">
        <v>3805</v>
      </c>
      <c r="S89" t="s">
        <v>5374</v>
      </c>
      <c r="T89" t="s">
        <v>1576</v>
      </c>
      <c r="U89" t="s">
        <v>5558</v>
      </c>
      <c r="V89" s="17">
        <v>45988</v>
      </c>
      <c r="W89" s="17">
        <v>45988</v>
      </c>
      <c r="X89" s="17">
        <v>46049</v>
      </c>
      <c r="Y89">
        <v>-113</v>
      </c>
      <c r="Z89">
        <v>2</v>
      </c>
      <c r="AA89">
        <v>2.0333333333333332</v>
      </c>
      <c r="AB89">
        <v>1542.5</v>
      </c>
      <c r="AC89" s="17"/>
      <c r="AE89">
        <v>0</v>
      </c>
      <c r="AF89">
        <v>60000</v>
      </c>
      <c r="AG89">
        <v>30000</v>
      </c>
      <c r="AH89">
        <v>60000</v>
      </c>
      <c r="AI89">
        <v>0</v>
      </c>
      <c r="AJ89">
        <v>0</v>
      </c>
      <c r="AW89">
        <v>0</v>
      </c>
      <c r="BJ89">
        <v>0</v>
      </c>
      <c r="BW89">
        <v>0</v>
      </c>
      <c r="CJ89">
        <v>30000</v>
      </c>
      <c r="CV89">
        <v>30000</v>
      </c>
      <c r="CW89">
        <v>30000</v>
      </c>
      <c r="CX89">
        <v>30000</v>
      </c>
      <c r="DJ89">
        <v>0</v>
      </c>
      <c r="DW89">
        <v>0</v>
      </c>
      <c r="EJ89">
        <v>60000</v>
      </c>
    </row>
    <row r="90" spans="1:140" hidden="1" x14ac:dyDescent="0.35">
      <c r="A90" t="s">
        <v>4036</v>
      </c>
      <c r="B90" t="s">
        <v>5365</v>
      </c>
      <c r="D90" t="s">
        <v>5559</v>
      </c>
      <c r="E90" t="s">
        <v>402</v>
      </c>
      <c r="F90" t="s">
        <v>4087</v>
      </c>
      <c r="G90" t="s">
        <v>4088</v>
      </c>
      <c r="H90" t="s">
        <v>5560</v>
      </c>
      <c r="I90" t="s">
        <v>5368</v>
      </c>
      <c r="J90" t="s">
        <v>3071</v>
      </c>
      <c r="K90" t="s">
        <v>3071</v>
      </c>
      <c r="L90" t="s">
        <v>400</v>
      </c>
      <c r="M90" t="s">
        <v>3153</v>
      </c>
      <c r="N90" t="s">
        <v>89</v>
      </c>
      <c r="O90" t="s">
        <v>3153</v>
      </c>
      <c r="P90" t="s">
        <v>3088</v>
      </c>
      <c r="Q90" t="s">
        <v>3075</v>
      </c>
      <c r="R90" t="s">
        <v>2513</v>
      </c>
      <c r="S90" t="s">
        <v>5374</v>
      </c>
      <c r="T90" t="s">
        <v>1576</v>
      </c>
      <c r="U90" t="s">
        <v>5561</v>
      </c>
      <c r="V90" s="17">
        <v>45786</v>
      </c>
      <c r="W90" s="17">
        <v>45799</v>
      </c>
      <c r="X90" s="17">
        <v>46013</v>
      </c>
      <c r="Y90">
        <v>-149</v>
      </c>
      <c r="Z90">
        <v>7</v>
      </c>
      <c r="AA90">
        <v>7.1333333333333337</v>
      </c>
      <c r="AB90">
        <v>1543.7</v>
      </c>
      <c r="AC90" s="17"/>
      <c r="AE90">
        <v>53873.376499999998</v>
      </c>
      <c r="AF90">
        <v>377113.63520000002</v>
      </c>
      <c r="AG90">
        <v>53873.376499999998</v>
      </c>
      <c r="AH90">
        <v>259020.48</v>
      </c>
      <c r="AI90">
        <v>-118093.15519999999</v>
      </c>
      <c r="AJ90">
        <v>0</v>
      </c>
      <c r="AW90">
        <v>0</v>
      </c>
      <c r="BJ90">
        <v>0</v>
      </c>
      <c r="BW90">
        <v>0</v>
      </c>
      <c r="CJ90">
        <v>259020.48</v>
      </c>
      <c r="CP90">
        <v>49403.95</v>
      </c>
      <c r="CQ90">
        <v>49403.95</v>
      </c>
      <c r="CR90">
        <v>49403.95</v>
      </c>
      <c r="CS90">
        <v>36936.21</v>
      </c>
      <c r="CT90">
        <v>36936.21</v>
      </c>
      <c r="CU90">
        <v>36936.21</v>
      </c>
      <c r="CW90">
        <v>0</v>
      </c>
      <c r="DJ90">
        <v>0</v>
      </c>
      <c r="DW90">
        <v>0</v>
      </c>
      <c r="EJ90">
        <v>259020.48</v>
      </c>
    </row>
    <row r="91" spans="1:140" hidden="1" x14ac:dyDescent="0.35">
      <c r="A91" t="s">
        <v>4036</v>
      </c>
      <c r="B91" t="s">
        <v>5365</v>
      </c>
      <c r="D91" t="s">
        <v>5559</v>
      </c>
      <c r="E91" t="s">
        <v>402</v>
      </c>
      <c r="F91" t="s">
        <v>4087</v>
      </c>
      <c r="G91" t="s">
        <v>5186</v>
      </c>
      <c r="H91" t="s">
        <v>5560</v>
      </c>
      <c r="I91" t="s">
        <v>5368</v>
      </c>
      <c r="J91" t="s">
        <v>5102</v>
      </c>
      <c r="K91" t="s">
        <v>5102</v>
      </c>
      <c r="L91" t="s">
        <v>400</v>
      </c>
      <c r="M91" t="s">
        <v>3153</v>
      </c>
      <c r="N91" t="s">
        <v>89</v>
      </c>
      <c r="O91" t="s">
        <v>3153</v>
      </c>
      <c r="P91" t="s">
        <v>3088</v>
      </c>
      <c r="Q91" t="s">
        <v>3075</v>
      </c>
      <c r="R91" t="s">
        <v>2513</v>
      </c>
      <c r="S91" t="s">
        <v>5374</v>
      </c>
      <c r="T91" t="s">
        <v>1576</v>
      </c>
      <c r="U91" t="s">
        <v>5561</v>
      </c>
      <c r="V91" s="17">
        <v>45786</v>
      </c>
      <c r="W91" s="17">
        <v>45799</v>
      </c>
      <c r="X91" s="17">
        <v>46013</v>
      </c>
      <c r="Y91">
        <v>-149</v>
      </c>
      <c r="Z91">
        <v>7</v>
      </c>
      <c r="AA91">
        <v>7.1333333333333337</v>
      </c>
      <c r="AB91">
        <v>1543.7</v>
      </c>
      <c r="AC91" s="17"/>
      <c r="AE91">
        <v>53873.376499999998</v>
      </c>
      <c r="AF91">
        <v>377113.63520000002</v>
      </c>
      <c r="AG91">
        <v>53873.376499999998</v>
      </c>
      <c r="AH91">
        <v>53379.18</v>
      </c>
      <c r="AI91">
        <v>-323734.45520000003</v>
      </c>
      <c r="AJ91">
        <v>0</v>
      </c>
      <c r="AW91">
        <v>0</v>
      </c>
      <c r="BJ91">
        <v>0</v>
      </c>
      <c r="BW91">
        <v>0</v>
      </c>
      <c r="CJ91">
        <v>53379.18</v>
      </c>
      <c r="CP91">
        <v>53379.18</v>
      </c>
      <c r="CW91">
        <v>0</v>
      </c>
      <c r="DJ91">
        <v>0</v>
      </c>
      <c r="DW91">
        <v>0</v>
      </c>
      <c r="EJ91">
        <v>53379.18</v>
      </c>
    </row>
    <row r="92" spans="1:140" hidden="1" x14ac:dyDescent="0.35">
      <c r="A92" t="s">
        <v>4036</v>
      </c>
      <c r="B92" t="s">
        <v>5365</v>
      </c>
      <c r="D92" t="s">
        <v>5559</v>
      </c>
      <c r="E92" t="s">
        <v>402</v>
      </c>
      <c r="F92" t="s">
        <v>4087</v>
      </c>
      <c r="G92" t="s">
        <v>4347</v>
      </c>
      <c r="H92" t="s">
        <v>5560</v>
      </c>
      <c r="I92" t="s">
        <v>5368</v>
      </c>
      <c r="J92" t="s">
        <v>5102</v>
      </c>
      <c r="K92" t="s">
        <v>4313</v>
      </c>
      <c r="L92" t="s">
        <v>400</v>
      </c>
      <c r="M92" t="s">
        <v>3153</v>
      </c>
      <c r="N92" t="s">
        <v>89</v>
      </c>
      <c r="O92" t="s">
        <v>3153</v>
      </c>
      <c r="P92" t="s">
        <v>3088</v>
      </c>
      <c r="Q92" t="s">
        <v>3075</v>
      </c>
      <c r="R92" t="s">
        <v>2513</v>
      </c>
      <c r="S92" t="s">
        <v>5374</v>
      </c>
      <c r="T92" t="s">
        <v>1576</v>
      </c>
      <c r="U92" t="s">
        <v>5561</v>
      </c>
      <c r="V92" s="17">
        <v>45786</v>
      </c>
      <c r="W92" s="17">
        <v>45799</v>
      </c>
      <c r="X92" s="17">
        <v>46013</v>
      </c>
      <c r="Y92">
        <v>-149</v>
      </c>
      <c r="Z92">
        <v>7</v>
      </c>
      <c r="AA92">
        <v>7.1333333333333337</v>
      </c>
      <c r="AB92">
        <v>1543.7</v>
      </c>
      <c r="AC92" s="17"/>
      <c r="AE92">
        <v>53873.376499999998</v>
      </c>
      <c r="AF92">
        <v>377113.63520000002</v>
      </c>
      <c r="AG92">
        <v>53873.376499999998</v>
      </c>
      <c r="AH92">
        <v>64714</v>
      </c>
      <c r="AI92">
        <v>-312399.63520000002</v>
      </c>
      <c r="AJ92">
        <v>0</v>
      </c>
      <c r="AW92">
        <v>0</v>
      </c>
      <c r="BJ92">
        <v>0</v>
      </c>
      <c r="BW92">
        <v>0</v>
      </c>
      <c r="CJ92">
        <v>64714</v>
      </c>
      <c r="CO92">
        <v>64714</v>
      </c>
      <c r="CW92">
        <v>0</v>
      </c>
      <c r="DJ92">
        <v>0</v>
      </c>
      <c r="DW92">
        <v>0</v>
      </c>
      <c r="EJ92">
        <v>64714</v>
      </c>
    </row>
    <row r="93" spans="1:140" hidden="1" x14ac:dyDescent="0.35">
      <c r="A93" t="s">
        <v>4036</v>
      </c>
      <c r="B93" t="s">
        <v>5365</v>
      </c>
      <c r="D93" t="s">
        <v>5562</v>
      </c>
      <c r="E93" t="s">
        <v>402</v>
      </c>
      <c r="F93" t="s">
        <v>4087</v>
      </c>
      <c r="G93" t="s">
        <v>4088</v>
      </c>
      <c r="H93" t="s">
        <v>5563</v>
      </c>
      <c r="I93" t="s">
        <v>5373</v>
      </c>
      <c r="J93" t="s">
        <v>3071</v>
      </c>
      <c r="K93" t="s">
        <v>3071</v>
      </c>
      <c r="L93" t="s">
        <v>400</v>
      </c>
      <c r="M93" t="s">
        <v>3153</v>
      </c>
      <c r="N93" t="s">
        <v>89</v>
      </c>
      <c r="O93" t="s">
        <v>3153</v>
      </c>
      <c r="P93" t="s">
        <v>3088</v>
      </c>
      <c r="Q93" t="s">
        <v>3075</v>
      </c>
      <c r="R93" t="s">
        <v>2513</v>
      </c>
      <c r="S93" t="s">
        <v>5374</v>
      </c>
      <c r="T93" t="s">
        <v>2363</v>
      </c>
      <c r="U93" t="s">
        <v>5564</v>
      </c>
      <c r="V93" s="17">
        <v>45888</v>
      </c>
      <c r="W93" s="17">
        <v>45878</v>
      </c>
      <c r="X93" s="17">
        <v>45970</v>
      </c>
      <c r="Y93">
        <v>-192</v>
      </c>
      <c r="Z93">
        <v>3</v>
      </c>
      <c r="AA93">
        <v>3.0666666666666669</v>
      </c>
      <c r="AB93">
        <v>1545.1333333333334</v>
      </c>
      <c r="AC93" s="17"/>
      <c r="AE93">
        <v>48525.79</v>
      </c>
      <c r="AF93">
        <v>145577.37</v>
      </c>
      <c r="AG93">
        <v>48525.79</v>
      </c>
      <c r="AH93">
        <v>145577.37</v>
      </c>
      <c r="AI93">
        <v>0</v>
      </c>
      <c r="AJ93">
        <v>0</v>
      </c>
      <c r="AW93">
        <v>0</v>
      </c>
      <c r="BJ93">
        <v>0</v>
      </c>
      <c r="BW93">
        <v>0</v>
      </c>
      <c r="CJ93">
        <v>145577.37</v>
      </c>
      <c r="CS93">
        <v>48525.79</v>
      </c>
      <c r="CT93">
        <v>48525.79</v>
      </c>
      <c r="CU93">
        <v>48525.79</v>
      </c>
      <c r="CW93">
        <v>0</v>
      </c>
      <c r="DJ93">
        <v>0</v>
      </c>
      <c r="DW93">
        <v>0</v>
      </c>
      <c r="EJ93">
        <v>145577.37</v>
      </c>
    </row>
    <row r="94" spans="1:140" hidden="1" x14ac:dyDescent="0.35">
      <c r="A94" t="s">
        <v>4036</v>
      </c>
      <c r="B94" t="s">
        <v>249</v>
      </c>
      <c r="D94" t="s">
        <v>5565</v>
      </c>
      <c r="E94" t="s">
        <v>402</v>
      </c>
      <c r="F94" t="s">
        <v>4087</v>
      </c>
      <c r="G94" t="s">
        <v>5186</v>
      </c>
      <c r="H94" t="s">
        <v>5563</v>
      </c>
      <c r="I94" t="s">
        <v>5373</v>
      </c>
      <c r="J94" t="s">
        <v>5102</v>
      </c>
      <c r="K94" t="s">
        <v>5102</v>
      </c>
      <c r="L94" t="s">
        <v>400</v>
      </c>
      <c r="M94" t="s">
        <v>3153</v>
      </c>
      <c r="N94" t="s">
        <v>89</v>
      </c>
      <c r="O94" t="s">
        <v>3153</v>
      </c>
      <c r="P94" t="s">
        <v>3088</v>
      </c>
      <c r="Q94" t="s">
        <v>3075</v>
      </c>
      <c r="R94" t="s">
        <v>5116</v>
      </c>
      <c r="S94" t="s">
        <v>5374</v>
      </c>
      <c r="T94" t="s">
        <v>1576</v>
      </c>
      <c r="U94" t="s">
        <v>5566</v>
      </c>
      <c r="V94" s="17">
        <v>45996</v>
      </c>
      <c r="W94" s="17">
        <v>45970</v>
      </c>
      <c r="X94" s="17">
        <v>46360</v>
      </c>
      <c r="Y94">
        <v>198</v>
      </c>
      <c r="Z94">
        <v>13</v>
      </c>
      <c r="AA94">
        <v>13</v>
      </c>
      <c r="AB94">
        <v>1532.1333333333334</v>
      </c>
      <c r="AC94" s="17"/>
      <c r="AE94">
        <v>7000</v>
      </c>
      <c r="AF94">
        <v>91000</v>
      </c>
      <c r="AG94">
        <v>7000</v>
      </c>
      <c r="AH94">
        <v>91000</v>
      </c>
      <c r="AI94">
        <v>0</v>
      </c>
      <c r="AJ94">
        <v>0</v>
      </c>
      <c r="AW94">
        <v>0</v>
      </c>
      <c r="BJ94">
        <v>0</v>
      </c>
      <c r="BW94">
        <v>0</v>
      </c>
      <c r="CJ94">
        <v>7000</v>
      </c>
      <c r="CV94">
        <v>7000</v>
      </c>
      <c r="CW94">
        <v>84000</v>
      </c>
      <c r="CX94">
        <v>7000</v>
      </c>
      <c r="CY94">
        <v>7000</v>
      </c>
      <c r="CZ94">
        <v>7000</v>
      </c>
      <c r="DA94">
        <v>7000</v>
      </c>
      <c r="DB94">
        <v>7000</v>
      </c>
      <c r="DC94">
        <v>7000</v>
      </c>
      <c r="DD94">
        <v>7000</v>
      </c>
      <c r="DE94">
        <v>7000</v>
      </c>
      <c r="DF94">
        <v>7000</v>
      </c>
      <c r="DG94">
        <v>7000</v>
      </c>
      <c r="DH94">
        <v>7000</v>
      </c>
      <c r="DI94">
        <v>7000</v>
      </c>
      <c r="DJ94">
        <v>0</v>
      </c>
      <c r="DW94">
        <v>0</v>
      </c>
      <c r="EJ94">
        <v>91000</v>
      </c>
    </row>
    <row r="95" spans="1:140" hidden="1" x14ac:dyDescent="0.35">
      <c r="A95" t="s">
        <v>4036</v>
      </c>
      <c r="B95" t="s">
        <v>249</v>
      </c>
      <c r="D95" t="s">
        <v>5567</v>
      </c>
      <c r="E95" t="s">
        <v>402</v>
      </c>
      <c r="F95" t="s">
        <v>4087</v>
      </c>
      <c r="G95" t="s">
        <v>4088</v>
      </c>
      <c r="H95" t="s">
        <v>5563</v>
      </c>
      <c r="I95" t="s">
        <v>5373</v>
      </c>
      <c r="J95" t="s">
        <v>3071</v>
      </c>
      <c r="K95" t="s">
        <v>3071</v>
      </c>
      <c r="L95" t="s">
        <v>400</v>
      </c>
      <c r="M95" t="s">
        <v>3153</v>
      </c>
      <c r="N95" t="s">
        <v>89</v>
      </c>
      <c r="O95" t="s">
        <v>3153</v>
      </c>
      <c r="P95" t="s">
        <v>3088</v>
      </c>
      <c r="Q95" t="s">
        <v>3075</v>
      </c>
      <c r="R95" t="s">
        <v>2513</v>
      </c>
      <c r="S95" t="s">
        <v>5374</v>
      </c>
      <c r="T95" t="s">
        <v>2363</v>
      </c>
      <c r="U95" t="s">
        <v>5568</v>
      </c>
      <c r="V95" s="17">
        <v>46003</v>
      </c>
      <c r="W95" s="17">
        <v>46013</v>
      </c>
      <c r="X95" s="17">
        <v>46378</v>
      </c>
      <c r="Y95">
        <v>216</v>
      </c>
      <c r="Z95">
        <v>12</v>
      </c>
      <c r="AA95">
        <v>12.166666666666666</v>
      </c>
      <c r="AB95">
        <v>1531.5333333333333</v>
      </c>
      <c r="AC95" s="17"/>
      <c r="AE95">
        <v>44683.925000000003</v>
      </c>
      <c r="AF95">
        <v>536207.1</v>
      </c>
      <c r="AG95">
        <v>44683.925000000003</v>
      </c>
      <c r="AH95">
        <v>536207.1</v>
      </c>
      <c r="AI95">
        <v>0</v>
      </c>
      <c r="AJ95">
        <v>0</v>
      </c>
      <c r="AW95">
        <v>0</v>
      </c>
      <c r="BJ95">
        <v>0</v>
      </c>
      <c r="BW95">
        <v>0</v>
      </c>
      <c r="CJ95">
        <v>44683.925000000003</v>
      </c>
      <c r="CV95">
        <v>44683.925000000003</v>
      </c>
      <c r="CW95">
        <v>491523.17499999999</v>
      </c>
      <c r="CX95">
        <v>44683.925000000003</v>
      </c>
      <c r="CY95">
        <v>44683.925000000003</v>
      </c>
      <c r="CZ95">
        <v>44683.925000000003</v>
      </c>
      <c r="DA95">
        <v>44683.925000000003</v>
      </c>
      <c r="DB95">
        <v>44683.925000000003</v>
      </c>
      <c r="DC95">
        <v>44683.925000000003</v>
      </c>
      <c r="DD95">
        <v>44683.925000000003</v>
      </c>
      <c r="DE95">
        <v>44683.925000000003</v>
      </c>
      <c r="DF95">
        <v>44683.925000000003</v>
      </c>
      <c r="DG95">
        <v>44683.925000000003</v>
      </c>
      <c r="DH95">
        <v>44683.925000000003</v>
      </c>
      <c r="DJ95">
        <v>0</v>
      </c>
      <c r="DW95">
        <v>0</v>
      </c>
      <c r="EJ95">
        <v>536207.1</v>
      </c>
    </row>
    <row r="96" spans="1:140" hidden="1" x14ac:dyDescent="0.35">
      <c r="A96" t="s">
        <v>4036</v>
      </c>
      <c r="B96" t="s">
        <v>249</v>
      </c>
      <c r="D96" t="s">
        <v>5569</v>
      </c>
      <c r="E96" t="s">
        <v>117</v>
      </c>
      <c r="F96" t="s">
        <v>4091</v>
      </c>
      <c r="G96" t="s">
        <v>4092</v>
      </c>
      <c r="H96" t="s">
        <v>5570</v>
      </c>
      <c r="I96" t="s">
        <v>5368</v>
      </c>
      <c r="J96" t="s">
        <v>3071</v>
      </c>
      <c r="K96" t="s">
        <v>3071</v>
      </c>
      <c r="L96" t="s">
        <v>115</v>
      </c>
      <c r="M96" t="s">
        <v>3728</v>
      </c>
      <c r="N96" t="s">
        <v>89</v>
      </c>
      <c r="O96" t="s">
        <v>249</v>
      </c>
      <c r="P96" t="s">
        <v>3088</v>
      </c>
      <c r="Q96" t="s">
        <v>3075</v>
      </c>
      <c r="R96" t="s">
        <v>2513</v>
      </c>
      <c r="S96" t="s">
        <v>5452</v>
      </c>
      <c r="T96" t="s">
        <v>1576</v>
      </c>
      <c r="U96" t="s">
        <v>5571</v>
      </c>
      <c r="V96" s="17">
        <v>45618</v>
      </c>
      <c r="W96" s="17">
        <v>45635</v>
      </c>
      <c r="X96" s="17">
        <v>46365</v>
      </c>
      <c r="Y96">
        <v>203</v>
      </c>
      <c r="Z96">
        <v>24</v>
      </c>
      <c r="AA96">
        <v>24.333333333333332</v>
      </c>
      <c r="AB96">
        <v>1531.9666666666667</v>
      </c>
      <c r="AC96" s="17"/>
      <c r="AE96">
        <v>30940</v>
      </c>
      <c r="AF96">
        <v>742560</v>
      </c>
      <c r="AG96">
        <v>30940</v>
      </c>
      <c r="AH96">
        <v>742560</v>
      </c>
      <c r="AI96">
        <v>0</v>
      </c>
      <c r="AJ96">
        <v>0</v>
      </c>
      <c r="AW96">
        <v>0</v>
      </c>
      <c r="BJ96">
        <v>0</v>
      </c>
      <c r="BW96">
        <v>30940</v>
      </c>
      <c r="CI96">
        <v>30940</v>
      </c>
      <c r="CJ96">
        <v>371280</v>
      </c>
      <c r="CK96">
        <v>30940</v>
      </c>
      <c r="CL96">
        <v>30940</v>
      </c>
      <c r="CM96">
        <v>30940</v>
      </c>
      <c r="CN96">
        <v>30940</v>
      </c>
      <c r="CO96">
        <v>30940</v>
      </c>
      <c r="CP96">
        <v>30940</v>
      </c>
      <c r="CQ96">
        <v>30940</v>
      </c>
      <c r="CR96">
        <v>30940</v>
      </c>
      <c r="CS96">
        <v>30940</v>
      </c>
      <c r="CT96">
        <v>30940</v>
      </c>
      <c r="CU96">
        <v>30940</v>
      </c>
      <c r="CV96">
        <v>30940</v>
      </c>
      <c r="CW96">
        <v>340340</v>
      </c>
      <c r="CX96">
        <v>30940</v>
      </c>
      <c r="CY96">
        <v>30940</v>
      </c>
      <c r="CZ96">
        <v>30940</v>
      </c>
      <c r="DA96">
        <v>30940</v>
      </c>
      <c r="DB96">
        <v>30940</v>
      </c>
      <c r="DC96">
        <v>30940</v>
      </c>
      <c r="DD96">
        <v>30940</v>
      </c>
      <c r="DE96">
        <v>30940</v>
      </c>
      <c r="DF96">
        <v>30940</v>
      </c>
      <c r="DG96">
        <v>30940</v>
      </c>
      <c r="DH96">
        <v>30940</v>
      </c>
      <c r="DJ96">
        <v>0</v>
      </c>
      <c r="DW96">
        <v>0</v>
      </c>
      <c r="EJ96">
        <v>711620</v>
      </c>
    </row>
    <row r="97" spans="1:140" hidden="1" x14ac:dyDescent="0.35">
      <c r="A97" t="s">
        <v>4036</v>
      </c>
      <c r="B97" t="s">
        <v>5365</v>
      </c>
      <c r="D97" t="s">
        <v>5572</v>
      </c>
      <c r="E97" t="s">
        <v>379</v>
      </c>
      <c r="F97" t="s">
        <v>4095</v>
      </c>
      <c r="G97" t="s">
        <v>4096</v>
      </c>
      <c r="H97" t="s">
        <v>5573</v>
      </c>
      <c r="I97" t="s">
        <v>5368</v>
      </c>
      <c r="J97" t="s">
        <v>3849</v>
      </c>
      <c r="K97" t="s">
        <v>3849</v>
      </c>
      <c r="L97" t="s">
        <v>132</v>
      </c>
      <c r="M97" t="s">
        <v>3997</v>
      </c>
      <c r="N97" t="s">
        <v>132</v>
      </c>
      <c r="O97" t="s">
        <v>3070</v>
      </c>
      <c r="P97" t="s">
        <v>3879</v>
      </c>
      <c r="Q97" t="s">
        <v>3852</v>
      </c>
      <c r="R97" t="s">
        <v>1580</v>
      </c>
      <c r="S97" t="s">
        <v>5374</v>
      </c>
      <c r="T97" t="s">
        <v>1576</v>
      </c>
      <c r="U97" t="s">
        <v>5574</v>
      </c>
      <c r="V97" s="17">
        <v>45772</v>
      </c>
      <c r="W97" s="17">
        <v>45782</v>
      </c>
      <c r="X97" s="17">
        <v>46112</v>
      </c>
      <c r="Y97">
        <v>-50</v>
      </c>
      <c r="Z97">
        <v>11</v>
      </c>
      <c r="AA97">
        <v>11</v>
      </c>
      <c r="AB97">
        <v>1540.4</v>
      </c>
      <c r="AC97" s="17"/>
      <c r="AE97">
        <v>28925.583999999999</v>
      </c>
      <c r="AF97">
        <v>1590907.12</v>
      </c>
      <c r="AG97">
        <v>144627.92000000001</v>
      </c>
      <c r="AH97">
        <v>1590908.91</v>
      </c>
      <c r="AI97">
        <v>1.79</v>
      </c>
      <c r="AJ97">
        <v>0</v>
      </c>
      <c r="AW97">
        <v>0</v>
      </c>
      <c r="BJ97">
        <v>0</v>
      </c>
      <c r="BW97">
        <v>0</v>
      </c>
      <c r="CJ97">
        <v>1214670</v>
      </c>
      <c r="CO97">
        <v>100686</v>
      </c>
      <c r="CP97">
        <v>98950</v>
      </c>
      <c r="CQ97">
        <v>173339</v>
      </c>
      <c r="CR97">
        <v>168339</v>
      </c>
      <c r="CS97">
        <v>168339</v>
      </c>
      <c r="CT97">
        <v>168339</v>
      </c>
      <c r="CU97">
        <v>168339</v>
      </c>
      <c r="CV97">
        <v>168339</v>
      </c>
      <c r="CW97">
        <v>376238.91</v>
      </c>
      <c r="CX97">
        <v>173338.65</v>
      </c>
      <c r="CY97">
        <v>98950.13</v>
      </c>
      <c r="CZ97">
        <v>103950.13</v>
      </c>
      <c r="DJ97">
        <v>0</v>
      </c>
      <c r="DW97">
        <v>0</v>
      </c>
      <c r="EJ97">
        <v>1590908.91</v>
      </c>
    </row>
    <row r="98" spans="1:140" hidden="1" x14ac:dyDescent="0.35">
      <c r="A98" t="s">
        <v>4036</v>
      </c>
      <c r="B98" t="s">
        <v>249</v>
      </c>
      <c r="D98" t="s">
        <v>5575</v>
      </c>
      <c r="E98" t="s">
        <v>379</v>
      </c>
      <c r="F98" t="s">
        <v>4095</v>
      </c>
      <c r="G98" t="s">
        <v>4096</v>
      </c>
      <c r="H98" t="s">
        <v>5576</v>
      </c>
      <c r="I98" t="s">
        <v>5373</v>
      </c>
      <c r="J98" t="s">
        <v>3849</v>
      </c>
      <c r="K98" t="s">
        <v>3849</v>
      </c>
      <c r="L98" t="s">
        <v>132</v>
      </c>
      <c r="M98" t="s">
        <v>3997</v>
      </c>
      <c r="N98" t="s">
        <v>132</v>
      </c>
      <c r="O98" t="s">
        <v>3070</v>
      </c>
      <c r="P98" t="s">
        <v>3879</v>
      </c>
      <c r="Q98" t="s">
        <v>3852</v>
      </c>
      <c r="R98" t="s">
        <v>2513</v>
      </c>
      <c r="S98" t="s">
        <v>5374</v>
      </c>
      <c r="T98" t="s">
        <v>2363</v>
      </c>
      <c r="U98" t="s">
        <v>5574</v>
      </c>
      <c r="V98" s="17">
        <v>46020</v>
      </c>
      <c r="W98" s="17">
        <v>46086</v>
      </c>
      <c r="X98" s="17">
        <v>46326</v>
      </c>
      <c r="Y98">
        <v>164</v>
      </c>
      <c r="Z98">
        <v>8</v>
      </c>
      <c r="AA98">
        <v>8</v>
      </c>
      <c r="AB98">
        <v>1533.2666666666667</v>
      </c>
      <c r="AC98" s="17"/>
      <c r="AE98">
        <v>28217.546600000001</v>
      </c>
      <c r="AF98">
        <v>902961.49</v>
      </c>
      <c r="AG98">
        <v>112870.1862</v>
      </c>
      <c r="AH98">
        <v>902970.93</v>
      </c>
      <c r="AI98">
        <v>9.44</v>
      </c>
      <c r="AJ98">
        <v>0</v>
      </c>
      <c r="AW98">
        <v>0</v>
      </c>
      <c r="BJ98">
        <v>0</v>
      </c>
      <c r="BW98">
        <v>0</v>
      </c>
      <c r="CJ98">
        <v>0</v>
      </c>
      <c r="CW98">
        <v>902970.93</v>
      </c>
      <c r="CZ98">
        <v>138436.47</v>
      </c>
      <c r="DA98">
        <v>138436.47</v>
      </c>
      <c r="DB98">
        <v>144898.91</v>
      </c>
      <c r="DC98">
        <v>144898.91</v>
      </c>
      <c r="DD98">
        <v>144898.91</v>
      </c>
      <c r="DE98">
        <v>64850.42</v>
      </c>
      <c r="DF98">
        <v>64850.42</v>
      </c>
      <c r="DG98">
        <v>61700.42</v>
      </c>
      <c r="DJ98">
        <v>0</v>
      </c>
      <c r="DW98">
        <v>0</v>
      </c>
      <c r="EJ98">
        <v>902970.93</v>
      </c>
    </row>
    <row r="99" spans="1:140" hidden="1" x14ac:dyDescent="0.35">
      <c r="A99" t="s">
        <v>4036</v>
      </c>
      <c r="B99" t="s">
        <v>5462</v>
      </c>
      <c r="D99" t="s">
        <v>5577</v>
      </c>
      <c r="E99" t="s">
        <v>379</v>
      </c>
      <c r="F99" t="s">
        <v>4095</v>
      </c>
      <c r="G99" t="s">
        <v>4096</v>
      </c>
      <c r="H99" t="s">
        <v>5576</v>
      </c>
      <c r="I99" t="s">
        <v>5373</v>
      </c>
      <c r="J99" t="s">
        <v>3849</v>
      </c>
      <c r="K99" t="s">
        <v>3849</v>
      </c>
      <c r="L99" t="s">
        <v>132</v>
      </c>
      <c r="M99" t="s">
        <v>3997</v>
      </c>
      <c r="N99" t="s">
        <v>132</v>
      </c>
      <c r="O99" t="s">
        <v>3070</v>
      </c>
      <c r="P99" t="s">
        <v>3879</v>
      </c>
      <c r="Q99" t="s">
        <v>3852</v>
      </c>
      <c r="R99" t="s">
        <v>2513</v>
      </c>
      <c r="S99" t="s">
        <v>5374</v>
      </c>
      <c r="T99" t="s">
        <v>2363</v>
      </c>
      <c r="U99" t="s">
        <v>5574</v>
      </c>
      <c r="V99" s="17">
        <v>46107</v>
      </c>
      <c r="W99" s="17">
        <v>46113</v>
      </c>
      <c r="X99" s="17">
        <v>46173</v>
      </c>
      <c r="Y99">
        <v>11</v>
      </c>
      <c r="Z99">
        <v>2</v>
      </c>
      <c r="AA99">
        <v>2</v>
      </c>
      <c r="AB99">
        <v>1538.3666666666666</v>
      </c>
      <c r="AC99" s="17"/>
      <c r="AE99">
        <v>42567.28</v>
      </c>
      <c r="AF99">
        <v>170269.12</v>
      </c>
      <c r="AG99">
        <v>85134.56</v>
      </c>
      <c r="AH99">
        <v>170269.12</v>
      </c>
      <c r="AI99">
        <v>0</v>
      </c>
      <c r="AJ99">
        <v>0</v>
      </c>
      <c r="AW99">
        <v>0</v>
      </c>
      <c r="BJ99">
        <v>0</v>
      </c>
      <c r="BW99">
        <v>0</v>
      </c>
      <c r="CJ99">
        <v>0</v>
      </c>
      <c r="CW99">
        <v>170269.12</v>
      </c>
      <c r="DA99">
        <v>83277.320000000007</v>
      </c>
      <c r="DB99">
        <v>86991.8</v>
      </c>
      <c r="DJ99">
        <v>0</v>
      </c>
      <c r="DW99">
        <v>0</v>
      </c>
      <c r="EJ99">
        <v>170269.12</v>
      </c>
    </row>
    <row r="100" spans="1:140" hidden="1" x14ac:dyDescent="0.35">
      <c r="A100" t="s">
        <v>4036</v>
      </c>
      <c r="B100" t="s">
        <v>5462</v>
      </c>
      <c r="D100" t="s">
        <v>5578</v>
      </c>
      <c r="E100" t="s">
        <v>679</v>
      </c>
      <c r="F100" t="s">
        <v>5063</v>
      </c>
      <c r="G100" t="s">
        <v>5064</v>
      </c>
      <c r="H100" t="s">
        <v>5579</v>
      </c>
      <c r="I100" t="s">
        <v>5368</v>
      </c>
      <c r="J100" t="s">
        <v>3203</v>
      </c>
      <c r="K100" t="s">
        <v>3203</v>
      </c>
      <c r="L100" t="s">
        <v>132</v>
      </c>
      <c r="M100" t="s">
        <v>3997</v>
      </c>
      <c r="N100" t="s">
        <v>132</v>
      </c>
      <c r="O100" t="s">
        <v>3070</v>
      </c>
      <c r="P100" t="s">
        <v>3879</v>
      </c>
      <c r="Q100" t="s">
        <v>3852</v>
      </c>
      <c r="R100" t="s">
        <v>4394</v>
      </c>
      <c r="S100" t="s">
        <v>5374</v>
      </c>
      <c r="T100" t="s">
        <v>2363</v>
      </c>
      <c r="U100" t="s">
        <v>5580</v>
      </c>
      <c r="V100" s="17">
        <v>46090</v>
      </c>
      <c r="W100" s="17">
        <v>46090</v>
      </c>
      <c r="X100" s="17">
        <v>46164</v>
      </c>
      <c r="Y100">
        <v>2</v>
      </c>
      <c r="Z100">
        <v>2.5</v>
      </c>
      <c r="AA100">
        <v>2.4666666666666668</v>
      </c>
      <c r="AB100">
        <v>1538.6666666666667</v>
      </c>
      <c r="AC100" s="17"/>
      <c r="AE100">
        <v>69459.822</v>
      </c>
      <c r="AF100">
        <v>173649.55499999999</v>
      </c>
      <c r="AG100">
        <v>69459.822</v>
      </c>
      <c r="AH100">
        <v>173649.38819999999</v>
      </c>
      <c r="AI100">
        <v>-0.1668</v>
      </c>
      <c r="AJ100">
        <v>0</v>
      </c>
      <c r="AW100">
        <v>0</v>
      </c>
      <c r="BJ100">
        <v>0</v>
      </c>
      <c r="BW100">
        <v>0</v>
      </c>
      <c r="CJ100">
        <v>0</v>
      </c>
      <c r="CW100">
        <v>173649.38819999999</v>
      </c>
      <c r="DB100">
        <v>81185.388200000001</v>
      </c>
      <c r="DC100">
        <v>75163</v>
      </c>
      <c r="DD100">
        <v>17301</v>
      </c>
      <c r="DJ100">
        <v>0</v>
      </c>
      <c r="DW100">
        <v>0</v>
      </c>
      <c r="EJ100">
        <v>173649.38819999999</v>
      </c>
    </row>
    <row r="101" spans="1:140" hidden="1" x14ac:dyDescent="0.35">
      <c r="A101" t="s">
        <v>4036</v>
      </c>
      <c r="B101" t="s">
        <v>5462</v>
      </c>
      <c r="D101" t="s">
        <v>5581</v>
      </c>
      <c r="E101" t="s">
        <v>5067</v>
      </c>
      <c r="F101" t="s">
        <v>5068</v>
      </c>
      <c r="G101" t="s">
        <v>5069</v>
      </c>
      <c r="H101" t="s">
        <v>5582</v>
      </c>
      <c r="I101" t="s">
        <v>5368</v>
      </c>
      <c r="J101" t="s">
        <v>3203</v>
      </c>
      <c r="K101" t="s">
        <v>3203</v>
      </c>
      <c r="L101" t="s">
        <v>132</v>
      </c>
      <c r="M101" t="s">
        <v>3997</v>
      </c>
      <c r="N101" t="s">
        <v>132</v>
      </c>
      <c r="O101" t="s">
        <v>3070</v>
      </c>
      <c r="P101" t="s">
        <v>3879</v>
      </c>
      <c r="Q101" t="s">
        <v>3852</v>
      </c>
      <c r="R101" t="s">
        <v>4394</v>
      </c>
      <c r="S101" t="s">
        <v>5374</v>
      </c>
      <c r="T101" t="s">
        <v>2363</v>
      </c>
      <c r="U101" t="s">
        <v>5583</v>
      </c>
      <c r="V101" s="17">
        <v>46090</v>
      </c>
      <c r="W101" s="17">
        <v>46090</v>
      </c>
      <c r="X101" s="17">
        <v>46164</v>
      </c>
      <c r="Y101">
        <v>2</v>
      </c>
      <c r="Z101">
        <v>2.5</v>
      </c>
      <c r="AA101">
        <v>2.4666666666666668</v>
      </c>
      <c r="AB101">
        <v>1538.6666666666667</v>
      </c>
      <c r="AC101" s="17"/>
      <c r="AE101">
        <v>62585.025999999998</v>
      </c>
      <c r="AF101">
        <v>156462.565</v>
      </c>
      <c r="AG101">
        <v>62585.025999999998</v>
      </c>
      <c r="AH101">
        <v>156461.46580000001</v>
      </c>
      <c r="AI101">
        <v>-1.0992</v>
      </c>
      <c r="AJ101">
        <v>0</v>
      </c>
      <c r="AW101">
        <v>0</v>
      </c>
      <c r="BJ101">
        <v>0</v>
      </c>
      <c r="BW101">
        <v>0</v>
      </c>
      <c r="CJ101">
        <v>0</v>
      </c>
      <c r="CW101">
        <v>156461.46580000001</v>
      </c>
      <c r="DB101">
        <v>75778.465800000005</v>
      </c>
      <c r="DC101">
        <v>66221</v>
      </c>
      <c r="DD101">
        <v>14462</v>
      </c>
      <c r="DJ101">
        <v>0</v>
      </c>
      <c r="DW101">
        <v>0</v>
      </c>
      <c r="EJ101">
        <v>156461.46580000001</v>
      </c>
    </row>
    <row r="102" spans="1:140" hidden="1" x14ac:dyDescent="0.35">
      <c r="A102" t="s">
        <v>4036</v>
      </c>
      <c r="B102" t="s">
        <v>5462</v>
      </c>
      <c r="D102" t="s">
        <v>5584</v>
      </c>
      <c r="E102" t="s">
        <v>675</v>
      </c>
      <c r="F102" t="s">
        <v>5072</v>
      </c>
      <c r="G102" t="s">
        <v>5073</v>
      </c>
      <c r="H102" t="s">
        <v>5585</v>
      </c>
      <c r="I102" t="s">
        <v>5368</v>
      </c>
      <c r="J102" t="s">
        <v>3203</v>
      </c>
      <c r="K102" t="s">
        <v>3203</v>
      </c>
      <c r="L102" t="s">
        <v>132</v>
      </c>
      <c r="M102" t="s">
        <v>3997</v>
      </c>
      <c r="N102" t="s">
        <v>132</v>
      </c>
      <c r="O102" t="s">
        <v>3070</v>
      </c>
      <c r="P102" t="s">
        <v>3879</v>
      </c>
      <c r="Q102" t="s">
        <v>3852</v>
      </c>
      <c r="R102" t="s">
        <v>4394</v>
      </c>
      <c r="S102" t="s">
        <v>5374</v>
      </c>
      <c r="T102" t="s">
        <v>2363</v>
      </c>
      <c r="U102" t="s">
        <v>5586</v>
      </c>
      <c r="V102" s="17">
        <v>46101</v>
      </c>
      <c r="W102" s="17">
        <v>46101</v>
      </c>
      <c r="X102" s="17">
        <v>46193</v>
      </c>
      <c r="Y102">
        <v>31</v>
      </c>
      <c r="Z102">
        <v>3</v>
      </c>
      <c r="AA102">
        <v>3.0666666666666669</v>
      </c>
      <c r="AB102">
        <v>1537.7</v>
      </c>
      <c r="AC102" s="17"/>
      <c r="AE102">
        <v>67018.960000000006</v>
      </c>
      <c r="AF102">
        <v>201056.88</v>
      </c>
      <c r="AG102">
        <v>67018.960000000006</v>
      </c>
      <c r="AH102">
        <v>201057.62100000001</v>
      </c>
      <c r="AI102">
        <v>0.74099999999999999</v>
      </c>
      <c r="AJ102">
        <v>0</v>
      </c>
      <c r="AW102">
        <v>0</v>
      </c>
      <c r="BJ102">
        <v>0</v>
      </c>
      <c r="BW102">
        <v>0</v>
      </c>
      <c r="CJ102">
        <v>0</v>
      </c>
      <c r="CW102">
        <v>201057.62100000001</v>
      </c>
      <c r="DA102">
        <v>99309.91</v>
      </c>
      <c r="DB102">
        <v>57183.711000000003</v>
      </c>
      <c r="DC102">
        <v>33075</v>
      </c>
      <c r="DD102">
        <v>11489</v>
      </c>
      <c r="DJ102">
        <v>0</v>
      </c>
      <c r="DW102">
        <v>0</v>
      </c>
      <c r="EJ102">
        <v>201057.62100000001</v>
      </c>
    </row>
    <row r="103" spans="1:140" hidden="1" x14ac:dyDescent="0.35">
      <c r="A103" t="s">
        <v>4036</v>
      </c>
      <c r="B103" t="s">
        <v>5462</v>
      </c>
      <c r="D103" t="s">
        <v>5587</v>
      </c>
      <c r="E103" t="s">
        <v>5076</v>
      </c>
      <c r="F103" t="s">
        <v>5077</v>
      </c>
      <c r="G103" t="s">
        <v>5078</v>
      </c>
      <c r="H103" t="s">
        <v>5588</v>
      </c>
      <c r="I103" t="s">
        <v>5368</v>
      </c>
      <c r="J103" t="s">
        <v>3203</v>
      </c>
      <c r="K103" t="s">
        <v>3203</v>
      </c>
      <c r="L103" t="s">
        <v>132</v>
      </c>
      <c r="M103" t="s">
        <v>3997</v>
      </c>
      <c r="N103" t="s">
        <v>132</v>
      </c>
      <c r="O103" t="s">
        <v>3070</v>
      </c>
      <c r="P103" t="s">
        <v>3879</v>
      </c>
      <c r="Q103" t="s">
        <v>3852</v>
      </c>
      <c r="R103" t="s">
        <v>4394</v>
      </c>
      <c r="S103" t="s">
        <v>5374</v>
      </c>
      <c r="T103" t="s">
        <v>2363</v>
      </c>
      <c r="U103" t="s">
        <v>5589</v>
      </c>
      <c r="V103" s="17">
        <v>46106</v>
      </c>
      <c r="W103" s="17">
        <v>46106</v>
      </c>
      <c r="X103" s="17">
        <v>46167</v>
      </c>
      <c r="Y103">
        <v>5</v>
      </c>
      <c r="Z103">
        <v>2</v>
      </c>
      <c r="AA103">
        <v>2.0333333333333332</v>
      </c>
      <c r="AB103">
        <v>1538.5666666666666</v>
      </c>
      <c r="AC103" s="17"/>
      <c r="AE103">
        <v>59500</v>
      </c>
      <c r="AF103">
        <v>119000</v>
      </c>
      <c r="AG103">
        <v>59500</v>
      </c>
      <c r="AH103">
        <v>118999.69500000001</v>
      </c>
      <c r="AI103">
        <v>-0.30499999999999999</v>
      </c>
      <c r="AJ103">
        <v>0</v>
      </c>
      <c r="AW103">
        <v>0</v>
      </c>
      <c r="BJ103">
        <v>0</v>
      </c>
      <c r="BW103">
        <v>0</v>
      </c>
      <c r="CJ103">
        <v>0</v>
      </c>
      <c r="CW103">
        <v>118999.69500000001</v>
      </c>
      <c r="DB103">
        <v>41469.695</v>
      </c>
      <c r="DC103">
        <v>59500</v>
      </c>
      <c r="DD103">
        <v>18030</v>
      </c>
      <c r="DJ103">
        <v>0</v>
      </c>
      <c r="DW103">
        <v>0</v>
      </c>
      <c r="EJ103">
        <v>118999.69500000001</v>
      </c>
    </row>
    <row r="104" spans="1:140" hidden="1" x14ac:dyDescent="0.35">
      <c r="A104" t="s">
        <v>4036</v>
      </c>
      <c r="B104" t="s">
        <v>249</v>
      </c>
      <c r="D104" t="s">
        <v>5590</v>
      </c>
      <c r="E104" t="s">
        <v>268</v>
      </c>
      <c r="F104" t="s">
        <v>4099</v>
      </c>
      <c r="G104" t="s">
        <v>4100</v>
      </c>
      <c r="H104" t="s">
        <v>5591</v>
      </c>
      <c r="I104" t="s">
        <v>5368</v>
      </c>
      <c r="J104" t="s">
        <v>3849</v>
      </c>
      <c r="K104" t="s">
        <v>3849</v>
      </c>
      <c r="L104" t="s">
        <v>266</v>
      </c>
      <c r="M104" t="s">
        <v>4102</v>
      </c>
      <c r="N104" t="s">
        <v>266</v>
      </c>
      <c r="O104" t="s">
        <v>4102</v>
      </c>
      <c r="P104" t="s">
        <v>3856</v>
      </c>
      <c r="Q104" t="s">
        <v>3852</v>
      </c>
      <c r="R104" t="s">
        <v>1580</v>
      </c>
      <c r="S104" t="s">
        <v>5452</v>
      </c>
      <c r="T104" t="s">
        <v>1576</v>
      </c>
      <c r="U104" t="s">
        <v>5592</v>
      </c>
      <c r="V104" s="17">
        <v>45700</v>
      </c>
      <c r="W104" s="17">
        <v>45748</v>
      </c>
      <c r="X104" s="17">
        <v>46527</v>
      </c>
      <c r="Y104">
        <v>365</v>
      </c>
      <c r="Z104">
        <v>26</v>
      </c>
      <c r="AA104">
        <v>25.966666666666665</v>
      </c>
      <c r="AB104">
        <v>1526.5666666666666</v>
      </c>
      <c r="AC104" s="17"/>
      <c r="AE104">
        <v>36939.106699999997</v>
      </c>
      <c r="AF104">
        <v>3531625.32</v>
      </c>
      <c r="AG104">
        <v>135831.74309999999</v>
      </c>
      <c r="AH104">
        <v>3531625.45</v>
      </c>
      <c r="AI104">
        <v>0.13</v>
      </c>
      <c r="AJ104">
        <v>0</v>
      </c>
      <c r="AW104">
        <v>0</v>
      </c>
      <c r="BJ104">
        <v>0</v>
      </c>
      <c r="BW104">
        <v>0</v>
      </c>
      <c r="CJ104">
        <v>1487324.39</v>
      </c>
      <c r="CM104">
        <v>124821.1</v>
      </c>
      <c r="CN104">
        <v>116762.01</v>
      </c>
      <c r="CO104">
        <v>154155.16</v>
      </c>
      <c r="CP104">
        <v>157280.16</v>
      </c>
      <c r="CQ104">
        <v>154155.16</v>
      </c>
      <c r="CR104">
        <v>157280.16</v>
      </c>
      <c r="CS104">
        <v>154155.16</v>
      </c>
      <c r="CT104">
        <v>157280.16</v>
      </c>
      <c r="CU104">
        <v>154155.16</v>
      </c>
      <c r="CV104">
        <v>157280.16</v>
      </c>
      <c r="CW104">
        <v>1601753.02</v>
      </c>
      <c r="CX104">
        <v>154155.16</v>
      </c>
      <c r="CY104">
        <v>157280.16</v>
      </c>
      <c r="CZ104">
        <v>154155.16</v>
      </c>
      <c r="DA104">
        <v>157280.16</v>
      </c>
      <c r="DB104">
        <v>154155.16</v>
      </c>
      <c r="DC104">
        <v>160155.16</v>
      </c>
      <c r="DD104">
        <v>107637.01</v>
      </c>
      <c r="DE104">
        <v>113887.01</v>
      </c>
      <c r="DF104">
        <v>107637.01</v>
      </c>
      <c r="DG104">
        <v>113887.01</v>
      </c>
      <c r="DH104">
        <v>107637.01</v>
      </c>
      <c r="DI104">
        <v>113887.01</v>
      </c>
      <c r="DJ104">
        <v>442548.04</v>
      </c>
      <c r="DK104">
        <v>107637.01</v>
      </c>
      <c r="DL104">
        <v>113887.01</v>
      </c>
      <c r="DM104">
        <v>107637.01</v>
      </c>
      <c r="DN104">
        <v>113387.01</v>
      </c>
      <c r="DW104">
        <v>0</v>
      </c>
      <c r="EJ104">
        <v>3531625.45</v>
      </c>
    </row>
    <row r="105" spans="1:140" hidden="1" x14ac:dyDescent="0.35">
      <c r="A105" t="s">
        <v>4036</v>
      </c>
      <c r="B105" t="s">
        <v>5462</v>
      </c>
      <c r="D105" t="s">
        <v>5593</v>
      </c>
      <c r="E105" t="s">
        <v>433</v>
      </c>
      <c r="F105" t="s">
        <v>4106</v>
      </c>
      <c r="G105" t="s">
        <v>4107</v>
      </c>
      <c r="H105" t="s">
        <v>5594</v>
      </c>
      <c r="I105" t="s">
        <v>5368</v>
      </c>
      <c r="J105" t="s">
        <v>3849</v>
      </c>
      <c r="K105" t="s">
        <v>3849</v>
      </c>
      <c r="L105" t="s">
        <v>266</v>
      </c>
      <c r="M105" t="s">
        <v>4102</v>
      </c>
      <c r="N105" t="s">
        <v>266</v>
      </c>
      <c r="O105" t="s">
        <v>4102</v>
      </c>
      <c r="P105" t="s">
        <v>3856</v>
      </c>
      <c r="Q105" t="s">
        <v>3852</v>
      </c>
      <c r="R105" t="s">
        <v>1580</v>
      </c>
      <c r="S105" t="s">
        <v>5374</v>
      </c>
      <c r="T105" t="s">
        <v>1576</v>
      </c>
      <c r="U105" t="s">
        <v>5595</v>
      </c>
      <c r="V105" s="17">
        <v>45835</v>
      </c>
      <c r="W105" s="17">
        <v>45839</v>
      </c>
      <c r="X105" s="17">
        <v>46203</v>
      </c>
      <c r="Y105">
        <v>41</v>
      </c>
      <c r="Z105">
        <v>12</v>
      </c>
      <c r="AA105">
        <v>12.133333333333333</v>
      </c>
      <c r="AB105">
        <v>1537.3666666666666</v>
      </c>
      <c r="AC105" s="17"/>
      <c r="AE105">
        <v>30713.861700000001</v>
      </c>
      <c r="AF105">
        <v>368566.34</v>
      </c>
      <c r="AG105">
        <v>30713.861700000001</v>
      </c>
      <c r="AH105">
        <v>368566.31</v>
      </c>
      <c r="AI105">
        <v>-0.03</v>
      </c>
      <c r="AJ105">
        <v>0</v>
      </c>
      <c r="AW105">
        <v>0</v>
      </c>
      <c r="BJ105">
        <v>0</v>
      </c>
      <c r="BW105">
        <v>0</v>
      </c>
      <c r="CJ105">
        <v>186295.65</v>
      </c>
      <c r="CQ105">
        <v>31882.6</v>
      </c>
      <c r="CR105">
        <v>32132.61</v>
      </c>
      <c r="CS105">
        <v>29007.61</v>
      </c>
      <c r="CT105">
        <v>32132.61</v>
      </c>
      <c r="CU105">
        <v>29007.61</v>
      </c>
      <c r="CV105">
        <v>32132.61</v>
      </c>
      <c r="CW105">
        <v>182270.66</v>
      </c>
      <c r="CX105">
        <v>29007.61</v>
      </c>
      <c r="CY105">
        <v>32132.61</v>
      </c>
      <c r="CZ105">
        <v>29007.61</v>
      </c>
      <c r="DA105">
        <v>32132.61</v>
      </c>
      <c r="DB105">
        <v>28557.61</v>
      </c>
      <c r="DC105">
        <v>31432.61</v>
      </c>
      <c r="DJ105">
        <v>0</v>
      </c>
      <c r="DW105">
        <v>0</v>
      </c>
      <c r="EJ105">
        <v>368566.31</v>
      </c>
    </row>
    <row r="106" spans="1:140" hidden="1" x14ac:dyDescent="0.35">
      <c r="A106" t="s">
        <v>4036</v>
      </c>
      <c r="B106" t="s">
        <v>249</v>
      </c>
      <c r="D106" t="s">
        <v>5596</v>
      </c>
      <c r="E106" t="s">
        <v>616</v>
      </c>
      <c r="F106" t="s">
        <v>4175</v>
      </c>
      <c r="G106" t="s">
        <v>4176</v>
      </c>
      <c r="H106" t="s">
        <v>5597</v>
      </c>
      <c r="I106" t="s">
        <v>5368</v>
      </c>
      <c r="J106" t="s">
        <v>3849</v>
      </c>
      <c r="K106" t="s">
        <v>3849</v>
      </c>
      <c r="L106" t="s">
        <v>615</v>
      </c>
      <c r="M106" t="s">
        <v>3088</v>
      </c>
      <c r="N106" t="s">
        <v>615</v>
      </c>
      <c r="O106" t="s">
        <v>3088</v>
      </c>
      <c r="P106" t="s">
        <v>3088</v>
      </c>
      <c r="Q106" t="s">
        <v>3852</v>
      </c>
      <c r="R106" t="s">
        <v>2513</v>
      </c>
      <c r="S106" t="s">
        <v>5452</v>
      </c>
      <c r="T106" t="s">
        <v>2363</v>
      </c>
      <c r="U106" t="s">
        <v>5598</v>
      </c>
      <c r="V106" s="17">
        <v>46027</v>
      </c>
      <c r="W106" s="17">
        <v>46041</v>
      </c>
      <c r="X106" s="17">
        <v>46222</v>
      </c>
      <c r="Y106">
        <v>60</v>
      </c>
      <c r="Z106">
        <v>6</v>
      </c>
      <c r="AA106">
        <v>6.0333333333333332</v>
      </c>
      <c r="AB106">
        <v>1536.7333333333333</v>
      </c>
      <c r="AC106" s="17"/>
      <c r="AE106">
        <v>36400.506699999998</v>
      </c>
      <c r="AF106">
        <v>218403.04</v>
      </c>
      <c r="AG106">
        <v>36400.506699999998</v>
      </c>
      <c r="AH106">
        <v>218403.02</v>
      </c>
      <c r="AI106">
        <v>-0.02</v>
      </c>
      <c r="AJ106">
        <v>0</v>
      </c>
      <c r="AW106">
        <v>0</v>
      </c>
      <c r="BJ106">
        <v>0</v>
      </c>
      <c r="BW106">
        <v>0</v>
      </c>
      <c r="CJ106">
        <v>0</v>
      </c>
      <c r="CW106">
        <v>218403.02</v>
      </c>
      <c r="CY106">
        <v>38067.17</v>
      </c>
      <c r="CZ106">
        <v>35567.17</v>
      </c>
      <c r="DA106">
        <v>35567.17</v>
      </c>
      <c r="DB106">
        <v>35567.17</v>
      </c>
      <c r="DC106">
        <v>35567.17</v>
      </c>
      <c r="DD106">
        <v>38067.17</v>
      </c>
      <c r="DJ106">
        <v>0</v>
      </c>
      <c r="DW106">
        <v>0</v>
      </c>
      <c r="EJ106">
        <v>218403.02</v>
      </c>
    </row>
    <row r="107" spans="1:140" hidden="1" x14ac:dyDescent="0.35">
      <c r="A107" t="s">
        <v>4036</v>
      </c>
      <c r="B107" t="s">
        <v>249</v>
      </c>
      <c r="D107" t="s">
        <v>5599</v>
      </c>
      <c r="E107" t="s">
        <v>645</v>
      </c>
      <c r="F107" t="s">
        <v>4195</v>
      </c>
      <c r="G107" t="s">
        <v>4196</v>
      </c>
      <c r="H107" t="s">
        <v>5600</v>
      </c>
      <c r="I107" t="s">
        <v>5368</v>
      </c>
      <c r="J107" t="s">
        <v>3071</v>
      </c>
      <c r="K107" t="s">
        <v>3071</v>
      </c>
      <c r="L107" t="s">
        <v>88</v>
      </c>
      <c r="M107" t="s">
        <v>3139</v>
      </c>
      <c r="N107" t="s">
        <v>89</v>
      </c>
      <c r="O107" t="s">
        <v>249</v>
      </c>
      <c r="P107" t="s">
        <v>3747</v>
      </c>
      <c r="Q107" t="s">
        <v>3075</v>
      </c>
      <c r="R107" t="s">
        <v>1580</v>
      </c>
      <c r="S107" t="s">
        <v>5374</v>
      </c>
      <c r="T107" t="s">
        <v>2698</v>
      </c>
      <c r="U107" t="s">
        <v>5601</v>
      </c>
      <c r="V107" s="17">
        <v>46063</v>
      </c>
      <c r="W107" s="17">
        <v>46077</v>
      </c>
      <c r="X107" s="17">
        <v>46380</v>
      </c>
      <c r="Y107">
        <v>218</v>
      </c>
      <c r="Z107">
        <v>10</v>
      </c>
      <c r="AA107">
        <v>10.1</v>
      </c>
      <c r="AB107">
        <v>1531.4666666666667</v>
      </c>
      <c r="AC107" s="17"/>
      <c r="AE107">
        <v>0</v>
      </c>
      <c r="AF107">
        <v>1039182</v>
      </c>
      <c r="AG107">
        <v>103918.2</v>
      </c>
      <c r="AH107">
        <v>1039182.04</v>
      </c>
      <c r="AI107">
        <v>0.04</v>
      </c>
      <c r="AJ107">
        <v>0</v>
      </c>
      <c r="AW107">
        <v>0</v>
      </c>
      <c r="BJ107">
        <v>0</v>
      </c>
      <c r="BW107">
        <v>0</v>
      </c>
      <c r="CJ107">
        <v>0</v>
      </c>
      <c r="CW107">
        <v>1039182.04</v>
      </c>
      <c r="CY107">
        <v>107652.87</v>
      </c>
      <c r="CZ107">
        <v>115369.55</v>
      </c>
      <c r="DA107">
        <v>109369.55</v>
      </c>
      <c r="DB107">
        <v>116428.37</v>
      </c>
      <c r="DC107">
        <v>109369.55</v>
      </c>
      <c r="DD107">
        <v>116428.37</v>
      </c>
      <c r="DE107">
        <v>109369.55</v>
      </c>
      <c r="DF107">
        <v>116428.37</v>
      </c>
      <c r="DG107">
        <v>84218.52</v>
      </c>
      <c r="DH107">
        <v>54547.34</v>
      </c>
      <c r="DJ107">
        <v>0</v>
      </c>
      <c r="DW107">
        <v>0</v>
      </c>
      <c r="EJ107">
        <v>1039182.04</v>
      </c>
    </row>
    <row r="108" spans="1:140" hidden="1" x14ac:dyDescent="0.35">
      <c r="A108" t="s">
        <v>4036</v>
      </c>
      <c r="B108" t="s">
        <v>5365</v>
      </c>
      <c r="D108" t="s">
        <v>5602</v>
      </c>
      <c r="E108" t="s">
        <v>417</v>
      </c>
      <c r="F108" t="s">
        <v>4110</v>
      </c>
      <c r="G108" t="s">
        <v>4111</v>
      </c>
      <c r="H108" t="s">
        <v>5603</v>
      </c>
      <c r="I108" t="s">
        <v>5368</v>
      </c>
      <c r="J108" t="s">
        <v>3849</v>
      </c>
      <c r="K108" t="s">
        <v>3849</v>
      </c>
      <c r="L108" t="s">
        <v>4112</v>
      </c>
      <c r="M108" t="s">
        <v>3088</v>
      </c>
      <c r="N108" t="s">
        <v>4112</v>
      </c>
      <c r="O108" t="s">
        <v>3088</v>
      </c>
      <c r="P108" t="s">
        <v>3088</v>
      </c>
      <c r="Q108" t="s">
        <v>3852</v>
      </c>
      <c r="R108" t="s">
        <v>1580</v>
      </c>
      <c r="S108" t="s">
        <v>5374</v>
      </c>
      <c r="T108" t="s">
        <v>1576</v>
      </c>
      <c r="U108" t="s">
        <v>5604</v>
      </c>
      <c r="V108" s="17">
        <v>45813</v>
      </c>
      <c r="W108" s="17">
        <v>45813</v>
      </c>
      <c r="X108" s="17">
        <v>45996</v>
      </c>
      <c r="Y108">
        <v>-166</v>
      </c>
      <c r="Z108">
        <v>6</v>
      </c>
      <c r="AA108">
        <v>6.1</v>
      </c>
      <c r="AB108">
        <v>1544.2666666666667</v>
      </c>
      <c r="AC108" s="17"/>
      <c r="AE108">
        <v>57666.561699999998</v>
      </c>
      <c r="AF108">
        <v>691998.74</v>
      </c>
      <c r="AG108">
        <v>115333.12330000001</v>
      </c>
      <c r="AH108">
        <v>691998.74</v>
      </c>
      <c r="AI108">
        <v>0</v>
      </c>
      <c r="AJ108">
        <v>0</v>
      </c>
      <c r="AW108">
        <v>0</v>
      </c>
      <c r="BJ108">
        <v>0</v>
      </c>
      <c r="BW108">
        <v>0</v>
      </c>
      <c r="CJ108">
        <v>691998.74</v>
      </c>
      <c r="CP108">
        <v>78703.839999999997</v>
      </c>
      <c r="CQ108">
        <v>115983.98</v>
      </c>
      <c r="CR108">
        <v>127108.98</v>
      </c>
      <c r="CS108">
        <v>127108.98</v>
      </c>
      <c r="CT108">
        <v>127108.98</v>
      </c>
      <c r="CU108">
        <v>115983.98</v>
      </c>
      <c r="CW108">
        <v>0</v>
      </c>
      <c r="DJ108">
        <v>0</v>
      </c>
      <c r="DW108">
        <v>0</v>
      </c>
      <c r="EJ108">
        <v>691998.74</v>
      </c>
    </row>
    <row r="109" spans="1:140" hidden="1" x14ac:dyDescent="0.35">
      <c r="A109" t="s">
        <v>4036</v>
      </c>
      <c r="B109" t="s">
        <v>5365</v>
      </c>
      <c r="D109" t="s">
        <v>5605</v>
      </c>
      <c r="E109" t="s">
        <v>5019</v>
      </c>
      <c r="F109" t="s">
        <v>5020</v>
      </c>
      <c r="G109" t="s">
        <v>5021</v>
      </c>
      <c r="H109" t="s">
        <v>5606</v>
      </c>
      <c r="I109" t="s">
        <v>5368</v>
      </c>
      <c r="J109" t="s">
        <v>3203</v>
      </c>
      <c r="K109" t="s">
        <v>3203</v>
      </c>
      <c r="L109" t="s">
        <v>4112</v>
      </c>
      <c r="M109" t="s">
        <v>3088</v>
      </c>
      <c r="N109" t="s">
        <v>4112</v>
      </c>
      <c r="O109" t="s">
        <v>3088</v>
      </c>
      <c r="P109" t="s">
        <v>3088</v>
      </c>
      <c r="Q109" t="s">
        <v>3852</v>
      </c>
      <c r="R109" t="s">
        <v>4394</v>
      </c>
      <c r="S109" t="s">
        <v>5374</v>
      </c>
      <c r="T109" t="s">
        <v>1576</v>
      </c>
      <c r="U109" t="s">
        <v>5607</v>
      </c>
      <c r="V109" s="17">
        <v>45929</v>
      </c>
      <c r="W109" s="17">
        <v>45929</v>
      </c>
      <c r="X109" s="17">
        <v>46033</v>
      </c>
      <c r="Y109">
        <v>-129</v>
      </c>
      <c r="Z109">
        <v>3.5</v>
      </c>
      <c r="AA109">
        <v>3.4666666666666668</v>
      </c>
      <c r="AB109">
        <v>1543.0333333333333</v>
      </c>
      <c r="AC109" s="17"/>
      <c r="AE109">
        <v>62250</v>
      </c>
      <c r="AF109">
        <v>225000</v>
      </c>
      <c r="AG109">
        <v>64285.7143</v>
      </c>
      <c r="AH109">
        <v>225000</v>
      </c>
      <c r="AI109">
        <v>0</v>
      </c>
      <c r="AJ109">
        <v>0</v>
      </c>
      <c r="AW109">
        <v>0</v>
      </c>
      <c r="BJ109">
        <v>0</v>
      </c>
      <c r="BW109">
        <v>0</v>
      </c>
      <c r="CJ109">
        <v>225000</v>
      </c>
      <c r="CU109">
        <v>117411.84</v>
      </c>
      <c r="CV109">
        <v>107588.16</v>
      </c>
      <c r="CW109">
        <v>0</v>
      </c>
      <c r="DJ109">
        <v>0</v>
      </c>
      <c r="DW109">
        <v>0</v>
      </c>
      <c r="EJ109">
        <v>225000</v>
      </c>
    </row>
    <row r="110" spans="1:140" hidden="1" x14ac:dyDescent="0.35">
      <c r="A110" t="s">
        <v>4036</v>
      </c>
      <c r="B110" t="s">
        <v>249</v>
      </c>
      <c r="D110" t="s">
        <v>5608</v>
      </c>
      <c r="E110" t="s">
        <v>4179</v>
      </c>
      <c r="F110" t="s">
        <v>4180</v>
      </c>
      <c r="G110" t="s">
        <v>4181</v>
      </c>
      <c r="H110" t="s">
        <v>5609</v>
      </c>
      <c r="I110" t="s">
        <v>5368</v>
      </c>
      <c r="J110" t="s">
        <v>3849</v>
      </c>
      <c r="K110" t="s">
        <v>3849</v>
      </c>
      <c r="L110" t="s">
        <v>1042</v>
      </c>
      <c r="M110" t="s">
        <v>249</v>
      </c>
      <c r="N110" t="s">
        <v>628</v>
      </c>
      <c r="O110" t="s">
        <v>249</v>
      </c>
      <c r="P110" t="s">
        <v>3747</v>
      </c>
      <c r="Q110" t="s">
        <v>3075</v>
      </c>
      <c r="R110" t="s">
        <v>3805</v>
      </c>
      <c r="S110" t="s">
        <v>5374</v>
      </c>
      <c r="T110" t="s">
        <v>2363</v>
      </c>
      <c r="U110" t="s">
        <v>5610</v>
      </c>
      <c r="V110" s="17">
        <v>46031</v>
      </c>
      <c r="W110" s="17">
        <v>46073</v>
      </c>
      <c r="X110" s="17">
        <v>46433</v>
      </c>
      <c r="Y110">
        <v>271</v>
      </c>
      <c r="Z110">
        <v>12</v>
      </c>
      <c r="AA110">
        <v>12</v>
      </c>
      <c r="AB110">
        <v>1529.7</v>
      </c>
      <c r="AC110" s="17"/>
      <c r="AE110">
        <v>39652.89</v>
      </c>
      <c r="AF110">
        <v>475834.68</v>
      </c>
      <c r="AG110">
        <v>39652.89</v>
      </c>
      <c r="AH110">
        <v>475834.68</v>
      </c>
      <c r="AI110">
        <v>0</v>
      </c>
      <c r="AJ110">
        <v>0</v>
      </c>
      <c r="AW110">
        <v>0</v>
      </c>
      <c r="BJ110">
        <v>0</v>
      </c>
      <c r="BW110">
        <v>0</v>
      </c>
      <c r="CJ110">
        <v>0</v>
      </c>
      <c r="CW110">
        <v>436181.79</v>
      </c>
      <c r="CY110">
        <v>39652.89</v>
      </c>
      <c r="CZ110">
        <v>39652.89</v>
      </c>
      <c r="DA110">
        <v>39652.89</v>
      </c>
      <c r="DB110">
        <v>39652.89</v>
      </c>
      <c r="DC110">
        <v>39652.89</v>
      </c>
      <c r="DD110">
        <v>39652.89</v>
      </c>
      <c r="DE110">
        <v>39652.89</v>
      </c>
      <c r="DF110">
        <v>39652.89</v>
      </c>
      <c r="DG110">
        <v>39652.89</v>
      </c>
      <c r="DH110">
        <v>39652.89</v>
      </c>
      <c r="DI110">
        <v>39652.89</v>
      </c>
      <c r="DJ110">
        <v>39652.89</v>
      </c>
      <c r="DK110">
        <v>39652.89</v>
      </c>
      <c r="DW110">
        <v>0</v>
      </c>
      <c r="EJ110">
        <v>475834.68</v>
      </c>
    </row>
    <row r="111" spans="1:140" hidden="1" x14ac:dyDescent="0.35">
      <c r="A111" t="s">
        <v>4036</v>
      </c>
      <c r="B111" t="s">
        <v>249</v>
      </c>
      <c r="D111" t="s">
        <v>5611</v>
      </c>
      <c r="E111" t="s">
        <v>630</v>
      </c>
      <c r="F111" t="s">
        <v>4190</v>
      </c>
      <c r="G111" t="s">
        <v>4191</v>
      </c>
      <c r="H111" t="s">
        <v>5612</v>
      </c>
      <c r="I111" t="s">
        <v>5368</v>
      </c>
      <c r="J111" t="s">
        <v>3849</v>
      </c>
      <c r="K111" t="s">
        <v>3849</v>
      </c>
      <c r="L111" t="s">
        <v>1042</v>
      </c>
      <c r="M111" t="s">
        <v>249</v>
      </c>
      <c r="N111" t="s">
        <v>628</v>
      </c>
      <c r="O111" t="s">
        <v>249</v>
      </c>
      <c r="P111" t="s">
        <v>3747</v>
      </c>
      <c r="Q111" t="s">
        <v>3075</v>
      </c>
      <c r="R111" t="s">
        <v>3805</v>
      </c>
      <c r="S111" t="s">
        <v>5374</v>
      </c>
      <c r="T111" t="s">
        <v>2363</v>
      </c>
      <c r="U111" t="s">
        <v>5613</v>
      </c>
      <c r="V111" s="17">
        <v>46053</v>
      </c>
      <c r="W111" s="17">
        <v>46105</v>
      </c>
      <c r="X111" s="17">
        <v>46442</v>
      </c>
      <c r="Y111">
        <v>280</v>
      </c>
      <c r="Z111">
        <v>11</v>
      </c>
      <c r="AA111">
        <v>11.233333333333333</v>
      </c>
      <c r="AB111">
        <v>1529.4</v>
      </c>
      <c r="AC111" s="17"/>
      <c r="AE111">
        <v>191362.62</v>
      </c>
      <c r="AF111">
        <v>2104988.8199999998</v>
      </c>
      <c r="AG111">
        <v>191362.62</v>
      </c>
      <c r="AH111">
        <v>2104988.94</v>
      </c>
      <c r="AI111">
        <v>0.12</v>
      </c>
      <c r="AJ111">
        <v>0</v>
      </c>
      <c r="AW111">
        <v>0</v>
      </c>
      <c r="BJ111">
        <v>0</v>
      </c>
      <c r="BW111">
        <v>0</v>
      </c>
      <c r="CJ111">
        <v>0</v>
      </c>
      <c r="CW111">
        <v>2104988.94</v>
      </c>
      <c r="CY111">
        <v>136237.64000000001</v>
      </c>
      <c r="CZ111">
        <v>196875.13</v>
      </c>
      <c r="DA111">
        <v>196875.13</v>
      </c>
      <c r="DB111">
        <v>196875.13</v>
      </c>
      <c r="DC111">
        <v>196875.13</v>
      </c>
      <c r="DD111">
        <v>196875.13</v>
      </c>
      <c r="DE111">
        <v>196875.13</v>
      </c>
      <c r="DF111">
        <v>196875.13</v>
      </c>
      <c r="DG111">
        <v>196875.13</v>
      </c>
      <c r="DH111">
        <v>196875.13</v>
      </c>
      <c r="DI111">
        <v>196875.13</v>
      </c>
      <c r="DJ111">
        <v>0</v>
      </c>
      <c r="DW111">
        <v>0</v>
      </c>
      <c r="EJ111">
        <v>2104988.94</v>
      </c>
    </row>
    <row r="112" spans="1:140" hidden="1" x14ac:dyDescent="0.35">
      <c r="A112" t="s">
        <v>4036</v>
      </c>
      <c r="B112" t="s">
        <v>249</v>
      </c>
      <c r="D112" t="s">
        <v>5614</v>
      </c>
      <c r="E112" t="s">
        <v>5048</v>
      </c>
      <c r="F112" t="s">
        <v>5049</v>
      </c>
      <c r="G112" t="s">
        <v>5050</v>
      </c>
      <c r="H112" t="s">
        <v>5615</v>
      </c>
      <c r="I112" t="s">
        <v>5368</v>
      </c>
      <c r="J112" t="s">
        <v>3203</v>
      </c>
      <c r="K112" t="s">
        <v>3203</v>
      </c>
      <c r="L112" t="s">
        <v>628</v>
      </c>
      <c r="M112" t="s">
        <v>249</v>
      </c>
      <c r="N112" t="s">
        <v>628</v>
      </c>
      <c r="O112" t="s">
        <v>4282</v>
      </c>
      <c r="P112" t="s">
        <v>3856</v>
      </c>
      <c r="Q112" t="s">
        <v>3852</v>
      </c>
      <c r="R112" t="s">
        <v>4394</v>
      </c>
      <c r="S112" t="s">
        <v>5452</v>
      </c>
      <c r="T112" t="s">
        <v>2363</v>
      </c>
      <c r="U112" t="s">
        <v>5616</v>
      </c>
      <c r="V112" s="17">
        <v>46050</v>
      </c>
      <c r="W112" s="17">
        <v>46073</v>
      </c>
      <c r="X112" s="17">
        <v>46261</v>
      </c>
      <c r="Y112">
        <v>99</v>
      </c>
      <c r="Z112">
        <v>2.5</v>
      </c>
      <c r="AA112">
        <v>6.2666666666666666</v>
      </c>
      <c r="AB112">
        <v>1535.4333333333334</v>
      </c>
      <c r="AC112" s="17"/>
      <c r="AE112">
        <v>68873.240000000005</v>
      </c>
      <c r="AF112">
        <v>172183.1</v>
      </c>
      <c r="AG112">
        <v>68873.240000000005</v>
      </c>
      <c r="AH112">
        <v>172183.18100000001</v>
      </c>
      <c r="AI112">
        <v>8.1000000000000003E-2</v>
      </c>
      <c r="AJ112">
        <v>0</v>
      </c>
      <c r="AW112">
        <v>0</v>
      </c>
      <c r="BJ112">
        <v>0</v>
      </c>
      <c r="BW112">
        <v>0</v>
      </c>
      <c r="CJ112">
        <v>0</v>
      </c>
      <c r="CW112">
        <v>172183.18100000001</v>
      </c>
      <c r="DB112">
        <v>74171.180999999997</v>
      </c>
      <c r="DC112">
        <v>78145</v>
      </c>
      <c r="DD112">
        <v>19867</v>
      </c>
      <c r="DJ112">
        <v>0</v>
      </c>
      <c r="DW112">
        <v>0</v>
      </c>
      <c r="EJ112">
        <v>172183.18100000001</v>
      </c>
    </row>
    <row r="113" spans="1:140" hidden="1" x14ac:dyDescent="0.35">
      <c r="A113" t="s">
        <v>4036</v>
      </c>
      <c r="B113" t="s">
        <v>5365</v>
      </c>
      <c r="D113" t="s">
        <v>5617</v>
      </c>
      <c r="E113" t="s">
        <v>550</v>
      </c>
      <c r="F113" t="s">
        <v>4154</v>
      </c>
      <c r="G113" t="s">
        <v>4155</v>
      </c>
      <c r="H113" t="s">
        <v>5618</v>
      </c>
      <c r="I113" t="s">
        <v>5368</v>
      </c>
      <c r="J113" t="s">
        <v>3079</v>
      </c>
      <c r="K113" t="s">
        <v>3079</v>
      </c>
      <c r="L113" t="s">
        <v>911</v>
      </c>
      <c r="M113" t="s">
        <v>3139</v>
      </c>
      <c r="N113" t="s">
        <v>548</v>
      </c>
      <c r="O113" t="s">
        <v>249</v>
      </c>
      <c r="P113" t="s">
        <v>3747</v>
      </c>
      <c r="Q113" t="s">
        <v>3075</v>
      </c>
      <c r="R113" t="s">
        <v>2464</v>
      </c>
      <c r="S113" t="s">
        <v>5374</v>
      </c>
      <c r="T113" t="s">
        <v>2363</v>
      </c>
      <c r="U113" t="s">
        <v>5619</v>
      </c>
      <c r="V113" s="17">
        <v>45945</v>
      </c>
      <c r="W113" s="17">
        <v>45945</v>
      </c>
      <c r="X113" s="17">
        <v>46127</v>
      </c>
      <c r="Y113">
        <v>-35</v>
      </c>
      <c r="Z113">
        <v>6</v>
      </c>
      <c r="AA113">
        <v>6.0666666666666664</v>
      </c>
      <c r="AB113">
        <v>1539.9</v>
      </c>
      <c r="AC113" s="17"/>
      <c r="AE113">
        <v>37323.296699999999</v>
      </c>
      <c r="AF113">
        <v>223939.78</v>
      </c>
      <c r="AG113">
        <v>37323.296699999999</v>
      </c>
      <c r="AH113">
        <v>223939.78020000001</v>
      </c>
      <c r="AI113">
        <v>2.0000000000000001E-4</v>
      </c>
      <c r="AJ113">
        <v>0</v>
      </c>
      <c r="AW113">
        <v>0</v>
      </c>
      <c r="BJ113">
        <v>0</v>
      </c>
      <c r="BW113">
        <v>0</v>
      </c>
      <c r="CJ113">
        <v>74646.593399999998</v>
      </c>
      <c r="CU113">
        <v>37323.296699999999</v>
      </c>
      <c r="CV113">
        <v>37323.296699999999</v>
      </c>
      <c r="CW113">
        <v>149293.1868</v>
      </c>
      <c r="CX113">
        <v>37323.296699999999</v>
      </c>
      <c r="CY113">
        <v>37323.296699999999</v>
      </c>
      <c r="CZ113">
        <v>37323.296699999999</v>
      </c>
      <c r="DA113">
        <v>37323.296699999999</v>
      </c>
      <c r="DJ113">
        <v>0</v>
      </c>
      <c r="DW113">
        <v>0</v>
      </c>
      <c r="EJ113">
        <v>223939.78019999998</v>
      </c>
    </row>
    <row r="114" spans="1:140" hidden="1" x14ac:dyDescent="0.35">
      <c r="A114" t="s">
        <v>4036</v>
      </c>
      <c r="B114" t="s">
        <v>249</v>
      </c>
      <c r="D114" t="s">
        <v>5617</v>
      </c>
      <c r="E114" t="s">
        <v>550</v>
      </c>
      <c r="F114" t="s">
        <v>4154</v>
      </c>
      <c r="G114" t="s">
        <v>4155</v>
      </c>
      <c r="H114" t="s">
        <v>5620</v>
      </c>
      <c r="I114" t="s">
        <v>5373</v>
      </c>
      <c r="J114" t="s">
        <v>2002</v>
      </c>
      <c r="K114" t="s">
        <v>3079</v>
      </c>
      <c r="L114" t="s">
        <v>911</v>
      </c>
      <c r="M114" t="s">
        <v>3139</v>
      </c>
      <c r="N114" t="s">
        <v>548</v>
      </c>
      <c r="O114" t="s">
        <v>249</v>
      </c>
      <c r="P114" t="s">
        <v>3747</v>
      </c>
      <c r="Q114" t="s">
        <v>3075</v>
      </c>
      <c r="R114" t="s">
        <v>2464</v>
      </c>
      <c r="S114" t="s">
        <v>5374</v>
      </c>
      <c r="T114" t="s">
        <v>2363</v>
      </c>
      <c r="U114" t="s">
        <v>5619</v>
      </c>
      <c r="V114" s="17">
        <v>45945</v>
      </c>
      <c r="W114" s="17">
        <v>46128</v>
      </c>
      <c r="X114" s="17">
        <v>46310</v>
      </c>
      <c r="Y114">
        <v>148</v>
      </c>
      <c r="Z114">
        <v>6</v>
      </c>
      <c r="AA114">
        <v>6.0666666666666664</v>
      </c>
      <c r="AB114">
        <v>1533.8</v>
      </c>
      <c r="AC114" s="17"/>
      <c r="AE114">
        <v>37323.296699999999</v>
      </c>
      <c r="AF114">
        <v>223939.78</v>
      </c>
      <c r="AG114">
        <v>37323.296699999999</v>
      </c>
      <c r="AH114">
        <v>223939.78020000001</v>
      </c>
      <c r="AI114">
        <v>2.0000000000000001E-4</v>
      </c>
      <c r="AJ114">
        <v>0</v>
      </c>
      <c r="AW114">
        <v>0</v>
      </c>
      <c r="BJ114">
        <v>0</v>
      </c>
      <c r="BW114">
        <v>0</v>
      </c>
      <c r="CJ114">
        <v>0</v>
      </c>
      <c r="CW114">
        <v>223939.78020000001</v>
      </c>
      <c r="DB114">
        <v>37323.296699999999</v>
      </c>
      <c r="DC114">
        <v>37323.296699999999</v>
      </c>
      <c r="DD114">
        <v>37323.296699999999</v>
      </c>
      <c r="DE114">
        <v>37323.296699999999</v>
      </c>
      <c r="DF114">
        <v>37323.296699999999</v>
      </c>
      <c r="DG114">
        <v>37323.296699999999</v>
      </c>
      <c r="DJ114">
        <v>0</v>
      </c>
      <c r="DW114">
        <v>0</v>
      </c>
      <c r="EJ114">
        <v>223939.78020000001</v>
      </c>
    </row>
    <row r="115" spans="1:140" hidden="1" x14ac:dyDescent="0.35">
      <c r="A115" t="s">
        <v>4036</v>
      </c>
      <c r="B115" t="s">
        <v>249</v>
      </c>
      <c r="D115" t="s">
        <v>5621</v>
      </c>
      <c r="E115" t="s">
        <v>523</v>
      </c>
      <c r="F115" t="s">
        <v>4116</v>
      </c>
      <c r="G115" t="s">
        <v>4117</v>
      </c>
      <c r="H115" t="s">
        <v>5622</v>
      </c>
      <c r="I115" t="s">
        <v>5368</v>
      </c>
      <c r="J115" t="s">
        <v>3071</v>
      </c>
      <c r="K115" t="s">
        <v>3071</v>
      </c>
      <c r="L115" t="s">
        <v>521</v>
      </c>
      <c r="M115" t="s">
        <v>3153</v>
      </c>
      <c r="N115" t="s">
        <v>521</v>
      </c>
      <c r="O115" t="s">
        <v>3153</v>
      </c>
      <c r="P115" t="s">
        <v>3747</v>
      </c>
      <c r="Q115" t="s">
        <v>3075</v>
      </c>
      <c r="R115" t="s">
        <v>2513</v>
      </c>
      <c r="S115" t="s">
        <v>5374</v>
      </c>
      <c r="T115" t="s">
        <v>2363</v>
      </c>
      <c r="U115" t="s">
        <v>5623</v>
      </c>
      <c r="V115" s="17">
        <v>45896</v>
      </c>
      <c r="W115" s="17">
        <v>45912</v>
      </c>
      <c r="X115" s="17">
        <v>46273</v>
      </c>
      <c r="Y115">
        <v>111</v>
      </c>
      <c r="Z115">
        <v>12</v>
      </c>
      <c r="AA115">
        <v>12.033333333333333</v>
      </c>
      <c r="AB115">
        <v>1535.0333333333333</v>
      </c>
      <c r="AC115" s="17"/>
      <c r="AE115">
        <v>37040.874199999998</v>
      </c>
      <c r="AF115">
        <v>444490.49</v>
      </c>
      <c r="AG115">
        <v>37040.874199999998</v>
      </c>
      <c r="AH115">
        <v>444490.5</v>
      </c>
      <c r="AI115">
        <v>0.01</v>
      </c>
      <c r="AJ115">
        <v>0</v>
      </c>
      <c r="AW115">
        <v>0</v>
      </c>
      <c r="BJ115">
        <v>0</v>
      </c>
      <c r="BW115">
        <v>0</v>
      </c>
      <c r="CJ115">
        <v>160786.57999999999</v>
      </c>
      <c r="CS115">
        <v>55428.86</v>
      </c>
      <c r="CT115">
        <v>35119.24</v>
      </c>
      <c r="CU115">
        <v>35119.24</v>
      </c>
      <c r="CV115">
        <v>35119.24</v>
      </c>
      <c r="CW115">
        <v>283703.92</v>
      </c>
      <c r="CX115">
        <v>35119.24</v>
      </c>
      <c r="CY115">
        <v>35119.24</v>
      </c>
      <c r="CZ115">
        <v>35119.24</v>
      </c>
      <c r="DA115">
        <v>35119.24</v>
      </c>
      <c r="DB115">
        <v>35119.24</v>
      </c>
      <c r="DC115">
        <v>35119.24</v>
      </c>
      <c r="DD115">
        <v>35119.24</v>
      </c>
      <c r="DE115">
        <v>37869.24</v>
      </c>
      <c r="DJ115">
        <v>0</v>
      </c>
      <c r="DW115">
        <v>0</v>
      </c>
      <c r="EJ115">
        <v>444490.5</v>
      </c>
    </row>
    <row r="116" spans="1:140" hidden="1" x14ac:dyDescent="0.35">
      <c r="A116" t="s">
        <v>4036</v>
      </c>
      <c r="B116" t="s">
        <v>249</v>
      </c>
      <c r="D116" t="s">
        <v>5624</v>
      </c>
      <c r="E116" t="s">
        <v>4203</v>
      </c>
      <c r="F116" t="s">
        <v>4204</v>
      </c>
      <c r="G116" t="s">
        <v>4205</v>
      </c>
      <c r="H116" t="s">
        <v>5625</v>
      </c>
      <c r="I116" t="s">
        <v>5368</v>
      </c>
      <c r="J116" t="s">
        <v>3696</v>
      </c>
      <c r="K116" t="s">
        <v>3696</v>
      </c>
      <c r="L116" t="s">
        <v>637</v>
      </c>
      <c r="M116" t="s">
        <v>4030</v>
      </c>
      <c r="N116" t="s">
        <v>637</v>
      </c>
      <c r="O116" t="s">
        <v>4031</v>
      </c>
      <c r="P116" t="s">
        <v>3747</v>
      </c>
      <c r="Q116" t="s">
        <v>3075</v>
      </c>
      <c r="R116" t="s">
        <v>2464</v>
      </c>
      <c r="S116" t="s">
        <v>5374</v>
      </c>
      <c r="T116" t="s">
        <v>1576</v>
      </c>
      <c r="U116" t="s">
        <v>5626</v>
      </c>
      <c r="V116" s="17">
        <v>46078</v>
      </c>
      <c r="W116" s="17">
        <v>46100</v>
      </c>
      <c r="X116" s="17">
        <v>46222</v>
      </c>
      <c r="Y116">
        <v>60</v>
      </c>
      <c r="Z116">
        <v>4</v>
      </c>
      <c r="AA116">
        <v>4.0666666666666664</v>
      </c>
      <c r="AB116">
        <v>1536.7333333333333</v>
      </c>
      <c r="AC116" s="17"/>
      <c r="AE116">
        <v>35618</v>
      </c>
      <c r="AF116">
        <v>142472</v>
      </c>
      <c r="AG116">
        <v>35618</v>
      </c>
      <c r="AH116">
        <v>142472</v>
      </c>
      <c r="AI116">
        <v>0</v>
      </c>
      <c r="AJ116">
        <v>0</v>
      </c>
      <c r="AW116">
        <v>0</v>
      </c>
      <c r="BB116">
        <v>0</v>
      </c>
      <c r="BC116">
        <v>0</v>
      </c>
      <c r="BJ116">
        <v>0</v>
      </c>
      <c r="BW116">
        <v>0</v>
      </c>
      <c r="CJ116">
        <v>0</v>
      </c>
      <c r="CW116">
        <v>142472</v>
      </c>
      <c r="CZ116">
        <v>35618</v>
      </c>
      <c r="DA116">
        <v>35618</v>
      </c>
      <c r="DB116">
        <v>35618</v>
      </c>
      <c r="DC116">
        <v>35618</v>
      </c>
      <c r="DJ116">
        <v>0</v>
      </c>
      <c r="DW116">
        <v>0</v>
      </c>
      <c r="EJ116">
        <v>142472</v>
      </c>
    </row>
    <row r="117" spans="1:140" hidden="1" x14ac:dyDescent="0.35">
      <c r="A117" t="s">
        <v>4036</v>
      </c>
      <c r="B117" t="s">
        <v>249</v>
      </c>
      <c r="D117" t="s">
        <v>5627</v>
      </c>
      <c r="E117" t="s">
        <v>100</v>
      </c>
      <c r="F117" t="s">
        <v>4120</v>
      </c>
      <c r="G117" t="s">
        <v>4121</v>
      </c>
      <c r="H117" t="s">
        <v>5628</v>
      </c>
      <c r="I117" t="s">
        <v>5368</v>
      </c>
      <c r="J117" t="s">
        <v>3071</v>
      </c>
      <c r="K117" t="s">
        <v>3071</v>
      </c>
      <c r="L117" t="s">
        <v>98</v>
      </c>
      <c r="M117" t="s">
        <v>3087</v>
      </c>
      <c r="N117" t="s">
        <v>89</v>
      </c>
      <c r="O117" t="s">
        <v>3107</v>
      </c>
      <c r="P117" t="s">
        <v>3088</v>
      </c>
      <c r="Q117" t="s">
        <v>3075</v>
      </c>
      <c r="R117" t="s">
        <v>2513</v>
      </c>
      <c r="S117" t="s">
        <v>5374</v>
      </c>
      <c r="T117" t="s">
        <v>1576</v>
      </c>
      <c r="U117" t="s">
        <v>5629</v>
      </c>
      <c r="V117" s="17">
        <v>45534</v>
      </c>
      <c r="W117" s="17">
        <v>45553</v>
      </c>
      <c r="X117" s="17">
        <v>46867</v>
      </c>
      <c r="Y117">
        <v>705</v>
      </c>
      <c r="Z117">
        <v>30</v>
      </c>
      <c r="AA117">
        <v>43.8</v>
      </c>
      <c r="AB117">
        <v>1515.2333333333333</v>
      </c>
      <c r="AC117" s="17"/>
      <c r="AE117">
        <v>34260.676700000004</v>
      </c>
      <c r="AF117">
        <v>3083460.9</v>
      </c>
      <c r="AG117">
        <v>102782.03</v>
      </c>
      <c r="AH117">
        <v>3081354.22</v>
      </c>
      <c r="AI117">
        <v>-2106.6799999999998</v>
      </c>
      <c r="AJ117">
        <v>0</v>
      </c>
      <c r="AW117">
        <v>0</v>
      </c>
      <c r="BJ117">
        <v>0</v>
      </c>
      <c r="BW117">
        <v>260814.22</v>
      </c>
      <c r="CF117">
        <v>44186.22</v>
      </c>
      <c r="CG117">
        <v>75876</v>
      </c>
      <c r="CH117">
        <v>70376</v>
      </c>
      <c r="CI117">
        <v>70376</v>
      </c>
      <c r="CJ117">
        <v>844512</v>
      </c>
      <c r="CK117">
        <v>70376</v>
      </c>
      <c r="CL117">
        <v>70376</v>
      </c>
      <c r="CM117">
        <v>70376</v>
      </c>
      <c r="CN117">
        <v>70376</v>
      </c>
      <c r="CO117">
        <v>70376</v>
      </c>
      <c r="CP117">
        <v>70376</v>
      </c>
      <c r="CQ117">
        <v>70376</v>
      </c>
      <c r="CR117">
        <v>70376</v>
      </c>
      <c r="CS117">
        <v>70376</v>
      </c>
      <c r="CT117">
        <v>70376</v>
      </c>
      <c r="CU117">
        <v>70376</v>
      </c>
      <c r="CV117">
        <v>70376</v>
      </c>
      <c r="CW117">
        <v>844512</v>
      </c>
      <c r="CX117">
        <v>70376</v>
      </c>
      <c r="CY117">
        <v>70376</v>
      </c>
      <c r="CZ117">
        <v>70376</v>
      </c>
      <c r="DA117">
        <v>70376</v>
      </c>
      <c r="DB117">
        <v>70376</v>
      </c>
      <c r="DC117">
        <v>70376</v>
      </c>
      <c r="DD117">
        <v>70376</v>
      </c>
      <c r="DE117">
        <v>70376</v>
      </c>
      <c r="DF117">
        <v>70376</v>
      </c>
      <c r="DG117">
        <v>70376</v>
      </c>
      <c r="DH117">
        <v>70376</v>
      </c>
      <c r="DI117">
        <v>70376</v>
      </c>
      <c r="DJ117">
        <v>844512</v>
      </c>
      <c r="DK117">
        <v>70376</v>
      </c>
      <c r="DL117">
        <v>70376</v>
      </c>
      <c r="DM117">
        <v>70376</v>
      </c>
      <c r="DN117">
        <v>70376</v>
      </c>
      <c r="DO117">
        <v>70376</v>
      </c>
      <c r="DP117">
        <v>70376</v>
      </c>
      <c r="DQ117">
        <v>70376</v>
      </c>
      <c r="DR117">
        <v>70376</v>
      </c>
      <c r="DS117">
        <v>70376</v>
      </c>
      <c r="DT117">
        <v>70376</v>
      </c>
      <c r="DU117">
        <v>70376</v>
      </c>
      <c r="DV117">
        <v>70376</v>
      </c>
      <c r="DW117">
        <v>287004</v>
      </c>
      <c r="DX117">
        <v>70376</v>
      </c>
      <c r="DY117">
        <v>70376</v>
      </c>
      <c r="DZ117">
        <v>70376</v>
      </c>
      <c r="EA117">
        <v>75876</v>
      </c>
      <c r="EJ117">
        <v>2820540</v>
      </c>
    </row>
    <row r="118" spans="1:140" hidden="1" x14ac:dyDescent="0.35">
      <c r="A118" t="s">
        <v>4036</v>
      </c>
      <c r="B118" t="s">
        <v>249</v>
      </c>
      <c r="D118" t="s">
        <v>5630</v>
      </c>
      <c r="E118" t="s">
        <v>112</v>
      </c>
      <c r="F118" t="s">
        <v>4124</v>
      </c>
      <c r="G118" t="s">
        <v>4125</v>
      </c>
      <c r="H118" t="s">
        <v>5631</v>
      </c>
      <c r="I118" t="s">
        <v>5368</v>
      </c>
      <c r="J118" t="s">
        <v>3071</v>
      </c>
      <c r="K118" t="s">
        <v>3071</v>
      </c>
      <c r="L118" t="s">
        <v>98</v>
      </c>
      <c r="M118" t="s">
        <v>3087</v>
      </c>
      <c r="N118" t="s">
        <v>89</v>
      </c>
      <c r="O118" t="s">
        <v>3107</v>
      </c>
      <c r="P118" t="s">
        <v>3088</v>
      </c>
      <c r="Q118" t="s">
        <v>3075</v>
      </c>
      <c r="R118" t="s">
        <v>2513</v>
      </c>
      <c r="S118" t="s">
        <v>5374</v>
      </c>
      <c r="T118" t="s">
        <v>1576</v>
      </c>
      <c r="U118" t="s">
        <v>5632</v>
      </c>
      <c r="V118" s="17">
        <v>45576</v>
      </c>
      <c r="W118" s="17">
        <v>45576</v>
      </c>
      <c r="X118" s="17">
        <v>46698</v>
      </c>
      <c r="Y118">
        <v>536</v>
      </c>
      <c r="Z118">
        <v>38</v>
      </c>
      <c r="AA118">
        <v>37.4</v>
      </c>
      <c r="AB118">
        <v>1520.8666666666666</v>
      </c>
      <c r="AC118" s="17"/>
      <c r="AE118">
        <v>12503.805</v>
      </c>
      <c r="AF118">
        <v>1500000</v>
      </c>
      <c r="AG118">
        <v>39473.684200000003</v>
      </c>
      <c r="AH118">
        <v>1116049.55</v>
      </c>
      <c r="AI118">
        <v>-383950.45</v>
      </c>
      <c r="AJ118">
        <v>0</v>
      </c>
      <c r="AW118">
        <v>0</v>
      </c>
      <c r="BJ118">
        <v>0</v>
      </c>
      <c r="BW118">
        <v>75022.83</v>
      </c>
      <c r="CG118">
        <v>25007.61</v>
      </c>
      <c r="CH118">
        <v>25007.61</v>
      </c>
      <c r="CI118">
        <v>25007.61</v>
      </c>
      <c r="CJ118">
        <v>328745.28000000003</v>
      </c>
      <c r="CK118">
        <v>27395.439999999999</v>
      </c>
      <c r="CL118">
        <v>27395.439999999999</v>
      </c>
      <c r="CM118">
        <v>27395.439999999999</v>
      </c>
      <c r="CN118">
        <v>27395.439999999999</v>
      </c>
      <c r="CO118">
        <v>27395.439999999999</v>
      </c>
      <c r="CP118">
        <v>27395.439999999999</v>
      </c>
      <c r="CQ118">
        <v>27395.439999999999</v>
      </c>
      <c r="CR118">
        <v>27395.439999999999</v>
      </c>
      <c r="CS118">
        <v>27395.439999999999</v>
      </c>
      <c r="CT118">
        <v>27395.439999999999</v>
      </c>
      <c r="CU118">
        <v>27395.439999999999</v>
      </c>
      <c r="CV118">
        <v>27395.439999999999</v>
      </c>
      <c r="CW118">
        <v>328745.28000000003</v>
      </c>
      <c r="CX118">
        <v>27395.439999999999</v>
      </c>
      <c r="CY118">
        <v>27395.439999999999</v>
      </c>
      <c r="CZ118">
        <v>27395.439999999999</v>
      </c>
      <c r="DA118">
        <v>27395.439999999999</v>
      </c>
      <c r="DB118">
        <v>27395.439999999999</v>
      </c>
      <c r="DC118">
        <v>27395.439999999999</v>
      </c>
      <c r="DD118">
        <v>27395.439999999999</v>
      </c>
      <c r="DE118">
        <v>27395.439999999999</v>
      </c>
      <c r="DF118">
        <v>27395.439999999999</v>
      </c>
      <c r="DG118">
        <v>27395.439999999999</v>
      </c>
      <c r="DH118">
        <v>27395.439999999999</v>
      </c>
      <c r="DI118">
        <v>27395.439999999999</v>
      </c>
      <c r="DJ118">
        <v>328745.28000000003</v>
      </c>
      <c r="DK118">
        <v>27395.439999999999</v>
      </c>
      <c r="DL118">
        <v>27395.439999999999</v>
      </c>
      <c r="DM118">
        <v>27395.439999999999</v>
      </c>
      <c r="DN118">
        <v>27395.439999999999</v>
      </c>
      <c r="DO118">
        <v>27395.439999999999</v>
      </c>
      <c r="DP118">
        <v>27395.439999999999</v>
      </c>
      <c r="DQ118">
        <v>27395.439999999999</v>
      </c>
      <c r="DR118">
        <v>27395.439999999999</v>
      </c>
      <c r="DS118">
        <v>27395.439999999999</v>
      </c>
      <c r="DT118">
        <v>27395.439999999999</v>
      </c>
      <c r="DU118">
        <v>27395.439999999999</v>
      </c>
      <c r="DV118">
        <v>27395.439999999999</v>
      </c>
      <c r="DW118">
        <v>54790.879999999997</v>
      </c>
      <c r="DX118">
        <v>27395.439999999999</v>
      </c>
      <c r="DY118">
        <v>27395.439999999999</v>
      </c>
      <c r="EJ118">
        <v>1041026.7200000001</v>
      </c>
    </row>
    <row r="119" spans="1:140" hidden="1" x14ac:dyDescent="0.35">
      <c r="A119" t="s">
        <v>4036</v>
      </c>
      <c r="B119" t="s">
        <v>5365</v>
      </c>
      <c r="D119" t="s">
        <v>5633</v>
      </c>
      <c r="E119" t="s">
        <v>333</v>
      </c>
      <c r="F119" t="s">
        <v>4134</v>
      </c>
      <c r="G119" t="s">
        <v>4135</v>
      </c>
      <c r="H119" t="s">
        <v>5634</v>
      </c>
      <c r="I119" t="s">
        <v>5368</v>
      </c>
      <c r="J119" t="s">
        <v>3079</v>
      </c>
      <c r="K119" t="s">
        <v>3079</v>
      </c>
      <c r="L119" t="s">
        <v>332</v>
      </c>
      <c r="M119" t="s">
        <v>3087</v>
      </c>
      <c r="N119" t="s">
        <v>332</v>
      </c>
      <c r="O119" t="s">
        <v>3728</v>
      </c>
      <c r="P119" t="s">
        <v>3747</v>
      </c>
      <c r="Q119" t="s">
        <v>3075</v>
      </c>
      <c r="R119" t="s">
        <v>2464</v>
      </c>
      <c r="S119" t="s">
        <v>5452</v>
      </c>
      <c r="T119" t="s">
        <v>2363</v>
      </c>
      <c r="U119" t="s">
        <v>5635</v>
      </c>
      <c r="V119" s="17">
        <v>45699</v>
      </c>
      <c r="W119" s="17">
        <v>45726</v>
      </c>
      <c r="X119" s="17">
        <v>46056</v>
      </c>
      <c r="Y119">
        <v>-106</v>
      </c>
      <c r="Z119">
        <v>11</v>
      </c>
      <c r="AA119">
        <v>11</v>
      </c>
      <c r="AB119">
        <v>1542.2666666666667</v>
      </c>
      <c r="AC119" s="17"/>
      <c r="AE119">
        <v>51034.69</v>
      </c>
      <c r="AF119">
        <v>781490.29</v>
      </c>
      <c r="AG119">
        <v>71044.571800000005</v>
      </c>
      <c r="AH119">
        <v>781490.25</v>
      </c>
      <c r="AI119">
        <v>-0.04</v>
      </c>
      <c r="AJ119">
        <v>0</v>
      </c>
      <c r="AW119">
        <v>0</v>
      </c>
      <c r="BJ119">
        <v>0</v>
      </c>
      <c r="BW119">
        <v>0</v>
      </c>
      <c r="CJ119">
        <v>721362.16</v>
      </c>
      <c r="CM119">
        <v>57954.17</v>
      </c>
      <c r="CN119">
        <v>88105.38</v>
      </c>
      <c r="CO119">
        <v>54367.22</v>
      </c>
      <c r="CP119">
        <v>54367.22</v>
      </c>
      <c r="CQ119">
        <v>112321.39</v>
      </c>
      <c r="CR119">
        <v>57954.17</v>
      </c>
      <c r="CS119">
        <v>57954.17</v>
      </c>
      <c r="CT119">
        <v>118082.26</v>
      </c>
      <c r="CU119">
        <v>60128.09</v>
      </c>
      <c r="CV119">
        <v>60128.09</v>
      </c>
      <c r="CW119">
        <v>60128.09</v>
      </c>
      <c r="CX119">
        <v>60128.09</v>
      </c>
      <c r="DJ119">
        <v>0</v>
      </c>
      <c r="DW119">
        <v>0</v>
      </c>
      <c r="EJ119">
        <v>781490.25</v>
      </c>
    </row>
    <row r="120" spans="1:140" hidden="1" x14ac:dyDescent="0.35">
      <c r="A120" t="s">
        <v>4036</v>
      </c>
      <c r="B120" t="s">
        <v>5365</v>
      </c>
      <c r="D120" t="s">
        <v>5636</v>
      </c>
      <c r="E120" t="s">
        <v>5029</v>
      </c>
      <c r="F120" t="s">
        <v>5030</v>
      </c>
      <c r="G120" t="s">
        <v>5031</v>
      </c>
      <c r="H120" t="s">
        <v>5637</v>
      </c>
      <c r="I120" t="s">
        <v>5368</v>
      </c>
      <c r="J120" t="s">
        <v>3203</v>
      </c>
      <c r="K120" t="s">
        <v>3203</v>
      </c>
      <c r="L120" t="s">
        <v>4703</v>
      </c>
      <c r="M120" t="s">
        <v>3088</v>
      </c>
      <c r="N120" t="s">
        <v>1082</v>
      </c>
      <c r="O120" t="s">
        <v>249</v>
      </c>
      <c r="P120" t="s">
        <v>3879</v>
      </c>
      <c r="Q120" t="s">
        <v>3075</v>
      </c>
      <c r="R120" t="s">
        <v>4394</v>
      </c>
      <c r="S120" t="s">
        <v>5374</v>
      </c>
      <c r="T120" t="s">
        <v>1576</v>
      </c>
      <c r="U120" t="s">
        <v>5638</v>
      </c>
      <c r="V120" s="17">
        <v>46000</v>
      </c>
      <c r="W120" s="17">
        <v>46066</v>
      </c>
      <c r="X120" s="17">
        <v>46125</v>
      </c>
      <c r="Y120">
        <v>-37</v>
      </c>
      <c r="Z120">
        <v>2</v>
      </c>
      <c r="AA120">
        <v>1.9666666666666666</v>
      </c>
      <c r="AB120">
        <v>1539.9666666666667</v>
      </c>
      <c r="AC120" s="17"/>
      <c r="AE120">
        <v>65952</v>
      </c>
      <c r="AF120">
        <v>131904</v>
      </c>
      <c r="AG120">
        <v>65952</v>
      </c>
      <c r="AH120">
        <v>131904</v>
      </c>
      <c r="AI120">
        <v>0</v>
      </c>
      <c r="AJ120">
        <v>0</v>
      </c>
      <c r="AW120">
        <v>0</v>
      </c>
      <c r="BJ120">
        <v>0</v>
      </c>
      <c r="BW120">
        <v>0</v>
      </c>
      <c r="CJ120">
        <v>0</v>
      </c>
      <c r="CW120">
        <v>131904</v>
      </c>
      <c r="CX120">
        <v>65952</v>
      </c>
      <c r="CY120">
        <v>65952</v>
      </c>
      <c r="DJ120">
        <v>0</v>
      </c>
      <c r="DW120">
        <v>0</v>
      </c>
      <c r="EJ120">
        <v>131904</v>
      </c>
    </row>
    <row r="121" spans="1:140" hidden="1" x14ac:dyDescent="0.35">
      <c r="A121" t="s">
        <v>4036</v>
      </c>
      <c r="B121" t="s">
        <v>5365</v>
      </c>
      <c r="D121" t="s">
        <v>5639</v>
      </c>
      <c r="E121" t="s">
        <v>5029</v>
      </c>
      <c r="F121" t="s">
        <v>5030</v>
      </c>
      <c r="G121" t="s">
        <v>5031</v>
      </c>
      <c r="H121" t="s">
        <v>5640</v>
      </c>
      <c r="I121" t="s">
        <v>5373</v>
      </c>
      <c r="J121" t="s">
        <v>3203</v>
      </c>
      <c r="K121" t="s">
        <v>3203</v>
      </c>
      <c r="L121" t="s">
        <v>4703</v>
      </c>
      <c r="M121" t="s">
        <v>3088</v>
      </c>
      <c r="N121" t="s">
        <v>1082</v>
      </c>
      <c r="O121" t="s">
        <v>249</v>
      </c>
      <c r="P121" t="s">
        <v>3153</v>
      </c>
      <c r="Q121" t="s">
        <v>3075</v>
      </c>
      <c r="R121" t="s">
        <v>4394</v>
      </c>
      <c r="S121" t="s">
        <v>5374</v>
      </c>
      <c r="T121" t="s">
        <v>1576</v>
      </c>
      <c r="U121" t="s">
        <v>5638</v>
      </c>
      <c r="V121" s="17">
        <v>46065</v>
      </c>
      <c r="W121" s="17">
        <v>46065</v>
      </c>
      <c r="X121" s="17">
        <v>46093</v>
      </c>
      <c r="Y121">
        <v>-69</v>
      </c>
      <c r="Z121">
        <v>1</v>
      </c>
      <c r="AA121">
        <v>0.93333333333333335</v>
      </c>
      <c r="AB121">
        <v>1541.0333333333333</v>
      </c>
      <c r="AC121" s="17"/>
      <c r="AE121">
        <v>51296</v>
      </c>
      <c r="AF121">
        <v>51296</v>
      </c>
      <c r="AG121">
        <v>51296</v>
      </c>
      <c r="AH121">
        <v>51296</v>
      </c>
      <c r="AI121">
        <v>0</v>
      </c>
      <c r="AJ121">
        <v>0</v>
      </c>
      <c r="AW121">
        <v>0</v>
      </c>
      <c r="BJ121">
        <v>0</v>
      </c>
      <c r="BW121">
        <v>0</v>
      </c>
      <c r="CJ121">
        <v>0</v>
      </c>
      <c r="CW121">
        <v>51296</v>
      </c>
      <c r="CZ121">
        <v>25648</v>
      </c>
      <c r="DA121">
        <v>25648</v>
      </c>
      <c r="DJ121">
        <v>0</v>
      </c>
      <c r="DW121">
        <v>0</v>
      </c>
      <c r="EJ121">
        <v>51296</v>
      </c>
    </row>
    <row r="122" spans="1:140" hidden="1" x14ac:dyDescent="0.35">
      <c r="A122" t="s">
        <v>4036</v>
      </c>
      <c r="B122" t="s">
        <v>5365</v>
      </c>
      <c r="D122" t="s">
        <v>5641</v>
      </c>
      <c r="E122" t="s">
        <v>5029</v>
      </c>
      <c r="F122" t="s">
        <v>5030</v>
      </c>
      <c r="G122" t="s">
        <v>5031</v>
      </c>
      <c r="H122" t="s">
        <v>5640</v>
      </c>
      <c r="I122" t="s">
        <v>5373</v>
      </c>
      <c r="J122" t="s">
        <v>3203</v>
      </c>
      <c r="K122" t="s">
        <v>3203</v>
      </c>
      <c r="L122" t="s">
        <v>4703</v>
      </c>
      <c r="M122" t="s">
        <v>3088</v>
      </c>
      <c r="N122" t="s">
        <v>1082</v>
      </c>
      <c r="O122" t="s">
        <v>249</v>
      </c>
      <c r="P122" t="s">
        <v>3153</v>
      </c>
      <c r="Q122" t="s">
        <v>3075</v>
      </c>
      <c r="R122" t="s">
        <v>4394</v>
      </c>
      <c r="S122" t="s">
        <v>5374</v>
      </c>
      <c r="T122" t="s">
        <v>1576</v>
      </c>
      <c r="U122" t="s">
        <v>5638</v>
      </c>
      <c r="V122" s="17">
        <v>46065</v>
      </c>
      <c r="W122" s="17">
        <v>46065</v>
      </c>
      <c r="X122" s="17">
        <v>46093</v>
      </c>
      <c r="Y122">
        <v>-69</v>
      </c>
      <c r="Z122">
        <v>1</v>
      </c>
      <c r="AA122">
        <v>0.93333333333333335</v>
      </c>
      <c r="AB122">
        <v>1541.0333333333333</v>
      </c>
      <c r="AC122" s="17"/>
      <c r="AE122">
        <v>29312.22</v>
      </c>
      <c r="AF122">
        <v>29312.22</v>
      </c>
      <c r="AG122">
        <v>29312.22</v>
      </c>
      <c r="AH122">
        <v>29312.22</v>
      </c>
      <c r="AI122">
        <v>0</v>
      </c>
      <c r="AJ122">
        <v>0</v>
      </c>
      <c r="AW122">
        <v>0</v>
      </c>
      <c r="BJ122">
        <v>0</v>
      </c>
      <c r="BW122">
        <v>0</v>
      </c>
      <c r="CJ122">
        <v>0</v>
      </c>
      <c r="CW122">
        <v>29312.22</v>
      </c>
      <c r="CY122">
        <v>14656.11</v>
      </c>
      <c r="CZ122">
        <v>14656.11</v>
      </c>
      <c r="DJ122">
        <v>0</v>
      </c>
      <c r="DW122">
        <v>0</v>
      </c>
      <c r="EJ122">
        <v>29312.22</v>
      </c>
    </row>
    <row r="123" spans="1:140" hidden="1" x14ac:dyDescent="0.35">
      <c r="A123" t="s">
        <v>4036</v>
      </c>
      <c r="B123" t="s">
        <v>5365</v>
      </c>
      <c r="D123" t="s">
        <v>5642</v>
      </c>
      <c r="E123" t="s">
        <v>518</v>
      </c>
      <c r="F123" t="s">
        <v>5015</v>
      </c>
      <c r="G123" t="s">
        <v>5016</v>
      </c>
      <c r="H123" t="s">
        <v>5643</v>
      </c>
      <c r="I123" t="s">
        <v>5368</v>
      </c>
      <c r="J123" t="s">
        <v>3203</v>
      </c>
      <c r="K123" t="s">
        <v>3203</v>
      </c>
      <c r="L123" t="s">
        <v>516</v>
      </c>
      <c r="M123" t="s">
        <v>3997</v>
      </c>
      <c r="N123" t="s">
        <v>516</v>
      </c>
      <c r="O123" t="s">
        <v>3997</v>
      </c>
      <c r="P123" t="s">
        <v>3879</v>
      </c>
      <c r="Q123" t="s">
        <v>3852</v>
      </c>
      <c r="R123" t="s">
        <v>4394</v>
      </c>
      <c r="S123" t="s">
        <v>5452</v>
      </c>
      <c r="T123" t="s">
        <v>2363</v>
      </c>
      <c r="U123" t="s">
        <v>5644</v>
      </c>
      <c r="V123" s="17">
        <v>45905</v>
      </c>
      <c r="W123" s="17">
        <v>45973</v>
      </c>
      <c r="X123" s="17">
        <v>46078</v>
      </c>
      <c r="Y123">
        <v>-84</v>
      </c>
      <c r="Z123">
        <v>3.5</v>
      </c>
      <c r="AA123">
        <v>3.5</v>
      </c>
      <c r="AB123">
        <v>1541.5333333333333</v>
      </c>
      <c r="AC123" s="17"/>
      <c r="AE123">
        <v>97142.857099999994</v>
      </c>
      <c r="AF123">
        <v>340000</v>
      </c>
      <c r="AG123">
        <v>97142.857099999994</v>
      </c>
      <c r="AH123">
        <v>340000</v>
      </c>
      <c r="AI123">
        <v>0</v>
      </c>
      <c r="AJ123">
        <v>0</v>
      </c>
      <c r="AW123">
        <v>0</v>
      </c>
      <c r="BJ123">
        <v>0</v>
      </c>
      <c r="BW123">
        <v>0</v>
      </c>
      <c r="CJ123">
        <v>319336</v>
      </c>
      <c r="CT123">
        <v>30307.200000000001</v>
      </c>
      <c r="CU123">
        <v>138025.60000000001</v>
      </c>
      <c r="CV123">
        <v>151003.20000000001</v>
      </c>
      <c r="CW123">
        <v>20664</v>
      </c>
      <c r="CX123">
        <v>20664</v>
      </c>
      <c r="DJ123">
        <v>0</v>
      </c>
      <c r="DW123">
        <v>0</v>
      </c>
      <c r="EJ123">
        <v>340000</v>
      </c>
    </row>
    <row r="124" spans="1:140" hidden="1" x14ac:dyDescent="0.35">
      <c r="A124" t="s">
        <v>4036</v>
      </c>
      <c r="B124" t="s">
        <v>5365</v>
      </c>
      <c r="D124" t="s">
        <v>5645</v>
      </c>
      <c r="E124" t="s">
        <v>191</v>
      </c>
      <c r="F124" t="s">
        <v>191</v>
      </c>
      <c r="G124" t="s">
        <v>4999</v>
      </c>
      <c r="H124" t="s">
        <v>5646</v>
      </c>
      <c r="I124" t="s">
        <v>5477</v>
      </c>
      <c r="J124" t="s">
        <v>3203</v>
      </c>
      <c r="K124" t="s">
        <v>3203</v>
      </c>
      <c r="L124" t="s">
        <v>189</v>
      </c>
      <c r="M124" t="s">
        <v>3139</v>
      </c>
      <c r="N124" t="s">
        <v>189</v>
      </c>
      <c r="O124" t="s">
        <v>3153</v>
      </c>
      <c r="P124">
        <v>0</v>
      </c>
      <c r="Q124" t="s">
        <v>3852</v>
      </c>
      <c r="R124">
        <v>0</v>
      </c>
      <c r="S124">
        <v>0</v>
      </c>
      <c r="T124" t="s">
        <v>5369</v>
      </c>
      <c r="U124" t="s">
        <v>5647</v>
      </c>
      <c r="V124" s="17">
        <v>45055</v>
      </c>
      <c r="W124" s="17">
        <v>44699</v>
      </c>
      <c r="X124" s="17">
        <v>46157</v>
      </c>
      <c r="Y124">
        <v>-5</v>
      </c>
      <c r="Z124">
        <v>0</v>
      </c>
      <c r="AA124">
        <v>48.6</v>
      </c>
      <c r="AB124">
        <v>1538.9</v>
      </c>
      <c r="AC124" s="17"/>
      <c r="AE124">
        <v>0</v>
      </c>
      <c r="AF124">
        <v>0</v>
      </c>
      <c r="AH124">
        <v>1338160.416</v>
      </c>
      <c r="AI124">
        <v>1338160.416</v>
      </c>
      <c r="AJ124">
        <v>0</v>
      </c>
      <c r="AW124">
        <v>0</v>
      </c>
      <c r="BJ124">
        <v>658226.40599999996</v>
      </c>
      <c r="BK124">
        <v>30393.876</v>
      </c>
      <c r="BL124">
        <v>22407.095000000001</v>
      </c>
      <c r="BM124">
        <v>25719.334999999999</v>
      </c>
      <c r="BN124">
        <v>28303.64</v>
      </c>
      <c r="BO124">
        <v>31333.564999999999</v>
      </c>
      <c r="BP124">
        <v>63539.977500000001</v>
      </c>
      <c r="BQ124">
        <v>76714.867499999993</v>
      </c>
      <c r="BR124">
        <v>79349.2</v>
      </c>
      <c r="BS124">
        <v>67423.92</v>
      </c>
      <c r="BT124">
        <v>66865.162500000006</v>
      </c>
      <c r="BU124">
        <v>112138.2675</v>
      </c>
      <c r="BV124">
        <v>54037.5</v>
      </c>
      <c r="BW124">
        <v>679934.01</v>
      </c>
      <c r="BX124">
        <v>131024.56</v>
      </c>
      <c r="BY124">
        <v>113452.55</v>
      </c>
      <c r="BZ124">
        <v>137892.04</v>
      </c>
      <c r="CA124">
        <v>61445.55</v>
      </c>
      <c r="CB124">
        <v>51559.31</v>
      </c>
      <c r="CC124">
        <v>69280</v>
      </c>
      <c r="CD124">
        <v>0</v>
      </c>
      <c r="CE124">
        <v>28820</v>
      </c>
      <c r="CF124">
        <v>28820</v>
      </c>
      <c r="CG124">
        <v>28820</v>
      </c>
      <c r="CH124">
        <v>28820</v>
      </c>
      <c r="CI124">
        <v>0</v>
      </c>
      <c r="CJ124">
        <v>0</v>
      </c>
      <c r="CK124">
        <v>0</v>
      </c>
      <c r="CW124">
        <v>0</v>
      </c>
      <c r="DJ124">
        <v>0</v>
      </c>
      <c r="DW124">
        <v>0</v>
      </c>
      <c r="EJ124">
        <v>0</v>
      </c>
    </row>
    <row r="125" spans="1:140" hidden="1" x14ac:dyDescent="0.35">
      <c r="A125" t="s">
        <v>4036</v>
      </c>
      <c r="B125" t="s">
        <v>5365</v>
      </c>
      <c r="D125" t="s">
        <v>5648</v>
      </c>
      <c r="E125" t="s">
        <v>5194</v>
      </c>
      <c r="F125" t="s">
        <v>5195</v>
      </c>
      <c r="G125" t="s">
        <v>5196</v>
      </c>
      <c r="H125" t="s">
        <v>5649</v>
      </c>
      <c r="I125" t="s">
        <v>5368</v>
      </c>
      <c r="J125" t="s">
        <v>5102</v>
      </c>
      <c r="K125" t="s">
        <v>5102</v>
      </c>
      <c r="L125" t="s">
        <v>5197</v>
      </c>
      <c r="M125" t="s">
        <v>249</v>
      </c>
      <c r="N125" t="s">
        <v>5197</v>
      </c>
      <c r="O125" t="s">
        <v>3153</v>
      </c>
      <c r="P125" t="s">
        <v>3249</v>
      </c>
      <c r="Q125" t="s">
        <v>3075</v>
      </c>
      <c r="R125" t="s">
        <v>5116</v>
      </c>
      <c r="S125" t="s">
        <v>5452</v>
      </c>
      <c r="T125" t="s">
        <v>2363</v>
      </c>
      <c r="U125" t="s">
        <v>5650</v>
      </c>
      <c r="V125" s="17">
        <v>45882</v>
      </c>
      <c r="W125" s="17">
        <v>45887</v>
      </c>
      <c r="X125" s="17">
        <v>46071</v>
      </c>
      <c r="Y125">
        <v>-91</v>
      </c>
      <c r="Z125">
        <v>6</v>
      </c>
      <c r="AA125">
        <v>6.1333333333333337</v>
      </c>
      <c r="AB125">
        <v>1541.7666666666667</v>
      </c>
      <c r="AC125" s="17"/>
      <c r="AE125">
        <v>30502.626700000001</v>
      </c>
      <c r="AF125">
        <v>183015.76</v>
      </c>
      <c r="AG125">
        <v>30502.626700000001</v>
      </c>
      <c r="AH125">
        <v>183015.78</v>
      </c>
      <c r="AI125">
        <v>0.02</v>
      </c>
      <c r="AJ125">
        <v>0</v>
      </c>
      <c r="AW125">
        <v>0</v>
      </c>
      <c r="BJ125">
        <v>0</v>
      </c>
      <c r="BW125">
        <v>0</v>
      </c>
      <c r="CJ125">
        <v>183015.78</v>
      </c>
      <c r="CQ125">
        <v>30502.63</v>
      </c>
      <c r="CR125">
        <v>30502.63</v>
      </c>
      <c r="CS125">
        <v>30502.63</v>
      </c>
      <c r="CT125">
        <v>30502.63</v>
      </c>
      <c r="CU125">
        <v>30502.63</v>
      </c>
      <c r="CV125">
        <v>30502.63</v>
      </c>
      <c r="CW125">
        <v>0</v>
      </c>
      <c r="DJ125">
        <v>0</v>
      </c>
      <c r="DW125">
        <v>0</v>
      </c>
      <c r="EJ125">
        <v>183015.78</v>
      </c>
    </row>
    <row r="126" spans="1:140" hidden="1" x14ac:dyDescent="0.35">
      <c r="A126" t="s">
        <v>4036</v>
      </c>
      <c r="B126" t="s">
        <v>5365</v>
      </c>
      <c r="D126" t="s">
        <v>5651</v>
      </c>
      <c r="E126" t="s">
        <v>534</v>
      </c>
      <c r="F126" t="s">
        <v>4138</v>
      </c>
      <c r="G126" t="s">
        <v>4139</v>
      </c>
      <c r="H126" t="s">
        <v>5652</v>
      </c>
      <c r="I126" t="s">
        <v>5368</v>
      </c>
      <c r="J126" t="s">
        <v>3071</v>
      </c>
      <c r="K126" t="s">
        <v>3071</v>
      </c>
      <c r="L126" t="s">
        <v>532</v>
      </c>
      <c r="M126" t="s">
        <v>249</v>
      </c>
      <c r="N126" t="s">
        <v>89</v>
      </c>
      <c r="O126" t="s">
        <v>249</v>
      </c>
      <c r="P126" t="s">
        <v>3088</v>
      </c>
      <c r="Q126" t="s">
        <v>3075</v>
      </c>
      <c r="R126" t="s">
        <v>2513</v>
      </c>
      <c r="S126" t="s">
        <v>5452</v>
      </c>
      <c r="T126" t="s">
        <v>2363</v>
      </c>
      <c r="U126" t="s">
        <v>5653</v>
      </c>
      <c r="V126" s="17">
        <v>45896</v>
      </c>
      <c r="W126" s="17">
        <v>45897</v>
      </c>
      <c r="X126" s="17">
        <v>46137</v>
      </c>
      <c r="Y126">
        <v>-25</v>
      </c>
      <c r="Z126">
        <v>8</v>
      </c>
      <c r="AA126">
        <v>8</v>
      </c>
      <c r="AB126">
        <v>1539.5666666666666</v>
      </c>
      <c r="AC126" s="17"/>
      <c r="AE126">
        <v>85232.95</v>
      </c>
      <c r="AF126">
        <v>681863.6</v>
      </c>
      <c r="AG126">
        <v>85232.95</v>
      </c>
      <c r="AH126">
        <v>600863.65</v>
      </c>
      <c r="AI126">
        <v>-80999.95</v>
      </c>
      <c r="AJ126">
        <v>0</v>
      </c>
      <c r="AW126">
        <v>0</v>
      </c>
      <c r="BJ126">
        <v>0</v>
      </c>
      <c r="BW126">
        <v>0</v>
      </c>
      <c r="CJ126">
        <v>249758.2</v>
      </c>
      <c r="CS126">
        <v>7000</v>
      </c>
      <c r="CT126">
        <v>51810.11</v>
      </c>
      <c r="CU126">
        <v>99327.86</v>
      </c>
      <c r="CV126">
        <v>91620.23</v>
      </c>
      <c r="CW126">
        <v>351105.45</v>
      </c>
      <c r="CX126">
        <v>91620.23</v>
      </c>
      <c r="CY126">
        <v>91620.23</v>
      </c>
      <c r="CZ126">
        <v>91620.23</v>
      </c>
      <c r="DA126">
        <v>76244.759999999995</v>
      </c>
      <c r="DJ126">
        <v>0</v>
      </c>
      <c r="DW126">
        <v>0</v>
      </c>
      <c r="EJ126">
        <v>600863.65</v>
      </c>
    </row>
    <row r="127" spans="1:140" hidden="1" x14ac:dyDescent="0.35">
      <c r="A127" t="s">
        <v>4036</v>
      </c>
      <c r="B127" t="s">
        <v>5365</v>
      </c>
      <c r="D127" t="s">
        <v>5651</v>
      </c>
      <c r="E127" t="s">
        <v>534</v>
      </c>
      <c r="F127" t="s">
        <v>4138</v>
      </c>
      <c r="G127" t="s">
        <v>4356</v>
      </c>
      <c r="H127" t="s">
        <v>5652</v>
      </c>
      <c r="I127" t="s">
        <v>5368</v>
      </c>
      <c r="J127" t="s">
        <v>2002</v>
      </c>
      <c r="K127" t="s">
        <v>4313</v>
      </c>
      <c r="L127" t="s">
        <v>532</v>
      </c>
      <c r="M127" t="s">
        <v>249</v>
      </c>
      <c r="N127" t="s">
        <v>89</v>
      </c>
      <c r="O127" t="s">
        <v>249</v>
      </c>
      <c r="P127" t="s">
        <v>3088</v>
      </c>
      <c r="Q127" t="s">
        <v>3075</v>
      </c>
      <c r="R127" t="s">
        <v>2513</v>
      </c>
      <c r="S127" t="s">
        <v>5452</v>
      </c>
      <c r="T127" t="s">
        <v>2363</v>
      </c>
      <c r="U127" t="s">
        <v>5653</v>
      </c>
      <c r="V127" s="17">
        <v>45896</v>
      </c>
      <c r="W127" s="17">
        <v>45897</v>
      </c>
      <c r="X127" s="17">
        <v>46137</v>
      </c>
      <c r="Y127">
        <v>-25</v>
      </c>
      <c r="Z127">
        <v>8</v>
      </c>
      <c r="AA127">
        <v>8</v>
      </c>
      <c r="AB127">
        <v>1539.5666666666666</v>
      </c>
      <c r="AC127" s="17"/>
      <c r="AE127">
        <v>85232.95</v>
      </c>
      <c r="AF127">
        <v>681863.6</v>
      </c>
      <c r="AG127">
        <v>85232.95</v>
      </c>
      <c r="AH127">
        <v>81000</v>
      </c>
      <c r="AI127">
        <v>-600863.6</v>
      </c>
      <c r="AJ127">
        <v>0</v>
      </c>
      <c r="AW127">
        <v>0</v>
      </c>
      <c r="BJ127">
        <v>0</v>
      </c>
      <c r="BW127">
        <v>0</v>
      </c>
      <c r="CJ127">
        <v>81000</v>
      </c>
      <c r="CS127">
        <v>56000</v>
      </c>
      <c r="CT127">
        <v>25000</v>
      </c>
      <c r="CW127">
        <v>0</v>
      </c>
      <c r="DJ127">
        <v>0</v>
      </c>
      <c r="DW127">
        <v>0</v>
      </c>
      <c r="EJ127">
        <v>81000</v>
      </c>
    </row>
    <row r="128" spans="1:140" hidden="1" x14ac:dyDescent="0.35">
      <c r="A128" t="s">
        <v>4036</v>
      </c>
      <c r="B128" t="s">
        <v>249</v>
      </c>
      <c r="D128" t="s">
        <v>5654</v>
      </c>
      <c r="E128" t="s">
        <v>534</v>
      </c>
      <c r="F128" t="s">
        <v>4138</v>
      </c>
      <c r="G128" t="s">
        <v>4139</v>
      </c>
      <c r="H128" t="s">
        <v>5655</v>
      </c>
      <c r="I128" t="s">
        <v>5373</v>
      </c>
      <c r="J128" t="s">
        <v>3071</v>
      </c>
      <c r="K128" t="s">
        <v>3071</v>
      </c>
      <c r="L128" t="s">
        <v>532</v>
      </c>
      <c r="M128" t="s">
        <v>249</v>
      </c>
      <c r="N128" t="s">
        <v>89</v>
      </c>
      <c r="O128" t="s">
        <v>249</v>
      </c>
      <c r="P128" t="s">
        <v>3088</v>
      </c>
      <c r="Q128" t="s">
        <v>3075</v>
      </c>
      <c r="R128" t="s">
        <v>1580</v>
      </c>
      <c r="S128" t="s">
        <v>5374</v>
      </c>
      <c r="T128" t="s">
        <v>2363</v>
      </c>
      <c r="U128" t="s">
        <v>5653</v>
      </c>
      <c r="V128" s="17">
        <v>46134</v>
      </c>
      <c r="W128" s="17">
        <v>46143</v>
      </c>
      <c r="X128" s="17">
        <v>46387</v>
      </c>
      <c r="Y128">
        <v>225</v>
      </c>
      <c r="Z128">
        <v>8</v>
      </c>
      <c r="AA128">
        <v>8.1333333333333329</v>
      </c>
      <c r="AB128">
        <v>1531.2333333333333</v>
      </c>
      <c r="AC128" s="17"/>
      <c r="AE128">
        <v>44869.302499999998</v>
      </c>
      <c r="AF128">
        <v>358954.42</v>
      </c>
      <c r="AG128">
        <v>44869.302499999998</v>
      </c>
      <c r="AH128">
        <v>358954.46</v>
      </c>
      <c r="AI128">
        <v>0.04</v>
      </c>
      <c r="AJ128">
        <v>0</v>
      </c>
      <c r="AW128">
        <v>0</v>
      </c>
      <c r="BJ128">
        <v>0</v>
      </c>
      <c r="BW128">
        <v>0</v>
      </c>
      <c r="CJ128">
        <v>0</v>
      </c>
      <c r="CW128">
        <v>358954.46</v>
      </c>
      <c r="DB128">
        <v>46119.360000000001</v>
      </c>
      <c r="DC128">
        <v>43619.3</v>
      </c>
      <c r="DD128">
        <v>46119.3</v>
      </c>
      <c r="DE128">
        <v>43619.3</v>
      </c>
      <c r="DF128">
        <v>46119.3</v>
      </c>
      <c r="DG128">
        <v>43619.3</v>
      </c>
      <c r="DH128">
        <v>46119.3</v>
      </c>
      <c r="DI128">
        <v>43619.3</v>
      </c>
      <c r="DJ128">
        <v>0</v>
      </c>
      <c r="DW128">
        <v>0</v>
      </c>
      <c r="EJ128">
        <v>358954.46</v>
      </c>
    </row>
    <row r="129" spans="1:140" hidden="1" x14ac:dyDescent="0.35">
      <c r="A129" t="s">
        <v>4036</v>
      </c>
      <c r="B129" t="s">
        <v>5365</v>
      </c>
      <c r="D129" t="s">
        <v>5656</v>
      </c>
      <c r="E129" t="s">
        <v>634</v>
      </c>
      <c r="F129" t="s">
        <v>5039</v>
      </c>
      <c r="G129" t="s">
        <v>5040</v>
      </c>
      <c r="H129" t="s">
        <v>5657</v>
      </c>
      <c r="I129" t="s">
        <v>5368</v>
      </c>
      <c r="J129" t="s">
        <v>3203</v>
      </c>
      <c r="K129" t="s">
        <v>3203</v>
      </c>
      <c r="L129" t="s">
        <v>768</v>
      </c>
      <c r="M129" t="s">
        <v>3088</v>
      </c>
      <c r="N129" t="s">
        <v>768</v>
      </c>
      <c r="O129" t="s">
        <v>3088</v>
      </c>
      <c r="P129" t="s">
        <v>3088</v>
      </c>
      <c r="Q129" t="s">
        <v>3852</v>
      </c>
      <c r="R129" t="s">
        <v>4394</v>
      </c>
      <c r="S129" t="s">
        <v>5452</v>
      </c>
      <c r="T129" t="s">
        <v>2363</v>
      </c>
      <c r="U129" t="s">
        <v>5658</v>
      </c>
      <c r="V129" s="17">
        <v>46035</v>
      </c>
      <c r="W129" s="17">
        <v>46056</v>
      </c>
      <c r="X129" s="17">
        <v>46145</v>
      </c>
      <c r="Y129">
        <v>-17</v>
      </c>
      <c r="Z129">
        <v>3</v>
      </c>
      <c r="AA129">
        <v>2.9666666666666668</v>
      </c>
      <c r="AB129">
        <v>1539.3</v>
      </c>
      <c r="AC129" s="17"/>
      <c r="AE129">
        <v>150653.4933</v>
      </c>
      <c r="AF129">
        <v>451960.48</v>
      </c>
      <c r="AG129">
        <v>150653.4933</v>
      </c>
      <c r="AH129">
        <v>451960.48</v>
      </c>
      <c r="AI129">
        <v>0</v>
      </c>
      <c r="AJ129">
        <v>0</v>
      </c>
      <c r="AW129">
        <v>0</v>
      </c>
      <c r="BJ129">
        <v>0</v>
      </c>
      <c r="BW129">
        <v>0</v>
      </c>
      <c r="CJ129">
        <v>0</v>
      </c>
      <c r="CW129">
        <v>451960.48</v>
      </c>
      <c r="CZ129">
        <v>275870.89600000001</v>
      </c>
      <c r="DA129">
        <v>158731.82399999999</v>
      </c>
      <c r="DB129">
        <v>17357.759999999998</v>
      </c>
      <c r="DJ129">
        <v>0</v>
      </c>
      <c r="DW129">
        <v>0</v>
      </c>
      <c r="EJ129">
        <v>451960.48</v>
      </c>
    </row>
    <row r="130" spans="1:140" hidden="1" x14ac:dyDescent="0.35">
      <c r="A130" t="s">
        <v>4036</v>
      </c>
      <c r="B130" t="s">
        <v>249</v>
      </c>
      <c r="D130" t="s">
        <v>5659</v>
      </c>
      <c r="E130" t="s">
        <v>406</v>
      </c>
      <c r="F130" t="s">
        <v>5001</v>
      </c>
      <c r="G130" t="s">
        <v>4943</v>
      </c>
      <c r="H130" t="s">
        <v>5660</v>
      </c>
      <c r="I130" t="s">
        <v>5477</v>
      </c>
      <c r="J130" t="s">
        <v>3203</v>
      </c>
      <c r="K130" t="s">
        <v>3203</v>
      </c>
      <c r="L130" t="s">
        <v>89</v>
      </c>
      <c r="M130" t="s">
        <v>3088</v>
      </c>
      <c r="N130" t="s">
        <v>89</v>
      </c>
      <c r="O130" t="s">
        <v>3088</v>
      </c>
      <c r="P130" t="s">
        <v>3088</v>
      </c>
      <c r="Q130" t="s">
        <v>3852</v>
      </c>
      <c r="R130" t="s">
        <v>4394</v>
      </c>
      <c r="S130" t="s">
        <v>5452</v>
      </c>
      <c r="T130">
        <v>0</v>
      </c>
      <c r="U130" t="s">
        <v>5661</v>
      </c>
      <c r="V130" s="17">
        <v>45596</v>
      </c>
      <c r="W130" s="17">
        <v>45600</v>
      </c>
      <c r="X130" s="17">
        <v>46329</v>
      </c>
      <c r="Y130">
        <v>167</v>
      </c>
      <c r="Z130">
        <v>24</v>
      </c>
      <c r="AA130">
        <v>24.3</v>
      </c>
      <c r="AB130">
        <v>1533.1666666666667</v>
      </c>
      <c r="AC130" s="17"/>
      <c r="AE130">
        <v>0</v>
      </c>
      <c r="AF130">
        <v>0</v>
      </c>
      <c r="AG130">
        <v>0</v>
      </c>
      <c r="AH130">
        <v>0</v>
      </c>
      <c r="AI130">
        <v>0</v>
      </c>
      <c r="AJ130">
        <v>0</v>
      </c>
      <c r="AW130">
        <v>0</v>
      </c>
      <c r="BJ130">
        <v>0</v>
      </c>
      <c r="BW130">
        <v>0</v>
      </c>
      <c r="CJ130">
        <v>0</v>
      </c>
      <c r="CW130">
        <v>0</v>
      </c>
      <c r="DJ130">
        <v>0</v>
      </c>
      <c r="DW130">
        <v>0</v>
      </c>
      <c r="EJ130">
        <v>0</v>
      </c>
    </row>
    <row r="131" spans="1:140" hidden="1" x14ac:dyDescent="0.35">
      <c r="A131" t="s">
        <v>4036</v>
      </c>
      <c r="B131" t="s">
        <v>5365</v>
      </c>
      <c r="D131" t="s">
        <v>5662</v>
      </c>
      <c r="E131" t="s">
        <v>406</v>
      </c>
      <c r="F131" t="s">
        <v>5008</v>
      </c>
      <c r="G131" t="s">
        <v>4943</v>
      </c>
      <c r="H131" t="s">
        <v>5663</v>
      </c>
      <c r="I131" t="s">
        <v>5448</v>
      </c>
      <c r="J131" t="s">
        <v>3203</v>
      </c>
      <c r="K131" t="s">
        <v>3203</v>
      </c>
      <c r="L131" t="s">
        <v>89</v>
      </c>
      <c r="M131" t="s">
        <v>3088</v>
      </c>
      <c r="N131" t="s">
        <v>89</v>
      </c>
      <c r="O131" t="s">
        <v>3088</v>
      </c>
      <c r="P131" t="s">
        <v>3088</v>
      </c>
      <c r="Q131" t="s">
        <v>3852</v>
      </c>
      <c r="R131" t="s">
        <v>4394</v>
      </c>
      <c r="S131" t="s">
        <v>5374</v>
      </c>
      <c r="T131" t="s">
        <v>1576</v>
      </c>
      <c r="U131" t="s">
        <v>5664</v>
      </c>
      <c r="V131" s="17">
        <v>45891</v>
      </c>
      <c r="W131" s="17">
        <v>45891</v>
      </c>
      <c r="X131" s="17">
        <v>46013</v>
      </c>
      <c r="Y131">
        <v>-149</v>
      </c>
      <c r="Z131">
        <v>4</v>
      </c>
      <c r="AA131">
        <v>4.0666666666666664</v>
      </c>
      <c r="AB131">
        <v>1543.7</v>
      </c>
      <c r="AC131" s="17"/>
      <c r="AE131">
        <v>113355.045</v>
      </c>
      <c r="AF131">
        <v>453420.18</v>
      </c>
      <c r="AG131">
        <v>113355.045</v>
      </c>
      <c r="AH131">
        <v>453420.18</v>
      </c>
      <c r="AI131">
        <v>0</v>
      </c>
      <c r="AJ131">
        <v>0</v>
      </c>
      <c r="AW131">
        <v>0</v>
      </c>
      <c r="BJ131">
        <v>0</v>
      </c>
      <c r="BW131">
        <v>0</v>
      </c>
      <c r="CJ131">
        <v>453420.18</v>
      </c>
      <c r="CS131">
        <v>57164.22</v>
      </c>
      <c r="CT131">
        <v>141673.70000000001</v>
      </c>
      <c r="CU131">
        <v>138023.18</v>
      </c>
      <c r="CV131">
        <v>116559.08</v>
      </c>
      <c r="CW131">
        <v>0</v>
      </c>
      <c r="DJ131">
        <v>0</v>
      </c>
      <c r="DW131">
        <v>0</v>
      </c>
      <c r="EJ131">
        <v>453420.18</v>
      </c>
    </row>
    <row r="132" spans="1:140" hidden="1" x14ac:dyDescent="0.35">
      <c r="A132" t="s">
        <v>4036</v>
      </c>
      <c r="B132" t="s">
        <v>5365</v>
      </c>
      <c r="D132" t="s">
        <v>5665</v>
      </c>
      <c r="E132" t="s">
        <v>406</v>
      </c>
      <c r="F132" t="s">
        <v>5008</v>
      </c>
      <c r="G132" t="s">
        <v>4943</v>
      </c>
      <c r="H132" t="s">
        <v>5666</v>
      </c>
      <c r="I132" t="s">
        <v>5373</v>
      </c>
      <c r="J132" t="s">
        <v>3203</v>
      </c>
      <c r="K132" t="s">
        <v>3203</v>
      </c>
      <c r="L132" t="s">
        <v>89</v>
      </c>
      <c r="M132" t="s">
        <v>3088</v>
      </c>
      <c r="N132" t="s">
        <v>89</v>
      </c>
      <c r="O132" t="s">
        <v>3088</v>
      </c>
      <c r="P132" t="s">
        <v>3088</v>
      </c>
      <c r="Q132" t="s">
        <v>3852</v>
      </c>
      <c r="R132" t="s">
        <v>4394</v>
      </c>
      <c r="S132" t="s">
        <v>5374</v>
      </c>
      <c r="T132" t="s">
        <v>2363</v>
      </c>
      <c r="U132" t="s">
        <v>5667</v>
      </c>
      <c r="V132" s="17">
        <v>46041</v>
      </c>
      <c r="W132" s="17">
        <v>46014</v>
      </c>
      <c r="X132" s="17">
        <v>46073</v>
      </c>
      <c r="Y132">
        <v>-89</v>
      </c>
      <c r="Z132">
        <v>2</v>
      </c>
      <c r="AA132">
        <v>1.9666666666666666</v>
      </c>
      <c r="AB132">
        <v>1541.7</v>
      </c>
      <c r="AC132" s="17"/>
      <c r="AE132">
        <v>125031.77</v>
      </c>
      <c r="AF132">
        <v>250063.54</v>
      </c>
      <c r="AG132">
        <v>125031.77</v>
      </c>
      <c r="AH132">
        <v>250063.54</v>
      </c>
      <c r="AI132">
        <v>0</v>
      </c>
      <c r="AJ132">
        <v>0</v>
      </c>
      <c r="AW132">
        <v>0</v>
      </c>
      <c r="BJ132">
        <v>0</v>
      </c>
      <c r="BW132">
        <v>0</v>
      </c>
      <c r="CJ132">
        <v>0</v>
      </c>
      <c r="CW132">
        <v>250063.54</v>
      </c>
      <c r="CX132">
        <v>47120.614999999998</v>
      </c>
      <c r="CY132">
        <v>47120.614999999998</v>
      </c>
      <c r="CZ132">
        <v>155822.31</v>
      </c>
      <c r="DJ132">
        <v>0</v>
      </c>
      <c r="DW132">
        <v>0</v>
      </c>
      <c r="EJ132">
        <v>250063.54</v>
      </c>
    </row>
    <row r="133" spans="1:140" hidden="1" x14ac:dyDescent="0.35">
      <c r="A133" t="s">
        <v>4036</v>
      </c>
      <c r="B133" t="s">
        <v>249</v>
      </c>
      <c r="D133" t="s">
        <v>5668</v>
      </c>
      <c r="E133" t="s">
        <v>406</v>
      </c>
      <c r="F133" t="s">
        <v>5008</v>
      </c>
      <c r="G133" t="s">
        <v>5669</v>
      </c>
      <c r="H133" t="s">
        <v>5666</v>
      </c>
      <c r="I133" t="s">
        <v>5373</v>
      </c>
      <c r="J133" t="s">
        <v>3203</v>
      </c>
      <c r="K133" t="s">
        <v>3071</v>
      </c>
      <c r="L133" t="s">
        <v>89</v>
      </c>
      <c r="M133" t="s">
        <v>3088</v>
      </c>
      <c r="N133" t="s">
        <v>89</v>
      </c>
      <c r="O133" t="s">
        <v>3088</v>
      </c>
      <c r="P133" t="s">
        <v>3088</v>
      </c>
      <c r="Q133" t="s">
        <v>3852</v>
      </c>
      <c r="R133" t="s">
        <v>4394</v>
      </c>
      <c r="S133" t="s">
        <v>5374</v>
      </c>
      <c r="T133" t="s">
        <v>1576</v>
      </c>
      <c r="U133" t="s">
        <v>5670</v>
      </c>
      <c r="V133" s="17">
        <v>46134</v>
      </c>
      <c r="W133" s="17">
        <v>46113</v>
      </c>
      <c r="X133" s="17">
        <v>46261</v>
      </c>
      <c r="Y133">
        <v>99</v>
      </c>
      <c r="Z133">
        <v>1</v>
      </c>
      <c r="AA133">
        <v>4.9333333333333336</v>
      </c>
      <c r="AB133">
        <v>1535.4333333333334</v>
      </c>
      <c r="AC133" s="17"/>
      <c r="AE133">
        <v>42720</v>
      </c>
      <c r="AF133">
        <v>42720</v>
      </c>
      <c r="AG133">
        <v>42720</v>
      </c>
      <c r="AH133">
        <v>42720</v>
      </c>
      <c r="AI133">
        <v>0</v>
      </c>
      <c r="AJ133">
        <v>0</v>
      </c>
      <c r="AW133">
        <v>0</v>
      </c>
      <c r="BJ133">
        <v>0</v>
      </c>
      <c r="BW133">
        <v>0</v>
      </c>
      <c r="CJ133">
        <v>0</v>
      </c>
      <c r="CW133">
        <v>42720</v>
      </c>
      <c r="DA133">
        <v>42720</v>
      </c>
      <c r="DJ133">
        <v>0</v>
      </c>
      <c r="DW133">
        <v>0</v>
      </c>
      <c r="EJ133">
        <v>42720</v>
      </c>
    </row>
    <row r="134" spans="1:140" hidden="1" x14ac:dyDescent="0.35">
      <c r="A134" t="s">
        <v>4036</v>
      </c>
      <c r="B134" t="s">
        <v>5365</v>
      </c>
      <c r="D134" t="s">
        <v>5671</v>
      </c>
      <c r="E134" t="s">
        <v>406</v>
      </c>
      <c r="F134" t="s">
        <v>5081</v>
      </c>
      <c r="G134" t="s">
        <v>4943</v>
      </c>
      <c r="H134" t="s">
        <v>5663</v>
      </c>
      <c r="I134" t="s">
        <v>5448</v>
      </c>
      <c r="J134" t="s">
        <v>3203</v>
      </c>
      <c r="K134" t="s">
        <v>3203</v>
      </c>
      <c r="L134" t="s">
        <v>89</v>
      </c>
      <c r="M134" t="s">
        <v>3088</v>
      </c>
      <c r="N134" t="s">
        <v>89</v>
      </c>
      <c r="O134" t="s">
        <v>3088</v>
      </c>
      <c r="P134" t="s">
        <v>3088</v>
      </c>
      <c r="Q134" t="s">
        <v>3852</v>
      </c>
      <c r="R134" t="s">
        <v>4394</v>
      </c>
      <c r="S134" t="s">
        <v>5374</v>
      </c>
      <c r="T134" t="s">
        <v>1576</v>
      </c>
      <c r="U134" t="s">
        <v>5672</v>
      </c>
      <c r="V134" s="17">
        <v>46005</v>
      </c>
      <c r="W134" s="17">
        <v>46005</v>
      </c>
      <c r="X134" s="17">
        <v>46095</v>
      </c>
      <c r="Y134">
        <v>-67</v>
      </c>
      <c r="Z134">
        <v>3</v>
      </c>
      <c r="AA134">
        <v>3</v>
      </c>
      <c r="AB134">
        <v>1540.9666666666667</v>
      </c>
      <c r="AC134" s="17"/>
      <c r="AE134">
        <v>0</v>
      </c>
      <c r="AF134">
        <v>302707.20000000001</v>
      </c>
      <c r="AG134">
        <v>100902.39999999999</v>
      </c>
      <c r="AH134">
        <v>302564.98</v>
      </c>
      <c r="AI134">
        <v>-142.22</v>
      </c>
      <c r="AJ134">
        <v>0</v>
      </c>
      <c r="AW134">
        <v>0</v>
      </c>
      <c r="BJ134">
        <v>0</v>
      </c>
      <c r="BW134">
        <v>0</v>
      </c>
      <c r="CJ134">
        <v>0</v>
      </c>
      <c r="CW134">
        <v>302564.98</v>
      </c>
      <c r="CY134">
        <v>180520.83100000001</v>
      </c>
      <c r="CZ134">
        <v>106712.15399999999</v>
      </c>
      <c r="DA134">
        <v>15331.995000000001</v>
      </c>
      <c r="DJ134">
        <v>0</v>
      </c>
      <c r="DW134">
        <v>0</v>
      </c>
      <c r="EJ134">
        <v>302564.98</v>
      </c>
    </row>
    <row r="135" spans="1:140" hidden="1" x14ac:dyDescent="0.35">
      <c r="A135" t="s">
        <v>4036</v>
      </c>
      <c r="B135" t="s">
        <v>249</v>
      </c>
      <c r="D135" t="s">
        <v>5673</v>
      </c>
      <c r="E135" t="s">
        <v>5181</v>
      </c>
      <c r="F135" t="s">
        <v>5182</v>
      </c>
      <c r="G135" t="s">
        <v>5183</v>
      </c>
      <c r="H135" t="s">
        <v>5674</v>
      </c>
      <c r="I135" t="s">
        <v>5477</v>
      </c>
      <c r="J135" t="s">
        <v>5102</v>
      </c>
      <c r="K135" t="s">
        <v>5102</v>
      </c>
      <c r="L135" t="s">
        <v>89</v>
      </c>
      <c r="M135" t="s">
        <v>3088</v>
      </c>
      <c r="N135" t="s">
        <v>89</v>
      </c>
      <c r="O135" t="s">
        <v>3088</v>
      </c>
      <c r="P135" t="s">
        <v>3088</v>
      </c>
      <c r="Q135" t="s">
        <v>3852</v>
      </c>
      <c r="R135" t="s">
        <v>2403</v>
      </c>
      <c r="S135" t="s">
        <v>5452</v>
      </c>
      <c r="T135" t="s">
        <v>2363</v>
      </c>
      <c r="U135" t="s">
        <v>5675</v>
      </c>
      <c r="V135" s="17">
        <v>45644</v>
      </c>
      <c r="W135" s="17">
        <v>45644</v>
      </c>
      <c r="X135" s="17">
        <v>46739</v>
      </c>
      <c r="Y135">
        <v>577</v>
      </c>
      <c r="Z135">
        <v>36</v>
      </c>
      <c r="AA135">
        <v>36.5</v>
      </c>
      <c r="AB135">
        <v>1519.5</v>
      </c>
      <c r="AC135" s="17"/>
      <c r="AE135">
        <v>0</v>
      </c>
      <c r="AF135">
        <v>0</v>
      </c>
      <c r="AG135">
        <v>0</v>
      </c>
      <c r="AH135">
        <v>0</v>
      </c>
      <c r="AI135">
        <v>0</v>
      </c>
      <c r="AJ135">
        <v>0</v>
      </c>
      <c r="AW135">
        <v>0</v>
      </c>
      <c r="BJ135">
        <v>0</v>
      </c>
      <c r="BW135">
        <v>0</v>
      </c>
      <c r="CJ135">
        <v>0</v>
      </c>
      <c r="CW135">
        <v>0</v>
      </c>
      <c r="DJ135">
        <v>0</v>
      </c>
      <c r="DW135">
        <v>0</v>
      </c>
      <c r="EJ135">
        <v>0</v>
      </c>
    </row>
    <row r="136" spans="1:140" hidden="1" x14ac:dyDescent="0.35">
      <c r="A136" t="s">
        <v>4036</v>
      </c>
      <c r="B136" t="s">
        <v>249</v>
      </c>
      <c r="D136" t="s">
        <v>5676</v>
      </c>
      <c r="E136" t="s">
        <v>5181</v>
      </c>
      <c r="F136" t="s">
        <v>5200</v>
      </c>
      <c r="G136" t="s">
        <v>5183</v>
      </c>
      <c r="H136" t="s">
        <v>5677</v>
      </c>
      <c r="I136" t="s">
        <v>5448</v>
      </c>
      <c r="J136" t="s">
        <v>5102</v>
      </c>
      <c r="K136" t="s">
        <v>5102</v>
      </c>
      <c r="L136" t="s">
        <v>89</v>
      </c>
      <c r="M136" t="s">
        <v>3088</v>
      </c>
      <c r="N136" t="s">
        <v>89</v>
      </c>
      <c r="O136" t="s">
        <v>3088</v>
      </c>
      <c r="P136" t="s">
        <v>3088</v>
      </c>
      <c r="Q136" t="s">
        <v>3852</v>
      </c>
      <c r="R136" t="s">
        <v>5116</v>
      </c>
      <c r="S136" t="s">
        <v>5452</v>
      </c>
      <c r="T136" t="s">
        <v>2363</v>
      </c>
      <c r="U136" t="s">
        <v>5678</v>
      </c>
      <c r="V136" s="17">
        <v>45904</v>
      </c>
      <c r="W136" s="17">
        <v>45929</v>
      </c>
      <c r="X136" s="17">
        <v>46379</v>
      </c>
      <c r="Y136">
        <v>217</v>
      </c>
      <c r="Z136">
        <v>15</v>
      </c>
      <c r="AA136">
        <v>15</v>
      </c>
      <c r="AB136">
        <v>1531.5</v>
      </c>
      <c r="AC136" s="17"/>
      <c r="AE136">
        <v>31468.07</v>
      </c>
      <c r="AF136">
        <v>944042.1</v>
      </c>
      <c r="AG136">
        <v>62936.14</v>
      </c>
      <c r="AH136">
        <v>944042.1</v>
      </c>
      <c r="AI136">
        <v>0</v>
      </c>
      <c r="AJ136">
        <v>0</v>
      </c>
      <c r="AW136">
        <v>0</v>
      </c>
      <c r="BJ136">
        <v>0</v>
      </c>
      <c r="BW136">
        <v>0</v>
      </c>
      <c r="CJ136">
        <v>188808.42</v>
      </c>
      <c r="CT136">
        <v>62936.14</v>
      </c>
      <c r="CU136">
        <v>62936.14</v>
      </c>
      <c r="CV136">
        <v>62936.14</v>
      </c>
      <c r="CW136">
        <v>755233.68</v>
      </c>
      <c r="CX136">
        <v>62936.14</v>
      </c>
      <c r="CY136">
        <v>62936.14</v>
      </c>
      <c r="CZ136">
        <v>62936.14</v>
      </c>
      <c r="DA136">
        <v>62936.14</v>
      </c>
      <c r="DB136">
        <v>62936.14</v>
      </c>
      <c r="DC136">
        <v>62936.14</v>
      </c>
      <c r="DD136">
        <v>62936.14</v>
      </c>
      <c r="DE136">
        <v>62936.14</v>
      </c>
      <c r="DF136">
        <v>62936.14</v>
      </c>
      <c r="DG136">
        <v>62936.14</v>
      </c>
      <c r="DH136">
        <v>62936.14</v>
      </c>
      <c r="DI136">
        <v>62936.14</v>
      </c>
      <c r="DJ136">
        <v>0</v>
      </c>
      <c r="DW136">
        <v>0</v>
      </c>
      <c r="EJ136">
        <v>944042.10000000009</v>
      </c>
    </row>
    <row r="137" spans="1:140" hidden="1" x14ac:dyDescent="0.35">
      <c r="A137" t="s">
        <v>4036</v>
      </c>
      <c r="B137" t="s">
        <v>249</v>
      </c>
      <c r="D137" t="s">
        <v>5679</v>
      </c>
      <c r="E137" t="s">
        <v>590</v>
      </c>
      <c r="F137" t="s">
        <v>4143</v>
      </c>
      <c r="G137" t="s">
        <v>4144</v>
      </c>
      <c r="H137" t="s">
        <v>5680</v>
      </c>
      <c r="I137" t="s">
        <v>5368</v>
      </c>
      <c r="J137" t="s">
        <v>3849</v>
      </c>
      <c r="K137" t="s">
        <v>3849</v>
      </c>
      <c r="L137" t="s">
        <v>589</v>
      </c>
      <c r="M137" t="s">
        <v>249</v>
      </c>
      <c r="N137" t="s">
        <v>589</v>
      </c>
      <c r="O137" t="s">
        <v>3366</v>
      </c>
      <c r="P137" t="s">
        <v>3989</v>
      </c>
      <c r="Q137" t="s">
        <v>3852</v>
      </c>
      <c r="R137" t="s">
        <v>3805</v>
      </c>
      <c r="S137" t="s">
        <v>5452</v>
      </c>
      <c r="T137" t="s">
        <v>2363</v>
      </c>
      <c r="U137" t="s">
        <v>5681</v>
      </c>
      <c r="V137" s="17">
        <v>45980</v>
      </c>
      <c r="W137" s="17">
        <v>45988</v>
      </c>
      <c r="X137" s="17">
        <v>46259</v>
      </c>
      <c r="Y137">
        <v>97</v>
      </c>
      <c r="Z137">
        <v>9</v>
      </c>
      <c r="AA137">
        <v>9.0333333333333332</v>
      </c>
      <c r="AB137">
        <v>1535.5</v>
      </c>
      <c r="AC137" s="17"/>
      <c r="AE137">
        <v>0</v>
      </c>
      <c r="AF137">
        <v>504019.62</v>
      </c>
      <c r="AG137">
        <v>56002.18</v>
      </c>
      <c r="AH137">
        <v>504019.62</v>
      </c>
      <c r="AI137">
        <v>0</v>
      </c>
      <c r="AJ137">
        <v>0</v>
      </c>
      <c r="AW137">
        <v>0</v>
      </c>
      <c r="BJ137">
        <v>0</v>
      </c>
      <c r="BW137">
        <v>0</v>
      </c>
      <c r="CJ137">
        <v>56002.18</v>
      </c>
      <c r="CV137">
        <v>56002.18</v>
      </c>
      <c r="CW137">
        <v>448017.44</v>
      </c>
      <c r="CX137">
        <v>56002.18</v>
      </c>
      <c r="CY137">
        <v>56002.18</v>
      </c>
      <c r="CZ137">
        <v>56002.18</v>
      </c>
      <c r="DA137">
        <v>56002.18</v>
      </c>
      <c r="DB137">
        <v>56002.18</v>
      </c>
      <c r="DC137">
        <v>56002.18</v>
      </c>
      <c r="DD137">
        <v>56002.18</v>
      </c>
      <c r="DE137">
        <v>56002.18</v>
      </c>
      <c r="DJ137">
        <v>0</v>
      </c>
      <c r="DW137">
        <v>0</v>
      </c>
      <c r="EJ137">
        <v>504019.62</v>
      </c>
    </row>
    <row r="138" spans="1:140" hidden="1" x14ac:dyDescent="0.35">
      <c r="A138" t="s">
        <v>4215</v>
      </c>
      <c r="B138" t="s">
        <v>5515</v>
      </c>
      <c r="C138">
        <v>-287</v>
      </c>
      <c r="D138" t="s">
        <v>5682</v>
      </c>
      <c r="E138" t="s">
        <v>470</v>
      </c>
      <c r="F138" t="s">
        <v>4148</v>
      </c>
      <c r="G138" t="s">
        <v>4149</v>
      </c>
      <c r="H138" t="s">
        <v>5683</v>
      </c>
      <c r="I138" t="s">
        <v>5368</v>
      </c>
      <c r="J138" t="s">
        <v>3071</v>
      </c>
      <c r="K138" t="s">
        <v>3071</v>
      </c>
      <c r="L138" t="s">
        <v>235</v>
      </c>
      <c r="M138" t="s">
        <v>3139</v>
      </c>
      <c r="N138" t="s">
        <v>4150</v>
      </c>
      <c r="O138" t="s">
        <v>3107</v>
      </c>
      <c r="P138" t="s">
        <v>3856</v>
      </c>
      <c r="Q138" t="s">
        <v>3075</v>
      </c>
      <c r="R138" t="s">
        <v>2513</v>
      </c>
      <c r="S138" t="s">
        <v>5374</v>
      </c>
      <c r="T138" t="s">
        <v>2363</v>
      </c>
      <c r="U138" t="s">
        <v>5684</v>
      </c>
      <c r="V138" s="17">
        <v>45875</v>
      </c>
      <c r="W138" s="17">
        <v>45875</v>
      </c>
      <c r="X138" s="17">
        <v>45965</v>
      </c>
      <c r="Y138">
        <v>-197</v>
      </c>
      <c r="Z138">
        <v>3</v>
      </c>
      <c r="AA138">
        <v>3</v>
      </c>
      <c r="AB138">
        <v>1545.3</v>
      </c>
      <c r="AC138" s="17"/>
      <c r="AE138">
        <v>39336.195</v>
      </c>
      <c r="AF138">
        <v>236017.17</v>
      </c>
      <c r="AG138">
        <v>78672.39</v>
      </c>
      <c r="AH138">
        <v>236017.17</v>
      </c>
      <c r="AI138">
        <v>0</v>
      </c>
      <c r="AJ138">
        <v>0</v>
      </c>
      <c r="AW138">
        <v>0</v>
      </c>
      <c r="BJ138">
        <v>0</v>
      </c>
      <c r="BW138">
        <v>0</v>
      </c>
      <c r="CJ138">
        <v>236017.17</v>
      </c>
      <c r="CR138">
        <v>60321.120000000003</v>
      </c>
      <c r="CS138">
        <v>78672.39</v>
      </c>
      <c r="CT138">
        <v>78672.39</v>
      </c>
      <c r="CU138">
        <v>18351.27</v>
      </c>
      <c r="CW138">
        <v>0</v>
      </c>
      <c r="DJ138">
        <v>0</v>
      </c>
      <c r="DW138">
        <v>0</v>
      </c>
      <c r="EJ138">
        <v>236017.17</v>
      </c>
    </row>
    <row r="139" spans="1:140" hidden="1" x14ac:dyDescent="0.35">
      <c r="A139" t="s">
        <v>4215</v>
      </c>
      <c r="B139" t="s">
        <v>5515</v>
      </c>
      <c r="C139">
        <v>-201</v>
      </c>
      <c r="D139" t="s">
        <v>5685</v>
      </c>
      <c r="E139" t="s">
        <v>470</v>
      </c>
      <c r="F139" t="s">
        <v>4148</v>
      </c>
      <c r="G139" t="s">
        <v>4149</v>
      </c>
      <c r="H139" t="s">
        <v>5686</v>
      </c>
      <c r="I139" t="s">
        <v>5373</v>
      </c>
      <c r="J139" t="s">
        <v>3071</v>
      </c>
      <c r="K139" t="s">
        <v>3071</v>
      </c>
      <c r="L139" t="s">
        <v>235</v>
      </c>
      <c r="M139" t="s">
        <v>3139</v>
      </c>
      <c r="N139" t="s">
        <v>4603</v>
      </c>
      <c r="O139" t="s">
        <v>3107</v>
      </c>
      <c r="P139" t="s">
        <v>3856</v>
      </c>
      <c r="Q139" t="s">
        <v>3075</v>
      </c>
      <c r="R139" t="s">
        <v>2513</v>
      </c>
      <c r="S139" t="s">
        <v>5374</v>
      </c>
      <c r="T139" t="s">
        <v>1576</v>
      </c>
      <c r="U139" t="s">
        <v>5687</v>
      </c>
      <c r="V139" s="17">
        <v>45961</v>
      </c>
      <c r="W139" s="17">
        <v>45965</v>
      </c>
      <c r="X139" s="17">
        <v>46205</v>
      </c>
      <c r="Y139">
        <v>43</v>
      </c>
      <c r="Z139">
        <v>8</v>
      </c>
      <c r="AA139">
        <v>8</v>
      </c>
      <c r="AB139">
        <v>1537.3</v>
      </c>
      <c r="AC139" s="17"/>
      <c r="AE139">
        <v>35760.720000000001</v>
      </c>
      <c r="AF139">
        <v>286085.76000000001</v>
      </c>
      <c r="AG139">
        <v>35760.720000000001</v>
      </c>
      <c r="AH139">
        <v>286085.76000000001</v>
      </c>
      <c r="AI139">
        <v>0</v>
      </c>
      <c r="AJ139">
        <v>0</v>
      </c>
      <c r="AW139">
        <v>0</v>
      </c>
      <c r="BJ139">
        <v>0</v>
      </c>
      <c r="BW139">
        <v>0</v>
      </c>
      <c r="CJ139">
        <v>35760.720000000001</v>
      </c>
      <c r="CV139">
        <v>35760.720000000001</v>
      </c>
      <c r="CW139">
        <v>250325.04</v>
      </c>
      <c r="CX139">
        <v>35760.720000000001</v>
      </c>
      <c r="CY139">
        <v>35760.720000000001</v>
      </c>
      <c r="CZ139">
        <v>35760.720000000001</v>
      </c>
      <c r="DA139">
        <v>35760.720000000001</v>
      </c>
      <c r="DB139">
        <v>35760.720000000001</v>
      </c>
      <c r="DC139">
        <v>35760.720000000001</v>
      </c>
      <c r="DD139">
        <v>35760.720000000001</v>
      </c>
      <c r="DJ139">
        <v>0</v>
      </c>
      <c r="DW139">
        <v>0</v>
      </c>
      <c r="EJ139">
        <v>286085.76000000001</v>
      </c>
    </row>
    <row r="140" spans="1:140" hidden="1" x14ac:dyDescent="0.35">
      <c r="A140" t="s">
        <v>4215</v>
      </c>
      <c r="B140" t="s">
        <v>5515</v>
      </c>
      <c r="C140">
        <v>-260</v>
      </c>
      <c r="D140" t="s">
        <v>5688</v>
      </c>
      <c r="E140" t="s">
        <v>5010</v>
      </c>
      <c r="F140" t="s">
        <v>5011</v>
      </c>
      <c r="G140" t="s">
        <v>5012</v>
      </c>
      <c r="H140" t="s">
        <v>5689</v>
      </c>
      <c r="I140" t="s">
        <v>5368</v>
      </c>
      <c r="J140" t="s">
        <v>3203</v>
      </c>
      <c r="K140" t="s">
        <v>3203</v>
      </c>
      <c r="L140" t="s">
        <v>4703</v>
      </c>
      <c r="M140" t="s">
        <v>3088</v>
      </c>
      <c r="N140" t="s">
        <v>89</v>
      </c>
      <c r="O140" t="s">
        <v>249</v>
      </c>
      <c r="P140" t="s">
        <v>3088</v>
      </c>
      <c r="Q140" t="s">
        <v>3075</v>
      </c>
      <c r="R140" t="s">
        <v>4394</v>
      </c>
      <c r="S140" t="s">
        <v>5374</v>
      </c>
      <c r="T140" t="s">
        <v>2363</v>
      </c>
      <c r="U140" t="s">
        <v>5690</v>
      </c>
      <c r="V140" s="17">
        <v>45902</v>
      </c>
      <c r="W140" s="17">
        <v>45902</v>
      </c>
      <c r="X140" s="17">
        <v>45932</v>
      </c>
      <c r="Y140">
        <v>-230</v>
      </c>
      <c r="Z140">
        <v>1</v>
      </c>
      <c r="AA140">
        <v>1</v>
      </c>
      <c r="AB140">
        <v>1546.4</v>
      </c>
      <c r="AC140" s="17"/>
      <c r="AE140">
        <v>45000</v>
      </c>
      <c r="AF140">
        <v>45000</v>
      </c>
      <c r="AG140">
        <v>45000</v>
      </c>
      <c r="AH140">
        <v>45000</v>
      </c>
      <c r="AI140">
        <v>0</v>
      </c>
      <c r="AJ140">
        <v>0</v>
      </c>
      <c r="AW140">
        <v>0</v>
      </c>
      <c r="BJ140">
        <v>0</v>
      </c>
      <c r="BW140">
        <v>0</v>
      </c>
      <c r="CJ140">
        <v>45000</v>
      </c>
      <c r="CS140">
        <v>22500</v>
      </c>
      <c r="CT140">
        <v>22500</v>
      </c>
      <c r="CW140">
        <v>0</v>
      </c>
      <c r="DJ140">
        <v>0</v>
      </c>
      <c r="DW140">
        <v>0</v>
      </c>
      <c r="EJ140">
        <v>45000</v>
      </c>
    </row>
    <row r="141" spans="1:140" hidden="1" x14ac:dyDescent="0.35">
      <c r="A141" t="s">
        <v>4215</v>
      </c>
      <c r="B141" t="s">
        <v>5515</v>
      </c>
      <c r="C141">
        <v>-127</v>
      </c>
      <c r="D141" t="s">
        <v>5691</v>
      </c>
      <c r="E141" t="s">
        <v>5034</v>
      </c>
      <c r="F141" t="s">
        <v>5035</v>
      </c>
      <c r="G141" t="s">
        <v>5036</v>
      </c>
      <c r="H141" t="s">
        <v>5692</v>
      </c>
      <c r="I141" t="s">
        <v>5368</v>
      </c>
      <c r="J141" t="s">
        <v>3203</v>
      </c>
      <c r="K141" t="s">
        <v>3203</v>
      </c>
      <c r="L141" t="s">
        <v>4703</v>
      </c>
      <c r="M141" t="s">
        <v>3088</v>
      </c>
      <c r="N141" t="s">
        <v>89</v>
      </c>
      <c r="O141" t="s">
        <v>249</v>
      </c>
      <c r="P141" t="s">
        <v>3153</v>
      </c>
      <c r="Q141" t="s">
        <v>3075</v>
      </c>
      <c r="R141" t="s">
        <v>4394</v>
      </c>
      <c r="S141" t="s">
        <v>5374</v>
      </c>
      <c r="T141" t="s">
        <v>2363</v>
      </c>
      <c r="U141" t="s">
        <v>5693</v>
      </c>
      <c r="V141" s="17">
        <v>46035</v>
      </c>
      <c r="W141" s="17">
        <v>46035</v>
      </c>
      <c r="X141" s="17">
        <v>46094</v>
      </c>
      <c r="Y141">
        <v>-68</v>
      </c>
      <c r="Z141">
        <v>1.5</v>
      </c>
      <c r="AA141">
        <v>1.9666666666666666</v>
      </c>
      <c r="AB141">
        <v>1541</v>
      </c>
      <c r="AC141" s="17"/>
      <c r="AE141">
        <v>68305.600000000006</v>
      </c>
      <c r="AF141">
        <v>102458.4</v>
      </c>
      <c r="AG141">
        <v>68305.600000000006</v>
      </c>
      <c r="AH141">
        <v>102458.4</v>
      </c>
      <c r="AI141">
        <v>0</v>
      </c>
      <c r="AJ141">
        <v>0</v>
      </c>
      <c r="AW141">
        <v>0</v>
      </c>
      <c r="BJ141">
        <v>0</v>
      </c>
      <c r="BW141">
        <v>0</v>
      </c>
      <c r="CJ141">
        <v>0</v>
      </c>
      <c r="CW141">
        <v>102458.4</v>
      </c>
      <c r="CZ141">
        <v>102458.4</v>
      </c>
      <c r="DJ141">
        <v>0</v>
      </c>
      <c r="DW141">
        <v>0</v>
      </c>
      <c r="EJ141">
        <v>102458.4</v>
      </c>
    </row>
    <row r="142" spans="1:140" hidden="1" x14ac:dyDescent="0.35">
      <c r="A142" t="s">
        <v>4036</v>
      </c>
      <c r="B142" t="s">
        <v>5365</v>
      </c>
      <c r="D142" t="s">
        <v>5694</v>
      </c>
      <c r="E142" t="s">
        <v>5053</v>
      </c>
      <c r="F142" t="s">
        <v>5054</v>
      </c>
      <c r="G142" t="s">
        <v>5055</v>
      </c>
      <c r="H142" t="s">
        <v>5695</v>
      </c>
      <c r="I142" t="s">
        <v>5368</v>
      </c>
      <c r="J142" t="s">
        <v>3203</v>
      </c>
      <c r="K142" t="s">
        <v>3203</v>
      </c>
      <c r="L142" t="s">
        <v>637</v>
      </c>
      <c r="M142" t="s">
        <v>4030</v>
      </c>
      <c r="N142" t="s">
        <v>5056</v>
      </c>
      <c r="O142" t="s">
        <v>4031</v>
      </c>
      <c r="P142" t="s">
        <v>3879</v>
      </c>
      <c r="Q142" t="s">
        <v>3075</v>
      </c>
      <c r="R142" t="s">
        <v>4394</v>
      </c>
      <c r="S142" t="s">
        <v>5374</v>
      </c>
      <c r="T142" t="s">
        <v>2363</v>
      </c>
      <c r="U142" t="s">
        <v>5696</v>
      </c>
      <c r="V142" s="17">
        <v>46077</v>
      </c>
      <c r="W142" s="17">
        <v>46077</v>
      </c>
      <c r="X142" s="17">
        <v>46136</v>
      </c>
      <c r="Y142">
        <v>-26</v>
      </c>
      <c r="Z142">
        <v>2</v>
      </c>
      <c r="AA142">
        <v>1.9666666666666666</v>
      </c>
      <c r="AB142">
        <v>1539.6</v>
      </c>
      <c r="AC142" s="17"/>
      <c r="AE142">
        <v>31662.1</v>
      </c>
      <c r="AF142">
        <v>63324.2</v>
      </c>
      <c r="AG142">
        <v>31662.1</v>
      </c>
      <c r="AH142">
        <v>63324.2</v>
      </c>
      <c r="AI142">
        <v>0</v>
      </c>
      <c r="AJ142">
        <v>0</v>
      </c>
      <c r="AW142">
        <v>0</v>
      </c>
      <c r="BJ142">
        <v>0</v>
      </c>
      <c r="BW142">
        <v>0</v>
      </c>
      <c r="CJ142">
        <v>0</v>
      </c>
      <c r="CW142">
        <v>63324.2</v>
      </c>
      <c r="CZ142">
        <v>44326.94</v>
      </c>
      <c r="DA142">
        <v>18997.259999999998</v>
      </c>
      <c r="DJ142">
        <v>0</v>
      </c>
      <c r="DW142">
        <v>0</v>
      </c>
      <c r="EJ142">
        <v>63324.2</v>
      </c>
    </row>
    <row r="143" spans="1:140" hidden="1" x14ac:dyDescent="0.35">
      <c r="A143" t="s">
        <v>4036</v>
      </c>
      <c r="B143" t="s">
        <v>5462</v>
      </c>
      <c r="D143" t="s">
        <v>5697</v>
      </c>
      <c r="E143" t="s">
        <v>687</v>
      </c>
      <c r="F143" t="s">
        <v>5059</v>
      </c>
      <c r="G143" t="s">
        <v>5060</v>
      </c>
      <c r="H143" t="s">
        <v>5698</v>
      </c>
      <c r="I143" t="s">
        <v>5368</v>
      </c>
      <c r="J143" t="s">
        <v>3203</v>
      </c>
      <c r="K143" t="s">
        <v>3203</v>
      </c>
      <c r="L143" t="s">
        <v>685</v>
      </c>
      <c r="M143" t="s">
        <v>249</v>
      </c>
      <c r="N143" t="s">
        <v>685</v>
      </c>
      <c r="O143" t="s">
        <v>3997</v>
      </c>
      <c r="P143" t="s">
        <v>3879</v>
      </c>
      <c r="Q143" t="s">
        <v>3852</v>
      </c>
      <c r="R143" t="s">
        <v>4394</v>
      </c>
      <c r="S143" t="s">
        <v>5452</v>
      </c>
      <c r="T143" t="s">
        <v>2363</v>
      </c>
      <c r="U143" t="s">
        <v>5699</v>
      </c>
      <c r="V143" s="17">
        <v>46084</v>
      </c>
      <c r="W143" s="17">
        <v>46084</v>
      </c>
      <c r="X143" s="17">
        <v>46206</v>
      </c>
      <c r="Y143">
        <v>44</v>
      </c>
      <c r="Z143">
        <v>4</v>
      </c>
      <c r="AA143">
        <v>4.0666666666666664</v>
      </c>
      <c r="AB143">
        <v>1537.2666666666667</v>
      </c>
      <c r="AC143" s="17"/>
      <c r="AE143">
        <v>66127.75</v>
      </c>
      <c r="AF143">
        <v>264511</v>
      </c>
      <c r="AG143">
        <v>66127.75</v>
      </c>
      <c r="AH143">
        <v>264510.7</v>
      </c>
      <c r="AI143">
        <v>-0.3</v>
      </c>
      <c r="AJ143">
        <v>0</v>
      </c>
      <c r="AW143">
        <v>0</v>
      </c>
      <c r="BJ143">
        <v>0</v>
      </c>
      <c r="BW143">
        <v>0</v>
      </c>
      <c r="CJ143">
        <v>0</v>
      </c>
      <c r="CW143">
        <v>264510.7</v>
      </c>
      <c r="DA143">
        <v>11136.25</v>
      </c>
      <c r="DB143">
        <v>106312.45</v>
      </c>
      <c r="DC143">
        <v>110726</v>
      </c>
      <c r="DD143">
        <v>25200</v>
      </c>
      <c r="DE143">
        <v>0</v>
      </c>
      <c r="DF143">
        <v>11136</v>
      </c>
      <c r="DJ143">
        <v>0</v>
      </c>
      <c r="DW143">
        <v>0</v>
      </c>
      <c r="EJ143">
        <v>264510.7</v>
      </c>
    </row>
    <row r="144" spans="1:140" hidden="1" x14ac:dyDescent="0.35">
      <c r="A144" t="s">
        <v>4215</v>
      </c>
      <c r="B144" t="s">
        <v>5515</v>
      </c>
      <c r="C144">
        <v>-126</v>
      </c>
      <c r="D144" t="s">
        <v>5700</v>
      </c>
      <c r="E144" t="s">
        <v>5701</v>
      </c>
      <c r="F144" t="s">
        <v>5702</v>
      </c>
      <c r="G144" t="s">
        <v>5703</v>
      </c>
      <c r="H144" t="s">
        <v>5704</v>
      </c>
      <c r="I144" t="s">
        <v>5368</v>
      </c>
      <c r="J144" t="s">
        <v>3071</v>
      </c>
      <c r="K144" t="s">
        <v>3071</v>
      </c>
      <c r="L144" t="s">
        <v>5705</v>
      </c>
      <c r="M144" t="s">
        <v>3747</v>
      </c>
      <c r="N144" t="s">
        <v>5705</v>
      </c>
      <c r="O144" t="s">
        <v>3747</v>
      </c>
      <c r="P144" t="s">
        <v>3747</v>
      </c>
      <c r="Q144" t="s">
        <v>3075</v>
      </c>
      <c r="R144" t="s">
        <v>2513</v>
      </c>
      <c r="S144" t="s">
        <v>5452</v>
      </c>
      <c r="T144" t="s">
        <v>2363</v>
      </c>
      <c r="U144" t="s">
        <v>5706</v>
      </c>
      <c r="V144" s="17">
        <v>46036</v>
      </c>
      <c r="W144" s="17">
        <v>46036</v>
      </c>
      <c r="X144" s="17">
        <v>46067</v>
      </c>
      <c r="Y144">
        <v>-95</v>
      </c>
      <c r="Z144">
        <v>1</v>
      </c>
      <c r="AA144">
        <v>1.0333333333333334</v>
      </c>
      <c r="AB144">
        <v>1541.9</v>
      </c>
      <c r="AC144" s="17"/>
      <c r="AE144">
        <v>0</v>
      </c>
      <c r="AF144">
        <v>0</v>
      </c>
      <c r="AG144">
        <v>0</v>
      </c>
      <c r="AH144">
        <v>2442.7399999999998</v>
      </c>
      <c r="AI144">
        <v>2442.7399999999998</v>
      </c>
      <c r="AJ144">
        <v>0</v>
      </c>
      <c r="AW144">
        <v>0</v>
      </c>
      <c r="BJ144">
        <v>0</v>
      </c>
      <c r="BW144">
        <v>0</v>
      </c>
      <c r="CJ144">
        <v>0</v>
      </c>
      <c r="CW144">
        <v>2442.7399999999998</v>
      </c>
      <c r="CZ144">
        <v>2442.7399999999998</v>
      </c>
      <c r="DJ144">
        <v>0</v>
      </c>
      <c r="DW144">
        <v>0</v>
      </c>
      <c r="EJ144">
        <v>2442.7399999999998</v>
      </c>
    </row>
    <row r="145" spans="1:140" hidden="1" x14ac:dyDescent="0.35">
      <c r="A145" t="s">
        <v>4036</v>
      </c>
      <c r="B145" t="s">
        <v>249</v>
      </c>
      <c r="D145" t="s">
        <v>5707</v>
      </c>
      <c r="E145" t="s">
        <v>5223</v>
      </c>
      <c r="F145" t="s">
        <v>5224</v>
      </c>
      <c r="G145" t="s">
        <v>5225</v>
      </c>
      <c r="H145" t="s">
        <v>5708</v>
      </c>
      <c r="I145" t="s">
        <v>5368</v>
      </c>
      <c r="J145" t="s">
        <v>5102</v>
      </c>
      <c r="K145" t="s">
        <v>5102</v>
      </c>
      <c r="L145" t="s">
        <v>252</v>
      </c>
      <c r="M145" t="s">
        <v>3087</v>
      </c>
      <c r="N145" t="s">
        <v>252</v>
      </c>
      <c r="O145" t="s">
        <v>3153</v>
      </c>
      <c r="P145" t="s">
        <v>3694</v>
      </c>
      <c r="Q145" t="s">
        <v>3075</v>
      </c>
      <c r="R145" t="s">
        <v>5116</v>
      </c>
      <c r="S145" t="s">
        <v>5374</v>
      </c>
      <c r="T145" t="s">
        <v>2363</v>
      </c>
      <c r="U145" t="s">
        <v>5709</v>
      </c>
      <c r="V145" s="17">
        <v>46101</v>
      </c>
      <c r="W145" s="17">
        <v>46101</v>
      </c>
      <c r="X145" s="17">
        <v>46376</v>
      </c>
      <c r="Y145">
        <v>214</v>
      </c>
      <c r="Z145">
        <v>9</v>
      </c>
      <c r="AA145">
        <v>9.1666666666666661</v>
      </c>
      <c r="AB145">
        <v>1531.6</v>
      </c>
      <c r="AC145" s="17"/>
      <c r="AE145">
        <v>21129.0389</v>
      </c>
      <c r="AF145">
        <v>570484.05000000005</v>
      </c>
      <c r="AG145">
        <v>63387.116699999999</v>
      </c>
      <c r="AH145">
        <v>570484.06999999995</v>
      </c>
      <c r="AI145">
        <v>0.02</v>
      </c>
      <c r="AJ145">
        <v>0</v>
      </c>
      <c r="AW145">
        <v>0</v>
      </c>
      <c r="BJ145">
        <v>0</v>
      </c>
      <c r="BW145">
        <v>0</v>
      </c>
      <c r="CJ145">
        <v>0</v>
      </c>
      <c r="CW145">
        <v>570484.06999999995</v>
      </c>
      <c r="DA145">
        <v>39852.15</v>
      </c>
      <c r="DB145">
        <v>66328.990000000005</v>
      </c>
      <c r="DC145">
        <v>66328.990000000005</v>
      </c>
      <c r="DD145">
        <v>66328.990000000005</v>
      </c>
      <c r="DE145">
        <v>66328.990000000005</v>
      </c>
      <c r="DF145">
        <v>66328.990000000005</v>
      </c>
      <c r="DG145">
        <v>66328.990000000005</v>
      </c>
      <c r="DH145">
        <v>66328.990000000005</v>
      </c>
      <c r="DI145">
        <v>66328.990000000005</v>
      </c>
      <c r="DJ145">
        <v>0</v>
      </c>
      <c r="DW145">
        <v>0</v>
      </c>
      <c r="EJ145">
        <v>570484.06999999995</v>
      </c>
    </row>
    <row r="146" spans="1:140" hidden="1" x14ac:dyDescent="0.35">
      <c r="A146" t="s">
        <v>4036</v>
      </c>
      <c r="B146" t="s">
        <v>249</v>
      </c>
      <c r="D146" t="s">
        <v>5710</v>
      </c>
      <c r="E146" t="s">
        <v>702</v>
      </c>
      <c r="F146" t="s">
        <v>4208</v>
      </c>
      <c r="G146" t="s">
        <v>4209</v>
      </c>
      <c r="H146" t="s">
        <v>5711</v>
      </c>
      <c r="I146" t="s">
        <v>5368</v>
      </c>
      <c r="J146" t="s">
        <v>3071</v>
      </c>
      <c r="K146" t="s">
        <v>3071</v>
      </c>
      <c r="L146" t="s">
        <v>235</v>
      </c>
      <c r="M146" t="s">
        <v>3139</v>
      </c>
      <c r="N146" t="s">
        <v>89</v>
      </c>
      <c r="O146" t="s">
        <v>3107</v>
      </c>
      <c r="P146" t="s">
        <v>3088</v>
      </c>
      <c r="Q146" t="s">
        <v>3075</v>
      </c>
      <c r="R146" t="s">
        <v>2513</v>
      </c>
      <c r="S146" t="s">
        <v>5374</v>
      </c>
      <c r="T146" t="s">
        <v>1576</v>
      </c>
      <c r="U146" t="s">
        <v>5712</v>
      </c>
      <c r="V146" s="17">
        <v>46101</v>
      </c>
      <c r="W146" s="17">
        <v>46101</v>
      </c>
      <c r="X146" s="17">
        <v>46223</v>
      </c>
      <c r="Y146">
        <v>61</v>
      </c>
      <c r="Z146">
        <v>4</v>
      </c>
      <c r="AA146">
        <v>4.0666666666666664</v>
      </c>
      <c r="AB146">
        <v>1536.7</v>
      </c>
      <c r="AC146" s="17"/>
      <c r="AE146">
        <v>38093.826200000003</v>
      </c>
      <c r="AF146">
        <v>304750.61</v>
      </c>
      <c r="AG146">
        <v>76187.652499999997</v>
      </c>
      <c r="AH146">
        <v>304750.59999999998</v>
      </c>
      <c r="AI146">
        <v>-0.01</v>
      </c>
      <c r="AJ146">
        <v>0</v>
      </c>
      <c r="AW146">
        <v>0</v>
      </c>
      <c r="BJ146">
        <v>0</v>
      </c>
      <c r="BW146">
        <v>0</v>
      </c>
      <c r="CJ146">
        <v>0</v>
      </c>
      <c r="CW146">
        <v>304750.59999999998</v>
      </c>
      <c r="DA146">
        <v>79687.649999999994</v>
      </c>
      <c r="DB146">
        <v>72687.649999999994</v>
      </c>
      <c r="DC146">
        <v>72687.649999999994</v>
      </c>
      <c r="DD146">
        <v>79687.649999999994</v>
      </c>
      <c r="DJ146">
        <v>0</v>
      </c>
      <c r="DW146">
        <v>0</v>
      </c>
      <c r="EJ146">
        <v>304750.59999999998</v>
      </c>
    </row>
    <row r="147" spans="1:140" hidden="1" x14ac:dyDescent="0.35">
      <c r="A147" t="s">
        <v>4215</v>
      </c>
      <c r="B147" t="s">
        <v>5515</v>
      </c>
      <c r="C147">
        <v>-61</v>
      </c>
      <c r="D147" t="s">
        <v>5713</v>
      </c>
      <c r="E147" t="s">
        <v>4212</v>
      </c>
      <c r="F147" t="s">
        <v>4213</v>
      </c>
      <c r="G147" t="s">
        <v>4214</v>
      </c>
      <c r="H147" t="s">
        <v>5714</v>
      </c>
      <c r="I147" t="s">
        <v>5368</v>
      </c>
      <c r="J147" t="s">
        <v>3071</v>
      </c>
      <c r="K147" t="s">
        <v>3071</v>
      </c>
      <c r="L147" t="s">
        <v>4216</v>
      </c>
      <c r="M147" t="s">
        <v>3728</v>
      </c>
      <c r="N147" t="s">
        <v>4217</v>
      </c>
      <c r="O147" t="s">
        <v>249</v>
      </c>
      <c r="P147" t="s">
        <v>3249</v>
      </c>
      <c r="Q147" t="s">
        <v>3075</v>
      </c>
      <c r="R147" t="s">
        <v>3805</v>
      </c>
      <c r="S147" t="s">
        <v>5452</v>
      </c>
      <c r="T147" t="s">
        <v>2363</v>
      </c>
      <c r="U147" t="s">
        <v>5715</v>
      </c>
      <c r="V147" s="17">
        <v>46101</v>
      </c>
      <c r="W147" s="17">
        <v>46101</v>
      </c>
      <c r="X147" s="17">
        <v>46466</v>
      </c>
      <c r="Y147">
        <v>304</v>
      </c>
      <c r="Z147">
        <v>12</v>
      </c>
      <c r="AA147">
        <v>12.166666666666666</v>
      </c>
      <c r="AB147">
        <v>1528.6</v>
      </c>
      <c r="AC147" s="17"/>
      <c r="AE147">
        <v>23187.703300000001</v>
      </c>
      <c r="AF147">
        <v>278252.44</v>
      </c>
      <c r="AG147">
        <v>23187.703300000001</v>
      </c>
      <c r="AH147">
        <v>278252.44</v>
      </c>
      <c r="AI147">
        <v>0</v>
      </c>
      <c r="AJ147">
        <v>0</v>
      </c>
      <c r="AW147">
        <v>0</v>
      </c>
      <c r="BJ147">
        <v>0</v>
      </c>
      <c r="BW147">
        <v>0</v>
      </c>
      <c r="CJ147">
        <v>0</v>
      </c>
      <c r="CW147">
        <v>215201.95</v>
      </c>
      <c r="DA147">
        <v>47067.31</v>
      </c>
      <c r="DB147">
        <v>21016.83</v>
      </c>
      <c r="DC147">
        <v>21016.83</v>
      </c>
      <c r="DD147">
        <v>21016.83</v>
      </c>
      <c r="DE147">
        <v>21016.83</v>
      </c>
      <c r="DF147">
        <v>21016.83</v>
      </c>
      <c r="DG147">
        <v>21016.83</v>
      </c>
      <c r="DH147">
        <v>21016.83</v>
      </c>
      <c r="DI147">
        <v>21016.83</v>
      </c>
      <c r="DJ147">
        <v>63050.49</v>
      </c>
      <c r="DK147">
        <v>21016.83</v>
      </c>
      <c r="DL147">
        <v>21016.83</v>
      </c>
      <c r="DM147">
        <v>21016.83</v>
      </c>
      <c r="DW147">
        <v>0</v>
      </c>
      <c r="EJ147">
        <v>278252.44</v>
      </c>
    </row>
    <row r="148" spans="1:140" hidden="1" x14ac:dyDescent="0.35">
      <c r="A148" t="s">
        <v>4036</v>
      </c>
      <c r="B148" t="s">
        <v>249</v>
      </c>
      <c r="D148" t="s">
        <v>5716</v>
      </c>
      <c r="E148" t="s">
        <v>694</v>
      </c>
      <c r="F148" t="s">
        <v>4226</v>
      </c>
      <c r="G148" t="s">
        <v>4227</v>
      </c>
      <c r="H148" t="s">
        <v>5717</v>
      </c>
      <c r="I148" t="s">
        <v>5368</v>
      </c>
      <c r="J148" t="s">
        <v>3849</v>
      </c>
      <c r="K148" t="s">
        <v>3849</v>
      </c>
      <c r="L148" t="s">
        <v>153</v>
      </c>
      <c r="M148" t="s">
        <v>3917</v>
      </c>
      <c r="N148" t="s">
        <v>153</v>
      </c>
      <c r="O148" t="s">
        <v>3918</v>
      </c>
      <c r="P148" t="s">
        <v>3856</v>
      </c>
      <c r="Q148" t="s">
        <v>3852</v>
      </c>
      <c r="R148" t="s">
        <v>2464</v>
      </c>
      <c r="S148" t="s">
        <v>5374</v>
      </c>
      <c r="T148" t="s">
        <v>2363</v>
      </c>
      <c r="U148" t="s">
        <v>5718</v>
      </c>
      <c r="V148" s="17">
        <v>46115</v>
      </c>
      <c r="W148" s="17">
        <v>46118</v>
      </c>
      <c r="X148" s="17">
        <v>46240</v>
      </c>
      <c r="Y148">
        <v>78</v>
      </c>
      <c r="Z148">
        <v>4</v>
      </c>
      <c r="AA148">
        <v>4.0666666666666664</v>
      </c>
      <c r="AB148">
        <v>1536.1333333333334</v>
      </c>
      <c r="AC148" s="17"/>
      <c r="AE148">
        <v>42313.2</v>
      </c>
      <c r="AF148">
        <v>169252.8</v>
      </c>
      <c r="AG148">
        <v>42313.2</v>
      </c>
      <c r="AH148">
        <v>169252.8</v>
      </c>
      <c r="AI148">
        <v>0</v>
      </c>
      <c r="AJ148">
        <v>0</v>
      </c>
      <c r="AW148">
        <v>0</v>
      </c>
      <c r="BJ148">
        <v>0</v>
      </c>
      <c r="BW148">
        <v>0</v>
      </c>
      <c r="CJ148">
        <v>0</v>
      </c>
      <c r="CW148">
        <v>169252.8</v>
      </c>
      <c r="DA148">
        <v>42313.2</v>
      </c>
      <c r="DB148">
        <v>42313.2</v>
      </c>
      <c r="DC148">
        <v>42313.2</v>
      </c>
      <c r="DD148">
        <v>42313.2</v>
      </c>
      <c r="DJ148">
        <v>0</v>
      </c>
      <c r="DW148">
        <v>0</v>
      </c>
      <c r="EJ148">
        <v>169252.8</v>
      </c>
    </row>
    <row r="149" spans="1:140" hidden="1" x14ac:dyDescent="0.35">
      <c r="A149" t="s">
        <v>4036</v>
      </c>
      <c r="B149" t="s">
        <v>249</v>
      </c>
      <c r="D149" t="s">
        <v>5719</v>
      </c>
      <c r="E149" t="s">
        <v>4230</v>
      </c>
      <c r="F149" t="s">
        <v>4231</v>
      </c>
      <c r="G149" t="s">
        <v>4232</v>
      </c>
      <c r="H149" t="s">
        <v>5720</v>
      </c>
      <c r="I149" t="s">
        <v>5368</v>
      </c>
      <c r="J149" t="s">
        <v>3849</v>
      </c>
      <c r="K149" t="s">
        <v>3849</v>
      </c>
      <c r="L149" t="s">
        <v>153</v>
      </c>
      <c r="M149" t="s">
        <v>3917</v>
      </c>
      <c r="N149" t="s">
        <v>153</v>
      </c>
      <c r="O149" t="s">
        <v>3918</v>
      </c>
      <c r="P149" t="s">
        <v>3856</v>
      </c>
      <c r="Q149" t="s">
        <v>3852</v>
      </c>
      <c r="R149" t="s">
        <v>2464</v>
      </c>
      <c r="S149" t="s">
        <v>5374</v>
      </c>
      <c r="T149" t="s">
        <v>2363</v>
      </c>
      <c r="U149" t="s">
        <v>5721</v>
      </c>
      <c r="V149" s="17">
        <v>46115</v>
      </c>
      <c r="W149" s="17">
        <v>46118</v>
      </c>
      <c r="X149" s="17">
        <v>46483</v>
      </c>
      <c r="Y149">
        <v>321</v>
      </c>
      <c r="Z149">
        <v>12</v>
      </c>
      <c r="AA149">
        <v>12.166666666666666</v>
      </c>
      <c r="AB149">
        <v>1528.0333333333333</v>
      </c>
      <c r="AC149" s="17"/>
      <c r="AE149">
        <v>31080.318299999999</v>
      </c>
      <c r="AF149">
        <v>372963.82</v>
      </c>
      <c r="AG149">
        <v>31080.318299999999</v>
      </c>
      <c r="AH149">
        <v>372963.88</v>
      </c>
      <c r="AI149">
        <v>0.06</v>
      </c>
      <c r="AJ149">
        <v>0</v>
      </c>
      <c r="AW149">
        <v>0</v>
      </c>
      <c r="BJ149">
        <v>0</v>
      </c>
      <c r="BW149">
        <v>0</v>
      </c>
      <c r="CJ149">
        <v>0</v>
      </c>
      <c r="CW149">
        <v>277972.90999999997</v>
      </c>
      <c r="DA149">
        <v>33996.99</v>
      </c>
      <c r="DB149">
        <v>30496.99</v>
      </c>
      <c r="DC149">
        <v>30496.99</v>
      </c>
      <c r="DD149">
        <v>30496.99</v>
      </c>
      <c r="DE149">
        <v>30496.99</v>
      </c>
      <c r="DF149">
        <v>30496.99</v>
      </c>
      <c r="DG149">
        <v>30496.99</v>
      </c>
      <c r="DH149">
        <v>30496.99</v>
      </c>
      <c r="DI149">
        <v>30496.99</v>
      </c>
      <c r="DJ149">
        <v>94990.97</v>
      </c>
      <c r="DK149">
        <v>30496.99</v>
      </c>
      <c r="DL149">
        <v>30496.99</v>
      </c>
      <c r="DM149">
        <v>33996.99</v>
      </c>
      <c r="DW149">
        <v>0</v>
      </c>
      <c r="EJ149">
        <v>372963.88</v>
      </c>
    </row>
    <row r="150" spans="1:140" hidden="1" x14ac:dyDescent="0.35">
      <c r="A150" t="s">
        <v>4215</v>
      </c>
      <c r="B150" t="s">
        <v>5515</v>
      </c>
      <c r="C150">
        <v>-48</v>
      </c>
      <c r="D150" t="s">
        <v>5722</v>
      </c>
      <c r="E150" t="s">
        <v>4382</v>
      </c>
      <c r="F150" t="s">
        <v>4383</v>
      </c>
      <c r="G150" t="s">
        <v>4384</v>
      </c>
      <c r="H150" t="s">
        <v>5723</v>
      </c>
      <c r="I150" t="s">
        <v>5368</v>
      </c>
      <c r="J150" t="s">
        <v>3071</v>
      </c>
      <c r="K150" t="s">
        <v>4313</v>
      </c>
      <c r="L150" t="s">
        <v>4385</v>
      </c>
      <c r="M150" t="s">
        <v>249</v>
      </c>
      <c r="N150" t="s">
        <v>4385</v>
      </c>
      <c r="O150" t="s">
        <v>249</v>
      </c>
      <c r="P150" t="s">
        <v>3747</v>
      </c>
      <c r="Q150" t="s">
        <v>3075</v>
      </c>
      <c r="R150" t="s">
        <v>1580</v>
      </c>
      <c r="S150" t="s">
        <v>5452</v>
      </c>
      <c r="T150" t="s">
        <v>2363</v>
      </c>
      <c r="U150" t="s">
        <v>5724</v>
      </c>
      <c r="V150" s="17">
        <v>46114</v>
      </c>
      <c r="W150" s="17">
        <v>46113</v>
      </c>
      <c r="X150" s="17">
        <v>46142</v>
      </c>
      <c r="Y150">
        <v>-20</v>
      </c>
      <c r="Z150">
        <v>1</v>
      </c>
      <c r="AA150">
        <v>0.96666666666666667</v>
      </c>
      <c r="AB150">
        <v>1539.4</v>
      </c>
      <c r="AC150" s="17"/>
      <c r="AE150">
        <v>12666.338</v>
      </c>
      <c r="AF150">
        <v>63331.69</v>
      </c>
      <c r="AG150">
        <v>63331.69</v>
      </c>
      <c r="AH150">
        <v>63331.69</v>
      </c>
      <c r="AI150">
        <v>0</v>
      </c>
      <c r="AJ150">
        <v>0</v>
      </c>
      <c r="AW150">
        <v>0</v>
      </c>
      <c r="BJ150">
        <v>0</v>
      </c>
      <c r="BW150">
        <v>0</v>
      </c>
      <c r="CJ150">
        <v>0</v>
      </c>
      <c r="CW150">
        <v>63331.69</v>
      </c>
      <c r="DA150">
        <v>63331.69</v>
      </c>
      <c r="DJ150">
        <v>0</v>
      </c>
      <c r="DW150">
        <v>0</v>
      </c>
      <c r="EJ150">
        <v>63331.69</v>
      </c>
    </row>
    <row r="151" spans="1:140" hidden="1" x14ac:dyDescent="0.35">
      <c r="A151" t="s">
        <v>4036</v>
      </c>
      <c r="B151" t="s">
        <v>5462</v>
      </c>
      <c r="D151" t="s">
        <v>5725</v>
      </c>
      <c r="E151" t="s">
        <v>720</v>
      </c>
      <c r="F151" t="s">
        <v>5083</v>
      </c>
      <c r="G151" t="s">
        <v>5084</v>
      </c>
      <c r="H151" t="s">
        <v>5726</v>
      </c>
      <c r="I151" t="s">
        <v>5368</v>
      </c>
      <c r="J151" t="s">
        <v>3203</v>
      </c>
      <c r="K151" t="s">
        <v>3203</v>
      </c>
      <c r="L151" t="s">
        <v>132</v>
      </c>
      <c r="M151" t="s">
        <v>3997</v>
      </c>
      <c r="N151" t="s">
        <v>132</v>
      </c>
      <c r="O151" t="s">
        <v>3070</v>
      </c>
      <c r="P151" t="s">
        <v>3879</v>
      </c>
      <c r="Q151" t="s">
        <v>3852</v>
      </c>
      <c r="R151" t="s">
        <v>4394</v>
      </c>
      <c r="S151" t="s">
        <v>5374</v>
      </c>
      <c r="T151" t="s">
        <v>2363</v>
      </c>
      <c r="U151" t="s">
        <v>5727</v>
      </c>
      <c r="V151" s="17">
        <v>46119</v>
      </c>
      <c r="W151" s="17">
        <v>46137</v>
      </c>
      <c r="X151" s="17">
        <v>46207</v>
      </c>
      <c r="Y151">
        <v>45</v>
      </c>
      <c r="Z151">
        <v>3</v>
      </c>
      <c r="AA151">
        <v>2.3333333333333335</v>
      </c>
      <c r="AB151">
        <v>1537.2333333333333</v>
      </c>
      <c r="AC151" s="17"/>
      <c r="AE151">
        <v>50345.143300000003</v>
      </c>
      <c r="AF151">
        <v>151035.43</v>
      </c>
      <c r="AG151">
        <v>50345.143300000003</v>
      </c>
      <c r="AH151">
        <v>151035.42000000001</v>
      </c>
      <c r="AI151">
        <v>-0.01</v>
      </c>
      <c r="AJ151">
        <v>0</v>
      </c>
      <c r="AW151">
        <v>0</v>
      </c>
      <c r="BJ151">
        <v>0</v>
      </c>
      <c r="BW151">
        <v>0</v>
      </c>
      <c r="CJ151">
        <v>0</v>
      </c>
      <c r="CW151">
        <v>151035.42000000001</v>
      </c>
      <c r="DB151">
        <v>15267.462</v>
      </c>
      <c r="DC151">
        <v>19087.198</v>
      </c>
      <c r="DD151">
        <v>58340.38</v>
      </c>
      <c r="DE151">
        <v>58340.38</v>
      </c>
      <c r="DJ151">
        <v>0</v>
      </c>
      <c r="DW151">
        <v>0</v>
      </c>
      <c r="EJ151">
        <v>151035.42000000001</v>
      </c>
    </row>
    <row r="152" spans="1:140" hidden="1" x14ac:dyDescent="0.35">
      <c r="A152" t="s">
        <v>4215</v>
      </c>
      <c r="B152" t="s">
        <v>5515</v>
      </c>
      <c r="C152">
        <v>-43</v>
      </c>
      <c r="D152" t="s">
        <v>5728</v>
      </c>
      <c r="E152" t="s">
        <v>5087</v>
      </c>
      <c r="F152" t="s">
        <v>5088</v>
      </c>
      <c r="G152" t="s">
        <v>5089</v>
      </c>
      <c r="H152" t="s">
        <v>5729</v>
      </c>
      <c r="I152" t="s">
        <v>5368</v>
      </c>
      <c r="J152" t="s">
        <v>3203</v>
      </c>
      <c r="K152" t="s">
        <v>3203</v>
      </c>
      <c r="L152" t="s">
        <v>781</v>
      </c>
      <c r="M152" t="s">
        <v>249</v>
      </c>
      <c r="N152" t="s">
        <v>781</v>
      </c>
      <c r="O152" t="s">
        <v>249</v>
      </c>
      <c r="P152" t="s">
        <v>3694</v>
      </c>
      <c r="Q152" t="s">
        <v>3852</v>
      </c>
      <c r="R152" t="s">
        <v>4394</v>
      </c>
      <c r="S152" t="s">
        <v>5452</v>
      </c>
      <c r="T152" t="s">
        <v>2363</v>
      </c>
      <c r="U152" t="s">
        <v>5730</v>
      </c>
      <c r="V152" s="17">
        <v>46119</v>
      </c>
      <c r="W152" s="17">
        <v>46125</v>
      </c>
      <c r="X152" s="17">
        <v>46203</v>
      </c>
      <c r="Y152">
        <v>41</v>
      </c>
      <c r="Z152">
        <v>2.5</v>
      </c>
      <c r="AA152">
        <v>2.6</v>
      </c>
      <c r="AB152">
        <v>1537.3666666666666</v>
      </c>
      <c r="AC152" s="17"/>
      <c r="AE152">
        <v>56763.66</v>
      </c>
      <c r="AF152">
        <v>141909.15</v>
      </c>
      <c r="AG152">
        <v>56763.66</v>
      </c>
      <c r="AH152">
        <v>141909.15</v>
      </c>
      <c r="AI152">
        <v>0</v>
      </c>
      <c r="AJ152">
        <v>0</v>
      </c>
      <c r="AW152">
        <v>0</v>
      </c>
      <c r="BJ152">
        <v>0</v>
      </c>
      <c r="BW152">
        <v>0</v>
      </c>
      <c r="CJ152">
        <v>0</v>
      </c>
      <c r="CW152">
        <v>141909.15</v>
      </c>
      <c r="DB152">
        <v>99336.404999999999</v>
      </c>
      <c r="DC152">
        <v>42572.745000000003</v>
      </c>
      <c r="DJ152">
        <v>0</v>
      </c>
      <c r="DW152">
        <v>0</v>
      </c>
      <c r="EJ152">
        <v>141909.15</v>
      </c>
    </row>
    <row r="153" spans="1:140" hidden="1" x14ac:dyDescent="0.35">
      <c r="A153" t="s">
        <v>4215</v>
      </c>
      <c r="B153" t="s">
        <v>5515</v>
      </c>
      <c r="C153">
        <v>-42</v>
      </c>
      <c r="D153" t="s">
        <v>5731</v>
      </c>
      <c r="E153" t="s">
        <v>4240</v>
      </c>
      <c r="F153" t="s">
        <v>4241</v>
      </c>
      <c r="G153" t="s">
        <v>4242</v>
      </c>
      <c r="H153" t="s">
        <v>5732</v>
      </c>
      <c r="I153" t="s">
        <v>5368</v>
      </c>
      <c r="J153" t="s">
        <v>3071</v>
      </c>
      <c r="K153" t="s">
        <v>3071</v>
      </c>
      <c r="L153" t="s">
        <v>235</v>
      </c>
      <c r="M153" t="s">
        <v>3139</v>
      </c>
      <c r="N153" t="s">
        <v>235</v>
      </c>
      <c r="O153" t="s">
        <v>3107</v>
      </c>
      <c r="P153" t="s">
        <v>3747</v>
      </c>
      <c r="Q153" t="s">
        <v>3075</v>
      </c>
      <c r="R153" t="s">
        <v>2513</v>
      </c>
      <c r="S153" t="s">
        <v>5374</v>
      </c>
      <c r="T153" t="s">
        <v>2363</v>
      </c>
      <c r="U153" t="s">
        <v>5733</v>
      </c>
      <c r="V153" s="17">
        <v>46120</v>
      </c>
      <c r="W153" s="17">
        <v>46121</v>
      </c>
      <c r="X153" s="17">
        <v>46173</v>
      </c>
      <c r="Y153">
        <v>11</v>
      </c>
      <c r="Z153">
        <v>2</v>
      </c>
      <c r="AA153">
        <v>1.7333333333333334</v>
      </c>
      <c r="AB153">
        <v>1538.3666666666666</v>
      </c>
      <c r="AC153" s="17"/>
      <c r="AE153">
        <v>35167.269999999997</v>
      </c>
      <c r="AF153">
        <v>70334.539999999994</v>
      </c>
      <c r="AG153">
        <v>35167.269999999997</v>
      </c>
      <c r="AH153">
        <v>70334.539999999994</v>
      </c>
      <c r="AI153">
        <v>0</v>
      </c>
      <c r="AJ153">
        <v>0</v>
      </c>
      <c r="AW153">
        <v>0</v>
      </c>
      <c r="BJ153">
        <v>0</v>
      </c>
      <c r="BW153">
        <v>0</v>
      </c>
      <c r="CJ153">
        <v>0</v>
      </c>
      <c r="CW153">
        <v>70334.539999999994</v>
      </c>
      <c r="DA153">
        <v>23944.85</v>
      </c>
      <c r="DB153">
        <v>46389.69</v>
      </c>
      <c r="DJ153">
        <v>0</v>
      </c>
      <c r="DW153">
        <v>0</v>
      </c>
      <c r="EJ153">
        <v>70334.539999999994</v>
      </c>
    </row>
    <row r="154" spans="1:140" hidden="1" x14ac:dyDescent="0.35">
      <c r="A154" t="s">
        <v>4215</v>
      </c>
      <c r="B154" t="s">
        <v>5515</v>
      </c>
      <c r="C154">
        <v>-35</v>
      </c>
      <c r="D154" t="s">
        <v>5734</v>
      </c>
      <c r="E154" t="s">
        <v>4245</v>
      </c>
      <c r="F154" t="s">
        <v>4246</v>
      </c>
      <c r="G154" t="s">
        <v>4247</v>
      </c>
      <c r="H154" t="s">
        <v>5735</v>
      </c>
      <c r="I154" t="s">
        <v>5368</v>
      </c>
      <c r="J154" t="s">
        <v>3849</v>
      </c>
      <c r="K154" t="s">
        <v>3849</v>
      </c>
      <c r="L154" t="s">
        <v>153</v>
      </c>
      <c r="M154" t="s">
        <v>3917</v>
      </c>
      <c r="N154" t="s">
        <v>153</v>
      </c>
      <c r="O154" t="s">
        <v>3918</v>
      </c>
      <c r="P154" t="s">
        <v>3856</v>
      </c>
      <c r="Q154" t="s">
        <v>3852</v>
      </c>
      <c r="R154" t="s">
        <v>2464</v>
      </c>
      <c r="S154" t="s">
        <v>5374</v>
      </c>
      <c r="T154" t="s">
        <v>2363</v>
      </c>
      <c r="U154" t="s">
        <v>5736</v>
      </c>
      <c r="V154" s="17">
        <v>46127</v>
      </c>
      <c r="W154" s="17">
        <v>46143</v>
      </c>
      <c r="X154" s="17">
        <v>46234</v>
      </c>
      <c r="Y154">
        <v>72</v>
      </c>
      <c r="Z154">
        <v>3</v>
      </c>
      <c r="AA154">
        <v>3.0333333333333332</v>
      </c>
      <c r="AB154">
        <v>1536.3333333333333</v>
      </c>
      <c r="AC154" s="17"/>
      <c r="AE154">
        <v>59952.12</v>
      </c>
      <c r="AF154">
        <v>179856.36</v>
      </c>
      <c r="AG154">
        <v>59952.12</v>
      </c>
      <c r="AH154">
        <v>179856.36</v>
      </c>
      <c r="AI154">
        <v>0</v>
      </c>
      <c r="AJ154">
        <v>0</v>
      </c>
      <c r="AW154">
        <v>0</v>
      </c>
      <c r="BJ154">
        <v>0</v>
      </c>
      <c r="BW154">
        <v>0</v>
      </c>
      <c r="CJ154">
        <v>0</v>
      </c>
      <c r="CW154">
        <v>179856.36</v>
      </c>
      <c r="DB154">
        <v>59952.12</v>
      </c>
      <c r="DC154">
        <v>59952.12</v>
      </c>
      <c r="DD154">
        <v>59952.12</v>
      </c>
      <c r="DJ154">
        <v>0</v>
      </c>
      <c r="DW154">
        <v>0</v>
      </c>
      <c r="EJ154">
        <v>179856.36</v>
      </c>
    </row>
    <row r="155" spans="1:140" hidden="1" x14ac:dyDescent="0.35">
      <c r="A155" t="s">
        <v>4215</v>
      </c>
      <c r="B155" t="s">
        <v>5515</v>
      </c>
      <c r="C155">
        <v>-22</v>
      </c>
      <c r="D155" t="s">
        <v>5737</v>
      </c>
      <c r="E155" t="s">
        <v>4248</v>
      </c>
      <c r="F155" t="s">
        <v>4249</v>
      </c>
      <c r="G155" t="s">
        <v>4250</v>
      </c>
      <c r="H155" t="s">
        <v>5738</v>
      </c>
      <c r="I155" t="s">
        <v>5368</v>
      </c>
      <c r="J155" t="s">
        <v>3079</v>
      </c>
      <c r="K155" t="s">
        <v>3696</v>
      </c>
      <c r="L155" t="s">
        <v>4251</v>
      </c>
      <c r="M155" t="s">
        <v>249</v>
      </c>
      <c r="N155" t="s">
        <v>4251</v>
      </c>
      <c r="O155" t="s">
        <v>249</v>
      </c>
      <c r="P155" t="s">
        <v>3747</v>
      </c>
      <c r="Q155" t="s">
        <v>3075</v>
      </c>
      <c r="R155" t="s">
        <v>2464</v>
      </c>
      <c r="S155" t="s">
        <v>5452</v>
      </c>
      <c r="T155" t="s">
        <v>2363</v>
      </c>
      <c r="U155" t="s">
        <v>5739</v>
      </c>
      <c r="V155" s="17">
        <v>46140</v>
      </c>
      <c r="W155" s="17">
        <v>46174</v>
      </c>
      <c r="X155" s="17">
        <v>46295</v>
      </c>
      <c r="Y155">
        <v>133</v>
      </c>
      <c r="Z155">
        <v>4</v>
      </c>
      <c r="AA155">
        <v>4.0333333333333332</v>
      </c>
      <c r="AB155">
        <v>1534.3</v>
      </c>
      <c r="AC155" s="17"/>
      <c r="AE155">
        <v>42118.93</v>
      </c>
      <c r="AF155">
        <v>168475.72</v>
      </c>
      <c r="AG155">
        <v>42118.93</v>
      </c>
      <c r="AH155">
        <v>168475.72</v>
      </c>
      <c r="AI155">
        <v>0</v>
      </c>
      <c r="AJ155">
        <v>0</v>
      </c>
      <c r="AW155">
        <v>0</v>
      </c>
      <c r="BJ155">
        <v>0</v>
      </c>
      <c r="BW155">
        <v>0</v>
      </c>
      <c r="CJ155">
        <v>0</v>
      </c>
      <c r="CW155">
        <v>168475.72</v>
      </c>
      <c r="DC155">
        <v>42118.93</v>
      </c>
      <c r="DD155">
        <v>42118.93</v>
      </c>
      <c r="DE155">
        <v>42118.93</v>
      </c>
      <c r="DF155">
        <v>42118.93</v>
      </c>
      <c r="DJ155">
        <v>0</v>
      </c>
      <c r="DW155">
        <v>0</v>
      </c>
      <c r="EJ155">
        <v>168475.72</v>
      </c>
    </row>
    <row r="156" spans="1:140" hidden="1" x14ac:dyDescent="0.35">
      <c r="A156" t="s">
        <v>4215</v>
      </c>
      <c r="B156" t="s">
        <v>5515</v>
      </c>
      <c r="C156">
        <v>-34</v>
      </c>
      <c r="D156" t="s">
        <v>5740</v>
      </c>
      <c r="E156" t="s">
        <v>1154</v>
      </c>
      <c r="F156" t="s">
        <v>5741</v>
      </c>
      <c r="G156" t="s">
        <v>4255</v>
      </c>
      <c r="H156" t="s">
        <v>5742</v>
      </c>
      <c r="I156" t="s">
        <v>5368</v>
      </c>
      <c r="J156" t="s">
        <v>3696</v>
      </c>
      <c r="K156" t="s">
        <v>3696</v>
      </c>
      <c r="L156" t="s">
        <v>1153</v>
      </c>
      <c r="M156" t="s">
        <v>3249</v>
      </c>
      <c r="N156" t="s">
        <v>1153</v>
      </c>
      <c r="O156" t="s">
        <v>3249</v>
      </c>
      <c r="P156" t="s">
        <v>3249</v>
      </c>
      <c r="Q156" t="s">
        <v>3075</v>
      </c>
      <c r="R156" t="s">
        <v>2464</v>
      </c>
      <c r="S156" t="s">
        <v>5452</v>
      </c>
      <c r="T156" t="s">
        <v>2363</v>
      </c>
      <c r="U156" t="s">
        <v>5743</v>
      </c>
      <c r="V156" s="17">
        <v>46128</v>
      </c>
      <c r="W156" s="17">
        <v>46143</v>
      </c>
      <c r="X156" s="17">
        <v>46387</v>
      </c>
      <c r="Y156">
        <v>225</v>
      </c>
      <c r="Z156">
        <v>8</v>
      </c>
      <c r="AA156">
        <v>8.1333333333333329</v>
      </c>
      <c r="AB156">
        <v>1531.2333333333333</v>
      </c>
      <c r="AC156" s="17"/>
      <c r="AE156">
        <v>8587.6108000000004</v>
      </c>
      <c r="AF156">
        <v>412205.32</v>
      </c>
      <c r="AG156">
        <v>51525.665000000001</v>
      </c>
      <c r="AH156">
        <v>417552.52</v>
      </c>
      <c r="AI156">
        <v>5347.2</v>
      </c>
      <c r="AJ156">
        <v>0</v>
      </c>
      <c r="AW156">
        <v>0</v>
      </c>
      <c r="BJ156">
        <v>0</v>
      </c>
      <c r="BW156">
        <v>0</v>
      </c>
      <c r="CJ156">
        <v>0</v>
      </c>
      <c r="CW156">
        <v>417552.52</v>
      </c>
      <c r="DB156">
        <v>52194.065000000002</v>
      </c>
      <c r="DC156">
        <v>52194.065000000002</v>
      </c>
      <c r="DD156">
        <v>52194.065000000002</v>
      </c>
      <c r="DE156">
        <v>52194.065000000002</v>
      </c>
      <c r="DF156">
        <v>52194.065000000002</v>
      </c>
      <c r="DG156">
        <v>52194.065000000002</v>
      </c>
      <c r="DH156">
        <v>52194.065000000002</v>
      </c>
      <c r="DI156">
        <v>52194.065000000002</v>
      </c>
      <c r="DJ156">
        <v>0</v>
      </c>
      <c r="DW156">
        <v>0</v>
      </c>
      <c r="EJ156">
        <v>417552.52</v>
      </c>
    </row>
    <row r="157" spans="1:140" hidden="1" x14ac:dyDescent="0.35">
      <c r="A157" t="s">
        <v>4215</v>
      </c>
      <c r="B157" t="s">
        <v>5744</v>
      </c>
      <c r="C157">
        <v>-16</v>
      </c>
      <c r="D157" t="s">
        <v>5745</v>
      </c>
      <c r="E157" t="s">
        <v>4258</v>
      </c>
      <c r="F157" t="s">
        <v>4259</v>
      </c>
      <c r="G157" t="s">
        <v>4260</v>
      </c>
      <c r="H157" t="s">
        <v>5746</v>
      </c>
      <c r="I157" t="s">
        <v>5368</v>
      </c>
      <c r="J157" t="s">
        <v>3696</v>
      </c>
      <c r="K157" t="s">
        <v>3696</v>
      </c>
      <c r="L157" t="s">
        <v>3465</v>
      </c>
      <c r="M157" t="s">
        <v>3421</v>
      </c>
      <c r="N157" t="s">
        <v>3465</v>
      </c>
      <c r="O157" t="s">
        <v>249</v>
      </c>
      <c r="P157" t="s">
        <v>3747</v>
      </c>
      <c r="Q157" t="s">
        <v>3075</v>
      </c>
      <c r="R157" t="s">
        <v>2464</v>
      </c>
      <c r="S157" t="s">
        <v>5374</v>
      </c>
      <c r="T157" t="s">
        <v>2363</v>
      </c>
      <c r="U157" t="s">
        <v>5747</v>
      </c>
      <c r="V157" s="17">
        <v>46146</v>
      </c>
      <c r="W157" s="17">
        <v>46143</v>
      </c>
      <c r="X157" s="17">
        <v>46234</v>
      </c>
      <c r="Y157">
        <v>72</v>
      </c>
      <c r="Z157">
        <v>3</v>
      </c>
      <c r="AA157">
        <v>3.0333333333333332</v>
      </c>
      <c r="AB157">
        <v>1536.3333333333333</v>
      </c>
      <c r="AC157" s="17"/>
      <c r="AE157">
        <v>18258.240000000002</v>
      </c>
      <c r="AF157">
        <v>54774.720000000001</v>
      </c>
      <c r="AG157">
        <v>18258.240000000002</v>
      </c>
      <c r="AH157">
        <v>54774.720000000001</v>
      </c>
      <c r="AI157">
        <v>0</v>
      </c>
      <c r="AJ157">
        <v>0</v>
      </c>
      <c r="AW157">
        <v>0</v>
      </c>
      <c r="BJ157">
        <v>0</v>
      </c>
      <c r="BW157">
        <v>0</v>
      </c>
      <c r="CJ157">
        <v>0</v>
      </c>
      <c r="CW157">
        <v>54774.720000000001</v>
      </c>
      <c r="DB157">
        <v>18258.240000000002</v>
      </c>
      <c r="DC157">
        <v>18258.240000000002</v>
      </c>
      <c r="DD157">
        <v>18258.240000000002</v>
      </c>
      <c r="DJ157">
        <v>0</v>
      </c>
      <c r="DW157">
        <v>0</v>
      </c>
      <c r="EJ157">
        <v>54774.720000000001</v>
      </c>
    </row>
    <row r="158" spans="1:140" hidden="1" x14ac:dyDescent="0.35">
      <c r="A158" t="s">
        <v>4215</v>
      </c>
      <c r="B158" t="s">
        <v>5744</v>
      </c>
      <c r="C158">
        <v>-7</v>
      </c>
      <c r="D158" t="s">
        <v>5748</v>
      </c>
      <c r="E158" t="s">
        <v>4263</v>
      </c>
      <c r="F158" t="s">
        <v>4264</v>
      </c>
      <c r="G158" t="s">
        <v>4265</v>
      </c>
      <c r="H158" t="s">
        <v>5749</v>
      </c>
      <c r="I158" t="s">
        <v>5368</v>
      </c>
      <c r="J158" t="s">
        <v>3071</v>
      </c>
      <c r="K158" t="s">
        <v>3696</v>
      </c>
      <c r="L158" t="s">
        <v>4266</v>
      </c>
      <c r="M158" t="s">
        <v>3069</v>
      </c>
      <c r="N158" t="s">
        <v>4266</v>
      </c>
      <c r="O158" t="s">
        <v>4267</v>
      </c>
      <c r="P158" t="s">
        <v>3747</v>
      </c>
      <c r="Q158" t="s">
        <v>3075</v>
      </c>
      <c r="R158" t="s">
        <v>2464</v>
      </c>
      <c r="S158" t="s">
        <v>5452</v>
      </c>
      <c r="T158" t="s">
        <v>2363</v>
      </c>
      <c r="U158" t="s">
        <v>5750</v>
      </c>
      <c r="V158" s="17">
        <v>46155</v>
      </c>
      <c r="W158" s="17">
        <v>46174</v>
      </c>
      <c r="X158" s="17">
        <v>46264</v>
      </c>
      <c r="Y158">
        <v>102</v>
      </c>
      <c r="Z158">
        <v>3</v>
      </c>
      <c r="AA158">
        <v>3</v>
      </c>
      <c r="AB158">
        <v>1535.3333333333333</v>
      </c>
      <c r="AC158" s="17"/>
      <c r="AE158">
        <v>40978.230000000003</v>
      </c>
      <c r="AF158">
        <v>122934.69</v>
      </c>
      <c r="AG158">
        <v>40978.230000000003</v>
      </c>
      <c r="AH158">
        <v>130493.82</v>
      </c>
      <c r="AI158">
        <v>7559.13</v>
      </c>
      <c r="AJ158">
        <v>0</v>
      </c>
      <c r="AW158">
        <v>0</v>
      </c>
      <c r="BJ158">
        <v>0</v>
      </c>
      <c r="BW158">
        <v>0</v>
      </c>
      <c r="CJ158">
        <v>0</v>
      </c>
      <c r="CW158">
        <v>130493.82</v>
      </c>
      <c r="DC158">
        <v>43497.94</v>
      </c>
      <c r="DD158">
        <v>43497.94</v>
      </c>
      <c r="DE158">
        <v>43497.94</v>
      </c>
      <c r="DJ158">
        <v>0</v>
      </c>
      <c r="DW158">
        <v>0</v>
      </c>
      <c r="EJ158">
        <v>130493.82</v>
      </c>
    </row>
    <row r="159" spans="1:140" hidden="1" x14ac:dyDescent="0.35">
      <c r="A159" t="s">
        <v>4036</v>
      </c>
      <c r="B159" t="s">
        <v>5462</v>
      </c>
      <c r="D159" t="s">
        <v>5751</v>
      </c>
      <c r="E159" t="s">
        <v>4270</v>
      </c>
      <c r="F159" t="s">
        <v>4271</v>
      </c>
      <c r="G159" t="s">
        <v>4270</v>
      </c>
      <c r="H159" t="s">
        <v>5752</v>
      </c>
      <c r="I159" t="s">
        <v>5368</v>
      </c>
      <c r="J159" t="s">
        <v>5102</v>
      </c>
      <c r="L159" t="s">
        <v>4273</v>
      </c>
      <c r="M159" t="s">
        <v>3856</v>
      </c>
      <c r="N159" t="s">
        <v>4273</v>
      </c>
      <c r="O159" t="s">
        <v>3856</v>
      </c>
      <c r="P159" t="s">
        <v>3856</v>
      </c>
      <c r="Q159" t="s">
        <v>3075</v>
      </c>
      <c r="R159" t="s">
        <v>2464</v>
      </c>
      <c r="S159" t="s">
        <v>5452</v>
      </c>
      <c r="T159" t="s">
        <v>2363</v>
      </c>
      <c r="U159" t="s">
        <v>5753</v>
      </c>
      <c r="V159" s="17">
        <v>46146</v>
      </c>
      <c r="W159" s="17">
        <v>46143</v>
      </c>
      <c r="X159" s="17">
        <v>46173</v>
      </c>
      <c r="Y159">
        <v>11</v>
      </c>
      <c r="Z159">
        <v>1</v>
      </c>
      <c r="AA159">
        <v>1</v>
      </c>
      <c r="AB159">
        <v>1538.3666666666666</v>
      </c>
      <c r="AC159" s="17"/>
      <c r="AE159">
        <v>25000</v>
      </c>
      <c r="AF159">
        <v>25000</v>
      </c>
      <c r="AG159">
        <v>25000</v>
      </c>
      <c r="AH159">
        <v>25000</v>
      </c>
      <c r="AI159">
        <v>0</v>
      </c>
      <c r="AJ159">
        <v>0</v>
      </c>
      <c r="AW159">
        <v>0</v>
      </c>
      <c r="BJ159">
        <v>0</v>
      </c>
      <c r="BW159">
        <v>0</v>
      </c>
      <c r="CJ159">
        <v>0</v>
      </c>
      <c r="CW159">
        <v>25000</v>
      </c>
      <c r="DB159">
        <v>25000</v>
      </c>
      <c r="DJ159">
        <v>0</v>
      </c>
      <c r="DW159">
        <v>0</v>
      </c>
      <c r="EJ159">
        <v>25000</v>
      </c>
    </row>
    <row r="160" spans="1:140" hidden="1" x14ac:dyDescent="0.35">
      <c r="A160" t="s">
        <v>4215</v>
      </c>
      <c r="B160" t="s">
        <v>249</v>
      </c>
      <c r="D160" t="s">
        <v>5754</v>
      </c>
      <c r="E160" t="s">
        <v>1157</v>
      </c>
      <c r="F160" t="s">
        <v>4388</v>
      </c>
      <c r="G160" t="s">
        <v>1157</v>
      </c>
      <c r="H160" t="s">
        <v>5755</v>
      </c>
      <c r="I160" t="s">
        <v>5368</v>
      </c>
      <c r="J160" t="s">
        <v>249</v>
      </c>
      <c r="L160" t="s">
        <v>249</v>
      </c>
      <c r="M160" t="s">
        <v>249</v>
      </c>
      <c r="N160" t="s">
        <v>249</v>
      </c>
      <c r="O160" t="s">
        <v>2002</v>
      </c>
      <c r="P160" t="s">
        <v>249</v>
      </c>
      <c r="Q160" t="s">
        <v>249</v>
      </c>
      <c r="R160" t="s">
        <v>249</v>
      </c>
      <c r="S160" t="s">
        <v>249</v>
      </c>
      <c r="T160" t="s">
        <v>249</v>
      </c>
      <c r="U160" t="s">
        <v>249</v>
      </c>
      <c r="V160" s="17"/>
      <c r="W160" s="17">
        <v>46167</v>
      </c>
      <c r="X160" s="17">
        <v>46259</v>
      </c>
      <c r="Y160">
        <v>97</v>
      </c>
      <c r="AA160">
        <v>3.0666666666666669</v>
      </c>
      <c r="AB160">
        <v>1535.5</v>
      </c>
      <c r="AC160" s="17"/>
      <c r="AH160">
        <v>218292.39</v>
      </c>
      <c r="AJ160">
        <v>0</v>
      </c>
      <c r="AW160">
        <v>0</v>
      </c>
      <c r="BJ160">
        <v>0</v>
      </c>
      <c r="BW160">
        <v>0</v>
      </c>
      <c r="CJ160">
        <v>0</v>
      </c>
      <c r="CW160">
        <v>218292.39</v>
      </c>
      <c r="DC160">
        <v>72764.13</v>
      </c>
      <c r="DD160">
        <v>72764.13</v>
      </c>
      <c r="DE160">
        <v>72764.13</v>
      </c>
      <c r="DJ160">
        <v>0</v>
      </c>
      <c r="DW160">
        <v>0</v>
      </c>
      <c r="EJ160">
        <v>218292.39</v>
      </c>
    </row>
    <row r="161" spans="1:140" hidden="1" x14ac:dyDescent="0.35">
      <c r="A161" t="s">
        <v>3067</v>
      </c>
      <c r="B161" t="s">
        <v>249</v>
      </c>
      <c r="D161" t="s">
        <v>5756</v>
      </c>
      <c r="E161" t="s">
        <v>1232</v>
      </c>
      <c r="F161" t="s">
        <v>3178</v>
      </c>
      <c r="G161" t="s">
        <v>3179</v>
      </c>
      <c r="H161" t="s">
        <v>5757</v>
      </c>
      <c r="I161" t="s">
        <v>5368</v>
      </c>
      <c r="J161" t="s">
        <v>3071</v>
      </c>
      <c r="K161" t="s">
        <v>3071</v>
      </c>
      <c r="L161" t="s">
        <v>897</v>
      </c>
      <c r="M161" t="s">
        <v>3180</v>
      </c>
      <c r="N161" t="s">
        <v>89</v>
      </c>
      <c r="O161" t="s">
        <v>3088</v>
      </c>
      <c r="P161">
        <v>0</v>
      </c>
      <c r="Q161" t="s">
        <v>3075</v>
      </c>
      <c r="R161">
        <v>0</v>
      </c>
      <c r="S161">
        <v>0</v>
      </c>
      <c r="T161" t="s">
        <v>5369</v>
      </c>
      <c r="U161" t="s">
        <v>5758</v>
      </c>
      <c r="V161" s="17">
        <v>45027</v>
      </c>
      <c r="W161" s="17">
        <v>45033</v>
      </c>
      <c r="X161" s="17">
        <v>45277</v>
      </c>
      <c r="Y161">
        <v>-885</v>
      </c>
      <c r="Z161">
        <v>8</v>
      </c>
      <c r="AA161">
        <v>8.1333333333333329</v>
      </c>
      <c r="AB161">
        <v>1568.2333333333333</v>
      </c>
      <c r="AC161" s="17">
        <v>45199</v>
      </c>
      <c r="AE161">
        <v>16750</v>
      </c>
      <c r="AF161">
        <v>268000</v>
      </c>
      <c r="AG161">
        <v>32950.8197</v>
      </c>
      <c r="AH161">
        <v>541000</v>
      </c>
      <c r="AI161">
        <v>273000</v>
      </c>
      <c r="AJ161">
        <v>0</v>
      </c>
      <c r="AW161">
        <v>0</v>
      </c>
      <c r="BJ161">
        <v>321000</v>
      </c>
      <c r="BN161">
        <v>14000</v>
      </c>
      <c r="BO161">
        <v>36000</v>
      </c>
      <c r="BP161">
        <v>31000</v>
      </c>
      <c r="BQ161">
        <v>40000</v>
      </c>
      <c r="BR161">
        <v>40000</v>
      </c>
      <c r="BS161">
        <v>40000</v>
      </c>
      <c r="BT161">
        <v>40000</v>
      </c>
      <c r="BU161">
        <v>40000</v>
      </c>
      <c r="BV161">
        <v>40000</v>
      </c>
      <c r="BW161">
        <v>220000</v>
      </c>
      <c r="BX161">
        <v>40000</v>
      </c>
      <c r="BY161">
        <v>40000</v>
      </c>
      <c r="BZ161">
        <v>40000</v>
      </c>
      <c r="CA161">
        <v>40000</v>
      </c>
      <c r="CB161">
        <v>40000</v>
      </c>
      <c r="CC161">
        <v>20000</v>
      </c>
      <c r="CJ161">
        <v>0</v>
      </c>
      <c r="CW161">
        <v>0</v>
      </c>
      <c r="DJ161">
        <v>0</v>
      </c>
      <c r="DW161">
        <v>0</v>
      </c>
      <c r="EJ161">
        <v>0</v>
      </c>
    </row>
    <row r="162" spans="1:140" hidden="1" x14ac:dyDescent="0.35">
      <c r="A162" t="s">
        <v>3067</v>
      </c>
      <c r="B162" t="s">
        <v>249</v>
      </c>
      <c r="D162" t="s">
        <v>5759</v>
      </c>
      <c r="E162" t="s">
        <v>3149</v>
      </c>
      <c r="F162" t="s">
        <v>3150</v>
      </c>
      <c r="G162" t="s">
        <v>3151</v>
      </c>
      <c r="H162" t="s">
        <v>5760</v>
      </c>
      <c r="I162" t="s">
        <v>5368</v>
      </c>
      <c r="J162" t="s">
        <v>3071</v>
      </c>
      <c r="K162" t="s">
        <v>3071</v>
      </c>
      <c r="L162" t="s">
        <v>3152</v>
      </c>
      <c r="M162" t="s">
        <v>3153</v>
      </c>
      <c r="N162" t="s">
        <v>3154</v>
      </c>
      <c r="O162" t="s">
        <v>3155</v>
      </c>
      <c r="P162">
        <v>0</v>
      </c>
      <c r="Q162" t="s">
        <v>3075</v>
      </c>
      <c r="R162">
        <v>0</v>
      </c>
      <c r="S162">
        <v>0</v>
      </c>
      <c r="T162" t="s">
        <v>5485</v>
      </c>
      <c r="U162" t="s">
        <v>5761</v>
      </c>
      <c r="V162" s="17">
        <v>45138</v>
      </c>
      <c r="W162" s="17">
        <v>45145</v>
      </c>
      <c r="X162" s="17">
        <v>45511</v>
      </c>
      <c r="Y162">
        <v>-651</v>
      </c>
      <c r="Z162">
        <v>12</v>
      </c>
      <c r="AA162">
        <v>12.2</v>
      </c>
      <c r="AB162">
        <v>1560.4333333333334</v>
      </c>
      <c r="AC162" s="17">
        <v>45275</v>
      </c>
      <c r="AE162">
        <v>17926.86</v>
      </c>
      <c r="AF162">
        <v>215122.32</v>
      </c>
      <c r="AG162">
        <v>17632.976999999999</v>
      </c>
      <c r="AH162">
        <v>233049.18</v>
      </c>
      <c r="AI162">
        <v>17926.86</v>
      </c>
      <c r="AJ162">
        <v>0</v>
      </c>
      <c r="AW162">
        <v>0</v>
      </c>
      <c r="BJ162">
        <v>89634.3</v>
      </c>
      <c r="BR162">
        <v>17926.86</v>
      </c>
      <c r="BS162">
        <v>17926.86</v>
      </c>
      <c r="BT162">
        <v>17926.86</v>
      </c>
      <c r="BU162">
        <v>17926.86</v>
      </c>
      <c r="BV162">
        <v>17926.86</v>
      </c>
      <c r="BW162">
        <v>143414.88</v>
      </c>
      <c r="BX162">
        <v>17926.86</v>
      </c>
      <c r="BY162">
        <v>17926.86</v>
      </c>
      <c r="BZ162">
        <v>17926.86</v>
      </c>
      <c r="CA162">
        <v>17926.86</v>
      </c>
      <c r="CB162">
        <v>17926.86</v>
      </c>
      <c r="CC162">
        <v>17926.86</v>
      </c>
      <c r="CD162">
        <v>17926.86</v>
      </c>
      <c r="CE162">
        <v>17926.86</v>
      </c>
      <c r="CJ162">
        <v>0</v>
      </c>
      <c r="CW162">
        <v>0</v>
      </c>
      <c r="DJ162">
        <v>0</v>
      </c>
      <c r="DW162">
        <v>0</v>
      </c>
      <c r="EJ162">
        <v>0</v>
      </c>
    </row>
    <row r="163" spans="1:140" hidden="1" x14ac:dyDescent="0.35">
      <c r="A163" t="s">
        <v>3067</v>
      </c>
      <c r="B163" t="s">
        <v>249</v>
      </c>
      <c r="D163" t="s">
        <v>5762</v>
      </c>
      <c r="E163" t="s">
        <v>3141</v>
      </c>
      <c r="F163" t="s">
        <v>3142</v>
      </c>
      <c r="G163" t="s">
        <v>3143</v>
      </c>
      <c r="H163" t="s">
        <v>5763</v>
      </c>
      <c r="I163" t="s">
        <v>5368</v>
      </c>
      <c r="J163" t="s">
        <v>3079</v>
      </c>
      <c r="K163" t="s">
        <v>3079</v>
      </c>
      <c r="L163" t="s">
        <v>252</v>
      </c>
      <c r="M163" t="s">
        <v>3087</v>
      </c>
      <c r="N163" t="s">
        <v>3144</v>
      </c>
      <c r="O163" t="s">
        <v>3088</v>
      </c>
      <c r="P163">
        <v>0</v>
      </c>
      <c r="Q163" t="s">
        <v>3075</v>
      </c>
      <c r="R163">
        <v>0</v>
      </c>
      <c r="S163">
        <v>0</v>
      </c>
      <c r="T163" t="s">
        <v>5369</v>
      </c>
      <c r="U163" t="s">
        <v>5764</v>
      </c>
      <c r="V163" s="17">
        <v>45111</v>
      </c>
      <c r="W163" s="17">
        <v>45149</v>
      </c>
      <c r="X163" s="17">
        <v>45515</v>
      </c>
      <c r="Y163">
        <v>-647</v>
      </c>
      <c r="Z163">
        <v>12</v>
      </c>
      <c r="AA163">
        <v>12.2</v>
      </c>
      <c r="AB163">
        <v>1560.3</v>
      </c>
      <c r="AC163" s="17">
        <v>45226</v>
      </c>
      <c r="AE163">
        <v>29949</v>
      </c>
      <c r="AF163">
        <v>718775.5</v>
      </c>
      <c r="AG163">
        <v>58916.024599999997</v>
      </c>
      <c r="AH163">
        <v>889154.2</v>
      </c>
      <c r="AI163">
        <v>170378.7</v>
      </c>
      <c r="AJ163">
        <v>0</v>
      </c>
      <c r="AW163">
        <v>0</v>
      </c>
      <c r="BJ163">
        <v>336672.2</v>
      </c>
      <c r="BR163">
        <v>20968.2</v>
      </c>
      <c r="BS163">
        <v>78926</v>
      </c>
      <c r="BT163">
        <v>78926</v>
      </c>
      <c r="BU163">
        <v>78926</v>
      </c>
      <c r="BV163">
        <v>78926</v>
      </c>
      <c r="BW163">
        <v>552482</v>
      </c>
      <c r="BX163">
        <v>78926</v>
      </c>
      <c r="BY163">
        <v>78926</v>
      </c>
      <c r="BZ163">
        <v>78926</v>
      </c>
      <c r="CA163">
        <v>78926</v>
      </c>
      <c r="CB163">
        <v>78926</v>
      </c>
      <c r="CC163">
        <v>78926</v>
      </c>
      <c r="CD163">
        <v>78926</v>
      </c>
      <c r="CJ163">
        <v>0</v>
      </c>
      <c r="CW163">
        <v>0</v>
      </c>
      <c r="DJ163">
        <v>0</v>
      </c>
      <c r="DW163">
        <v>0</v>
      </c>
      <c r="EJ163">
        <v>0</v>
      </c>
    </row>
    <row r="164" spans="1:140" hidden="1" x14ac:dyDescent="0.35">
      <c r="A164" t="s">
        <v>3067</v>
      </c>
      <c r="B164" t="s">
        <v>249</v>
      </c>
      <c r="D164" t="s">
        <v>5765</v>
      </c>
      <c r="E164" t="s">
        <v>3135</v>
      </c>
      <c r="F164" t="s">
        <v>3136</v>
      </c>
      <c r="G164" t="s">
        <v>3137</v>
      </c>
      <c r="H164" t="s">
        <v>5766</v>
      </c>
      <c r="I164" t="s">
        <v>5368</v>
      </c>
      <c r="J164" t="s">
        <v>3071</v>
      </c>
      <c r="K164" t="s">
        <v>3071</v>
      </c>
      <c r="L164" t="s">
        <v>3138</v>
      </c>
      <c r="M164" t="s">
        <v>3139</v>
      </c>
      <c r="N164" t="s">
        <v>3138</v>
      </c>
      <c r="O164" t="s">
        <v>3107</v>
      </c>
      <c r="P164">
        <v>0</v>
      </c>
      <c r="Q164" t="s">
        <v>3075</v>
      </c>
      <c r="R164">
        <v>0</v>
      </c>
      <c r="S164">
        <v>0</v>
      </c>
      <c r="T164" t="s">
        <v>5369</v>
      </c>
      <c r="U164" t="s">
        <v>5767</v>
      </c>
      <c r="V164" s="17">
        <v>45135</v>
      </c>
      <c r="W164" s="17">
        <v>45153</v>
      </c>
      <c r="X164" s="17">
        <v>45519</v>
      </c>
      <c r="Y164">
        <v>-643</v>
      </c>
      <c r="Z164">
        <v>12</v>
      </c>
      <c r="AA164">
        <v>12.2</v>
      </c>
      <c r="AB164">
        <v>1560.1666666666667</v>
      </c>
      <c r="AC164" s="17">
        <v>45392</v>
      </c>
      <c r="AE164">
        <v>16558.34</v>
      </c>
      <c r="AF164">
        <v>198700.08</v>
      </c>
      <c r="AG164">
        <v>16286.891799999999</v>
      </c>
      <c r="AH164">
        <v>184901.46</v>
      </c>
      <c r="AI164">
        <v>-13798.62</v>
      </c>
      <c r="AJ164">
        <v>0</v>
      </c>
      <c r="AW164">
        <v>0</v>
      </c>
      <c r="BJ164">
        <v>68993.08</v>
      </c>
      <c r="BR164">
        <v>2759.72</v>
      </c>
      <c r="BS164">
        <v>16558.34</v>
      </c>
      <c r="BT164">
        <v>16558.34</v>
      </c>
      <c r="BU164">
        <v>16558.34</v>
      </c>
      <c r="BV164">
        <v>16558.34</v>
      </c>
      <c r="BW164">
        <v>115908.38</v>
      </c>
      <c r="BX164">
        <v>16558.34</v>
      </c>
      <c r="BY164">
        <v>16558.34</v>
      </c>
      <c r="BZ164">
        <v>16558.34</v>
      </c>
      <c r="CA164">
        <v>16558.34</v>
      </c>
      <c r="CB164">
        <v>16558.34</v>
      </c>
      <c r="CC164">
        <v>16558.34</v>
      </c>
      <c r="CD164">
        <v>16558.34</v>
      </c>
      <c r="CJ164">
        <v>0</v>
      </c>
      <c r="CW164">
        <v>0</v>
      </c>
      <c r="DJ164">
        <v>0</v>
      </c>
      <c r="DW164">
        <v>0</v>
      </c>
      <c r="EJ164">
        <v>0</v>
      </c>
    </row>
    <row r="165" spans="1:140" hidden="1" x14ac:dyDescent="0.35">
      <c r="A165" t="s">
        <v>3067</v>
      </c>
      <c r="B165" t="s">
        <v>249</v>
      </c>
      <c r="D165" t="s">
        <v>5768</v>
      </c>
      <c r="E165" t="s">
        <v>4419</v>
      </c>
      <c r="F165" t="s">
        <v>4420</v>
      </c>
      <c r="G165" t="s">
        <v>4421</v>
      </c>
      <c r="H165" t="s">
        <v>5769</v>
      </c>
      <c r="I165" t="s">
        <v>5368</v>
      </c>
      <c r="J165" t="s">
        <v>3203</v>
      </c>
      <c r="K165" t="s">
        <v>3203</v>
      </c>
      <c r="L165" t="s">
        <v>4410</v>
      </c>
      <c r="M165" t="s">
        <v>3139</v>
      </c>
      <c r="N165" t="s">
        <v>89</v>
      </c>
      <c r="O165" t="s">
        <v>3088</v>
      </c>
      <c r="P165">
        <v>0</v>
      </c>
      <c r="Q165" t="s">
        <v>3075</v>
      </c>
      <c r="R165" t="s">
        <v>4394</v>
      </c>
      <c r="S165">
        <v>0</v>
      </c>
      <c r="T165" t="s">
        <v>2704</v>
      </c>
      <c r="U165" t="s">
        <v>5770</v>
      </c>
      <c r="V165" s="17">
        <v>45386</v>
      </c>
      <c r="W165" s="17"/>
      <c r="X165" s="17"/>
      <c r="Y165">
        <v>-46162</v>
      </c>
      <c r="Z165">
        <v>1</v>
      </c>
      <c r="AA165">
        <v>0</v>
      </c>
      <c r="AB165">
        <v>3077.4666666666667</v>
      </c>
      <c r="AC165" s="17">
        <v>44907</v>
      </c>
      <c r="AE165">
        <v>41500</v>
      </c>
      <c r="AF165">
        <v>41500</v>
      </c>
      <c r="AH165">
        <v>41500</v>
      </c>
      <c r="AI165">
        <v>0</v>
      </c>
      <c r="AJ165">
        <v>0</v>
      </c>
      <c r="AW165">
        <v>0</v>
      </c>
      <c r="BJ165">
        <v>0</v>
      </c>
      <c r="BW165">
        <v>41500</v>
      </c>
      <c r="CB165">
        <v>33200</v>
      </c>
      <c r="CC165">
        <v>8300</v>
      </c>
      <c r="CJ165">
        <v>0</v>
      </c>
      <c r="CW165">
        <v>0</v>
      </c>
      <c r="DJ165">
        <v>0</v>
      </c>
      <c r="DW165">
        <v>0</v>
      </c>
      <c r="EJ165">
        <v>0</v>
      </c>
    </row>
    <row r="166" spans="1:140" hidden="1" x14ac:dyDescent="0.35">
      <c r="A166" t="s">
        <v>3067</v>
      </c>
      <c r="B166" t="s">
        <v>249</v>
      </c>
      <c r="D166" t="s">
        <v>5771</v>
      </c>
      <c r="E166" t="s">
        <v>3112</v>
      </c>
      <c r="F166" t="s">
        <v>3113</v>
      </c>
      <c r="G166" t="s">
        <v>3112</v>
      </c>
      <c r="H166" t="s">
        <v>5772</v>
      </c>
      <c r="I166" t="s">
        <v>5368</v>
      </c>
      <c r="J166" t="s">
        <v>249</v>
      </c>
      <c r="K166" t="s">
        <v>249</v>
      </c>
      <c r="L166" t="s">
        <v>249</v>
      </c>
      <c r="M166" t="s">
        <v>249</v>
      </c>
      <c r="N166" t="s">
        <v>249</v>
      </c>
      <c r="O166" t="s">
        <v>249</v>
      </c>
      <c r="P166" t="s">
        <v>249</v>
      </c>
      <c r="Q166" t="s">
        <v>249</v>
      </c>
      <c r="R166" t="s">
        <v>249</v>
      </c>
      <c r="S166" t="s">
        <v>249</v>
      </c>
      <c r="T166" t="s">
        <v>249</v>
      </c>
      <c r="U166" t="s">
        <v>249</v>
      </c>
      <c r="V166" s="17"/>
      <c r="W166" s="17">
        <v>44375</v>
      </c>
      <c r="X166" s="17">
        <v>44772</v>
      </c>
      <c r="Y166">
        <v>-1390</v>
      </c>
      <c r="AA166">
        <v>13.233333333333333</v>
      </c>
      <c r="AB166">
        <v>1585.0666666666666</v>
      </c>
      <c r="AC166" s="17">
        <v>44633</v>
      </c>
      <c r="AH166">
        <v>657793.45090000005</v>
      </c>
      <c r="AJ166">
        <v>303596.97730000003</v>
      </c>
      <c r="AQ166">
        <v>50599.496200000001</v>
      </c>
      <c r="AR166">
        <v>50599.496200000001</v>
      </c>
      <c r="AS166">
        <v>50599.496200000001</v>
      </c>
      <c r="AT166">
        <v>50599.496200000001</v>
      </c>
      <c r="AU166">
        <v>50599.496200000001</v>
      </c>
      <c r="AV166">
        <v>50599.496200000001</v>
      </c>
      <c r="AW166">
        <v>354196.47360000003</v>
      </c>
      <c r="AX166">
        <v>50599.496200000001</v>
      </c>
      <c r="AY166">
        <v>50599.496200000001</v>
      </c>
      <c r="AZ166">
        <v>50599.496200000001</v>
      </c>
      <c r="BA166">
        <v>50599.496200000001</v>
      </c>
      <c r="BB166">
        <v>50599.496200000001</v>
      </c>
      <c r="BC166">
        <v>50599.496200000001</v>
      </c>
      <c r="BD166">
        <v>50599.496200000001</v>
      </c>
      <c r="BJ166">
        <v>0</v>
      </c>
      <c r="BW166">
        <v>0</v>
      </c>
      <c r="CJ166">
        <v>0</v>
      </c>
      <c r="CW166">
        <v>0</v>
      </c>
      <c r="DJ166">
        <v>0</v>
      </c>
      <c r="DW166">
        <v>0</v>
      </c>
      <c r="EJ166">
        <v>0</v>
      </c>
    </row>
    <row r="167" spans="1:140" hidden="1" x14ac:dyDescent="0.35">
      <c r="A167" t="s">
        <v>3067</v>
      </c>
      <c r="B167" t="s">
        <v>249</v>
      </c>
      <c r="D167" t="s">
        <v>5773</v>
      </c>
      <c r="E167" t="s">
        <v>3115</v>
      </c>
      <c r="F167" t="s">
        <v>3116</v>
      </c>
      <c r="G167" t="s">
        <v>3115</v>
      </c>
      <c r="H167" t="s">
        <v>5774</v>
      </c>
      <c r="I167" t="s">
        <v>5368</v>
      </c>
      <c r="J167" t="s">
        <v>249</v>
      </c>
      <c r="K167" t="s">
        <v>249</v>
      </c>
      <c r="L167" t="s">
        <v>249</v>
      </c>
      <c r="M167" t="s">
        <v>249</v>
      </c>
      <c r="N167" t="s">
        <v>249</v>
      </c>
      <c r="O167" t="s">
        <v>249</v>
      </c>
      <c r="P167" t="s">
        <v>249</v>
      </c>
      <c r="Q167" t="s">
        <v>249</v>
      </c>
      <c r="R167" t="s">
        <v>249</v>
      </c>
      <c r="S167" t="s">
        <v>249</v>
      </c>
      <c r="T167" t="s">
        <v>249</v>
      </c>
      <c r="U167" t="s">
        <v>249</v>
      </c>
      <c r="V167" s="17"/>
      <c r="W167" s="17">
        <v>44566</v>
      </c>
      <c r="X167" s="17">
        <v>44656</v>
      </c>
      <c r="Y167">
        <v>-1506</v>
      </c>
      <c r="AA167">
        <v>3</v>
      </c>
      <c r="AB167">
        <v>1588.9333333333334</v>
      </c>
      <c r="AC167" s="17">
        <v>45184</v>
      </c>
      <c r="AH167">
        <v>29750</v>
      </c>
      <c r="AJ167">
        <v>0</v>
      </c>
      <c r="AW167">
        <v>29750</v>
      </c>
      <c r="AY167">
        <v>9916.6666999999998</v>
      </c>
      <c r="AZ167">
        <v>9916.6666999999998</v>
      </c>
      <c r="BA167">
        <v>9916.6666999999998</v>
      </c>
      <c r="BJ167">
        <v>0</v>
      </c>
      <c r="BW167">
        <v>0</v>
      </c>
      <c r="CJ167">
        <v>0</v>
      </c>
      <c r="CW167">
        <v>0</v>
      </c>
      <c r="DJ167">
        <v>0</v>
      </c>
      <c r="DW167">
        <v>0</v>
      </c>
      <c r="EJ167">
        <v>0</v>
      </c>
    </row>
    <row r="168" spans="1:140" hidden="1" x14ac:dyDescent="0.35">
      <c r="A168" t="s">
        <v>3067</v>
      </c>
      <c r="B168" t="s">
        <v>249</v>
      </c>
      <c r="D168" t="s">
        <v>5775</v>
      </c>
      <c r="E168" t="s">
        <v>3125</v>
      </c>
      <c r="F168" t="s">
        <v>3126</v>
      </c>
      <c r="G168" t="s">
        <v>3127</v>
      </c>
      <c r="H168" t="s">
        <v>5776</v>
      </c>
      <c r="I168" t="s">
        <v>5368</v>
      </c>
      <c r="J168" t="s">
        <v>3071</v>
      </c>
      <c r="K168" t="s">
        <v>3071</v>
      </c>
      <c r="L168" t="s">
        <v>3129</v>
      </c>
      <c r="M168" t="s">
        <v>3130</v>
      </c>
      <c r="N168" t="s">
        <v>3131</v>
      </c>
      <c r="O168" t="s">
        <v>3107</v>
      </c>
      <c r="P168">
        <v>0</v>
      </c>
      <c r="Q168" t="s">
        <v>3075</v>
      </c>
      <c r="R168">
        <v>0</v>
      </c>
      <c r="S168">
        <v>0</v>
      </c>
      <c r="T168" t="s">
        <v>5369</v>
      </c>
      <c r="U168" t="s">
        <v>5777</v>
      </c>
      <c r="V168" s="17">
        <v>44926</v>
      </c>
      <c r="W168" s="17">
        <v>44753</v>
      </c>
      <c r="X168" s="17">
        <v>45088</v>
      </c>
      <c r="Y168">
        <v>-1074</v>
      </c>
      <c r="Z168">
        <v>0</v>
      </c>
      <c r="AA168">
        <v>11.166666666666666</v>
      </c>
      <c r="AB168">
        <v>1574.5333333333333</v>
      </c>
      <c r="AC168" s="17">
        <v>44907</v>
      </c>
      <c r="AE168">
        <v>0</v>
      </c>
      <c r="AF168">
        <v>42900</v>
      </c>
      <c r="AG168">
        <v>3841.7910000000002</v>
      </c>
      <c r="AH168">
        <v>57521.790999999997</v>
      </c>
      <c r="AI168">
        <v>14621.790999999999</v>
      </c>
      <c r="AJ168">
        <v>0</v>
      </c>
      <c r="AW168">
        <v>19441.791000000001</v>
      </c>
      <c r="BE168">
        <v>3841.7910000000002</v>
      </c>
      <c r="BF168">
        <v>3900</v>
      </c>
      <c r="BG168">
        <v>3900</v>
      </c>
      <c r="BH168">
        <v>3900</v>
      </c>
      <c r="BI168">
        <v>3900</v>
      </c>
      <c r="BJ168">
        <v>38080</v>
      </c>
      <c r="BK168">
        <v>3900</v>
      </c>
      <c r="BL168">
        <v>3900</v>
      </c>
      <c r="BM168">
        <v>3900</v>
      </c>
      <c r="BN168">
        <v>3900</v>
      </c>
      <c r="BO168">
        <v>3900</v>
      </c>
      <c r="BP168">
        <v>3900</v>
      </c>
      <c r="BQ168">
        <v>3900</v>
      </c>
      <c r="BR168">
        <v>3900</v>
      </c>
      <c r="BS168">
        <v>2380</v>
      </c>
      <c r="BT168">
        <v>1500</v>
      </c>
      <c r="BU168">
        <v>1500</v>
      </c>
      <c r="BV168">
        <v>1500</v>
      </c>
      <c r="BW168">
        <v>0</v>
      </c>
      <c r="CJ168">
        <v>0</v>
      </c>
      <c r="CW168">
        <v>0</v>
      </c>
      <c r="DJ168">
        <v>0</v>
      </c>
      <c r="DW168">
        <v>0</v>
      </c>
      <c r="EJ168">
        <v>0</v>
      </c>
    </row>
    <row r="169" spans="1:140" hidden="1" x14ac:dyDescent="0.35">
      <c r="A169" t="s">
        <v>3067</v>
      </c>
      <c r="B169" t="s">
        <v>249</v>
      </c>
      <c r="D169" t="s">
        <v>5778</v>
      </c>
      <c r="E169" t="s">
        <v>3175</v>
      </c>
      <c r="F169" t="s">
        <v>3176</v>
      </c>
      <c r="G169" t="s">
        <v>3175</v>
      </c>
      <c r="H169" t="s">
        <v>5779</v>
      </c>
      <c r="I169" t="s">
        <v>5368</v>
      </c>
      <c r="J169" t="s">
        <v>249</v>
      </c>
      <c r="K169" t="s">
        <v>249</v>
      </c>
      <c r="L169" t="s">
        <v>249</v>
      </c>
      <c r="M169" t="s">
        <v>249</v>
      </c>
      <c r="N169" t="s">
        <v>249</v>
      </c>
      <c r="O169" t="s">
        <v>249</v>
      </c>
      <c r="P169" t="s">
        <v>249</v>
      </c>
      <c r="Q169" t="s">
        <v>249</v>
      </c>
      <c r="R169" t="s">
        <v>249</v>
      </c>
      <c r="S169" t="s">
        <v>249</v>
      </c>
      <c r="T169" t="s">
        <v>249</v>
      </c>
      <c r="U169" t="s">
        <v>249</v>
      </c>
      <c r="V169" s="17"/>
      <c r="W169" s="17">
        <v>44788</v>
      </c>
      <c r="X169" s="17">
        <v>44972</v>
      </c>
      <c r="Y169">
        <v>-1190</v>
      </c>
      <c r="AA169">
        <v>6.1333333333333337</v>
      </c>
      <c r="AB169">
        <v>1578.4</v>
      </c>
      <c r="AC169" s="17">
        <v>45139</v>
      </c>
      <c r="AH169">
        <v>38619.660000000003</v>
      </c>
      <c r="AJ169">
        <v>0</v>
      </c>
      <c r="AW169">
        <v>38619.660000000003</v>
      </c>
      <c r="BF169">
        <v>3490</v>
      </c>
      <c r="BG169">
        <v>1279.6600000000001</v>
      </c>
      <c r="BH169">
        <v>33850</v>
      </c>
      <c r="BJ169">
        <v>0</v>
      </c>
      <c r="BW169">
        <v>0</v>
      </c>
      <c r="CJ169">
        <v>0</v>
      </c>
      <c r="CW169">
        <v>0</v>
      </c>
      <c r="DJ169">
        <v>0</v>
      </c>
      <c r="DW169">
        <v>0</v>
      </c>
      <c r="EJ169">
        <v>0</v>
      </c>
    </row>
    <row r="170" spans="1:140" hidden="1" x14ac:dyDescent="0.35">
      <c r="A170" t="s">
        <v>3067</v>
      </c>
      <c r="B170" t="s">
        <v>249</v>
      </c>
      <c r="D170" t="s">
        <v>5780</v>
      </c>
      <c r="E170" t="s">
        <v>3083</v>
      </c>
      <c r="F170" t="s">
        <v>3084</v>
      </c>
      <c r="G170" t="s">
        <v>3083</v>
      </c>
      <c r="H170" t="s">
        <v>5781</v>
      </c>
      <c r="I170" t="s">
        <v>5368</v>
      </c>
      <c r="J170">
        <v>0</v>
      </c>
      <c r="L170" t="s">
        <v>3086</v>
      </c>
      <c r="M170" t="s">
        <v>3087</v>
      </c>
      <c r="N170" t="s">
        <v>89</v>
      </c>
      <c r="O170" t="s">
        <v>3088</v>
      </c>
      <c r="P170">
        <v>0</v>
      </c>
      <c r="Q170" t="s">
        <v>3075</v>
      </c>
      <c r="R170">
        <v>0</v>
      </c>
      <c r="S170">
        <v>0</v>
      </c>
      <c r="T170" t="s">
        <v>5369</v>
      </c>
      <c r="U170" t="s">
        <v>5782</v>
      </c>
      <c r="V170" s="17">
        <v>0</v>
      </c>
      <c r="W170" s="17">
        <v>44840</v>
      </c>
      <c r="X170" s="17">
        <v>45297</v>
      </c>
      <c r="Y170">
        <v>-865</v>
      </c>
      <c r="Z170">
        <v>0</v>
      </c>
      <c r="AA170">
        <v>15.233333333333333</v>
      </c>
      <c r="AB170">
        <v>1567.5666666666666</v>
      </c>
      <c r="AC170" s="17">
        <v>45036</v>
      </c>
      <c r="AE170">
        <v>0</v>
      </c>
      <c r="AF170">
        <v>953580</v>
      </c>
      <c r="AG170">
        <v>62598.249499999998</v>
      </c>
      <c r="AH170">
        <v>640859.99</v>
      </c>
      <c r="AI170">
        <v>-312720.01</v>
      </c>
      <c r="AJ170">
        <v>0</v>
      </c>
      <c r="AW170">
        <v>145380</v>
      </c>
      <c r="BG170">
        <v>18236</v>
      </c>
      <c r="BH170">
        <v>63572</v>
      </c>
      <c r="BI170">
        <v>63572</v>
      </c>
      <c r="BJ170">
        <v>495479.99</v>
      </c>
      <c r="BK170">
        <v>57428.45</v>
      </c>
      <c r="BL170">
        <v>67336.63</v>
      </c>
      <c r="BM170">
        <v>64611.7</v>
      </c>
      <c r="BN170">
        <v>63572</v>
      </c>
      <c r="BO170">
        <v>63572</v>
      </c>
      <c r="BP170">
        <v>63572</v>
      </c>
      <c r="BQ170">
        <v>59726.67</v>
      </c>
      <c r="BR170">
        <v>55660.54</v>
      </c>
      <c r="BW170">
        <v>0</v>
      </c>
      <c r="CJ170">
        <v>0</v>
      </c>
      <c r="CW170">
        <v>0</v>
      </c>
      <c r="DJ170">
        <v>0</v>
      </c>
      <c r="DW170">
        <v>0</v>
      </c>
      <c r="EJ170">
        <v>0</v>
      </c>
    </row>
    <row r="171" spans="1:140" hidden="1" x14ac:dyDescent="0.35">
      <c r="A171" t="s">
        <v>3067</v>
      </c>
      <c r="B171" t="s">
        <v>249</v>
      </c>
      <c r="D171" t="s">
        <v>5783</v>
      </c>
      <c r="E171" t="s">
        <v>4413</v>
      </c>
      <c r="F171" t="s">
        <v>4414</v>
      </c>
      <c r="G171" t="s">
        <v>4415</v>
      </c>
      <c r="H171" t="s">
        <v>5784</v>
      </c>
      <c r="I171" t="s">
        <v>5368</v>
      </c>
      <c r="J171" t="s">
        <v>3203</v>
      </c>
      <c r="K171" t="s">
        <v>3203</v>
      </c>
      <c r="L171" t="s">
        <v>4410</v>
      </c>
      <c r="M171" t="s">
        <v>3139</v>
      </c>
      <c r="N171" t="s">
        <v>4416</v>
      </c>
      <c r="O171" t="s">
        <v>3088</v>
      </c>
      <c r="P171">
        <v>0</v>
      </c>
      <c r="Q171" t="s">
        <v>3075</v>
      </c>
      <c r="R171">
        <v>0</v>
      </c>
      <c r="S171">
        <v>0</v>
      </c>
      <c r="T171" t="s">
        <v>5369</v>
      </c>
      <c r="U171" t="s">
        <v>5785</v>
      </c>
      <c r="V171" s="17">
        <v>44830</v>
      </c>
      <c r="W171" s="17">
        <v>44860</v>
      </c>
      <c r="X171" s="17">
        <v>44950</v>
      </c>
      <c r="Y171">
        <v>-1212</v>
      </c>
      <c r="Z171">
        <v>0</v>
      </c>
      <c r="AA171">
        <v>3</v>
      </c>
      <c r="AB171">
        <v>1579.1333333333334</v>
      </c>
      <c r="AC171" s="17">
        <v>45170</v>
      </c>
      <c r="AE171">
        <v>0</v>
      </c>
      <c r="AF171">
        <v>12900</v>
      </c>
      <c r="AG171">
        <v>4300</v>
      </c>
      <c r="AH171">
        <v>0</v>
      </c>
      <c r="AI171">
        <v>-12900</v>
      </c>
      <c r="AJ171">
        <v>0</v>
      </c>
      <c r="AW171">
        <v>0</v>
      </c>
      <c r="BJ171">
        <v>0</v>
      </c>
      <c r="BW171">
        <v>0</v>
      </c>
      <c r="CJ171">
        <v>0</v>
      </c>
      <c r="CW171">
        <v>0</v>
      </c>
      <c r="DJ171">
        <v>0</v>
      </c>
      <c r="DW171">
        <v>0</v>
      </c>
      <c r="EJ171">
        <v>0</v>
      </c>
    </row>
    <row r="172" spans="1:140" hidden="1" x14ac:dyDescent="0.35">
      <c r="A172" t="s">
        <v>3067</v>
      </c>
      <c r="B172" t="s">
        <v>249</v>
      </c>
      <c r="D172" t="s">
        <v>5786</v>
      </c>
      <c r="E172" t="s">
        <v>3093</v>
      </c>
      <c r="F172" t="s">
        <v>3094</v>
      </c>
      <c r="G172" t="s">
        <v>3095</v>
      </c>
      <c r="H172" t="s">
        <v>5787</v>
      </c>
      <c r="I172" t="s">
        <v>5368</v>
      </c>
      <c r="J172" t="s">
        <v>3071</v>
      </c>
      <c r="K172" t="s">
        <v>3071</v>
      </c>
      <c r="L172" t="s">
        <v>3086</v>
      </c>
      <c r="M172" t="s">
        <v>3087</v>
      </c>
      <c r="N172" t="s">
        <v>89</v>
      </c>
      <c r="O172" t="s">
        <v>3088</v>
      </c>
      <c r="P172">
        <v>0</v>
      </c>
      <c r="Q172" t="s">
        <v>3075</v>
      </c>
      <c r="R172">
        <v>0</v>
      </c>
      <c r="S172">
        <v>0</v>
      </c>
      <c r="T172" t="s">
        <v>5369</v>
      </c>
      <c r="U172" t="s">
        <v>5788</v>
      </c>
      <c r="V172" s="17">
        <v>44859</v>
      </c>
      <c r="W172" s="17">
        <v>44895</v>
      </c>
      <c r="X172" s="17">
        <v>45075</v>
      </c>
      <c r="Y172">
        <v>-1087</v>
      </c>
      <c r="Z172">
        <v>0</v>
      </c>
      <c r="AA172">
        <v>6</v>
      </c>
      <c r="AB172">
        <v>1574.9666666666667</v>
      </c>
      <c r="AC172" s="17">
        <v>45107</v>
      </c>
      <c r="AE172">
        <v>0</v>
      </c>
      <c r="AF172">
        <v>116000</v>
      </c>
      <c r="AG172">
        <v>19333.333299999998</v>
      </c>
      <c r="AH172">
        <v>260490.6667</v>
      </c>
      <c r="AI172">
        <v>144490.6667</v>
      </c>
      <c r="AJ172">
        <v>0</v>
      </c>
      <c r="AW172">
        <v>43500</v>
      </c>
      <c r="BH172">
        <v>14500</v>
      </c>
      <c r="BI172">
        <v>29000</v>
      </c>
      <c r="BJ172">
        <v>216990.6667</v>
      </c>
      <c r="BK172">
        <v>29000</v>
      </c>
      <c r="BL172">
        <v>29000</v>
      </c>
      <c r="BM172">
        <v>29000</v>
      </c>
      <c r="BN172">
        <v>29000</v>
      </c>
      <c r="BO172">
        <v>30424</v>
      </c>
      <c r="BP172">
        <v>29000</v>
      </c>
      <c r="BQ172">
        <v>20300</v>
      </c>
      <c r="BR172">
        <v>14500</v>
      </c>
      <c r="BS172">
        <v>6766.6666999999998</v>
      </c>
      <c r="BW172">
        <v>0</v>
      </c>
      <c r="CJ172">
        <v>0</v>
      </c>
      <c r="CW172">
        <v>0</v>
      </c>
      <c r="DJ172">
        <v>0</v>
      </c>
      <c r="DW172">
        <v>0</v>
      </c>
      <c r="EJ172">
        <v>0</v>
      </c>
    </row>
    <row r="173" spans="1:140" hidden="1" x14ac:dyDescent="0.35">
      <c r="A173" t="s">
        <v>3067</v>
      </c>
      <c r="B173" t="s">
        <v>249</v>
      </c>
      <c r="D173" t="s">
        <v>5789</v>
      </c>
      <c r="E173" t="s">
        <v>3118</v>
      </c>
      <c r="F173" t="s">
        <v>3119</v>
      </c>
      <c r="G173" t="s">
        <v>3120</v>
      </c>
      <c r="H173" t="s">
        <v>5790</v>
      </c>
      <c r="I173" t="s">
        <v>5368</v>
      </c>
      <c r="J173" t="s">
        <v>3071</v>
      </c>
      <c r="K173" t="s">
        <v>3071</v>
      </c>
      <c r="L173" t="s">
        <v>3121</v>
      </c>
      <c r="M173" t="s">
        <v>3087</v>
      </c>
      <c r="N173" t="s">
        <v>89</v>
      </c>
      <c r="O173" t="s">
        <v>3088</v>
      </c>
      <c r="P173">
        <v>0</v>
      </c>
      <c r="Q173" t="s">
        <v>3075</v>
      </c>
      <c r="R173">
        <v>0</v>
      </c>
      <c r="S173">
        <v>0</v>
      </c>
      <c r="T173" t="s">
        <v>5485</v>
      </c>
      <c r="U173" t="s">
        <v>5791</v>
      </c>
      <c r="V173" s="17">
        <v>44895</v>
      </c>
      <c r="W173" s="17">
        <v>44908</v>
      </c>
      <c r="X173" s="17">
        <v>45182</v>
      </c>
      <c r="Y173">
        <v>-980</v>
      </c>
      <c r="Z173">
        <v>0</v>
      </c>
      <c r="AA173">
        <v>9.1333333333333329</v>
      </c>
      <c r="AB173">
        <v>1571.4</v>
      </c>
      <c r="AC173" s="17">
        <v>45047</v>
      </c>
      <c r="AE173">
        <v>0</v>
      </c>
      <c r="AF173">
        <v>839773.9</v>
      </c>
      <c r="AG173">
        <v>91946.047399999996</v>
      </c>
      <c r="AH173">
        <v>542799.85</v>
      </c>
      <c r="AI173">
        <v>-296974.05</v>
      </c>
      <c r="AJ173">
        <v>0</v>
      </c>
      <c r="AW173">
        <v>73188.100000000006</v>
      </c>
      <c r="BI173">
        <v>73188.100000000006</v>
      </c>
      <c r="BJ173">
        <v>469611.75</v>
      </c>
      <c r="BK173">
        <v>65882.69</v>
      </c>
      <c r="BL173">
        <v>83977.38</v>
      </c>
      <c r="BM173">
        <v>64644.07</v>
      </c>
      <c r="BN173">
        <v>78752.320000000007</v>
      </c>
      <c r="BO173">
        <v>83977.39</v>
      </c>
      <c r="BP173">
        <v>92377.9</v>
      </c>
      <c r="BW173">
        <v>0</v>
      </c>
      <c r="CJ173">
        <v>0</v>
      </c>
      <c r="CW173">
        <v>0</v>
      </c>
      <c r="DJ173">
        <v>0</v>
      </c>
      <c r="DW173">
        <v>0</v>
      </c>
      <c r="EJ173">
        <v>0</v>
      </c>
    </row>
    <row r="174" spans="1:140" hidden="1" x14ac:dyDescent="0.35">
      <c r="A174" t="s">
        <v>3067</v>
      </c>
      <c r="B174" t="s">
        <v>249</v>
      </c>
      <c r="D174" t="s">
        <v>5792</v>
      </c>
      <c r="E174" t="s">
        <v>3184</v>
      </c>
      <c r="F174" t="s">
        <v>3185</v>
      </c>
      <c r="G174" t="s">
        <v>3184</v>
      </c>
      <c r="H174" t="s">
        <v>5793</v>
      </c>
      <c r="I174" t="s">
        <v>5368</v>
      </c>
      <c r="J174" t="s">
        <v>249</v>
      </c>
      <c r="K174" t="s">
        <v>249</v>
      </c>
      <c r="L174" t="s">
        <v>249</v>
      </c>
      <c r="M174" t="s">
        <v>249</v>
      </c>
      <c r="N174" t="s">
        <v>249</v>
      </c>
      <c r="O174" t="s">
        <v>249</v>
      </c>
      <c r="P174" t="s">
        <v>249</v>
      </c>
      <c r="Q174" t="s">
        <v>249</v>
      </c>
      <c r="R174" t="s">
        <v>249</v>
      </c>
      <c r="S174" t="s">
        <v>249</v>
      </c>
      <c r="T174" t="s">
        <v>249</v>
      </c>
      <c r="U174" t="s">
        <v>249</v>
      </c>
      <c r="V174" s="17"/>
      <c r="W174" s="17">
        <v>44928</v>
      </c>
      <c r="X174" s="17">
        <v>45048</v>
      </c>
      <c r="Y174">
        <v>-1114</v>
      </c>
      <c r="AA174">
        <v>4</v>
      </c>
      <c r="AB174">
        <v>1575.8666666666666</v>
      </c>
      <c r="AC174" s="17"/>
      <c r="AH174">
        <v>8880</v>
      </c>
      <c r="AJ174">
        <v>0</v>
      </c>
      <c r="AW174">
        <v>1480</v>
      </c>
      <c r="BI174">
        <v>1480</v>
      </c>
      <c r="BJ174">
        <v>7400</v>
      </c>
      <c r="BK174">
        <v>1480</v>
      </c>
      <c r="BL174">
        <v>1480</v>
      </c>
      <c r="BM174">
        <v>1480</v>
      </c>
      <c r="BN174">
        <v>1480</v>
      </c>
      <c r="BO174">
        <v>1480</v>
      </c>
      <c r="BW174">
        <v>0</v>
      </c>
      <c r="CJ174">
        <v>0</v>
      </c>
      <c r="CW174">
        <v>0</v>
      </c>
      <c r="DJ174">
        <v>0</v>
      </c>
      <c r="DW174">
        <v>0</v>
      </c>
      <c r="EJ174">
        <v>0</v>
      </c>
    </row>
    <row r="175" spans="1:140" hidden="1" x14ac:dyDescent="0.35">
      <c r="A175" t="s">
        <v>3067</v>
      </c>
      <c r="B175" t="s">
        <v>249</v>
      </c>
      <c r="D175" t="s">
        <v>5794</v>
      </c>
      <c r="E175" t="s">
        <v>4407</v>
      </c>
      <c r="F175" t="s">
        <v>4408</v>
      </c>
      <c r="G175" t="s">
        <v>4409</v>
      </c>
      <c r="H175" t="s">
        <v>5795</v>
      </c>
      <c r="I175" t="s">
        <v>5368</v>
      </c>
      <c r="J175" t="s">
        <v>3203</v>
      </c>
      <c r="K175" t="s">
        <v>3203</v>
      </c>
      <c r="L175" t="s">
        <v>4410</v>
      </c>
      <c r="M175" t="s">
        <v>3139</v>
      </c>
      <c r="N175" t="s">
        <v>89</v>
      </c>
      <c r="O175" t="s">
        <v>3088</v>
      </c>
      <c r="P175">
        <v>0</v>
      </c>
      <c r="Q175" t="s">
        <v>3075</v>
      </c>
      <c r="R175">
        <v>0</v>
      </c>
      <c r="S175">
        <v>0</v>
      </c>
      <c r="T175" t="s">
        <v>5369</v>
      </c>
      <c r="U175" t="s">
        <v>5796</v>
      </c>
      <c r="V175" s="17">
        <v>44824</v>
      </c>
      <c r="W175" s="17">
        <v>44974</v>
      </c>
      <c r="X175" s="17">
        <v>45339</v>
      </c>
      <c r="Y175">
        <v>-823</v>
      </c>
      <c r="Z175">
        <v>0</v>
      </c>
      <c r="AA175">
        <v>12.166666666666666</v>
      </c>
      <c r="AB175">
        <v>1566.1666666666667</v>
      </c>
      <c r="AC175" s="17">
        <v>45047</v>
      </c>
      <c r="AE175">
        <v>0</v>
      </c>
      <c r="AF175">
        <v>42893.8</v>
      </c>
      <c r="AG175">
        <v>3525.5178000000001</v>
      </c>
      <c r="AH175">
        <v>19302.21</v>
      </c>
      <c r="AI175">
        <v>-23591.59</v>
      </c>
      <c r="AJ175">
        <v>0</v>
      </c>
      <c r="AW175">
        <v>0</v>
      </c>
      <c r="BJ175">
        <v>19302.21</v>
      </c>
      <c r="BO175">
        <v>19302.21</v>
      </c>
      <c r="BW175">
        <v>0</v>
      </c>
      <c r="CJ175">
        <v>0</v>
      </c>
      <c r="CW175">
        <v>0</v>
      </c>
      <c r="DJ175">
        <v>0</v>
      </c>
      <c r="DW175">
        <v>0</v>
      </c>
      <c r="EJ175">
        <v>0</v>
      </c>
    </row>
    <row r="176" spans="1:140" hidden="1" x14ac:dyDescent="0.35">
      <c r="A176" t="s">
        <v>3067</v>
      </c>
      <c r="B176" t="s">
        <v>249</v>
      </c>
      <c r="D176" t="s">
        <v>5797</v>
      </c>
      <c r="E176" t="s">
        <v>3064</v>
      </c>
      <c r="F176" t="s">
        <v>3065</v>
      </c>
      <c r="G176" t="s">
        <v>3066</v>
      </c>
      <c r="H176" t="s">
        <v>5798</v>
      </c>
      <c r="I176" t="s">
        <v>5368</v>
      </c>
      <c r="J176" t="s">
        <v>3071</v>
      </c>
      <c r="K176" t="s">
        <v>3071</v>
      </c>
      <c r="L176" t="s">
        <v>3068</v>
      </c>
      <c r="M176" t="s">
        <v>3069</v>
      </c>
      <c r="N176" t="s">
        <v>132</v>
      </c>
      <c r="O176" t="s">
        <v>3070</v>
      </c>
      <c r="P176">
        <v>0</v>
      </c>
      <c r="Q176" t="s">
        <v>3075</v>
      </c>
      <c r="R176">
        <v>0</v>
      </c>
      <c r="S176">
        <v>0</v>
      </c>
      <c r="T176" t="s">
        <v>5369</v>
      </c>
      <c r="U176" t="s">
        <v>5799</v>
      </c>
      <c r="V176" s="17">
        <v>44956</v>
      </c>
      <c r="W176" s="17">
        <v>44987</v>
      </c>
      <c r="X176" s="17">
        <v>45232</v>
      </c>
      <c r="Y176">
        <v>-930</v>
      </c>
      <c r="Z176">
        <v>8</v>
      </c>
      <c r="AA176">
        <v>8.1666666666666661</v>
      </c>
      <c r="AB176">
        <v>1569.7333333333333</v>
      </c>
      <c r="AC176" s="17">
        <v>45146</v>
      </c>
      <c r="AE176">
        <v>0</v>
      </c>
      <c r="AF176">
        <v>203600</v>
      </c>
      <c r="AG176">
        <v>24930.6122</v>
      </c>
      <c r="AH176">
        <v>78895</v>
      </c>
      <c r="AI176">
        <v>-124705</v>
      </c>
      <c r="AJ176">
        <v>0</v>
      </c>
      <c r="AW176">
        <v>0</v>
      </c>
      <c r="BJ176">
        <v>78895</v>
      </c>
      <c r="BL176">
        <v>13573.33</v>
      </c>
      <c r="BM176">
        <v>25450</v>
      </c>
      <c r="BN176">
        <v>25450</v>
      </c>
      <c r="BO176">
        <v>14421.67</v>
      </c>
      <c r="BW176">
        <v>0</v>
      </c>
      <c r="CJ176">
        <v>0</v>
      </c>
      <c r="CW176">
        <v>0</v>
      </c>
      <c r="DJ176">
        <v>0</v>
      </c>
      <c r="DW176">
        <v>0</v>
      </c>
      <c r="EJ176">
        <v>0</v>
      </c>
    </row>
    <row r="177" spans="1:140" hidden="1" x14ac:dyDescent="0.35">
      <c r="A177" t="s">
        <v>3067</v>
      </c>
      <c r="B177" t="s">
        <v>249</v>
      </c>
      <c r="D177" t="s">
        <v>5800</v>
      </c>
      <c r="E177" t="s">
        <v>4392</v>
      </c>
      <c r="F177" t="s">
        <v>4392</v>
      </c>
      <c r="G177" t="s">
        <v>4393</v>
      </c>
      <c r="H177" t="s">
        <v>5801</v>
      </c>
      <c r="I177" t="s">
        <v>5368</v>
      </c>
      <c r="J177" t="s">
        <v>3203</v>
      </c>
      <c r="K177" t="s">
        <v>3203</v>
      </c>
      <c r="L177" t="s">
        <v>4396</v>
      </c>
      <c r="M177" t="s">
        <v>3139</v>
      </c>
      <c r="N177" t="s">
        <v>4397</v>
      </c>
      <c r="O177" t="s">
        <v>3088</v>
      </c>
      <c r="P177">
        <v>0</v>
      </c>
      <c r="Q177" t="s">
        <v>3075</v>
      </c>
      <c r="R177">
        <v>0</v>
      </c>
      <c r="S177">
        <v>0</v>
      </c>
      <c r="T177" t="s">
        <v>5369</v>
      </c>
      <c r="U177" t="s">
        <v>5802</v>
      </c>
      <c r="V177" s="17">
        <v>44995</v>
      </c>
      <c r="W177" s="17">
        <v>45001</v>
      </c>
      <c r="X177" s="17">
        <v>45093</v>
      </c>
      <c r="Y177">
        <v>-1069</v>
      </c>
      <c r="Z177">
        <v>1</v>
      </c>
      <c r="AA177">
        <v>3.0666666666666669</v>
      </c>
      <c r="AB177">
        <v>1574.3666666666666</v>
      </c>
      <c r="AC177" s="17">
        <v>45078</v>
      </c>
      <c r="AE177">
        <v>0</v>
      </c>
      <c r="AF177">
        <v>25990</v>
      </c>
      <c r="AG177">
        <v>8475</v>
      </c>
      <c r="AH177">
        <v>6483.93</v>
      </c>
      <c r="AI177">
        <v>-19506.07</v>
      </c>
      <c r="AJ177">
        <v>0</v>
      </c>
      <c r="AW177">
        <v>0</v>
      </c>
      <c r="BJ177">
        <v>6483.93</v>
      </c>
      <c r="BR177">
        <v>6483.93</v>
      </c>
      <c r="BW177">
        <v>0</v>
      </c>
      <c r="CJ177">
        <v>0</v>
      </c>
      <c r="CW177">
        <v>0</v>
      </c>
      <c r="DJ177">
        <v>0</v>
      </c>
      <c r="DW177">
        <v>0</v>
      </c>
      <c r="EJ177">
        <v>0</v>
      </c>
    </row>
    <row r="178" spans="1:140" hidden="1" x14ac:dyDescent="0.35">
      <c r="A178" t="s">
        <v>3067</v>
      </c>
      <c r="B178" t="s">
        <v>249</v>
      </c>
      <c r="D178" t="s">
        <v>5803</v>
      </c>
      <c r="E178" t="s">
        <v>3165</v>
      </c>
      <c r="F178" t="s">
        <v>3166</v>
      </c>
      <c r="G178" t="s">
        <v>3167</v>
      </c>
      <c r="H178" t="s">
        <v>5804</v>
      </c>
      <c r="I178" t="s">
        <v>5368</v>
      </c>
      <c r="J178" t="s">
        <v>3071</v>
      </c>
      <c r="K178" t="s">
        <v>3071</v>
      </c>
      <c r="L178" t="s">
        <v>3168</v>
      </c>
      <c r="M178" t="s">
        <v>3139</v>
      </c>
      <c r="N178" t="s">
        <v>3169</v>
      </c>
      <c r="O178" t="s">
        <v>3155</v>
      </c>
      <c r="P178">
        <v>0</v>
      </c>
      <c r="Q178" t="s">
        <v>3075</v>
      </c>
      <c r="R178">
        <v>0</v>
      </c>
      <c r="S178">
        <v>0</v>
      </c>
      <c r="T178" t="s">
        <v>5369</v>
      </c>
      <c r="U178" t="s">
        <v>5805</v>
      </c>
      <c r="V178" s="17">
        <v>44994</v>
      </c>
      <c r="W178" s="17">
        <v>45007</v>
      </c>
      <c r="X178" s="17">
        <v>45096</v>
      </c>
      <c r="Y178">
        <v>-1066</v>
      </c>
      <c r="Z178">
        <v>5</v>
      </c>
      <c r="AA178">
        <v>2.9666666666666668</v>
      </c>
      <c r="AB178">
        <v>1574.2666666666667</v>
      </c>
      <c r="AC178" s="17">
        <v>45078</v>
      </c>
      <c r="AE178">
        <v>23900</v>
      </c>
      <c r="AF178">
        <v>119500</v>
      </c>
      <c r="AG178">
        <v>40280.8989</v>
      </c>
      <c r="AH178">
        <v>23103.33</v>
      </c>
      <c r="AI178">
        <v>-96396.67</v>
      </c>
      <c r="AJ178">
        <v>0</v>
      </c>
      <c r="AW178">
        <v>0</v>
      </c>
      <c r="BJ178">
        <v>23103.33</v>
      </c>
      <c r="BN178">
        <v>11950</v>
      </c>
      <c r="BO178">
        <v>11153.33</v>
      </c>
      <c r="BW178">
        <v>0</v>
      </c>
      <c r="CJ178">
        <v>0</v>
      </c>
      <c r="CW178">
        <v>0</v>
      </c>
      <c r="DJ178">
        <v>0</v>
      </c>
      <c r="DW178">
        <v>0</v>
      </c>
      <c r="EJ178">
        <v>0</v>
      </c>
    </row>
    <row r="179" spans="1:140" hidden="1" x14ac:dyDescent="0.35">
      <c r="A179" t="s">
        <v>3067</v>
      </c>
      <c r="B179" t="s">
        <v>249</v>
      </c>
      <c r="D179" t="s">
        <v>5806</v>
      </c>
      <c r="E179" t="s">
        <v>4429</v>
      </c>
      <c r="F179" t="s">
        <v>4430</v>
      </c>
      <c r="G179" t="s">
        <v>4429</v>
      </c>
      <c r="H179" t="s">
        <v>5807</v>
      </c>
      <c r="I179" t="s">
        <v>5368</v>
      </c>
      <c r="J179" t="s">
        <v>249</v>
      </c>
      <c r="K179" t="s">
        <v>249</v>
      </c>
      <c r="L179" t="s">
        <v>249</v>
      </c>
      <c r="M179" t="s">
        <v>249</v>
      </c>
      <c r="N179" t="s">
        <v>249</v>
      </c>
      <c r="O179" t="s">
        <v>249</v>
      </c>
      <c r="P179" t="s">
        <v>249</v>
      </c>
      <c r="Q179" t="s">
        <v>249</v>
      </c>
      <c r="R179" t="s">
        <v>249</v>
      </c>
      <c r="S179" t="s">
        <v>249</v>
      </c>
      <c r="T179" t="s">
        <v>249</v>
      </c>
      <c r="U179" t="s">
        <v>249</v>
      </c>
      <c r="V179" s="17"/>
      <c r="W179" s="17">
        <v>45031</v>
      </c>
      <c r="X179" s="17">
        <v>45031</v>
      </c>
      <c r="Y179">
        <v>-1131</v>
      </c>
      <c r="AA179">
        <v>0</v>
      </c>
      <c r="AB179">
        <v>1576.4333333333334</v>
      </c>
      <c r="AC179" s="17">
        <v>45199</v>
      </c>
      <c r="AH179">
        <v>11460</v>
      </c>
      <c r="AJ179">
        <v>0</v>
      </c>
      <c r="AW179">
        <v>0</v>
      </c>
      <c r="BJ179">
        <v>11460</v>
      </c>
      <c r="BN179">
        <v>11460</v>
      </c>
      <c r="BW179">
        <v>0</v>
      </c>
      <c r="CJ179">
        <v>0</v>
      </c>
      <c r="CW179">
        <v>0</v>
      </c>
      <c r="DJ179">
        <v>0</v>
      </c>
      <c r="DW179">
        <v>0</v>
      </c>
      <c r="EJ179">
        <v>0</v>
      </c>
    </row>
    <row r="180" spans="1:140" hidden="1" x14ac:dyDescent="0.35">
      <c r="A180" t="s">
        <v>3067</v>
      </c>
      <c r="B180" t="s">
        <v>249</v>
      </c>
      <c r="D180" t="s">
        <v>5808</v>
      </c>
      <c r="E180" t="s">
        <v>3157</v>
      </c>
      <c r="F180" t="s">
        <v>3158</v>
      </c>
      <c r="G180" t="s">
        <v>3159</v>
      </c>
      <c r="H180" t="s">
        <v>5809</v>
      </c>
      <c r="I180" t="s">
        <v>5368</v>
      </c>
      <c r="J180" t="s">
        <v>3071</v>
      </c>
      <c r="K180" t="s">
        <v>3071</v>
      </c>
      <c r="L180" t="s">
        <v>212</v>
      </c>
      <c r="M180" t="s">
        <v>3087</v>
      </c>
      <c r="N180" t="s">
        <v>89</v>
      </c>
      <c r="O180" t="s">
        <v>3088</v>
      </c>
      <c r="P180">
        <v>0</v>
      </c>
      <c r="Q180" t="s">
        <v>3075</v>
      </c>
      <c r="R180">
        <v>0</v>
      </c>
      <c r="S180">
        <v>0</v>
      </c>
      <c r="T180" t="s">
        <v>5485</v>
      </c>
      <c r="U180" t="s">
        <v>5810</v>
      </c>
      <c r="V180" s="17">
        <v>45033</v>
      </c>
      <c r="W180" s="17">
        <v>45044</v>
      </c>
      <c r="X180" s="17">
        <v>45350</v>
      </c>
      <c r="Y180">
        <v>-812</v>
      </c>
      <c r="Z180">
        <v>10</v>
      </c>
      <c r="AA180">
        <v>10.199999999999999</v>
      </c>
      <c r="AB180">
        <v>1565.8</v>
      </c>
      <c r="AC180" s="17">
        <v>45100</v>
      </c>
      <c r="AE180">
        <v>29900</v>
      </c>
      <c r="AF180">
        <v>299000</v>
      </c>
      <c r="AG180">
        <v>29313.7255</v>
      </c>
      <c r="AH180">
        <v>289033.33</v>
      </c>
      <c r="AI180">
        <v>-9966.67</v>
      </c>
      <c r="AJ180">
        <v>0</v>
      </c>
      <c r="AW180">
        <v>0</v>
      </c>
      <c r="BJ180">
        <v>229233.33</v>
      </c>
      <c r="BO180">
        <v>19933.330000000002</v>
      </c>
      <c r="BP180">
        <v>29900</v>
      </c>
      <c r="BQ180">
        <v>29900</v>
      </c>
      <c r="BR180">
        <v>29900</v>
      </c>
      <c r="BS180">
        <v>29900</v>
      </c>
      <c r="BT180">
        <v>29900</v>
      </c>
      <c r="BU180">
        <v>29900</v>
      </c>
      <c r="BV180">
        <v>29900</v>
      </c>
      <c r="BW180">
        <v>59800</v>
      </c>
      <c r="BX180">
        <v>29900</v>
      </c>
      <c r="BY180">
        <v>29900</v>
      </c>
      <c r="CJ180">
        <v>0</v>
      </c>
      <c r="CW180">
        <v>0</v>
      </c>
      <c r="DJ180">
        <v>0</v>
      </c>
      <c r="DW180">
        <v>0</v>
      </c>
      <c r="EJ180">
        <v>0</v>
      </c>
    </row>
    <row r="181" spans="1:140" hidden="1" x14ac:dyDescent="0.35">
      <c r="A181" t="s">
        <v>3067</v>
      </c>
      <c r="B181" t="s">
        <v>249</v>
      </c>
      <c r="D181" t="s">
        <v>5811</v>
      </c>
      <c r="E181" t="s">
        <v>3076</v>
      </c>
      <c r="F181" t="s">
        <v>3077</v>
      </c>
      <c r="G181" t="s">
        <v>3078</v>
      </c>
      <c r="H181" t="s">
        <v>5812</v>
      </c>
      <c r="I181" t="s">
        <v>5368</v>
      </c>
      <c r="J181" t="s">
        <v>3079</v>
      </c>
      <c r="K181" t="s">
        <v>3079</v>
      </c>
      <c r="L181" t="s">
        <v>3068</v>
      </c>
      <c r="M181" t="s">
        <v>3069</v>
      </c>
      <c r="N181" t="s">
        <v>1082</v>
      </c>
      <c r="O181" t="s">
        <v>3070</v>
      </c>
      <c r="P181">
        <v>0</v>
      </c>
      <c r="Q181" t="s">
        <v>3075</v>
      </c>
      <c r="R181">
        <v>0</v>
      </c>
      <c r="S181">
        <v>0</v>
      </c>
      <c r="T181" t="s">
        <v>5369</v>
      </c>
      <c r="U181" t="s">
        <v>5813</v>
      </c>
      <c r="V181" s="17">
        <v>45089</v>
      </c>
      <c r="W181" s="17">
        <v>45089</v>
      </c>
      <c r="X181" s="17">
        <v>45334</v>
      </c>
      <c r="Y181">
        <v>-828</v>
      </c>
      <c r="Z181">
        <v>8</v>
      </c>
      <c r="AA181">
        <v>8.1666666666666661</v>
      </c>
      <c r="AB181">
        <v>1566.3333333333333</v>
      </c>
      <c r="AC181" s="17">
        <v>45260</v>
      </c>
      <c r="AE181">
        <v>29900</v>
      </c>
      <c r="AF181">
        <v>239200</v>
      </c>
      <c r="AG181">
        <v>29289.795900000001</v>
      </c>
      <c r="AH181">
        <v>0</v>
      </c>
      <c r="AI181">
        <v>-239200</v>
      </c>
      <c r="AJ181">
        <v>0</v>
      </c>
      <c r="AW181">
        <v>0</v>
      </c>
      <c r="BJ181">
        <v>0</v>
      </c>
      <c r="BW181">
        <v>0</v>
      </c>
      <c r="CJ181">
        <v>0</v>
      </c>
      <c r="CW181">
        <v>0</v>
      </c>
      <c r="DJ181">
        <v>0</v>
      </c>
      <c r="DW181">
        <v>0</v>
      </c>
      <c r="EJ181">
        <v>0</v>
      </c>
    </row>
    <row r="182" spans="1:140" hidden="1" x14ac:dyDescent="0.35">
      <c r="A182" t="s">
        <v>3067</v>
      </c>
      <c r="B182" t="s">
        <v>249</v>
      </c>
      <c r="D182" t="s">
        <v>5814</v>
      </c>
      <c r="E182" t="s">
        <v>3187</v>
      </c>
      <c r="F182" t="s">
        <v>3188</v>
      </c>
      <c r="G182" t="s">
        <v>3189</v>
      </c>
      <c r="H182" t="s">
        <v>5815</v>
      </c>
      <c r="I182" t="s">
        <v>5368</v>
      </c>
      <c r="J182" t="s">
        <v>3071</v>
      </c>
      <c r="K182" t="s">
        <v>3071</v>
      </c>
      <c r="L182" t="s">
        <v>196</v>
      </c>
      <c r="M182" t="s">
        <v>3180</v>
      </c>
      <c r="N182" t="s">
        <v>89</v>
      </c>
      <c r="O182" t="s">
        <v>3088</v>
      </c>
      <c r="P182">
        <v>0</v>
      </c>
      <c r="Q182" t="s">
        <v>3075</v>
      </c>
      <c r="R182">
        <v>0</v>
      </c>
      <c r="S182">
        <v>0</v>
      </c>
      <c r="T182" t="s">
        <v>5485</v>
      </c>
      <c r="U182" t="s">
        <v>5816</v>
      </c>
      <c r="V182" s="17">
        <v>45102</v>
      </c>
      <c r="W182" s="17">
        <v>45103</v>
      </c>
      <c r="X182" s="17">
        <v>45286</v>
      </c>
      <c r="Y182">
        <v>-876</v>
      </c>
      <c r="Z182">
        <v>6</v>
      </c>
      <c r="AA182">
        <v>6.1</v>
      </c>
      <c r="AB182">
        <v>1567.9333333333334</v>
      </c>
      <c r="AC182" s="17">
        <v>45170</v>
      </c>
      <c r="AE182">
        <v>20023</v>
      </c>
      <c r="AF182">
        <v>60253.94</v>
      </c>
      <c r="AG182">
        <v>9877.6951000000008</v>
      </c>
      <c r="AH182">
        <v>120135.72</v>
      </c>
      <c r="AI182">
        <v>59881.78</v>
      </c>
      <c r="AJ182">
        <v>0</v>
      </c>
      <c r="AW182">
        <v>0</v>
      </c>
      <c r="BJ182">
        <v>120135.72</v>
      </c>
      <c r="BQ182">
        <v>20022.62</v>
      </c>
      <c r="BR182">
        <v>20022.62</v>
      </c>
      <c r="BS182">
        <v>20022.62</v>
      </c>
      <c r="BT182">
        <v>20022.62</v>
      </c>
      <c r="BU182">
        <v>20022.62</v>
      </c>
      <c r="BV182">
        <v>20022.62</v>
      </c>
      <c r="BW182">
        <v>0</v>
      </c>
      <c r="CJ182">
        <v>0</v>
      </c>
      <c r="CW182">
        <v>0</v>
      </c>
      <c r="DJ182">
        <v>0</v>
      </c>
      <c r="DW182">
        <v>0</v>
      </c>
      <c r="EJ182">
        <v>0</v>
      </c>
    </row>
    <row r="183" spans="1:140" hidden="1" x14ac:dyDescent="0.35">
      <c r="A183" t="s">
        <v>3067</v>
      </c>
      <c r="B183" t="s">
        <v>249</v>
      </c>
      <c r="D183" t="s">
        <v>5817</v>
      </c>
      <c r="E183" t="s">
        <v>3080</v>
      </c>
      <c r="F183" t="s">
        <v>3081</v>
      </c>
      <c r="G183" t="s">
        <v>3080</v>
      </c>
      <c r="H183" t="s">
        <v>5818</v>
      </c>
      <c r="I183" t="s">
        <v>5368</v>
      </c>
      <c r="J183" t="s">
        <v>249</v>
      </c>
      <c r="K183" t="s">
        <v>249</v>
      </c>
      <c r="L183" t="s">
        <v>249</v>
      </c>
      <c r="M183" t="s">
        <v>249</v>
      </c>
      <c r="N183" t="s">
        <v>249</v>
      </c>
      <c r="O183" t="s">
        <v>249</v>
      </c>
      <c r="P183" t="s">
        <v>249</v>
      </c>
      <c r="Q183" t="s">
        <v>249</v>
      </c>
      <c r="R183" t="s">
        <v>249</v>
      </c>
      <c r="S183" t="s">
        <v>249</v>
      </c>
      <c r="T183" t="s">
        <v>249</v>
      </c>
      <c r="U183" t="s">
        <v>249</v>
      </c>
      <c r="V183" s="17"/>
      <c r="W183" s="17">
        <v>45169</v>
      </c>
      <c r="X183" s="17">
        <v>45260</v>
      </c>
      <c r="Y183">
        <v>-902</v>
      </c>
      <c r="AA183">
        <v>3.0333333333333332</v>
      </c>
      <c r="AB183">
        <v>1568.8</v>
      </c>
      <c r="AC183" s="17">
        <v>45469</v>
      </c>
      <c r="AH183">
        <v>0</v>
      </c>
      <c r="AJ183">
        <v>0</v>
      </c>
      <c r="AW183">
        <v>0</v>
      </c>
      <c r="BJ183">
        <v>0</v>
      </c>
      <c r="BW183">
        <v>0</v>
      </c>
      <c r="CJ183">
        <v>0</v>
      </c>
      <c r="CW183">
        <v>0</v>
      </c>
      <c r="DJ183">
        <v>0</v>
      </c>
      <c r="DW183">
        <v>0</v>
      </c>
      <c r="EJ183">
        <v>0</v>
      </c>
    </row>
    <row r="184" spans="1:140" hidden="1" x14ac:dyDescent="0.35">
      <c r="A184" t="s">
        <v>3067</v>
      </c>
      <c r="B184" t="s">
        <v>249</v>
      </c>
      <c r="D184" t="s">
        <v>5819</v>
      </c>
      <c r="E184" t="s">
        <v>4400</v>
      </c>
      <c r="F184" t="s">
        <v>4401</v>
      </c>
      <c r="G184" t="s">
        <v>4402</v>
      </c>
      <c r="H184" t="s">
        <v>5820</v>
      </c>
      <c r="I184" t="s">
        <v>5368</v>
      </c>
      <c r="J184" t="s">
        <v>3203</v>
      </c>
      <c r="K184" t="s">
        <v>3203</v>
      </c>
      <c r="L184" t="s">
        <v>4403</v>
      </c>
      <c r="M184" t="s">
        <v>3153</v>
      </c>
      <c r="N184" t="s">
        <v>4404</v>
      </c>
      <c r="O184" t="s">
        <v>3249</v>
      </c>
      <c r="P184">
        <v>0</v>
      </c>
      <c r="Q184" t="s">
        <v>3075</v>
      </c>
      <c r="R184" t="s">
        <v>4394</v>
      </c>
      <c r="S184" t="s">
        <v>5452</v>
      </c>
      <c r="T184">
        <v>0</v>
      </c>
      <c r="U184" t="s">
        <v>5821</v>
      </c>
      <c r="V184" s="17">
        <v>45314</v>
      </c>
      <c r="W184" s="17"/>
      <c r="X184" s="17"/>
      <c r="Y184">
        <v>-46162</v>
      </c>
      <c r="Z184">
        <v>2</v>
      </c>
      <c r="AA184">
        <v>0</v>
      </c>
      <c r="AB184">
        <v>3077.4666666666667</v>
      </c>
      <c r="AC184" s="17">
        <v>45444</v>
      </c>
      <c r="AE184">
        <v>63292.375</v>
      </c>
      <c r="AF184">
        <v>126584.75</v>
      </c>
      <c r="AH184">
        <v>126584.75</v>
      </c>
      <c r="AI184">
        <v>0</v>
      </c>
      <c r="AJ184">
        <v>0</v>
      </c>
      <c r="AW184">
        <v>0</v>
      </c>
      <c r="BJ184">
        <v>0</v>
      </c>
      <c r="BW184">
        <v>126584.75</v>
      </c>
      <c r="BZ184">
        <v>82398.75</v>
      </c>
      <c r="CA184">
        <v>44186</v>
      </c>
      <c r="CJ184">
        <v>0</v>
      </c>
      <c r="CW184">
        <v>0</v>
      </c>
      <c r="DJ184">
        <v>0</v>
      </c>
      <c r="DW184">
        <v>0</v>
      </c>
      <c r="EJ184">
        <v>0</v>
      </c>
    </row>
    <row r="185" spans="1:140" hidden="1" x14ac:dyDescent="0.35">
      <c r="A185" t="s">
        <v>3067</v>
      </c>
      <c r="B185" t="s">
        <v>249</v>
      </c>
      <c r="D185" t="s">
        <v>5822</v>
      </c>
      <c r="E185" t="s">
        <v>991</v>
      </c>
      <c r="F185" t="s">
        <v>3098</v>
      </c>
      <c r="G185" t="s">
        <v>3099</v>
      </c>
      <c r="H185" t="s">
        <v>5823</v>
      </c>
      <c r="I185" t="s">
        <v>5368</v>
      </c>
      <c r="J185" t="s">
        <v>3079</v>
      </c>
      <c r="K185" t="s">
        <v>3079</v>
      </c>
      <c r="L185" t="s">
        <v>990</v>
      </c>
      <c r="M185" t="s">
        <v>3087</v>
      </c>
      <c r="N185" t="s">
        <v>132</v>
      </c>
      <c r="O185" t="s">
        <v>3070</v>
      </c>
      <c r="P185">
        <v>0</v>
      </c>
      <c r="Q185" t="s">
        <v>3075</v>
      </c>
      <c r="R185" t="s">
        <v>2464</v>
      </c>
      <c r="S185" t="s">
        <v>5374</v>
      </c>
      <c r="T185" t="s">
        <v>1576</v>
      </c>
      <c r="U185" t="s">
        <v>5824</v>
      </c>
      <c r="V185" s="17">
        <v>45412</v>
      </c>
      <c r="W185" s="17"/>
      <c r="X185" s="17"/>
      <c r="Y185">
        <v>-46162</v>
      </c>
      <c r="Z185">
        <v>3</v>
      </c>
      <c r="AA185">
        <v>0</v>
      </c>
      <c r="AB185">
        <v>3077.4666666666667</v>
      </c>
      <c r="AC185" s="17">
        <v>45444</v>
      </c>
      <c r="AE185">
        <v>31000</v>
      </c>
      <c r="AF185">
        <v>93000</v>
      </c>
      <c r="AH185">
        <v>93000</v>
      </c>
      <c r="AI185">
        <v>0</v>
      </c>
      <c r="AJ185">
        <v>0</v>
      </c>
      <c r="AW185">
        <v>0</v>
      </c>
      <c r="BJ185">
        <v>0</v>
      </c>
      <c r="BW185">
        <v>93000</v>
      </c>
      <c r="CC185">
        <v>31000</v>
      </c>
      <c r="CD185">
        <v>31000</v>
      </c>
      <c r="CE185">
        <v>31000</v>
      </c>
      <c r="CJ185">
        <v>0</v>
      </c>
      <c r="CW185">
        <v>0</v>
      </c>
      <c r="DJ185">
        <v>0</v>
      </c>
      <c r="DW185">
        <v>0</v>
      </c>
      <c r="EJ185">
        <v>0</v>
      </c>
    </row>
    <row r="186" spans="1:140" hidden="1" x14ac:dyDescent="0.35">
      <c r="A186" t="s">
        <v>3067</v>
      </c>
      <c r="B186" t="s">
        <v>249</v>
      </c>
      <c r="D186" t="s">
        <v>5825</v>
      </c>
      <c r="E186" t="s">
        <v>3104</v>
      </c>
      <c r="F186" t="s">
        <v>3105</v>
      </c>
      <c r="G186" t="s">
        <v>3106</v>
      </c>
      <c r="H186" t="s">
        <v>5826</v>
      </c>
      <c r="I186" t="s">
        <v>5368</v>
      </c>
      <c r="J186" t="s">
        <v>3108</v>
      </c>
      <c r="K186" t="s">
        <v>3108</v>
      </c>
      <c r="L186" t="s">
        <v>990</v>
      </c>
      <c r="M186" t="s">
        <v>3087</v>
      </c>
      <c r="N186" t="s">
        <v>990</v>
      </c>
      <c r="O186" t="s">
        <v>3107</v>
      </c>
      <c r="P186">
        <v>0</v>
      </c>
      <c r="Q186" t="s">
        <v>3075</v>
      </c>
      <c r="R186" t="s">
        <v>2464</v>
      </c>
      <c r="S186" t="s">
        <v>5374</v>
      </c>
      <c r="T186" t="s">
        <v>1576</v>
      </c>
      <c r="U186" t="s">
        <v>5827</v>
      </c>
      <c r="V186" s="17">
        <v>45432</v>
      </c>
      <c r="W186" s="17"/>
      <c r="X186" s="17"/>
      <c r="Y186">
        <v>-46162</v>
      </c>
      <c r="Z186">
        <v>1</v>
      </c>
      <c r="AA186">
        <v>0</v>
      </c>
      <c r="AB186">
        <v>3077.4666666666667</v>
      </c>
      <c r="AC186" s="17"/>
      <c r="AE186">
        <v>12616</v>
      </c>
      <c r="AF186">
        <v>12616</v>
      </c>
      <c r="AH186">
        <v>12616</v>
      </c>
      <c r="AI186">
        <v>0</v>
      </c>
      <c r="AJ186">
        <v>0</v>
      </c>
      <c r="AW186">
        <v>0</v>
      </c>
      <c r="BJ186">
        <v>0</v>
      </c>
      <c r="BW186">
        <v>12616</v>
      </c>
      <c r="CC186">
        <v>12616</v>
      </c>
      <c r="CJ186">
        <v>0</v>
      </c>
      <c r="CW186">
        <v>0</v>
      </c>
      <c r="DJ186">
        <v>0</v>
      </c>
      <c r="DW186">
        <v>0</v>
      </c>
      <c r="EJ186">
        <v>0</v>
      </c>
    </row>
    <row r="187" spans="1:140" hidden="1" x14ac:dyDescent="0.35">
      <c r="A187" t="s">
        <v>3067</v>
      </c>
      <c r="B187" t="s">
        <v>249</v>
      </c>
      <c r="D187" t="s">
        <v>5828</v>
      </c>
      <c r="E187" t="s">
        <v>4424</v>
      </c>
      <c r="F187" t="s">
        <v>4425</v>
      </c>
      <c r="G187" t="s">
        <v>4426</v>
      </c>
      <c r="H187" t="s">
        <v>5829</v>
      </c>
      <c r="I187" t="s">
        <v>5368</v>
      </c>
      <c r="J187" t="s">
        <v>3203</v>
      </c>
      <c r="K187" t="s">
        <v>3203</v>
      </c>
      <c r="L187" t="s">
        <v>4410</v>
      </c>
      <c r="M187" t="s">
        <v>3139</v>
      </c>
      <c r="N187" t="s">
        <v>89</v>
      </c>
      <c r="O187" t="s">
        <v>3088</v>
      </c>
      <c r="P187">
        <v>0</v>
      </c>
      <c r="Q187" t="s">
        <v>3075</v>
      </c>
      <c r="R187" t="s">
        <v>4394</v>
      </c>
      <c r="S187" t="s">
        <v>5374</v>
      </c>
      <c r="T187" t="s">
        <v>5485</v>
      </c>
      <c r="U187" t="s">
        <v>5830</v>
      </c>
      <c r="V187" s="17">
        <v>45471</v>
      </c>
      <c r="W187" s="17"/>
      <c r="X187" s="17"/>
      <c r="Y187">
        <v>-46162</v>
      </c>
      <c r="Z187">
        <v>1</v>
      </c>
      <c r="AA187">
        <v>0</v>
      </c>
      <c r="AB187">
        <v>3077.4666666666667</v>
      </c>
      <c r="AC187" s="17"/>
      <c r="AE187">
        <v>68398.649999999994</v>
      </c>
      <c r="AF187">
        <v>68398.649999999994</v>
      </c>
      <c r="AH187">
        <v>68398.649999999994</v>
      </c>
      <c r="AI187">
        <v>0</v>
      </c>
      <c r="AJ187">
        <v>0</v>
      </c>
      <c r="AW187">
        <v>0</v>
      </c>
      <c r="BJ187">
        <v>0</v>
      </c>
      <c r="BW187">
        <v>68398.649999999994</v>
      </c>
      <c r="CD187">
        <v>41039.19</v>
      </c>
      <c r="CE187">
        <v>27359.46</v>
      </c>
      <c r="CJ187">
        <v>0</v>
      </c>
      <c r="CW187">
        <v>0</v>
      </c>
      <c r="DJ187">
        <v>0</v>
      </c>
      <c r="DW187">
        <v>0</v>
      </c>
      <c r="EJ187">
        <v>0</v>
      </c>
    </row>
    <row r="188" spans="1:140" hidden="1" x14ac:dyDescent="0.35">
      <c r="A188" t="s">
        <v>3067</v>
      </c>
      <c r="B188" t="s">
        <v>249</v>
      </c>
      <c r="D188" t="s">
        <v>5831</v>
      </c>
      <c r="E188" t="s">
        <v>5832</v>
      </c>
      <c r="F188" t="s">
        <v>5833</v>
      </c>
      <c r="G188" t="s">
        <v>5834</v>
      </c>
      <c r="H188" t="s">
        <v>5835</v>
      </c>
      <c r="I188" t="s">
        <v>5368</v>
      </c>
      <c r="J188" t="s">
        <v>3071</v>
      </c>
      <c r="K188" t="s">
        <v>3071</v>
      </c>
      <c r="L188" t="s">
        <v>3068</v>
      </c>
      <c r="M188" t="s">
        <v>3069</v>
      </c>
      <c r="N188" t="s">
        <v>167</v>
      </c>
      <c r="O188" t="s">
        <v>3070</v>
      </c>
      <c r="P188">
        <v>0</v>
      </c>
      <c r="Q188" t="s">
        <v>3075</v>
      </c>
      <c r="R188" t="s">
        <v>1580</v>
      </c>
      <c r="S188" t="s">
        <v>5452</v>
      </c>
      <c r="T188" t="s">
        <v>1576</v>
      </c>
      <c r="U188" t="s">
        <v>5836</v>
      </c>
      <c r="V188" s="17">
        <v>45581</v>
      </c>
      <c r="W188" s="17"/>
      <c r="X188" s="17"/>
      <c r="Y188">
        <v>-46162</v>
      </c>
      <c r="Z188">
        <v>3</v>
      </c>
      <c r="AA188">
        <v>0</v>
      </c>
      <c r="AB188">
        <v>3077.4666666666667</v>
      </c>
      <c r="AC188" s="17"/>
      <c r="AE188">
        <v>32076.99</v>
      </c>
      <c r="AF188">
        <v>192461.94</v>
      </c>
      <c r="AH188">
        <v>192461.93</v>
      </c>
      <c r="AI188">
        <v>-0.01</v>
      </c>
      <c r="AJ188">
        <v>0</v>
      </c>
      <c r="AW188">
        <v>0</v>
      </c>
      <c r="BJ188">
        <v>0</v>
      </c>
      <c r="BW188">
        <v>126474.62</v>
      </c>
      <c r="CH188">
        <v>65987.31</v>
      </c>
      <c r="CI188">
        <v>60487.31</v>
      </c>
      <c r="CJ188">
        <v>65987.31</v>
      </c>
      <c r="CK188">
        <v>65987.31</v>
      </c>
      <c r="CW188">
        <v>0</v>
      </c>
      <c r="DJ188">
        <v>0</v>
      </c>
      <c r="DW188">
        <v>0</v>
      </c>
      <c r="EJ188">
        <v>65987.31</v>
      </c>
    </row>
    <row r="189" spans="1:140" hidden="1" x14ac:dyDescent="0.35">
      <c r="A189" t="s">
        <v>3196</v>
      </c>
      <c r="B189" t="s">
        <v>249</v>
      </c>
      <c r="D189" t="s">
        <v>5837</v>
      </c>
      <c r="E189" t="s">
        <v>3193</v>
      </c>
      <c r="F189" t="s">
        <v>3194</v>
      </c>
      <c r="G189" t="s">
        <v>3193</v>
      </c>
      <c r="H189" t="s">
        <v>5838</v>
      </c>
      <c r="I189" t="s">
        <v>5368</v>
      </c>
      <c r="J189" t="s">
        <v>249</v>
      </c>
      <c r="K189" t="s">
        <v>249</v>
      </c>
      <c r="L189" t="s">
        <v>249</v>
      </c>
      <c r="M189" t="s">
        <v>249</v>
      </c>
      <c r="N189" t="s">
        <v>249</v>
      </c>
      <c r="O189" t="s">
        <v>249</v>
      </c>
      <c r="P189" t="s">
        <v>249</v>
      </c>
      <c r="Q189" t="s">
        <v>249</v>
      </c>
      <c r="R189" t="s">
        <v>249</v>
      </c>
      <c r="S189" t="s">
        <v>249</v>
      </c>
      <c r="T189" t="s">
        <v>249</v>
      </c>
      <c r="U189" t="s">
        <v>249</v>
      </c>
      <c r="V189" s="17"/>
      <c r="W189" s="17">
        <v>44200</v>
      </c>
      <c r="X189" s="17">
        <v>44803</v>
      </c>
      <c r="Y189">
        <v>-1359</v>
      </c>
      <c r="AA189">
        <v>20.100000000000001</v>
      </c>
      <c r="AB189">
        <v>1584.0333333333333</v>
      </c>
      <c r="AC189" s="17"/>
      <c r="AH189">
        <v>35542.2886</v>
      </c>
      <c r="AJ189">
        <v>20577.114399999999</v>
      </c>
      <c r="AL189">
        <v>1870.6468</v>
      </c>
      <c r="AM189">
        <v>1870.6468</v>
      </c>
      <c r="AN189">
        <v>1870.6468</v>
      </c>
      <c r="AO189">
        <v>1870.6468</v>
      </c>
      <c r="AP189">
        <v>1870.6468</v>
      </c>
      <c r="AQ189">
        <v>1870.6468</v>
      </c>
      <c r="AR189">
        <v>1870.6468</v>
      </c>
      <c r="AS189">
        <v>1870.6468</v>
      </c>
      <c r="AT189">
        <v>1870.6468</v>
      </c>
      <c r="AU189">
        <v>1870.6468</v>
      </c>
      <c r="AV189">
        <v>1870.6468</v>
      </c>
      <c r="AW189">
        <v>14965.1741</v>
      </c>
      <c r="AX189">
        <v>1870.6468</v>
      </c>
      <c r="AY189">
        <v>1870.6468</v>
      </c>
      <c r="AZ189">
        <v>1870.6468</v>
      </c>
      <c r="BA189">
        <v>1870.6468</v>
      </c>
      <c r="BB189">
        <v>1870.6468</v>
      </c>
      <c r="BC189">
        <v>1870.6468</v>
      </c>
      <c r="BD189">
        <v>1870.6468</v>
      </c>
      <c r="BE189">
        <v>1870.6468</v>
      </c>
      <c r="BJ189">
        <v>0</v>
      </c>
      <c r="BW189">
        <v>0</v>
      </c>
      <c r="CJ189">
        <v>0</v>
      </c>
      <c r="CW189">
        <v>0</v>
      </c>
      <c r="DJ189">
        <v>0</v>
      </c>
      <c r="DW189">
        <v>0</v>
      </c>
      <c r="EJ189">
        <v>0</v>
      </c>
    </row>
    <row r="190" spans="1:140" hidden="1" x14ac:dyDescent="0.35">
      <c r="A190" t="s">
        <v>3196</v>
      </c>
      <c r="B190" t="s">
        <v>249</v>
      </c>
      <c r="D190" t="s">
        <v>5839</v>
      </c>
      <c r="E190" t="s">
        <v>3262</v>
      </c>
      <c r="F190" t="s">
        <v>5840</v>
      </c>
      <c r="G190" t="s">
        <v>3262</v>
      </c>
      <c r="H190" t="s">
        <v>5841</v>
      </c>
      <c r="I190" t="s">
        <v>5368</v>
      </c>
      <c r="J190" t="s">
        <v>249</v>
      </c>
      <c r="K190" t="s">
        <v>249</v>
      </c>
      <c r="L190" t="s">
        <v>249</v>
      </c>
      <c r="M190" t="s">
        <v>249</v>
      </c>
      <c r="N190" t="s">
        <v>249</v>
      </c>
      <c r="O190" t="s">
        <v>249</v>
      </c>
      <c r="P190" t="s">
        <v>249</v>
      </c>
      <c r="Q190" t="s">
        <v>249</v>
      </c>
      <c r="R190" t="s">
        <v>249</v>
      </c>
      <c r="S190" t="s">
        <v>249</v>
      </c>
      <c r="T190" t="s">
        <v>249</v>
      </c>
      <c r="U190" t="s">
        <v>249</v>
      </c>
      <c r="V190" s="17"/>
      <c r="W190" s="17">
        <v>44216</v>
      </c>
      <c r="X190" s="17">
        <v>44671</v>
      </c>
      <c r="Y190">
        <v>-1491</v>
      </c>
      <c r="AA190">
        <v>15.166666666666666</v>
      </c>
      <c r="AB190">
        <v>1588.4333333333334</v>
      </c>
      <c r="AC190" s="17"/>
      <c r="AH190">
        <v>171000</v>
      </c>
      <c r="AJ190">
        <v>0</v>
      </c>
      <c r="AW190">
        <v>103000</v>
      </c>
      <c r="AY190">
        <v>13000</v>
      </c>
      <c r="AZ190">
        <v>13000</v>
      </c>
      <c r="BA190">
        <v>13000</v>
      </c>
      <c r="BF190">
        <v>13000</v>
      </c>
      <c r="BG190">
        <v>17000</v>
      </c>
      <c r="BH190">
        <v>17000</v>
      </c>
      <c r="BI190">
        <v>17000</v>
      </c>
      <c r="BJ190">
        <v>68000</v>
      </c>
      <c r="BK190">
        <v>17000</v>
      </c>
      <c r="BL190">
        <v>17000</v>
      </c>
      <c r="BM190">
        <v>17000</v>
      </c>
      <c r="BN190">
        <v>17000</v>
      </c>
      <c r="BW190">
        <v>0</v>
      </c>
      <c r="CJ190">
        <v>0</v>
      </c>
      <c r="CW190">
        <v>0</v>
      </c>
      <c r="DJ190">
        <v>0</v>
      </c>
      <c r="DW190">
        <v>0</v>
      </c>
      <c r="EJ190">
        <v>0</v>
      </c>
    </row>
    <row r="191" spans="1:140" hidden="1" x14ac:dyDescent="0.35">
      <c r="A191" t="s">
        <v>3196</v>
      </c>
      <c r="B191" t="s">
        <v>249</v>
      </c>
      <c r="D191" t="s">
        <v>5842</v>
      </c>
      <c r="E191" t="s">
        <v>3250</v>
      </c>
      <c r="F191" t="s">
        <v>3251</v>
      </c>
      <c r="G191" t="s">
        <v>3250</v>
      </c>
      <c r="H191" t="s">
        <v>5843</v>
      </c>
      <c r="I191" t="s">
        <v>5368</v>
      </c>
      <c r="J191" t="s">
        <v>249</v>
      </c>
      <c r="K191" t="s">
        <v>249</v>
      </c>
      <c r="L191" t="s">
        <v>249</v>
      </c>
      <c r="M191" t="s">
        <v>249</v>
      </c>
      <c r="N191" t="s">
        <v>249</v>
      </c>
      <c r="O191" t="s">
        <v>249</v>
      </c>
      <c r="P191" t="s">
        <v>249</v>
      </c>
      <c r="Q191" t="s">
        <v>249</v>
      </c>
      <c r="R191" t="s">
        <v>249</v>
      </c>
      <c r="S191" t="s">
        <v>249</v>
      </c>
      <c r="T191" t="s">
        <v>249</v>
      </c>
      <c r="U191" t="s">
        <v>249</v>
      </c>
      <c r="V191" s="17"/>
      <c r="W191" s="17">
        <v>44274</v>
      </c>
      <c r="X191" s="17">
        <v>44514</v>
      </c>
      <c r="Y191">
        <v>-1648</v>
      </c>
      <c r="AA191">
        <v>8</v>
      </c>
      <c r="AB191">
        <v>1593.6666666666667</v>
      </c>
      <c r="AC191" s="17"/>
      <c r="AH191">
        <v>92397.785399999993</v>
      </c>
      <c r="AJ191">
        <v>55438.671199999997</v>
      </c>
      <c r="AN191">
        <v>6159.8523999999998</v>
      </c>
      <c r="AO191">
        <v>6159.8523999999998</v>
      </c>
      <c r="AP191">
        <v>6159.8523999999998</v>
      </c>
      <c r="AQ191">
        <v>6159.8523999999998</v>
      </c>
      <c r="AR191">
        <v>6159.8523999999998</v>
      </c>
      <c r="AS191">
        <v>6159.8523999999998</v>
      </c>
      <c r="AT191">
        <v>6159.8523999999998</v>
      </c>
      <c r="AU191">
        <v>6159.8523999999998</v>
      </c>
      <c r="AV191">
        <v>6159.8523999999998</v>
      </c>
      <c r="AW191">
        <v>36959.114200000004</v>
      </c>
      <c r="AX191">
        <v>6159.8523999999998</v>
      </c>
      <c r="AY191">
        <v>6159.8523999999998</v>
      </c>
      <c r="AZ191">
        <v>6159.8523999999998</v>
      </c>
      <c r="BA191">
        <v>6159.8523999999998</v>
      </c>
      <c r="BB191">
        <v>6159.8523999999998</v>
      </c>
      <c r="BC191">
        <v>6159.8523999999998</v>
      </c>
      <c r="BJ191">
        <v>0</v>
      </c>
      <c r="BW191">
        <v>0</v>
      </c>
      <c r="CJ191">
        <v>0</v>
      </c>
      <c r="CW191">
        <v>0</v>
      </c>
      <c r="DJ191">
        <v>0</v>
      </c>
      <c r="DW191">
        <v>0</v>
      </c>
      <c r="EJ191">
        <v>0</v>
      </c>
    </row>
    <row r="192" spans="1:140" hidden="1" x14ac:dyDescent="0.35">
      <c r="A192" t="s">
        <v>3196</v>
      </c>
      <c r="B192" t="s">
        <v>249</v>
      </c>
      <c r="D192" t="s">
        <v>5844</v>
      </c>
      <c r="E192" t="s">
        <v>4481</v>
      </c>
      <c r="F192" t="s">
        <v>4482</v>
      </c>
      <c r="G192" t="s">
        <v>4481</v>
      </c>
      <c r="H192" t="s">
        <v>5845</v>
      </c>
      <c r="I192" t="s">
        <v>5368</v>
      </c>
      <c r="J192" t="s">
        <v>249</v>
      </c>
      <c r="K192" t="s">
        <v>249</v>
      </c>
      <c r="L192" t="s">
        <v>249</v>
      </c>
      <c r="M192" t="s">
        <v>249</v>
      </c>
      <c r="N192" t="s">
        <v>249</v>
      </c>
      <c r="O192" t="s">
        <v>249</v>
      </c>
      <c r="P192" t="s">
        <v>249</v>
      </c>
      <c r="Q192" t="s">
        <v>249</v>
      </c>
      <c r="R192" t="s">
        <v>249</v>
      </c>
      <c r="S192" t="s">
        <v>249</v>
      </c>
      <c r="T192" t="s">
        <v>249</v>
      </c>
      <c r="U192" t="s">
        <v>249</v>
      </c>
      <c r="V192" s="17"/>
      <c r="W192" s="17">
        <v>44335</v>
      </c>
      <c r="X192" s="17">
        <v>44884</v>
      </c>
      <c r="Y192">
        <v>-1278</v>
      </c>
      <c r="AA192">
        <v>18.3</v>
      </c>
      <c r="AB192">
        <v>1581.3333333333333</v>
      </c>
      <c r="AC192" s="17"/>
      <c r="AH192">
        <v>393830.64520000003</v>
      </c>
      <c r="AJ192">
        <v>115538.21309999999</v>
      </c>
      <c r="AP192">
        <v>16505.458999999999</v>
      </c>
      <c r="AQ192">
        <v>16505.458999999999</v>
      </c>
      <c r="AR192">
        <v>16505.458999999999</v>
      </c>
      <c r="AS192">
        <v>16505.458999999999</v>
      </c>
      <c r="AT192">
        <v>16505.458999999999</v>
      </c>
      <c r="AU192">
        <v>16505.458999999999</v>
      </c>
      <c r="AV192">
        <v>16505.458999999999</v>
      </c>
      <c r="AW192">
        <v>228603.82209999999</v>
      </c>
      <c r="AX192">
        <v>16505.458999999999</v>
      </c>
      <c r="AY192">
        <v>16505.458999999999</v>
      </c>
      <c r="AZ192">
        <v>16505.458999999999</v>
      </c>
      <c r="BA192">
        <v>16505.458999999999</v>
      </c>
      <c r="BB192">
        <v>16505.458999999999</v>
      </c>
      <c r="BC192">
        <v>16505.458999999999</v>
      </c>
      <c r="BD192">
        <v>16505.458999999999</v>
      </c>
      <c r="BE192">
        <v>16505.458999999999</v>
      </c>
      <c r="BF192">
        <v>24761</v>
      </c>
      <c r="BH192">
        <v>25329</v>
      </c>
      <c r="BI192">
        <v>46470.9</v>
      </c>
      <c r="BJ192">
        <v>49688.61</v>
      </c>
      <c r="BK192">
        <v>34419.599999999999</v>
      </c>
      <c r="BO192">
        <v>15269.01</v>
      </c>
      <c r="BW192">
        <v>0</v>
      </c>
      <c r="CJ192">
        <v>0</v>
      </c>
      <c r="CW192">
        <v>0</v>
      </c>
      <c r="DJ192">
        <v>0</v>
      </c>
      <c r="DW192">
        <v>0</v>
      </c>
      <c r="EJ192">
        <v>0</v>
      </c>
    </row>
    <row r="193" spans="1:140" hidden="1" x14ac:dyDescent="0.35">
      <c r="A193" t="s">
        <v>3196</v>
      </c>
      <c r="B193" t="s">
        <v>249</v>
      </c>
      <c r="D193" t="s">
        <v>5846</v>
      </c>
      <c r="E193" t="s">
        <v>4444</v>
      </c>
      <c r="F193" t="s">
        <v>4445</v>
      </c>
      <c r="G193" t="s">
        <v>4444</v>
      </c>
      <c r="H193" t="s">
        <v>5847</v>
      </c>
      <c r="I193" t="s">
        <v>5368</v>
      </c>
      <c r="J193" t="s">
        <v>249</v>
      </c>
      <c r="K193" t="s">
        <v>249</v>
      </c>
      <c r="L193" t="s">
        <v>249</v>
      </c>
      <c r="M193" t="s">
        <v>249</v>
      </c>
      <c r="N193" t="s">
        <v>249</v>
      </c>
      <c r="O193" t="s">
        <v>249</v>
      </c>
      <c r="P193" t="s">
        <v>249</v>
      </c>
      <c r="Q193" t="s">
        <v>249</v>
      </c>
      <c r="R193" t="s">
        <v>249</v>
      </c>
      <c r="S193" t="s">
        <v>249</v>
      </c>
      <c r="T193" t="s">
        <v>249</v>
      </c>
      <c r="U193" t="s">
        <v>249</v>
      </c>
      <c r="V193" s="17"/>
      <c r="W193" s="17">
        <v>44440</v>
      </c>
      <c r="X193" s="17">
        <v>44805</v>
      </c>
      <c r="Y193">
        <v>-1357</v>
      </c>
      <c r="AA193">
        <v>12.166666666666666</v>
      </c>
      <c r="AB193">
        <v>1583.9666666666667</v>
      </c>
      <c r="AC193" s="17"/>
      <c r="AH193">
        <v>292664.6384</v>
      </c>
      <c r="AJ193">
        <v>65552.301399999997</v>
      </c>
      <c r="AT193">
        <v>21850.767100000001</v>
      </c>
      <c r="AU193">
        <v>21850.767100000001</v>
      </c>
      <c r="AV193">
        <v>21850.767100000001</v>
      </c>
      <c r="AW193">
        <v>227112.337</v>
      </c>
      <c r="AX193">
        <v>21850.767100000001</v>
      </c>
      <c r="AY193">
        <v>21850.767100000001</v>
      </c>
      <c r="AZ193">
        <v>21850.767100000001</v>
      </c>
      <c r="BA193">
        <v>21850.767100000001</v>
      </c>
      <c r="BB193">
        <v>21850.767100000001</v>
      </c>
      <c r="BC193">
        <v>21850.767100000001</v>
      </c>
      <c r="BD193">
        <v>21850.767100000001</v>
      </c>
      <c r="BE193">
        <v>21850.767100000001</v>
      </c>
      <c r="BI193">
        <v>52306.2</v>
      </c>
      <c r="BJ193">
        <v>0</v>
      </c>
      <c r="BW193">
        <v>0</v>
      </c>
      <c r="CJ193">
        <v>0</v>
      </c>
      <c r="CW193">
        <v>0</v>
      </c>
      <c r="DJ193">
        <v>0</v>
      </c>
      <c r="DW193">
        <v>0</v>
      </c>
      <c r="EJ193">
        <v>0</v>
      </c>
    </row>
    <row r="194" spans="1:140" hidden="1" x14ac:dyDescent="0.35">
      <c r="A194" t="s">
        <v>3196</v>
      </c>
      <c r="B194" t="s">
        <v>249</v>
      </c>
      <c r="D194" t="s">
        <v>5848</v>
      </c>
      <c r="E194" t="s">
        <v>3291</v>
      </c>
      <c r="F194" t="s">
        <v>3292</v>
      </c>
      <c r="G194" t="s">
        <v>3291</v>
      </c>
      <c r="H194" t="s">
        <v>5849</v>
      </c>
      <c r="I194" t="s">
        <v>5368</v>
      </c>
      <c r="J194" t="s">
        <v>249</v>
      </c>
      <c r="K194" t="s">
        <v>249</v>
      </c>
      <c r="L194" t="s">
        <v>249</v>
      </c>
      <c r="M194" t="s">
        <v>249</v>
      </c>
      <c r="N194" t="s">
        <v>249</v>
      </c>
      <c r="O194" t="s">
        <v>249</v>
      </c>
      <c r="P194" t="s">
        <v>249</v>
      </c>
      <c r="Q194" t="s">
        <v>249</v>
      </c>
      <c r="R194" t="s">
        <v>249</v>
      </c>
      <c r="S194" t="s">
        <v>249</v>
      </c>
      <c r="T194" t="s">
        <v>249</v>
      </c>
      <c r="U194" t="s">
        <v>249</v>
      </c>
      <c r="V194" s="17"/>
      <c r="W194" s="17">
        <v>44484</v>
      </c>
      <c r="X194" s="17">
        <v>44849</v>
      </c>
      <c r="Y194">
        <v>-1313</v>
      </c>
      <c r="AA194">
        <v>12.166666666666666</v>
      </c>
      <c r="AB194">
        <v>1582.5</v>
      </c>
      <c r="AC194" s="17"/>
      <c r="AH194">
        <v>254809.8082</v>
      </c>
      <c r="AJ194">
        <v>41431.561600000001</v>
      </c>
      <c r="AU194">
        <v>20715.7808</v>
      </c>
      <c r="AV194">
        <v>20715.7808</v>
      </c>
      <c r="AW194">
        <v>197494.24660000001</v>
      </c>
      <c r="AX194">
        <v>20715.7808</v>
      </c>
      <c r="AY194">
        <v>20715.7808</v>
      </c>
      <c r="AZ194">
        <v>20715.7808</v>
      </c>
      <c r="BA194">
        <v>20715.7808</v>
      </c>
      <c r="BB194">
        <v>20715.7808</v>
      </c>
      <c r="BC194">
        <v>20715.7808</v>
      </c>
      <c r="BD194">
        <v>20715.7808</v>
      </c>
      <c r="BE194">
        <v>20715.7808</v>
      </c>
      <c r="BF194">
        <v>7942</v>
      </c>
      <c r="BG194">
        <v>7942</v>
      </c>
      <c r="BH194">
        <v>7942</v>
      </c>
      <c r="BI194">
        <v>7942</v>
      </c>
      <c r="BJ194">
        <v>15884</v>
      </c>
      <c r="BK194">
        <v>7942</v>
      </c>
      <c r="BL194">
        <v>7942</v>
      </c>
      <c r="BW194">
        <v>0</v>
      </c>
      <c r="CJ194">
        <v>0</v>
      </c>
      <c r="CW194">
        <v>0</v>
      </c>
      <c r="DJ194">
        <v>0</v>
      </c>
      <c r="DW194">
        <v>0</v>
      </c>
      <c r="EJ194">
        <v>0</v>
      </c>
    </row>
    <row r="195" spans="1:140" hidden="1" x14ac:dyDescent="0.35">
      <c r="A195" t="s">
        <v>3196</v>
      </c>
      <c r="B195" t="s">
        <v>249</v>
      </c>
      <c r="D195" t="s">
        <v>5850</v>
      </c>
      <c r="E195" t="s">
        <v>3238</v>
      </c>
      <c r="F195" t="s">
        <v>3239</v>
      </c>
      <c r="G195" t="s">
        <v>3238</v>
      </c>
      <c r="H195" t="s">
        <v>5851</v>
      </c>
      <c r="I195" t="s">
        <v>5368</v>
      </c>
      <c r="J195" t="s">
        <v>249</v>
      </c>
      <c r="K195" t="s">
        <v>249</v>
      </c>
      <c r="L195" t="s">
        <v>249</v>
      </c>
      <c r="M195" t="s">
        <v>249</v>
      </c>
      <c r="N195" t="s">
        <v>249</v>
      </c>
      <c r="O195" t="s">
        <v>249</v>
      </c>
      <c r="P195" t="s">
        <v>249</v>
      </c>
      <c r="Q195" t="s">
        <v>249</v>
      </c>
      <c r="R195" t="s">
        <v>249</v>
      </c>
      <c r="S195" t="s">
        <v>249</v>
      </c>
      <c r="T195" t="s">
        <v>249</v>
      </c>
      <c r="U195" t="s">
        <v>249</v>
      </c>
      <c r="V195" s="17"/>
      <c r="W195" s="17">
        <v>44486</v>
      </c>
      <c r="X195" s="17">
        <v>44668</v>
      </c>
      <c r="Y195">
        <v>-1494</v>
      </c>
      <c r="AA195">
        <v>6.0666666666666664</v>
      </c>
      <c r="AB195">
        <v>1588.5333333333333</v>
      </c>
      <c r="AC195" s="17"/>
      <c r="AH195">
        <v>411517.17</v>
      </c>
      <c r="AJ195">
        <v>80800</v>
      </c>
      <c r="AU195">
        <v>40400</v>
      </c>
      <c r="AV195">
        <v>40400</v>
      </c>
      <c r="AW195">
        <v>272131.17</v>
      </c>
      <c r="AX195">
        <v>40400</v>
      </c>
      <c r="AY195">
        <v>40400</v>
      </c>
      <c r="AZ195">
        <v>40400</v>
      </c>
      <c r="BA195">
        <v>40400</v>
      </c>
      <c r="BF195">
        <v>39942</v>
      </c>
      <c r="BG195">
        <v>26650</v>
      </c>
      <c r="BH195">
        <v>29293</v>
      </c>
      <c r="BI195">
        <v>14646.5</v>
      </c>
      <c r="BJ195">
        <v>58586</v>
      </c>
      <c r="BK195">
        <v>14646.5</v>
      </c>
      <c r="BL195">
        <v>14646.5</v>
      </c>
      <c r="BM195">
        <v>14646.5</v>
      </c>
      <c r="BN195">
        <v>14646.5</v>
      </c>
      <c r="BW195">
        <v>0</v>
      </c>
      <c r="CJ195">
        <v>0</v>
      </c>
      <c r="CW195">
        <v>0</v>
      </c>
      <c r="DJ195">
        <v>0</v>
      </c>
      <c r="DW195">
        <v>0</v>
      </c>
      <c r="EJ195">
        <v>0</v>
      </c>
    </row>
    <row r="196" spans="1:140" hidden="1" x14ac:dyDescent="0.35">
      <c r="A196" t="s">
        <v>3196</v>
      </c>
      <c r="B196" t="s">
        <v>249</v>
      </c>
      <c r="D196" t="s">
        <v>5852</v>
      </c>
      <c r="E196" t="s">
        <v>3213</v>
      </c>
      <c r="F196" t="s">
        <v>3214</v>
      </c>
      <c r="G196" t="s">
        <v>3213</v>
      </c>
      <c r="H196" t="s">
        <v>5853</v>
      </c>
      <c r="I196" t="s">
        <v>5368</v>
      </c>
      <c r="J196" t="s">
        <v>249</v>
      </c>
      <c r="K196" t="s">
        <v>249</v>
      </c>
      <c r="L196" t="s">
        <v>249</v>
      </c>
      <c r="M196" t="s">
        <v>249</v>
      </c>
      <c r="N196" t="s">
        <v>249</v>
      </c>
      <c r="O196" t="s">
        <v>249</v>
      </c>
      <c r="P196" t="s">
        <v>249</v>
      </c>
      <c r="Q196" t="s">
        <v>249</v>
      </c>
      <c r="R196" t="s">
        <v>249</v>
      </c>
      <c r="S196" t="s">
        <v>249</v>
      </c>
      <c r="T196" t="s">
        <v>249</v>
      </c>
      <c r="U196" t="s">
        <v>249</v>
      </c>
      <c r="V196" s="17"/>
      <c r="W196" s="17">
        <v>44509</v>
      </c>
      <c r="X196" s="17">
        <v>44607</v>
      </c>
      <c r="Y196">
        <v>-1555</v>
      </c>
      <c r="AA196">
        <v>3.2666666666666666</v>
      </c>
      <c r="AB196">
        <v>1590.5666666666666</v>
      </c>
      <c r="AC196" s="17"/>
      <c r="AH196">
        <v>129733.9056</v>
      </c>
      <c r="AJ196">
        <v>13390.5579</v>
      </c>
      <c r="AV196">
        <v>13390.5579</v>
      </c>
      <c r="AW196">
        <v>116343.34759999999</v>
      </c>
      <c r="AX196">
        <v>13390.5579</v>
      </c>
      <c r="AY196">
        <v>13390.5579</v>
      </c>
      <c r="AZ196">
        <v>13390.5579</v>
      </c>
      <c r="BA196">
        <v>13390.5579</v>
      </c>
      <c r="BB196">
        <v>13390.5579</v>
      </c>
      <c r="BC196">
        <v>13390.5579</v>
      </c>
      <c r="BF196">
        <v>13000</v>
      </c>
      <c r="BG196">
        <v>13000</v>
      </c>
      <c r="BH196">
        <v>10000</v>
      </c>
      <c r="BJ196">
        <v>0</v>
      </c>
      <c r="BW196">
        <v>0</v>
      </c>
      <c r="CJ196">
        <v>0</v>
      </c>
      <c r="CW196">
        <v>0</v>
      </c>
      <c r="DJ196">
        <v>0</v>
      </c>
      <c r="DW196">
        <v>0</v>
      </c>
      <c r="EJ196">
        <v>0</v>
      </c>
    </row>
    <row r="197" spans="1:140" hidden="1" x14ac:dyDescent="0.35">
      <c r="A197" t="s">
        <v>3196</v>
      </c>
      <c r="B197" t="s">
        <v>249</v>
      </c>
      <c r="D197" t="s">
        <v>5854</v>
      </c>
      <c r="E197" t="s">
        <v>4449</v>
      </c>
      <c r="F197" t="s">
        <v>4450</v>
      </c>
      <c r="G197" t="s">
        <v>4451</v>
      </c>
      <c r="H197" t="s">
        <v>5855</v>
      </c>
      <c r="I197" t="s">
        <v>5368</v>
      </c>
      <c r="J197" t="s">
        <v>3203</v>
      </c>
      <c r="K197" t="s">
        <v>3203</v>
      </c>
      <c r="L197" t="s">
        <v>4452</v>
      </c>
      <c r="M197" t="s">
        <v>3139</v>
      </c>
      <c r="N197" t="s">
        <v>184</v>
      </c>
      <c r="O197" t="s">
        <v>3088</v>
      </c>
      <c r="P197">
        <v>0</v>
      </c>
      <c r="Q197" t="s">
        <v>3075</v>
      </c>
      <c r="R197">
        <v>0</v>
      </c>
      <c r="S197">
        <v>0</v>
      </c>
      <c r="T197" t="s">
        <v>5369</v>
      </c>
      <c r="U197" t="s">
        <v>5856</v>
      </c>
      <c r="V197" s="17">
        <v>44875</v>
      </c>
      <c r="W197" s="17">
        <v>44514</v>
      </c>
      <c r="X197" s="17">
        <v>44890</v>
      </c>
      <c r="Y197">
        <v>-1272</v>
      </c>
      <c r="Z197">
        <v>0</v>
      </c>
      <c r="AA197">
        <v>12.533333333333333</v>
      </c>
      <c r="AB197">
        <v>1581.1333333333334</v>
      </c>
      <c r="AC197" s="17"/>
      <c r="AE197">
        <v>0</v>
      </c>
      <c r="AF197">
        <v>6000</v>
      </c>
      <c r="AG197">
        <v>478.72340000000003</v>
      </c>
      <c r="AH197">
        <v>6000</v>
      </c>
      <c r="AI197">
        <v>0</v>
      </c>
      <c r="AJ197">
        <v>0</v>
      </c>
      <c r="AW197">
        <v>6000</v>
      </c>
      <c r="BH197">
        <v>6000</v>
      </c>
      <c r="BJ197">
        <v>0</v>
      </c>
      <c r="BW197">
        <v>0</v>
      </c>
      <c r="CJ197">
        <v>0</v>
      </c>
      <c r="CW197">
        <v>0</v>
      </c>
      <c r="DJ197">
        <v>0</v>
      </c>
      <c r="DW197">
        <v>0</v>
      </c>
      <c r="EJ197">
        <v>0</v>
      </c>
    </row>
    <row r="198" spans="1:140" hidden="1" x14ac:dyDescent="0.35">
      <c r="A198" t="s">
        <v>3196</v>
      </c>
      <c r="B198" t="s">
        <v>249</v>
      </c>
      <c r="D198" t="s">
        <v>5857</v>
      </c>
      <c r="E198" t="s">
        <v>3267</v>
      </c>
      <c r="F198" t="s">
        <v>3268</v>
      </c>
      <c r="G198" t="s">
        <v>3267</v>
      </c>
      <c r="H198" t="s">
        <v>5858</v>
      </c>
      <c r="I198" t="s">
        <v>5368</v>
      </c>
      <c r="J198" t="s">
        <v>249</v>
      </c>
      <c r="K198" t="s">
        <v>249</v>
      </c>
      <c r="L198" t="s">
        <v>249</v>
      </c>
      <c r="M198" t="s">
        <v>249</v>
      </c>
      <c r="N198" t="s">
        <v>249</v>
      </c>
      <c r="O198" t="s">
        <v>249</v>
      </c>
      <c r="P198" t="s">
        <v>249</v>
      </c>
      <c r="Q198" t="s">
        <v>249</v>
      </c>
      <c r="R198" t="s">
        <v>249</v>
      </c>
      <c r="S198" t="s">
        <v>249</v>
      </c>
      <c r="T198" t="s">
        <v>249</v>
      </c>
      <c r="U198" t="s">
        <v>249</v>
      </c>
      <c r="V198" s="17"/>
      <c r="W198" s="17">
        <v>44531</v>
      </c>
      <c r="X198" s="17">
        <v>44711</v>
      </c>
      <c r="Y198">
        <v>-1451</v>
      </c>
      <c r="AA198">
        <v>6</v>
      </c>
      <c r="AB198">
        <v>1587.1</v>
      </c>
      <c r="AC198" s="17"/>
      <c r="AH198">
        <v>87833.333299999998</v>
      </c>
      <c r="AJ198">
        <v>0</v>
      </c>
      <c r="AW198">
        <v>87833.333299999998</v>
      </c>
      <c r="AX198">
        <v>14166.6667</v>
      </c>
      <c r="AY198">
        <v>14166.6667</v>
      </c>
      <c r="AZ198">
        <v>14166.6667</v>
      </c>
      <c r="BA198">
        <v>14166.6667</v>
      </c>
      <c r="BB198">
        <v>14166.6667</v>
      </c>
      <c r="BF198">
        <v>17000</v>
      </c>
      <c r="BJ198">
        <v>0</v>
      </c>
      <c r="BW198">
        <v>0</v>
      </c>
      <c r="CJ198">
        <v>0</v>
      </c>
      <c r="CW198">
        <v>0</v>
      </c>
      <c r="DJ198">
        <v>0</v>
      </c>
      <c r="DW198">
        <v>0</v>
      </c>
      <c r="EJ198">
        <v>0</v>
      </c>
    </row>
    <row r="199" spans="1:140" hidden="1" x14ac:dyDescent="0.35">
      <c r="A199" t="s">
        <v>3196</v>
      </c>
      <c r="B199" t="s">
        <v>249</v>
      </c>
      <c r="D199" t="s">
        <v>5859</v>
      </c>
      <c r="E199" t="s">
        <v>3281</v>
      </c>
      <c r="F199" t="s">
        <v>3282</v>
      </c>
      <c r="G199" t="s">
        <v>3281</v>
      </c>
      <c r="H199" t="s">
        <v>5860</v>
      </c>
      <c r="I199" t="s">
        <v>5368</v>
      </c>
      <c r="J199" t="s">
        <v>249</v>
      </c>
      <c r="K199" t="s">
        <v>249</v>
      </c>
      <c r="L199" t="s">
        <v>249</v>
      </c>
      <c r="M199" t="s">
        <v>249</v>
      </c>
      <c r="N199" t="s">
        <v>249</v>
      </c>
      <c r="O199" t="s">
        <v>249</v>
      </c>
      <c r="P199" t="s">
        <v>249</v>
      </c>
      <c r="Q199" t="s">
        <v>249</v>
      </c>
      <c r="R199" t="s">
        <v>249</v>
      </c>
      <c r="S199" t="s">
        <v>249</v>
      </c>
      <c r="T199" t="s">
        <v>249</v>
      </c>
      <c r="U199" t="s">
        <v>249</v>
      </c>
      <c r="V199" s="17"/>
      <c r="W199" s="17">
        <v>44562</v>
      </c>
      <c r="X199" s="17">
        <v>44925</v>
      </c>
      <c r="Y199">
        <v>-1237</v>
      </c>
      <c r="AA199">
        <v>12.1</v>
      </c>
      <c r="AB199">
        <v>1579.9666666666667</v>
      </c>
      <c r="AC199" s="17"/>
      <c r="AH199">
        <v>405165.2893</v>
      </c>
      <c r="AJ199">
        <v>0</v>
      </c>
      <c r="AW199">
        <v>405165.2893</v>
      </c>
      <c r="AY199">
        <v>48595.041299999997</v>
      </c>
      <c r="AZ199">
        <v>48595.041299999997</v>
      </c>
      <c r="BA199">
        <v>48595.041299999997</v>
      </c>
      <c r="BB199">
        <v>48595.041299999997</v>
      </c>
      <c r="BC199">
        <v>48595.041299999997</v>
      </c>
      <c r="BD199">
        <v>48595.041299999997</v>
      </c>
      <c r="BE199">
        <v>48595.041299999997</v>
      </c>
      <c r="BG199">
        <v>65000</v>
      </c>
      <c r="BJ199">
        <v>0</v>
      </c>
      <c r="BW199">
        <v>0</v>
      </c>
      <c r="CJ199">
        <v>0</v>
      </c>
      <c r="CW199">
        <v>0</v>
      </c>
      <c r="DJ199">
        <v>0</v>
      </c>
      <c r="DW199">
        <v>0</v>
      </c>
      <c r="EJ199">
        <v>0</v>
      </c>
    </row>
    <row r="200" spans="1:140" hidden="1" x14ac:dyDescent="0.35">
      <c r="A200" t="s">
        <v>3196</v>
      </c>
      <c r="B200" t="s">
        <v>249</v>
      </c>
      <c r="D200" t="s">
        <v>5861</v>
      </c>
      <c r="E200" t="s">
        <v>3231</v>
      </c>
      <c r="F200" t="s">
        <v>3232</v>
      </c>
      <c r="G200" t="s">
        <v>3231</v>
      </c>
      <c r="H200" t="s">
        <v>5862</v>
      </c>
      <c r="I200" t="s">
        <v>5368</v>
      </c>
      <c r="J200" t="s">
        <v>249</v>
      </c>
      <c r="K200" t="s">
        <v>249</v>
      </c>
      <c r="L200" t="s">
        <v>249</v>
      </c>
      <c r="M200" t="s">
        <v>249</v>
      </c>
      <c r="N200" t="s">
        <v>249</v>
      </c>
      <c r="O200" t="s">
        <v>249</v>
      </c>
      <c r="P200" t="s">
        <v>249</v>
      </c>
      <c r="Q200" t="s">
        <v>249</v>
      </c>
      <c r="R200" t="s">
        <v>249</v>
      </c>
      <c r="S200" t="s">
        <v>249</v>
      </c>
      <c r="T200" t="s">
        <v>249</v>
      </c>
      <c r="U200" t="s">
        <v>249</v>
      </c>
      <c r="V200" s="17"/>
      <c r="W200" s="17">
        <v>44593</v>
      </c>
      <c r="X200" s="17">
        <v>44742</v>
      </c>
      <c r="Y200">
        <v>-1420</v>
      </c>
      <c r="AA200">
        <v>4.9666666666666668</v>
      </c>
      <c r="AB200">
        <v>1586.0666666666666</v>
      </c>
      <c r="AC200" s="17"/>
      <c r="AH200">
        <v>89679.742899999997</v>
      </c>
      <c r="AJ200">
        <v>0</v>
      </c>
      <c r="AW200">
        <v>89679.742899999997</v>
      </c>
      <c r="AZ200">
        <v>12118.9571</v>
      </c>
      <c r="BA200">
        <v>12118.9571</v>
      </c>
      <c r="BB200">
        <v>12118.9571</v>
      </c>
      <c r="BC200">
        <v>12118.9571</v>
      </c>
      <c r="BD200">
        <v>12118.9571</v>
      </c>
      <c r="BE200">
        <v>12118.9571</v>
      </c>
      <c r="BF200">
        <v>16966</v>
      </c>
      <c r="BJ200">
        <v>0</v>
      </c>
      <c r="BW200">
        <v>0</v>
      </c>
      <c r="CJ200">
        <v>0</v>
      </c>
      <c r="CW200">
        <v>0</v>
      </c>
      <c r="DJ200">
        <v>0</v>
      </c>
      <c r="DW200">
        <v>0</v>
      </c>
      <c r="EJ200">
        <v>0</v>
      </c>
    </row>
    <row r="201" spans="1:140" hidden="1" x14ac:dyDescent="0.35">
      <c r="A201" t="s">
        <v>3196</v>
      </c>
      <c r="B201" t="s">
        <v>249</v>
      </c>
      <c r="D201" t="s">
        <v>5863</v>
      </c>
      <c r="E201" t="s">
        <v>3296</v>
      </c>
      <c r="F201" t="s">
        <v>3297</v>
      </c>
      <c r="G201" t="s">
        <v>3296</v>
      </c>
      <c r="H201" t="s">
        <v>5864</v>
      </c>
      <c r="I201" t="s">
        <v>5368</v>
      </c>
      <c r="J201" t="s">
        <v>249</v>
      </c>
      <c r="K201" t="s">
        <v>249</v>
      </c>
      <c r="L201" t="s">
        <v>249</v>
      </c>
      <c r="M201" t="s">
        <v>249</v>
      </c>
      <c r="N201" t="s">
        <v>249</v>
      </c>
      <c r="O201" t="s">
        <v>249</v>
      </c>
      <c r="P201" t="s">
        <v>249</v>
      </c>
      <c r="Q201" t="s">
        <v>249</v>
      </c>
      <c r="R201" t="s">
        <v>249</v>
      </c>
      <c r="S201" t="s">
        <v>249</v>
      </c>
      <c r="T201" t="s">
        <v>249</v>
      </c>
      <c r="U201" t="s">
        <v>249</v>
      </c>
      <c r="V201" s="17"/>
      <c r="W201" s="17">
        <v>44599</v>
      </c>
      <c r="X201" s="17">
        <v>44689</v>
      </c>
      <c r="Y201">
        <v>-1473</v>
      </c>
      <c r="AA201">
        <v>3</v>
      </c>
      <c r="AB201">
        <v>1587.8333333333333</v>
      </c>
      <c r="AC201" s="17">
        <v>44971</v>
      </c>
      <c r="AH201">
        <v>12000</v>
      </c>
      <c r="AJ201">
        <v>0</v>
      </c>
      <c r="AW201">
        <v>12000</v>
      </c>
      <c r="AZ201">
        <v>4000</v>
      </c>
      <c r="BA201">
        <v>4000</v>
      </c>
      <c r="BB201">
        <v>4000</v>
      </c>
      <c r="BJ201">
        <v>0</v>
      </c>
      <c r="BW201">
        <v>0</v>
      </c>
      <c r="CJ201">
        <v>0</v>
      </c>
      <c r="CW201">
        <v>0</v>
      </c>
      <c r="DJ201">
        <v>0</v>
      </c>
      <c r="DW201">
        <v>0</v>
      </c>
      <c r="EJ201">
        <v>0</v>
      </c>
    </row>
    <row r="202" spans="1:140" hidden="1" x14ac:dyDescent="0.35">
      <c r="A202" t="s">
        <v>3196</v>
      </c>
      <c r="B202" t="s">
        <v>249</v>
      </c>
      <c r="D202" t="s">
        <v>5865</v>
      </c>
      <c r="E202" t="s">
        <v>3270</v>
      </c>
      <c r="F202" t="s">
        <v>3271</v>
      </c>
      <c r="G202" t="s">
        <v>3270</v>
      </c>
      <c r="H202" t="s">
        <v>5866</v>
      </c>
      <c r="I202" t="s">
        <v>5368</v>
      </c>
      <c r="J202" t="s">
        <v>249</v>
      </c>
      <c r="K202" t="s">
        <v>249</v>
      </c>
      <c r="L202" t="s">
        <v>249</v>
      </c>
      <c r="M202" t="s">
        <v>249</v>
      </c>
      <c r="N202" t="s">
        <v>249</v>
      </c>
      <c r="O202" t="s">
        <v>249</v>
      </c>
      <c r="P202" t="s">
        <v>249</v>
      </c>
      <c r="Q202" t="s">
        <v>249</v>
      </c>
      <c r="R202" t="s">
        <v>249</v>
      </c>
      <c r="S202" t="s">
        <v>249</v>
      </c>
      <c r="T202" t="s">
        <v>249</v>
      </c>
      <c r="U202" t="s">
        <v>249</v>
      </c>
      <c r="V202" s="17"/>
      <c r="W202" s="17">
        <v>44620</v>
      </c>
      <c r="X202" s="17">
        <v>45096</v>
      </c>
      <c r="Y202">
        <v>-1066</v>
      </c>
      <c r="AA202">
        <v>15.866666666666667</v>
      </c>
      <c r="AB202">
        <v>1574.2666666666667</v>
      </c>
      <c r="AC202" s="17"/>
      <c r="AH202">
        <v>73237.815100000007</v>
      </c>
      <c r="AJ202">
        <v>0</v>
      </c>
      <c r="AW202">
        <v>73237.815100000007</v>
      </c>
      <c r="AZ202">
        <v>5256.3024999999998</v>
      </c>
      <c r="BA202">
        <v>5256.3024999999998</v>
      </c>
      <c r="BB202">
        <v>5256.3024999999998</v>
      </c>
      <c r="BC202">
        <v>5256.3024999999998</v>
      </c>
      <c r="BD202">
        <v>5256.3024999999998</v>
      </c>
      <c r="BE202">
        <v>5256.3024999999998</v>
      </c>
      <c r="BF202">
        <v>13900</v>
      </c>
      <c r="BG202">
        <v>13900</v>
      </c>
      <c r="BH202">
        <v>13900</v>
      </c>
      <c r="BJ202">
        <v>0</v>
      </c>
      <c r="BW202">
        <v>0</v>
      </c>
      <c r="CJ202">
        <v>0</v>
      </c>
      <c r="CW202">
        <v>0</v>
      </c>
      <c r="DJ202">
        <v>0</v>
      </c>
      <c r="DW202">
        <v>0</v>
      </c>
      <c r="EJ202">
        <v>0</v>
      </c>
    </row>
    <row r="203" spans="1:140" hidden="1" x14ac:dyDescent="0.35">
      <c r="A203" t="s">
        <v>3196</v>
      </c>
      <c r="B203" t="s">
        <v>249</v>
      </c>
      <c r="D203" t="s">
        <v>5867</v>
      </c>
      <c r="E203" t="s">
        <v>3273</v>
      </c>
      <c r="F203" t="s">
        <v>3274</v>
      </c>
      <c r="G203" t="s">
        <v>3273</v>
      </c>
      <c r="H203" t="s">
        <v>5868</v>
      </c>
      <c r="I203" t="s">
        <v>5368</v>
      </c>
      <c r="J203" t="s">
        <v>249</v>
      </c>
      <c r="K203" t="s">
        <v>249</v>
      </c>
      <c r="L203" t="s">
        <v>249</v>
      </c>
      <c r="M203" t="s">
        <v>249</v>
      </c>
      <c r="N203" t="s">
        <v>249</v>
      </c>
      <c r="O203" t="s">
        <v>249</v>
      </c>
      <c r="P203" t="s">
        <v>249</v>
      </c>
      <c r="Q203" t="s">
        <v>249</v>
      </c>
      <c r="R203" t="s">
        <v>249</v>
      </c>
      <c r="S203" t="s">
        <v>249</v>
      </c>
      <c r="T203" t="s">
        <v>249</v>
      </c>
      <c r="U203" t="s">
        <v>249</v>
      </c>
      <c r="V203" s="17"/>
      <c r="W203" s="17">
        <v>44620</v>
      </c>
      <c r="X203" s="17">
        <v>44733</v>
      </c>
      <c r="Y203">
        <v>-1429</v>
      </c>
      <c r="AA203">
        <v>3.7666666666666666</v>
      </c>
      <c r="AB203">
        <v>1586.3666666666666</v>
      </c>
      <c r="AC203" s="17">
        <v>44952</v>
      </c>
      <c r="AH203">
        <v>666750.77749999997</v>
      </c>
      <c r="AJ203">
        <v>0</v>
      </c>
      <c r="AW203">
        <v>648940.17749999999</v>
      </c>
      <c r="AZ203">
        <v>73154.929600000003</v>
      </c>
      <c r="BA203">
        <v>73154.929600000003</v>
      </c>
      <c r="BB203">
        <v>73154.929600000003</v>
      </c>
      <c r="BC203">
        <v>73154.929600000003</v>
      </c>
      <c r="BD203">
        <v>73154.929600000003</v>
      </c>
      <c r="BE203">
        <v>73154.929600000003</v>
      </c>
      <c r="BF203">
        <v>72650</v>
      </c>
      <c r="BG203">
        <v>72650</v>
      </c>
      <c r="BH203">
        <v>46900</v>
      </c>
      <c r="BI203">
        <v>17810.599999999999</v>
      </c>
      <c r="BJ203">
        <v>17810.599999999999</v>
      </c>
      <c r="BK203">
        <v>17810.599999999999</v>
      </c>
      <c r="BW203">
        <v>0</v>
      </c>
      <c r="CJ203">
        <v>0</v>
      </c>
      <c r="CW203">
        <v>0</v>
      </c>
      <c r="DJ203">
        <v>0</v>
      </c>
      <c r="DW203">
        <v>0</v>
      </c>
      <c r="EJ203">
        <v>0</v>
      </c>
    </row>
    <row r="204" spans="1:140" hidden="1" x14ac:dyDescent="0.35">
      <c r="A204" t="s">
        <v>3196</v>
      </c>
      <c r="B204" t="s">
        <v>249</v>
      </c>
      <c r="D204" t="s">
        <v>5869</v>
      </c>
      <c r="E204" t="s">
        <v>3305</v>
      </c>
      <c r="F204" t="s">
        <v>3306</v>
      </c>
      <c r="G204" t="s">
        <v>3305</v>
      </c>
      <c r="H204" t="s">
        <v>5870</v>
      </c>
      <c r="I204" t="s">
        <v>5368</v>
      </c>
      <c r="J204" t="s">
        <v>249</v>
      </c>
      <c r="K204" t="s">
        <v>249</v>
      </c>
      <c r="L204" t="s">
        <v>249</v>
      </c>
      <c r="M204" t="s">
        <v>249</v>
      </c>
      <c r="N204" t="s">
        <v>249</v>
      </c>
      <c r="O204" t="s">
        <v>249</v>
      </c>
      <c r="P204" t="s">
        <v>249</v>
      </c>
      <c r="Q204" t="s">
        <v>249</v>
      </c>
      <c r="R204" t="s">
        <v>249</v>
      </c>
      <c r="S204" t="s">
        <v>249</v>
      </c>
      <c r="T204" t="s">
        <v>249</v>
      </c>
      <c r="U204" t="s">
        <v>249</v>
      </c>
      <c r="V204" s="17"/>
      <c r="W204" s="17">
        <v>44641</v>
      </c>
      <c r="X204" s="17">
        <v>44887</v>
      </c>
      <c r="Y204">
        <v>-1275</v>
      </c>
      <c r="AA204">
        <v>8.1999999999999993</v>
      </c>
      <c r="AB204">
        <v>1581.2333333333333</v>
      </c>
      <c r="AC204" s="17"/>
      <c r="AH204">
        <v>136829.46770000001</v>
      </c>
      <c r="AJ204">
        <v>0</v>
      </c>
      <c r="AW204">
        <v>130879.1066</v>
      </c>
      <c r="AZ204">
        <v>10224.1011</v>
      </c>
      <c r="BA204">
        <v>10224.1011</v>
      </c>
      <c r="BB204">
        <v>10224.1011</v>
      </c>
      <c r="BC204">
        <v>10224.1011</v>
      </c>
      <c r="BD204">
        <v>10224.1011</v>
      </c>
      <c r="BE204">
        <v>10224.1011</v>
      </c>
      <c r="BF204">
        <v>22534</v>
      </c>
      <c r="BG204">
        <v>23500</v>
      </c>
      <c r="BH204">
        <v>23500</v>
      </c>
      <c r="BJ204">
        <v>5950.3611000000001</v>
      </c>
      <c r="BK204">
        <v>5950.3611000000001</v>
      </c>
      <c r="BW204">
        <v>0</v>
      </c>
      <c r="CJ204">
        <v>0</v>
      </c>
      <c r="CW204">
        <v>0</v>
      </c>
      <c r="DJ204">
        <v>0</v>
      </c>
      <c r="DW204">
        <v>0</v>
      </c>
      <c r="EJ204">
        <v>0</v>
      </c>
    </row>
    <row r="205" spans="1:140" hidden="1" x14ac:dyDescent="0.35">
      <c r="A205" t="s">
        <v>3196</v>
      </c>
      <c r="B205" t="s">
        <v>249</v>
      </c>
      <c r="D205" t="s">
        <v>5871</v>
      </c>
      <c r="E205" t="s">
        <v>3311</v>
      </c>
      <c r="F205" t="s">
        <v>3312</v>
      </c>
      <c r="G205" t="s">
        <v>3311</v>
      </c>
      <c r="H205" t="s">
        <v>5872</v>
      </c>
      <c r="I205" t="s">
        <v>5368</v>
      </c>
      <c r="J205" t="s">
        <v>249</v>
      </c>
      <c r="K205" t="s">
        <v>249</v>
      </c>
      <c r="L205" t="s">
        <v>249</v>
      </c>
      <c r="M205" t="s">
        <v>249</v>
      </c>
      <c r="N205" t="s">
        <v>249</v>
      </c>
      <c r="O205" t="s">
        <v>249</v>
      </c>
      <c r="P205" t="s">
        <v>249</v>
      </c>
      <c r="Q205" t="s">
        <v>249</v>
      </c>
      <c r="R205" t="s">
        <v>249</v>
      </c>
      <c r="S205" t="s">
        <v>249</v>
      </c>
      <c r="T205" t="s">
        <v>249</v>
      </c>
      <c r="U205" t="s">
        <v>249</v>
      </c>
      <c r="V205" s="17"/>
      <c r="W205" s="17">
        <v>44652</v>
      </c>
      <c r="X205" s="17">
        <v>44712</v>
      </c>
      <c r="Y205">
        <v>-1450</v>
      </c>
      <c r="AA205">
        <v>2</v>
      </c>
      <c r="AB205">
        <v>1587.0666666666666</v>
      </c>
      <c r="AC205" s="17">
        <v>44957</v>
      </c>
      <c r="AH205">
        <v>40000</v>
      </c>
      <c r="AJ205">
        <v>0</v>
      </c>
      <c r="AW205">
        <v>40000</v>
      </c>
      <c r="BB205">
        <v>19000</v>
      </c>
      <c r="BF205">
        <v>11000</v>
      </c>
      <c r="BG205">
        <v>5000</v>
      </c>
      <c r="BH205">
        <v>5000</v>
      </c>
      <c r="BJ205">
        <v>0</v>
      </c>
      <c r="BW205">
        <v>0</v>
      </c>
      <c r="CJ205">
        <v>0</v>
      </c>
      <c r="CW205">
        <v>0</v>
      </c>
      <c r="DJ205">
        <v>0</v>
      </c>
      <c r="DW205">
        <v>0</v>
      </c>
      <c r="EJ205">
        <v>0</v>
      </c>
    </row>
    <row r="206" spans="1:140" hidden="1" x14ac:dyDescent="0.35">
      <c r="A206" t="s">
        <v>3196</v>
      </c>
      <c r="B206" t="s">
        <v>249</v>
      </c>
      <c r="D206" t="s">
        <v>5873</v>
      </c>
      <c r="E206" t="s">
        <v>3197</v>
      </c>
      <c r="F206" t="s">
        <v>3198</v>
      </c>
      <c r="G206" t="s">
        <v>3199</v>
      </c>
      <c r="H206" t="s">
        <v>5874</v>
      </c>
      <c r="I206" t="s">
        <v>5368</v>
      </c>
      <c r="J206" t="s">
        <v>3071</v>
      </c>
      <c r="K206" t="s">
        <v>3071</v>
      </c>
      <c r="L206" t="s">
        <v>3068</v>
      </c>
      <c r="M206" t="s">
        <v>3069</v>
      </c>
      <c r="N206" t="s">
        <v>132</v>
      </c>
      <c r="O206" t="s">
        <v>3070</v>
      </c>
      <c r="P206">
        <v>0</v>
      </c>
      <c r="Q206" t="s">
        <v>3075</v>
      </c>
      <c r="R206">
        <v>0</v>
      </c>
      <c r="S206">
        <v>0</v>
      </c>
      <c r="T206" t="s">
        <v>5369</v>
      </c>
      <c r="U206" t="s">
        <v>5875</v>
      </c>
      <c r="V206" s="17">
        <v>44926</v>
      </c>
      <c r="W206" s="17">
        <v>44718</v>
      </c>
      <c r="X206" s="17">
        <v>44901</v>
      </c>
      <c r="Y206">
        <v>-1261</v>
      </c>
      <c r="Z206">
        <v>0</v>
      </c>
      <c r="AA206">
        <v>6.1</v>
      </c>
      <c r="AB206">
        <v>1580.7666666666667</v>
      </c>
      <c r="AC206" s="17">
        <v>45130</v>
      </c>
      <c r="AE206">
        <v>0</v>
      </c>
      <c r="AF206">
        <v>178900</v>
      </c>
      <c r="AG206">
        <v>29327.868900000001</v>
      </c>
      <c r="AH206">
        <v>146954.2389</v>
      </c>
      <c r="AI206">
        <v>-31945.7611</v>
      </c>
      <c r="AJ206">
        <v>0</v>
      </c>
      <c r="AW206">
        <v>146954.2389</v>
      </c>
      <c r="BE206">
        <v>29327.868900000001</v>
      </c>
      <c r="BF206">
        <v>32126</v>
      </c>
      <c r="BG206">
        <v>28500</v>
      </c>
      <c r="BH206">
        <v>28500</v>
      </c>
      <c r="BI206">
        <v>28500</v>
      </c>
      <c r="BJ206">
        <v>0</v>
      </c>
      <c r="BW206">
        <v>0</v>
      </c>
      <c r="CJ206">
        <v>0</v>
      </c>
      <c r="CW206">
        <v>0</v>
      </c>
      <c r="DJ206">
        <v>0</v>
      </c>
      <c r="DW206">
        <v>0</v>
      </c>
      <c r="EJ206">
        <v>0</v>
      </c>
    </row>
    <row r="207" spans="1:140" hidden="1" x14ac:dyDescent="0.35">
      <c r="A207" t="s">
        <v>3196</v>
      </c>
      <c r="B207" t="s">
        <v>249</v>
      </c>
      <c r="D207" t="s">
        <v>5876</v>
      </c>
      <c r="E207" t="s">
        <v>3200</v>
      </c>
      <c r="F207" t="s">
        <v>3201</v>
      </c>
      <c r="G207" t="s">
        <v>3202</v>
      </c>
      <c r="H207" t="s">
        <v>5877</v>
      </c>
      <c r="I207" t="s">
        <v>5368</v>
      </c>
      <c r="J207" t="s">
        <v>3203</v>
      </c>
      <c r="K207" t="s">
        <v>3203</v>
      </c>
      <c r="L207" t="s">
        <v>3068</v>
      </c>
      <c r="M207" t="s">
        <v>3069</v>
      </c>
      <c r="N207" t="s">
        <v>89</v>
      </c>
      <c r="O207" t="s">
        <v>3088</v>
      </c>
      <c r="P207">
        <v>0</v>
      </c>
      <c r="Q207" t="s">
        <v>3075</v>
      </c>
      <c r="R207">
        <v>0</v>
      </c>
      <c r="S207">
        <v>0</v>
      </c>
      <c r="T207" t="s">
        <v>5369</v>
      </c>
      <c r="U207" t="s">
        <v>5878</v>
      </c>
      <c r="V207" s="17">
        <v>44926</v>
      </c>
      <c r="W207" s="17">
        <v>44735</v>
      </c>
      <c r="X207" s="17">
        <v>44765</v>
      </c>
      <c r="Y207">
        <v>-1397</v>
      </c>
      <c r="Z207">
        <v>0</v>
      </c>
      <c r="AA207">
        <v>1</v>
      </c>
      <c r="AB207">
        <v>1585.3</v>
      </c>
      <c r="AC207" s="17"/>
      <c r="AE207">
        <v>0</v>
      </c>
      <c r="AF207">
        <v>15000</v>
      </c>
      <c r="AG207">
        <v>15000</v>
      </c>
      <c r="AH207">
        <v>22974.683499999999</v>
      </c>
      <c r="AI207">
        <v>7974.6835000000001</v>
      </c>
      <c r="AJ207">
        <v>0</v>
      </c>
      <c r="AW207">
        <v>18417.7215</v>
      </c>
      <c r="BD207">
        <v>15000</v>
      </c>
      <c r="BG207">
        <v>1139.2405000000001</v>
      </c>
      <c r="BH207">
        <v>1139</v>
      </c>
      <c r="BI207">
        <v>1139.2405000000001</v>
      </c>
      <c r="BJ207">
        <v>4556.9620000000004</v>
      </c>
      <c r="BK207">
        <v>1139.2405000000001</v>
      </c>
      <c r="BN207">
        <v>1139.2405000000001</v>
      </c>
      <c r="BO207">
        <v>1139.2405000000001</v>
      </c>
      <c r="BQ207">
        <v>1139.2405000000001</v>
      </c>
      <c r="BW207">
        <v>0</v>
      </c>
      <c r="CJ207">
        <v>0</v>
      </c>
      <c r="CW207">
        <v>0</v>
      </c>
      <c r="DJ207">
        <v>0</v>
      </c>
      <c r="DW207">
        <v>0</v>
      </c>
      <c r="EJ207">
        <v>0</v>
      </c>
    </row>
    <row r="208" spans="1:140" hidden="1" x14ac:dyDescent="0.35">
      <c r="A208" t="s">
        <v>3196</v>
      </c>
      <c r="B208" t="s">
        <v>249</v>
      </c>
      <c r="D208" t="s">
        <v>5879</v>
      </c>
      <c r="E208" t="s">
        <v>3216</v>
      </c>
      <c r="F208" t="s">
        <v>3217</v>
      </c>
      <c r="G208" t="s">
        <v>3218</v>
      </c>
      <c r="H208" t="s">
        <v>5880</v>
      </c>
      <c r="I208" t="s">
        <v>5368</v>
      </c>
      <c r="J208" t="s">
        <v>3071</v>
      </c>
      <c r="K208" t="s">
        <v>3071</v>
      </c>
      <c r="L208" t="s">
        <v>990</v>
      </c>
      <c r="M208" t="s">
        <v>3087</v>
      </c>
      <c r="N208" t="s">
        <v>132</v>
      </c>
      <c r="O208" t="s">
        <v>3070</v>
      </c>
      <c r="P208">
        <v>0</v>
      </c>
      <c r="Q208" t="s">
        <v>3075</v>
      </c>
      <c r="R208">
        <v>0</v>
      </c>
      <c r="S208">
        <v>0</v>
      </c>
      <c r="T208" t="s">
        <v>5369</v>
      </c>
      <c r="U208" t="s">
        <v>5881</v>
      </c>
      <c r="V208" s="17">
        <v>44926</v>
      </c>
      <c r="W208" s="17">
        <v>44736</v>
      </c>
      <c r="X208" s="17">
        <v>44766</v>
      </c>
      <c r="Y208">
        <v>-1396</v>
      </c>
      <c r="Z208">
        <v>0</v>
      </c>
      <c r="AA208">
        <v>1</v>
      </c>
      <c r="AB208">
        <v>1585.2666666666667</v>
      </c>
      <c r="AC208" s="17"/>
      <c r="AE208">
        <v>0</v>
      </c>
      <c r="AF208">
        <v>8992.25</v>
      </c>
      <c r="AG208">
        <v>8992.25</v>
      </c>
      <c r="AH208">
        <v>8992.25</v>
      </c>
      <c r="AI208">
        <v>0</v>
      </c>
      <c r="AJ208">
        <v>0</v>
      </c>
      <c r="AW208">
        <v>8992.25</v>
      </c>
      <c r="BD208">
        <v>8992.25</v>
      </c>
      <c r="BJ208">
        <v>0</v>
      </c>
      <c r="BW208">
        <v>0</v>
      </c>
      <c r="CJ208">
        <v>0</v>
      </c>
      <c r="CW208">
        <v>0</v>
      </c>
      <c r="DJ208">
        <v>0</v>
      </c>
      <c r="DW208">
        <v>0</v>
      </c>
      <c r="EJ208">
        <v>0</v>
      </c>
    </row>
    <row r="209" spans="1:140" hidden="1" x14ac:dyDescent="0.35">
      <c r="A209" t="s">
        <v>3196</v>
      </c>
      <c r="B209" t="s">
        <v>249</v>
      </c>
      <c r="D209" t="s">
        <v>5882</v>
      </c>
      <c r="E209" t="s">
        <v>3227</v>
      </c>
      <c r="F209" t="s">
        <v>3228</v>
      </c>
      <c r="G209" t="s">
        <v>3229</v>
      </c>
      <c r="H209" t="s">
        <v>5883</v>
      </c>
      <c r="I209" t="s">
        <v>5368</v>
      </c>
      <c r="J209" t="s">
        <v>3071</v>
      </c>
      <c r="K209" t="s">
        <v>3071</v>
      </c>
      <c r="L209" t="s">
        <v>125</v>
      </c>
      <c r="M209" t="s">
        <v>3087</v>
      </c>
      <c r="N209" t="s">
        <v>3230</v>
      </c>
      <c r="O209" t="s">
        <v>3155</v>
      </c>
      <c r="P209">
        <v>0</v>
      </c>
      <c r="Q209" t="s">
        <v>3075</v>
      </c>
      <c r="R209">
        <v>0</v>
      </c>
      <c r="S209">
        <v>0</v>
      </c>
      <c r="T209" t="s">
        <v>5369</v>
      </c>
      <c r="U209" t="s">
        <v>5884</v>
      </c>
      <c r="V209" s="17">
        <v>44926</v>
      </c>
      <c r="W209" s="17">
        <v>44739</v>
      </c>
      <c r="X209" s="17">
        <v>44769</v>
      </c>
      <c r="Y209">
        <v>-1393</v>
      </c>
      <c r="Z209">
        <v>0</v>
      </c>
      <c r="AA209">
        <v>1</v>
      </c>
      <c r="AB209">
        <v>1585.1666666666667</v>
      </c>
      <c r="AC209" s="17">
        <v>44971</v>
      </c>
      <c r="AE209">
        <v>0</v>
      </c>
      <c r="AF209">
        <v>4000</v>
      </c>
      <c r="AG209">
        <v>4000</v>
      </c>
      <c r="AH209">
        <v>4000</v>
      </c>
      <c r="AI209">
        <v>0</v>
      </c>
      <c r="AJ209">
        <v>0</v>
      </c>
      <c r="AW209">
        <v>4000</v>
      </c>
      <c r="BD209">
        <v>4000</v>
      </c>
      <c r="BJ209">
        <v>0</v>
      </c>
      <c r="BW209">
        <v>0</v>
      </c>
      <c r="CJ209">
        <v>0</v>
      </c>
      <c r="CW209">
        <v>0</v>
      </c>
      <c r="DJ209">
        <v>0</v>
      </c>
      <c r="DW209">
        <v>0</v>
      </c>
      <c r="EJ209">
        <v>0</v>
      </c>
    </row>
    <row r="210" spans="1:140" hidden="1" x14ac:dyDescent="0.35">
      <c r="A210" t="s">
        <v>3196</v>
      </c>
      <c r="B210" t="s">
        <v>249</v>
      </c>
      <c r="D210" t="s">
        <v>5885</v>
      </c>
      <c r="E210" t="s">
        <v>3234</v>
      </c>
      <c r="F210" t="s">
        <v>3235</v>
      </c>
      <c r="G210" t="s">
        <v>3236</v>
      </c>
      <c r="H210" t="s">
        <v>5886</v>
      </c>
      <c r="I210" t="s">
        <v>5368</v>
      </c>
      <c r="J210" t="s">
        <v>3071</v>
      </c>
      <c r="K210" t="s">
        <v>3071</v>
      </c>
      <c r="L210" t="s">
        <v>3237</v>
      </c>
      <c r="M210" t="s">
        <v>3087</v>
      </c>
      <c r="N210" t="s">
        <v>89</v>
      </c>
      <c r="O210" t="s">
        <v>3088</v>
      </c>
      <c r="P210">
        <v>0</v>
      </c>
      <c r="Q210" t="s">
        <v>3075</v>
      </c>
      <c r="R210">
        <v>0</v>
      </c>
      <c r="S210">
        <v>0</v>
      </c>
      <c r="T210" t="s">
        <v>5369</v>
      </c>
      <c r="U210" t="s">
        <v>5887</v>
      </c>
      <c r="V210" s="17">
        <v>44926</v>
      </c>
      <c r="W210" s="17">
        <v>44739</v>
      </c>
      <c r="X210" s="17">
        <v>44922</v>
      </c>
      <c r="Y210">
        <v>-1240</v>
      </c>
      <c r="Z210">
        <v>0</v>
      </c>
      <c r="AA210">
        <v>6.1</v>
      </c>
      <c r="AB210">
        <v>1580.0666666666666</v>
      </c>
      <c r="AC210" s="17"/>
      <c r="AE210">
        <v>0</v>
      </c>
      <c r="AF210">
        <v>94800</v>
      </c>
      <c r="AG210">
        <v>15540.9836</v>
      </c>
      <c r="AH210">
        <v>90740.587899999999</v>
      </c>
      <c r="AI210">
        <v>-4059.4121</v>
      </c>
      <c r="AJ210">
        <v>0</v>
      </c>
      <c r="AW210">
        <v>78481.967199999999</v>
      </c>
      <c r="BD210">
        <v>15540.9836</v>
      </c>
      <c r="BE210">
        <v>15540.9836</v>
      </c>
      <c r="BF210">
        <v>15800</v>
      </c>
      <c r="BG210">
        <v>15800</v>
      </c>
      <c r="BH210">
        <v>15800</v>
      </c>
      <c r="BJ210">
        <v>12258.620699999999</v>
      </c>
      <c r="BK210">
        <v>12258.620699999999</v>
      </c>
      <c r="BW210">
        <v>0</v>
      </c>
      <c r="CJ210">
        <v>0</v>
      </c>
      <c r="CW210">
        <v>0</v>
      </c>
      <c r="DJ210">
        <v>0</v>
      </c>
      <c r="DW210">
        <v>0</v>
      </c>
      <c r="EJ210">
        <v>0</v>
      </c>
    </row>
    <row r="211" spans="1:140" hidden="1" x14ac:dyDescent="0.35">
      <c r="A211" t="s">
        <v>3196</v>
      </c>
      <c r="B211" t="s">
        <v>249</v>
      </c>
      <c r="D211" t="s">
        <v>5888</v>
      </c>
      <c r="E211" t="s">
        <v>3204</v>
      </c>
      <c r="F211" t="s">
        <v>5889</v>
      </c>
      <c r="G211" t="s">
        <v>3206</v>
      </c>
      <c r="H211" t="s">
        <v>5890</v>
      </c>
      <c r="I211" t="s">
        <v>5368</v>
      </c>
      <c r="J211" t="s">
        <v>3071</v>
      </c>
      <c r="K211" t="s">
        <v>3071</v>
      </c>
      <c r="L211" t="s">
        <v>3068</v>
      </c>
      <c r="M211" t="s">
        <v>3069</v>
      </c>
      <c r="N211" t="s">
        <v>89</v>
      </c>
      <c r="O211" t="s">
        <v>3088</v>
      </c>
      <c r="P211">
        <v>0</v>
      </c>
      <c r="Q211" t="s">
        <v>3075</v>
      </c>
      <c r="R211">
        <v>0</v>
      </c>
      <c r="S211">
        <v>0</v>
      </c>
      <c r="T211" t="s">
        <v>5369</v>
      </c>
      <c r="U211" t="s">
        <v>5891</v>
      </c>
      <c r="V211" s="17">
        <v>44926</v>
      </c>
      <c r="W211" s="17">
        <v>44747</v>
      </c>
      <c r="X211" s="17">
        <v>44900</v>
      </c>
      <c r="Y211">
        <v>-1262</v>
      </c>
      <c r="Z211">
        <v>0</v>
      </c>
      <c r="AA211">
        <v>5.0999999999999996</v>
      </c>
      <c r="AB211">
        <v>1580.8</v>
      </c>
      <c r="AC211" s="17"/>
      <c r="AE211">
        <v>0</v>
      </c>
      <c r="AF211">
        <v>110000</v>
      </c>
      <c r="AG211">
        <v>21568.627499999999</v>
      </c>
      <c r="AH211">
        <v>226408.35750000001</v>
      </c>
      <c r="AI211">
        <v>116408.3575</v>
      </c>
      <c r="AJ211">
        <v>0</v>
      </c>
      <c r="AW211">
        <v>117382.7375</v>
      </c>
      <c r="BE211">
        <v>21568.627499999999</v>
      </c>
      <c r="BF211">
        <v>23975</v>
      </c>
      <c r="BG211">
        <v>27839.11</v>
      </c>
      <c r="BH211">
        <v>22000</v>
      </c>
      <c r="BI211">
        <v>22000</v>
      </c>
      <c r="BJ211">
        <v>109025.62</v>
      </c>
      <c r="BK211">
        <v>23000</v>
      </c>
      <c r="BL211">
        <v>24885.95</v>
      </c>
      <c r="BM211">
        <v>23990</v>
      </c>
      <c r="BN211">
        <v>23000</v>
      </c>
      <c r="BO211">
        <v>14149.67</v>
      </c>
      <c r="BW211">
        <v>0</v>
      </c>
      <c r="CJ211">
        <v>0</v>
      </c>
      <c r="CW211">
        <v>0</v>
      </c>
      <c r="DJ211">
        <v>0</v>
      </c>
      <c r="DW211">
        <v>0</v>
      </c>
      <c r="EJ211">
        <v>0</v>
      </c>
    </row>
    <row r="212" spans="1:140" hidden="1" x14ac:dyDescent="0.35">
      <c r="A212" t="s">
        <v>3196</v>
      </c>
      <c r="B212" t="s">
        <v>249</v>
      </c>
      <c r="D212" t="s">
        <v>5892</v>
      </c>
      <c r="E212" t="s">
        <v>3276</v>
      </c>
      <c r="F212" t="s">
        <v>3277</v>
      </c>
      <c r="G212" t="s">
        <v>3276</v>
      </c>
      <c r="H212" t="s">
        <v>5893</v>
      </c>
      <c r="I212" t="s">
        <v>5368</v>
      </c>
      <c r="J212" t="s">
        <v>249</v>
      </c>
      <c r="K212" t="s">
        <v>249</v>
      </c>
      <c r="L212" t="s">
        <v>249</v>
      </c>
      <c r="M212" t="s">
        <v>249</v>
      </c>
      <c r="N212" t="s">
        <v>249</v>
      </c>
      <c r="O212" t="s">
        <v>249</v>
      </c>
      <c r="P212" t="s">
        <v>249</v>
      </c>
      <c r="Q212" t="s">
        <v>249</v>
      </c>
      <c r="R212" t="s">
        <v>249</v>
      </c>
      <c r="S212" t="s">
        <v>249</v>
      </c>
      <c r="T212" t="s">
        <v>249</v>
      </c>
      <c r="U212" t="s">
        <v>249</v>
      </c>
      <c r="V212" s="17"/>
      <c r="W212" s="17">
        <v>44777</v>
      </c>
      <c r="X212" s="17">
        <v>44863</v>
      </c>
      <c r="Y212">
        <v>-1299</v>
      </c>
      <c r="AA212">
        <v>2.8666666666666667</v>
      </c>
      <c r="AB212">
        <v>1582.0333333333333</v>
      </c>
      <c r="AC212" s="17"/>
      <c r="AH212">
        <v>212471.67</v>
      </c>
      <c r="AJ212">
        <v>0</v>
      </c>
      <c r="AW212">
        <v>104000</v>
      </c>
      <c r="BF212">
        <v>26000</v>
      </c>
      <c r="BG212">
        <v>26000</v>
      </c>
      <c r="BH212">
        <v>26000</v>
      </c>
      <c r="BI212">
        <v>26000</v>
      </c>
      <c r="BJ212">
        <v>108471.67</v>
      </c>
      <c r="BK212">
        <v>26000</v>
      </c>
      <c r="BL212">
        <v>32985</v>
      </c>
      <c r="BM212">
        <v>26000</v>
      </c>
      <c r="BN212">
        <v>23486.67</v>
      </c>
      <c r="BW212">
        <v>0</v>
      </c>
      <c r="CJ212">
        <v>0</v>
      </c>
      <c r="CW212">
        <v>0</v>
      </c>
      <c r="DJ212">
        <v>0</v>
      </c>
      <c r="DW212">
        <v>0</v>
      </c>
      <c r="EJ212">
        <v>0</v>
      </c>
    </row>
    <row r="213" spans="1:140" hidden="1" x14ac:dyDescent="0.35">
      <c r="A213" t="s">
        <v>3196</v>
      </c>
      <c r="B213" t="s">
        <v>249</v>
      </c>
      <c r="D213" t="s">
        <v>5894</v>
      </c>
      <c r="E213" t="s">
        <v>3299</v>
      </c>
      <c r="F213" t="s">
        <v>3300</v>
      </c>
      <c r="G213" t="s">
        <v>3301</v>
      </c>
      <c r="H213" t="s">
        <v>5895</v>
      </c>
      <c r="I213" t="s">
        <v>5368</v>
      </c>
      <c r="J213" t="s">
        <v>3071</v>
      </c>
      <c r="K213" t="s">
        <v>3071</v>
      </c>
      <c r="L213" t="s">
        <v>98</v>
      </c>
      <c r="M213" t="s">
        <v>3087</v>
      </c>
      <c r="N213" t="s">
        <v>3302</v>
      </c>
      <c r="O213" t="s">
        <v>3088</v>
      </c>
      <c r="P213">
        <v>0</v>
      </c>
      <c r="Q213" t="s">
        <v>3075</v>
      </c>
      <c r="R213">
        <v>0</v>
      </c>
      <c r="S213">
        <v>0</v>
      </c>
      <c r="T213" t="s">
        <v>5369</v>
      </c>
      <c r="U213" t="s">
        <v>5896</v>
      </c>
      <c r="V213" s="17">
        <v>44763</v>
      </c>
      <c r="W213" s="17">
        <v>44781</v>
      </c>
      <c r="X213" s="17">
        <v>44965</v>
      </c>
      <c r="Y213">
        <v>-1197</v>
      </c>
      <c r="Z213">
        <v>0</v>
      </c>
      <c r="AA213">
        <v>6.1333333333333337</v>
      </c>
      <c r="AB213">
        <v>1578.6333333333334</v>
      </c>
      <c r="AC213" s="17"/>
      <c r="AE213">
        <v>0</v>
      </c>
      <c r="AF213">
        <v>203100</v>
      </c>
      <c r="AG213">
        <v>33114.130400000002</v>
      </c>
      <c r="AH213">
        <v>236950</v>
      </c>
      <c r="AI213">
        <v>33850</v>
      </c>
      <c r="AJ213">
        <v>0</v>
      </c>
      <c r="AW213">
        <v>135400</v>
      </c>
      <c r="BF213">
        <v>33850</v>
      </c>
      <c r="BG213">
        <v>33850</v>
      </c>
      <c r="BH213">
        <v>33850</v>
      </c>
      <c r="BI213">
        <v>33850</v>
      </c>
      <c r="BJ213">
        <v>101550</v>
      </c>
      <c r="BK213">
        <v>33850</v>
      </c>
      <c r="BL213">
        <v>33850</v>
      </c>
      <c r="BM213">
        <v>33850</v>
      </c>
      <c r="BW213">
        <v>0</v>
      </c>
      <c r="CJ213">
        <v>0</v>
      </c>
      <c r="CW213">
        <v>0</v>
      </c>
      <c r="DJ213">
        <v>0</v>
      </c>
      <c r="DW213">
        <v>0</v>
      </c>
      <c r="EJ213">
        <v>0</v>
      </c>
    </row>
    <row r="214" spans="1:140" hidden="1" x14ac:dyDescent="0.35">
      <c r="A214" t="s">
        <v>3196</v>
      </c>
      <c r="B214" t="s">
        <v>249</v>
      </c>
      <c r="D214" t="s">
        <v>5897</v>
      </c>
      <c r="E214" t="s">
        <v>4496</v>
      </c>
      <c r="F214" t="s">
        <v>4497</v>
      </c>
      <c r="G214" t="s">
        <v>4496</v>
      </c>
      <c r="H214" t="s">
        <v>5898</v>
      </c>
      <c r="I214" t="s">
        <v>5368</v>
      </c>
      <c r="J214" t="s">
        <v>249</v>
      </c>
      <c r="K214" t="s">
        <v>249</v>
      </c>
      <c r="L214" t="s">
        <v>249</v>
      </c>
      <c r="M214" t="s">
        <v>249</v>
      </c>
      <c r="N214" t="s">
        <v>249</v>
      </c>
      <c r="O214" t="s">
        <v>249</v>
      </c>
      <c r="P214" t="s">
        <v>249</v>
      </c>
      <c r="Q214" t="s">
        <v>249</v>
      </c>
      <c r="R214" t="s">
        <v>249</v>
      </c>
      <c r="S214" t="s">
        <v>249</v>
      </c>
      <c r="T214" t="s">
        <v>249</v>
      </c>
      <c r="U214" t="s">
        <v>249</v>
      </c>
      <c r="V214" s="17"/>
      <c r="W214" s="17">
        <v>44810</v>
      </c>
      <c r="X214" s="17">
        <v>45175</v>
      </c>
      <c r="Y214">
        <v>-987</v>
      </c>
      <c r="AA214">
        <v>12.166666666666666</v>
      </c>
      <c r="AB214">
        <v>1571.6333333333334</v>
      </c>
      <c r="AC214" s="17"/>
      <c r="AH214">
        <v>11834.55</v>
      </c>
      <c r="AJ214">
        <v>0</v>
      </c>
      <c r="AW214">
        <v>11834.55</v>
      </c>
      <c r="BF214">
        <v>11835</v>
      </c>
      <c r="BJ214">
        <v>0</v>
      </c>
      <c r="BW214">
        <v>0</v>
      </c>
      <c r="CJ214">
        <v>0</v>
      </c>
      <c r="CW214">
        <v>0</v>
      </c>
      <c r="DJ214">
        <v>0</v>
      </c>
      <c r="DW214">
        <v>0</v>
      </c>
      <c r="EJ214">
        <v>0</v>
      </c>
    </row>
    <row r="215" spans="1:140" hidden="1" x14ac:dyDescent="0.35">
      <c r="A215" t="s">
        <v>3196</v>
      </c>
      <c r="B215" t="s">
        <v>249</v>
      </c>
      <c r="D215" t="s">
        <v>5899</v>
      </c>
      <c r="E215" t="s">
        <v>4486</v>
      </c>
      <c r="F215" t="s">
        <v>4487</v>
      </c>
      <c r="G215" t="s">
        <v>4488</v>
      </c>
      <c r="H215" t="s">
        <v>5900</v>
      </c>
      <c r="I215" t="s">
        <v>5368</v>
      </c>
      <c r="J215" t="s">
        <v>3203</v>
      </c>
      <c r="K215" t="s">
        <v>3203</v>
      </c>
      <c r="L215" t="s">
        <v>4410</v>
      </c>
      <c r="M215" t="s">
        <v>3139</v>
      </c>
      <c r="N215" t="s">
        <v>89</v>
      </c>
      <c r="O215" t="s">
        <v>3088</v>
      </c>
      <c r="P215">
        <v>0</v>
      </c>
      <c r="Q215" t="s">
        <v>3075</v>
      </c>
      <c r="R215">
        <v>0</v>
      </c>
      <c r="S215">
        <v>0</v>
      </c>
      <c r="T215" t="s">
        <v>5369</v>
      </c>
      <c r="U215" t="s">
        <v>5901</v>
      </c>
      <c r="V215" s="17">
        <v>44926</v>
      </c>
      <c r="W215" s="17">
        <v>44813</v>
      </c>
      <c r="X215" s="17">
        <v>44904</v>
      </c>
      <c r="Y215">
        <v>-1258</v>
      </c>
      <c r="Z215">
        <v>0</v>
      </c>
      <c r="AA215">
        <v>3.0333333333333332</v>
      </c>
      <c r="AB215">
        <v>1580.6666666666667</v>
      </c>
      <c r="AC215" s="17"/>
      <c r="AE215">
        <v>0</v>
      </c>
      <c r="AF215">
        <v>19800</v>
      </c>
      <c r="AG215">
        <v>6527.4724999999999</v>
      </c>
      <c r="AH215">
        <v>11900</v>
      </c>
      <c r="AI215">
        <v>-7900</v>
      </c>
      <c r="AJ215">
        <v>0</v>
      </c>
      <c r="AW215">
        <v>11900</v>
      </c>
      <c r="BF215">
        <v>8925</v>
      </c>
      <c r="BG215">
        <v>2975</v>
      </c>
      <c r="BJ215">
        <v>0</v>
      </c>
      <c r="BW215">
        <v>0</v>
      </c>
      <c r="CJ215">
        <v>0</v>
      </c>
      <c r="CW215">
        <v>0</v>
      </c>
      <c r="DJ215">
        <v>0</v>
      </c>
      <c r="DW215">
        <v>0</v>
      </c>
      <c r="EJ215">
        <v>0</v>
      </c>
    </row>
    <row r="216" spans="1:140" hidden="1" x14ac:dyDescent="0.35">
      <c r="A216" t="s">
        <v>3196</v>
      </c>
      <c r="B216" t="s">
        <v>249</v>
      </c>
      <c r="D216" t="s">
        <v>5902</v>
      </c>
      <c r="E216" t="s">
        <v>3219</v>
      </c>
      <c r="F216" t="s">
        <v>3220</v>
      </c>
      <c r="G216" t="s">
        <v>3219</v>
      </c>
      <c r="H216" t="s">
        <v>5903</v>
      </c>
      <c r="I216" t="s">
        <v>5368</v>
      </c>
      <c r="J216" t="s">
        <v>249</v>
      </c>
      <c r="K216" t="s">
        <v>249</v>
      </c>
      <c r="L216" t="s">
        <v>249</v>
      </c>
      <c r="M216" t="s">
        <v>249</v>
      </c>
      <c r="N216" t="s">
        <v>249</v>
      </c>
      <c r="O216" t="s">
        <v>249</v>
      </c>
      <c r="P216" t="s">
        <v>249</v>
      </c>
      <c r="Q216" t="s">
        <v>249</v>
      </c>
      <c r="R216" t="s">
        <v>249</v>
      </c>
      <c r="S216" t="s">
        <v>249</v>
      </c>
      <c r="T216" t="s">
        <v>249</v>
      </c>
      <c r="U216" t="s">
        <v>249</v>
      </c>
      <c r="V216" s="17"/>
      <c r="W216" s="17">
        <v>44838</v>
      </c>
      <c r="X216" s="17">
        <v>44942</v>
      </c>
      <c r="Y216">
        <v>-1220</v>
      </c>
      <c r="AA216">
        <v>3.4666666666666668</v>
      </c>
      <c r="AB216">
        <v>1579.4</v>
      </c>
      <c r="AC216" s="17"/>
      <c r="AH216">
        <v>48649.94</v>
      </c>
      <c r="AJ216">
        <v>0</v>
      </c>
      <c r="AW216">
        <v>40449.94</v>
      </c>
      <c r="BG216">
        <v>18970.55</v>
      </c>
      <c r="BH216">
        <v>13279</v>
      </c>
      <c r="BI216">
        <v>8200</v>
      </c>
      <c r="BJ216">
        <v>8200</v>
      </c>
      <c r="BK216">
        <v>8200</v>
      </c>
      <c r="BW216">
        <v>0</v>
      </c>
      <c r="CJ216">
        <v>0</v>
      </c>
      <c r="CW216">
        <v>0</v>
      </c>
      <c r="DJ216">
        <v>0</v>
      </c>
      <c r="DW216">
        <v>0</v>
      </c>
      <c r="EJ216">
        <v>0</v>
      </c>
    </row>
    <row r="217" spans="1:140" hidden="1" x14ac:dyDescent="0.35">
      <c r="A217" t="s">
        <v>3196</v>
      </c>
      <c r="B217" t="s">
        <v>249</v>
      </c>
      <c r="D217" t="s">
        <v>5904</v>
      </c>
      <c r="E217" t="s">
        <v>4491</v>
      </c>
      <c r="F217" t="s">
        <v>4492</v>
      </c>
      <c r="G217" t="s">
        <v>4493</v>
      </c>
      <c r="H217" t="s">
        <v>5905</v>
      </c>
      <c r="I217" t="s">
        <v>5368</v>
      </c>
      <c r="J217" t="s">
        <v>3203</v>
      </c>
      <c r="K217" t="s">
        <v>3203</v>
      </c>
      <c r="L217" t="s">
        <v>4410</v>
      </c>
      <c r="M217" t="s">
        <v>3139</v>
      </c>
      <c r="N217" t="s">
        <v>89</v>
      </c>
      <c r="O217" t="s">
        <v>3088</v>
      </c>
      <c r="P217">
        <v>0</v>
      </c>
      <c r="Q217" t="s">
        <v>3075</v>
      </c>
      <c r="R217">
        <v>0</v>
      </c>
      <c r="S217">
        <v>0</v>
      </c>
      <c r="T217" t="s">
        <v>5369</v>
      </c>
      <c r="U217" t="s">
        <v>5906</v>
      </c>
      <c r="V217" s="17">
        <v>44813</v>
      </c>
      <c r="W217" s="17">
        <v>44840</v>
      </c>
      <c r="X217" s="17">
        <v>44885</v>
      </c>
      <c r="Y217">
        <v>-1277</v>
      </c>
      <c r="Z217">
        <v>0</v>
      </c>
      <c r="AA217">
        <v>1.5</v>
      </c>
      <c r="AB217">
        <v>1581.3</v>
      </c>
      <c r="AC217" s="17"/>
      <c r="AE217">
        <v>0</v>
      </c>
      <c r="AF217">
        <v>25429.7</v>
      </c>
      <c r="AG217">
        <v>16953.133300000001</v>
      </c>
      <c r="AH217">
        <v>25429.7</v>
      </c>
      <c r="AI217">
        <v>0</v>
      </c>
      <c r="AJ217">
        <v>0</v>
      </c>
      <c r="AW217">
        <v>15257.82</v>
      </c>
      <c r="BG217">
        <v>15257.82</v>
      </c>
      <c r="BJ217">
        <v>10171.879999999999</v>
      </c>
      <c r="BL217">
        <v>10171.879999999999</v>
      </c>
      <c r="BW217">
        <v>0</v>
      </c>
      <c r="CJ217">
        <v>0</v>
      </c>
      <c r="CW217">
        <v>0</v>
      </c>
      <c r="DJ217">
        <v>0</v>
      </c>
      <c r="DW217">
        <v>0</v>
      </c>
      <c r="EJ217">
        <v>0</v>
      </c>
    </row>
    <row r="218" spans="1:140" hidden="1" x14ac:dyDescent="0.35">
      <c r="A218" t="s">
        <v>3196</v>
      </c>
      <c r="B218" t="s">
        <v>249</v>
      </c>
      <c r="D218" t="s">
        <v>5907</v>
      </c>
      <c r="E218" t="s">
        <v>3308</v>
      </c>
      <c r="F218" t="s">
        <v>3309</v>
      </c>
      <c r="G218" t="s">
        <v>3310</v>
      </c>
      <c r="H218" t="s">
        <v>5908</v>
      </c>
      <c r="I218" t="s">
        <v>5368</v>
      </c>
      <c r="J218" t="s">
        <v>3108</v>
      </c>
      <c r="K218" t="s">
        <v>3108</v>
      </c>
      <c r="L218" t="s">
        <v>196</v>
      </c>
      <c r="M218" t="s">
        <v>3180</v>
      </c>
      <c r="N218" t="s">
        <v>196</v>
      </c>
      <c r="O218" t="s">
        <v>3107</v>
      </c>
      <c r="P218">
        <v>0</v>
      </c>
      <c r="Q218" t="s">
        <v>3075</v>
      </c>
      <c r="R218">
        <v>0</v>
      </c>
      <c r="S218">
        <v>0</v>
      </c>
      <c r="T218" t="s">
        <v>5369</v>
      </c>
      <c r="U218" t="s">
        <v>5909</v>
      </c>
      <c r="V218" s="17">
        <v>44830</v>
      </c>
      <c r="W218" s="17">
        <v>44842</v>
      </c>
      <c r="X218" s="17">
        <v>44884</v>
      </c>
      <c r="Y218">
        <v>-1278</v>
      </c>
      <c r="Z218">
        <v>0</v>
      </c>
      <c r="AA218">
        <v>1.4</v>
      </c>
      <c r="AB218">
        <v>1581.3333333333333</v>
      </c>
      <c r="AC218" s="17"/>
      <c r="AE218">
        <v>0</v>
      </c>
      <c r="AF218">
        <v>18800</v>
      </c>
      <c r="AG218">
        <v>13428.571400000001</v>
      </c>
      <c r="AH218">
        <v>20205</v>
      </c>
      <c r="AI218">
        <v>1405</v>
      </c>
      <c r="AJ218">
        <v>0</v>
      </c>
      <c r="AW218">
        <v>20205</v>
      </c>
      <c r="BG218">
        <v>11225</v>
      </c>
      <c r="BH218">
        <v>8980</v>
      </c>
      <c r="BJ218">
        <v>0</v>
      </c>
      <c r="BW218">
        <v>0</v>
      </c>
      <c r="CJ218">
        <v>0</v>
      </c>
      <c r="CW218">
        <v>0</v>
      </c>
      <c r="DJ218">
        <v>0</v>
      </c>
      <c r="DW218">
        <v>0</v>
      </c>
      <c r="EJ218">
        <v>0</v>
      </c>
    </row>
    <row r="219" spans="1:140" hidden="1" x14ac:dyDescent="0.35">
      <c r="A219" t="s">
        <v>3196</v>
      </c>
      <c r="B219" t="s">
        <v>249</v>
      </c>
      <c r="D219" t="s">
        <v>5910</v>
      </c>
      <c r="E219" t="s">
        <v>4470</v>
      </c>
      <c r="F219" t="s">
        <v>4471</v>
      </c>
      <c r="G219" t="s">
        <v>4470</v>
      </c>
      <c r="H219" t="s">
        <v>5911</v>
      </c>
      <c r="I219" t="s">
        <v>5368</v>
      </c>
      <c r="J219" t="s">
        <v>249</v>
      </c>
      <c r="K219" t="s">
        <v>249</v>
      </c>
      <c r="L219" t="s">
        <v>249</v>
      </c>
      <c r="M219" t="s">
        <v>249</v>
      </c>
      <c r="N219" t="s">
        <v>249</v>
      </c>
      <c r="O219" t="s">
        <v>249</v>
      </c>
      <c r="P219" t="s">
        <v>249</v>
      </c>
      <c r="Q219" t="s">
        <v>249</v>
      </c>
      <c r="R219" t="s">
        <v>249</v>
      </c>
      <c r="S219" t="s">
        <v>249</v>
      </c>
      <c r="T219" t="s">
        <v>249</v>
      </c>
      <c r="U219" t="s">
        <v>249</v>
      </c>
      <c r="V219" s="17"/>
      <c r="W219" s="17">
        <v>44849</v>
      </c>
      <c r="X219" s="17">
        <v>44894</v>
      </c>
      <c r="Y219">
        <v>-1268</v>
      </c>
      <c r="AA219">
        <v>1.5</v>
      </c>
      <c r="AB219">
        <v>1581</v>
      </c>
      <c r="AC219" s="17"/>
      <c r="AH219">
        <v>42502.7</v>
      </c>
      <c r="AJ219">
        <v>0</v>
      </c>
      <c r="AW219">
        <v>25501.62</v>
      </c>
      <c r="BI219">
        <v>25501.62</v>
      </c>
      <c r="BJ219">
        <v>17001.080000000002</v>
      </c>
      <c r="BL219">
        <v>17001.080000000002</v>
      </c>
      <c r="BW219">
        <v>0</v>
      </c>
      <c r="CJ219">
        <v>0</v>
      </c>
      <c r="CW219">
        <v>0</v>
      </c>
      <c r="DJ219">
        <v>0</v>
      </c>
      <c r="DW219">
        <v>0</v>
      </c>
      <c r="EJ219">
        <v>0</v>
      </c>
    </row>
    <row r="220" spans="1:140" hidden="1" x14ac:dyDescent="0.35">
      <c r="A220" t="s">
        <v>3196</v>
      </c>
      <c r="B220" t="s">
        <v>249</v>
      </c>
      <c r="D220" t="s">
        <v>5912</v>
      </c>
      <c r="E220" t="s">
        <v>3224</v>
      </c>
      <c r="F220" t="s">
        <v>3225</v>
      </c>
      <c r="G220" t="s">
        <v>3226</v>
      </c>
      <c r="H220" t="s">
        <v>5913</v>
      </c>
      <c r="I220" t="s">
        <v>5368</v>
      </c>
      <c r="J220" t="s">
        <v>3108</v>
      </c>
      <c r="K220" t="s">
        <v>3108</v>
      </c>
      <c r="L220" t="s">
        <v>990</v>
      </c>
      <c r="M220" t="s">
        <v>3087</v>
      </c>
      <c r="N220" t="s">
        <v>990</v>
      </c>
      <c r="O220" t="s">
        <v>3107</v>
      </c>
      <c r="P220">
        <v>0</v>
      </c>
      <c r="Q220" t="s">
        <v>3075</v>
      </c>
      <c r="R220">
        <v>0</v>
      </c>
      <c r="S220">
        <v>0</v>
      </c>
      <c r="T220" t="s">
        <v>5369</v>
      </c>
      <c r="U220" t="s">
        <v>5914</v>
      </c>
      <c r="V220" s="17">
        <v>44881</v>
      </c>
      <c r="W220" s="17">
        <v>44870</v>
      </c>
      <c r="X220" s="17">
        <v>44870</v>
      </c>
      <c r="Y220">
        <v>-1292</v>
      </c>
      <c r="Z220">
        <v>0</v>
      </c>
      <c r="AA220">
        <v>0</v>
      </c>
      <c r="AB220">
        <v>1581.8</v>
      </c>
      <c r="AC220" s="17">
        <v>44951</v>
      </c>
      <c r="AE220">
        <v>0</v>
      </c>
      <c r="AF220">
        <v>8490</v>
      </c>
      <c r="AH220">
        <v>8490</v>
      </c>
      <c r="AI220">
        <v>0</v>
      </c>
      <c r="AJ220">
        <v>0</v>
      </c>
      <c r="AW220">
        <v>8490</v>
      </c>
      <c r="BI220">
        <v>8490</v>
      </c>
      <c r="BJ220">
        <v>0</v>
      </c>
      <c r="BW220">
        <v>0</v>
      </c>
      <c r="CJ220">
        <v>0</v>
      </c>
      <c r="CW220">
        <v>0</v>
      </c>
      <c r="DJ220">
        <v>0</v>
      </c>
      <c r="DW220">
        <v>0</v>
      </c>
      <c r="EJ220">
        <v>0</v>
      </c>
    </row>
    <row r="221" spans="1:140" hidden="1" x14ac:dyDescent="0.35">
      <c r="A221" t="s">
        <v>3196</v>
      </c>
      <c r="B221" t="s">
        <v>249</v>
      </c>
      <c r="D221" t="s">
        <v>5915</v>
      </c>
      <c r="E221" t="s">
        <v>3210</v>
      </c>
      <c r="F221" t="s">
        <v>3211</v>
      </c>
      <c r="G221" t="s">
        <v>3210</v>
      </c>
      <c r="H221" t="s">
        <v>5916</v>
      </c>
      <c r="I221" t="s">
        <v>5368</v>
      </c>
      <c r="J221" t="s">
        <v>249</v>
      </c>
      <c r="K221" t="s">
        <v>249</v>
      </c>
      <c r="L221" t="s">
        <v>249</v>
      </c>
      <c r="M221" t="s">
        <v>249</v>
      </c>
      <c r="N221" t="s">
        <v>249</v>
      </c>
      <c r="O221" t="s">
        <v>249</v>
      </c>
      <c r="P221" t="s">
        <v>249</v>
      </c>
      <c r="Q221" t="s">
        <v>249</v>
      </c>
      <c r="R221" t="s">
        <v>249</v>
      </c>
      <c r="S221" t="s">
        <v>249</v>
      </c>
      <c r="T221" t="s">
        <v>249</v>
      </c>
      <c r="U221" t="s">
        <v>249</v>
      </c>
      <c r="V221" s="17"/>
      <c r="W221" s="17">
        <v>44893</v>
      </c>
      <c r="X221" s="17">
        <v>44925</v>
      </c>
      <c r="Y221">
        <v>-1237</v>
      </c>
      <c r="AA221">
        <v>1.0666666666666667</v>
      </c>
      <c r="AB221">
        <v>1579.9666666666667</v>
      </c>
      <c r="AC221" s="17"/>
      <c r="AH221">
        <v>13000</v>
      </c>
      <c r="AJ221">
        <v>0</v>
      </c>
      <c r="AW221">
        <v>13000</v>
      </c>
      <c r="BG221">
        <v>13000</v>
      </c>
      <c r="BJ221">
        <v>0</v>
      </c>
      <c r="BW221">
        <v>0</v>
      </c>
      <c r="CJ221">
        <v>0</v>
      </c>
      <c r="CW221">
        <v>0</v>
      </c>
      <c r="DJ221">
        <v>0</v>
      </c>
      <c r="DW221">
        <v>0</v>
      </c>
      <c r="EJ221">
        <v>0</v>
      </c>
    </row>
    <row r="222" spans="1:140" hidden="1" x14ac:dyDescent="0.35">
      <c r="A222" t="s">
        <v>3196</v>
      </c>
      <c r="B222" t="s">
        <v>249</v>
      </c>
      <c r="D222" t="s">
        <v>5917</v>
      </c>
      <c r="E222" t="s">
        <v>3243</v>
      </c>
      <c r="F222" t="s">
        <v>3244</v>
      </c>
      <c r="G222" t="s">
        <v>3245</v>
      </c>
      <c r="H222" t="s">
        <v>5918</v>
      </c>
      <c r="I222" t="s">
        <v>5368</v>
      </c>
      <c r="J222" t="s">
        <v>3079</v>
      </c>
      <c r="K222" t="s">
        <v>3079</v>
      </c>
      <c r="L222" t="s">
        <v>3246</v>
      </c>
      <c r="M222" t="s">
        <v>3087</v>
      </c>
      <c r="N222" t="s">
        <v>89</v>
      </c>
      <c r="O222" t="s">
        <v>3088</v>
      </c>
      <c r="P222">
        <v>0</v>
      </c>
      <c r="Q222" t="s">
        <v>3075</v>
      </c>
      <c r="R222">
        <v>0</v>
      </c>
      <c r="S222">
        <v>0</v>
      </c>
      <c r="T222" t="s">
        <v>5369</v>
      </c>
      <c r="U222" t="s">
        <v>5919</v>
      </c>
      <c r="V222" s="17">
        <v>44874</v>
      </c>
      <c r="W222" s="17">
        <v>44896</v>
      </c>
      <c r="X222" s="17">
        <v>44985</v>
      </c>
      <c r="Y222">
        <v>-1177</v>
      </c>
      <c r="Z222">
        <v>0</v>
      </c>
      <c r="AA222">
        <v>2.9666666666666668</v>
      </c>
      <c r="AB222">
        <v>1577.9666666666667</v>
      </c>
      <c r="AC222" s="17">
        <v>45046</v>
      </c>
      <c r="AE222">
        <v>0</v>
      </c>
      <c r="AF222">
        <v>81680</v>
      </c>
      <c r="AG222">
        <v>27532.584299999999</v>
      </c>
      <c r="AH222">
        <v>133360</v>
      </c>
      <c r="AI222">
        <v>51680</v>
      </c>
      <c r="AJ222">
        <v>0</v>
      </c>
      <c r="AW222">
        <v>66680</v>
      </c>
      <c r="BH222">
        <v>33340</v>
      </c>
      <c r="BI222">
        <v>33340</v>
      </c>
      <c r="BJ222">
        <v>66680</v>
      </c>
      <c r="BK222">
        <v>33340</v>
      </c>
      <c r="BL222">
        <v>33340</v>
      </c>
      <c r="BW222">
        <v>0</v>
      </c>
      <c r="CJ222">
        <v>0</v>
      </c>
      <c r="CW222">
        <v>0</v>
      </c>
      <c r="DJ222">
        <v>0</v>
      </c>
      <c r="DW222">
        <v>0</v>
      </c>
      <c r="EJ222">
        <v>0</v>
      </c>
    </row>
    <row r="223" spans="1:140" hidden="1" x14ac:dyDescent="0.35">
      <c r="A223" t="s">
        <v>3196</v>
      </c>
      <c r="B223" t="s">
        <v>249</v>
      </c>
      <c r="D223" t="s">
        <v>5920</v>
      </c>
      <c r="E223" t="s">
        <v>3253</v>
      </c>
      <c r="F223" t="s">
        <v>3254</v>
      </c>
      <c r="G223" t="s">
        <v>3255</v>
      </c>
      <c r="H223" t="s">
        <v>5921</v>
      </c>
      <c r="I223" t="s">
        <v>5368</v>
      </c>
      <c r="J223" t="s">
        <v>3071</v>
      </c>
      <c r="K223" t="s">
        <v>3071</v>
      </c>
      <c r="L223" t="s">
        <v>3256</v>
      </c>
      <c r="M223" t="s">
        <v>3087</v>
      </c>
      <c r="N223" t="s">
        <v>89</v>
      </c>
      <c r="O223" t="s">
        <v>3088</v>
      </c>
      <c r="P223">
        <v>0</v>
      </c>
      <c r="Q223" t="s">
        <v>3075</v>
      </c>
      <c r="R223">
        <v>0</v>
      </c>
      <c r="S223">
        <v>0</v>
      </c>
      <c r="T223" t="s">
        <v>5369</v>
      </c>
      <c r="U223" t="s">
        <v>5922</v>
      </c>
      <c r="V223" s="17">
        <v>44851</v>
      </c>
      <c r="W223" s="17">
        <v>44896</v>
      </c>
      <c r="X223" s="17">
        <v>45196</v>
      </c>
      <c r="Y223">
        <v>-966</v>
      </c>
      <c r="Z223">
        <v>0</v>
      </c>
      <c r="AA223">
        <v>10</v>
      </c>
      <c r="AB223">
        <v>1570.9333333333334</v>
      </c>
      <c r="AC223" s="17"/>
      <c r="AE223">
        <v>0</v>
      </c>
      <c r="AF223">
        <v>391632.7</v>
      </c>
      <c r="AG223">
        <v>39163.269999999997</v>
      </c>
      <c r="AH223">
        <v>226967.05</v>
      </c>
      <c r="AI223">
        <v>-164665.65</v>
      </c>
      <c r="AJ223">
        <v>0</v>
      </c>
      <c r="AW223">
        <v>39163.269999999997</v>
      </c>
      <c r="BI223">
        <v>39163.269999999997</v>
      </c>
      <c r="BJ223">
        <v>187803.78</v>
      </c>
      <c r="BK223">
        <v>39163.370000000003</v>
      </c>
      <c r="BL223">
        <v>39163.370000000003</v>
      </c>
      <c r="BM223">
        <v>39163.370000000003</v>
      </c>
      <c r="BN223">
        <v>39163.370000000003</v>
      </c>
      <c r="BO223">
        <v>31150.3</v>
      </c>
      <c r="BW223">
        <v>0</v>
      </c>
      <c r="CJ223">
        <v>0</v>
      </c>
      <c r="CW223">
        <v>0</v>
      </c>
      <c r="DJ223">
        <v>0</v>
      </c>
      <c r="DW223">
        <v>0</v>
      </c>
      <c r="EJ223">
        <v>0</v>
      </c>
    </row>
    <row r="224" spans="1:140" hidden="1" x14ac:dyDescent="0.35">
      <c r="A224" t="s">
        <v>3196</v>
      </c>
      <c r="B224" t="s">
        <v>249</v>
      </c>
      <c r="D224" t="s">
        <v>5923</v>
      </c>
      <c r="E224" t="s">
        <v>3259</v>
      </c>
      <c r="F224" t="s">
        <v>3260</v>
      </c>
      <c r="G224" t="s">
        <v>5924</v>
      </c>
      <c r="H224" t="s">
        <v>5925</v>
      </c>
      <c r="I224" t="s">
        <v>5368</v>
      </c>
      <c r="J224" t="s">
        <v>3203</v>
      </c>
      <c r="K224" t="s">
        <v>3203</v>
      </c>
      <c r="L224" t="s">
        <v>3121</v>
      </c>
      <c r="M224" t="s">
        <v>3087</v>
      </c>
      <c r="N224" t="s">
        <v>89</v>
      </c>
      <c r="O224" t="s">
        <v>3088</v>
      </c>
      <c r="P224">
        <v>0</v>
      </c>
      <c r="Q224" t="s">
        <v>3075</v>
      </c>
      <c r="R224">
        <v>0</v>
      </c>
      <c r="S224">
        <v>0</v>
      </c>
      <c r="T224" t="s">
        <v>5485</v>
      </c>
      <c r="U224" t="s">
        <v>5926</v>
      </c>
      <c r="V224" s="17">
        <v>44895</v>
      </c>
      <c r="W224" s="17">
        <v>44902</v>
      </c>
      <c r="X224" s="17">
        <v>44933</v>
      </c>
      <c r="Y224">
        <v>-1229</v>
      </c>
      <c r="Z224">
        <v>0</v>
      </c>
      <c r="AA224">
        <v>1.0333333333333334</v>
      </c>
      <c r="AB224">
        <v>1579.7</v>
      </c>
      <c r="AC224" s="17"/>
      <c r="AE224">
        <v>0</v>
      </c>
      <c r="AF224">
        <v>20000</v>
      </c>
      <c r="AG224">
        <v>19354.8387</v>
      </c>
      <c r="AH224">
        <v>20000</v>
      </c>
      <c r="AI224">
        <v>0</v>
      </c>
      <c r="AJ224">
        <v>0</v>
      </c>
      <c r="AW224">
        <v>20000</v>
      </c>
      <c r="BI224">
        <v>20000</v>
      </c>
      <c r="BJ224">
        <v>0</v>
      </c>
      <c r="BW224">
        <v>0</v>
      </c>
      <c r="CJ224">
        <v>0</v>
      </c>
      <c r="CW224">
        <v>0</v>
      </c>
      <c r="DJ224">
        <v>0</v>
      </c>
      <c r="DW224">
        <v>0</v>
      </c>
      <c r="EJ224">
        <v>0</v>
      </c>
    </row>
    <row r="225" spans="1:140" hidden="1" x14ac:dyDescent="0.35">
      <c r="A225" t="s">
        <v>3196</v>
      </c>
      <c r="B225" t="s">
        <v>249</v>
      </c>
      <c r="D225" t="s">
        <v>5927</v>
      </c>
      <c r="E225" t="s">
        <v>4475</v>
      </c>
      <c r="F225" t="s">
        <v>4476</v>
      </c>
      <c r="G225" t="s">
        <v>4477</v>
      </c>
      <c r="H225" t="s">
        <v>5928</v>
      </c>
      <c r="I225" t="s">
        <v>5368</v>
      </c>
      <c r="J225" t="s">
        <v>3203</v>
      </c>
      <c r="K225" t="s">
        <v>3203</v>
      </c>
      <c r="L225" t="s">
        <v>4478</v>
      </c>
      <c r="M225" t="s">
        <v>3139</v>
      </c>
      <c r="N225" t="s">
        <v>447</v>
      </c>
      <c r="O225" t="s">
        <v>3088</v>
      </c>
      <c r="P225">
        <v>0</v>
      </c>
      <c r="Q225" t="s">
        <v>3075</v>
      </c>
      <c r="R225">
        <v>0</v>
      </c>
      <c r="S225">
        <v>0</v>
      </c>
      <c r="T225" t="s">
        <v>5369</v>
      </c>
      <c r="U225" t="s">
        <v>5929</v>
      </c>
      <c r="V225" s="17">
        <v>44921</v>
      </c>
      <c r="W225" s="17">
        <v>44918</v>
      </c>
      <c r="X225" s="17">
        <v>44931</v>
      </c>
      <c r="Y225">
        <v>-1231</v>
      </c>
      <c r="Z225">
        <v>1</v>
      </c>
      <c r="AA225">
        <v>0.43333333333333335</v>
      </c>
      <c r="AB225">
        <v>1579.7666666666667</v>
      </c>
      <c r="AC225" s="17"/>
      <c r="AE225">
        <v>0</v>
      </c>
      <c r="AF225">
        <v>21700</v>
      </c>
      <c r="AG225">
        <v>50076.9231</v>
      </c>
      <c r="AH225">
        <v>21700</v>
      </c>
      <c r="AI225">
        <v>0</v>
      </c>
      <c r="AJ225">
        <v>0</v>
      </c>
      <c r="AW225">
        <v>0</v>
      </c>
      <c r="BJ225">
        <v>21700</v>
      </c>
      <c r="BK225">
        <v>17360</v>
      </c>
      <c r="BN225">
        <v>4340</v>
      </c>
      <c r="BW225">
        <v>0</v>
      </c>
      <c r="CJ225">
        <v>0</v>
      </c>
      <c r="CW225">
        <v>0</v>
      </c>
      <c r="DJ225">
        <v>0</v>
      </c>
      <c r="DW225">
        <v>0</v>
      </c>
      <c r="EJ225">
        <v>0</v>
      </c>
    </row>
    <row r="226" spans="1:140" hidden="1" x14ac:dyDescent="0.35">
      <c r="A226" t="s">
        <v>3196</v>
      </c>
      <c r="B226" t="s">
        <v>249</v>
      </c>
      <c r="D226" t="s">
        <v>5930</v>
      </c>
      <c r="E226" t="s">
        <v>4455</v>
      </c>
      <c r="F226" t="s">
        <v>4456</v>
      </c>
      <c r="G226" t="s">
        <v>4457</v>
      </c>
      <c r="H226" t="s">
        <v>5931</v>
      </c>
      <c r="I226" t="s">
        <v>5368</v>
      </c>
      <c r="J226" t="s">
        <v>3203</v>
      </c>
      <c r="K226" t="s">
        <v>3203</v>
      </c>
      <c r="L226" t="s">
        <v>4452</v>
      </c>
      <c r="M226" t="s">
        <v>3139</v>
      </c>
      <c r="N226" t="s">
        <v>447</v>
      </c>
      <c r="O226" t="s">
        <v>3088</v>
      </c>
      <c r="P226">
        <v>0</v>
      </c>
      <c r="Q226" t="s">
        <v>3075</v>
      </c>
      <c r="R226">
        <v>0</v>
      </c>
      <c r="S226">
        <v>0</v>
      </c>
      <c r="T226" t="s">
        <v>5369</v>
      </c>
      <c r="U226" t="s">
        <v>5932</v>
      </c>
      <c r="V226" s="17">
        <v>44916</v>
      </c>
      <c r="W226" s="17">
        <v>44925</v>
      </c>
      <c r="X226" s="17">
        <v>44963</v>
      </c>
      <c r="Y226">
        <v>-1199</v>
      </c>
      <c r="Z226">
        <v>2</v>
      </c>
      <c r="AA226">
        <v>1.2666666666666666</v>
      </c>
      <c r="AB226">
        <v>1578.7</v>
      </c>
      <c r="AC226" s="17"/>
      <c r="AE226">
        <v>0</v>
      </c>
      <c r="AF226">
        <v>62690</v>
      </c>
      <c r="AG226">
        <v>49492.105300000003</v>
      </c>
      <c r="AH226">
        <v>62690</v>
      </c>
      <c r="AI226">
        <v>0</v>
      </c>
      <c r="AJ226">
        <v>0</v>
      </c>
      <c r="AW226">
        <v>0</v>
      </c>
      <c r="BJ226">
        <v>62690</v>
      </c>
      <c r="BK226">
        <v>50152</v>
      </c>
      <c r="BM226">
        <v>12538</v>
      </c>
      <c r="BW226">
        <v>0</v>
      </c>
      <c r="CJ226">
        <v>0</v>
      </c>
      <c r="CW226">
        <v>0</v>
      </c>
      <c r="DJ226">
        <v>0</v>
      </c>
      <c r="DW226">
        <v>0</v>
      </c>
      <c r="EJ226">
        <v>0</v>
      </c>
    </row>
    <row r="227" spans="1:140" hidden="1" x14ac:dyDescent="0.35">
      <c r="A227" t="s">
        <v>3196</v>
      </c>
      <c r="B227" t="s">
        <v>249</v>
      </c>
      <c r="D227" t="s">
        <v>5933</v>
      </c>
      <c r="E227" t="s">
        <v>4460</v>
      </c>
      <c r="F227" t="s">
        <v>4461</v>
      </c>
      <c r="G227" t="s">
        <v>4462</v>
      </c>
      <c r="H227" t="s">
        <v>5934</v>
      </c>
      <c r="I227" t="s">
        <v>5368</v>
      </c>
      <c r="J227" t="s">
        <v>3203</v>
      </c>
      <c r="K227" t="s">
        <v>3203</v>
      </c>
      <c r="L227" t="s">
        <v>4452</v>
      </c>
      <c r="M227" t="s">
        <v>3139</v>
      </c>
      <c r="N227" t="s">
        <v>447</v>
      </c>
      <c r="O227" t="s">
        <v>3088</v>
      </c>
      <c r="P227">
        <v>0</v>
      </c>
      <c r="Q227" t="s">
        <v>3075</v>
      </c>
      <c r="R227">
        <v>0</v>
      </c>
      <c r="S227">
        <v>0</v>
      </c>
      <c r="T227" t="s">
        <v>5369</v>
      </c>
      <c r="U227" t="s">
        <v>5935</v>
      </c>
      <c r="V227" s="17">
        <v>44917</v>
      </c>
      <c r="W227" s="17">
        <v>44925</v>
      </c>
      <c r="X227" s="17">
        <v>44957</v>
      </c>
      <c r="Y227">
        <v>-1205</v>
      </c>
      <c r="Z227">
        <v>0</v>
      </c>
      <c r="AA227">
        <v>1.0666666666666667</v>
      </c>
      <c r="AB227">
        <v>1578.9</v>
      </c>
      <c r="AC227" s="17"/>
      <c r="AE227">
        <v>0</v>
      </c>
      <c r="AF227">
        <v>78942</v>
      </c>
      <c r="AG227">
        <v>74008.125</v>
      </c>
      <c r="AH227">
        <v>78942</v>
      </c>
      <c r="AI227">
        <v>0</v>
      </c>
      <c r="AJ227">
        <v>0</v>
      </c>
      <c r="AW227">
        <v>0</v>
      </c>
      <c r="BJ227">
        <v>78942</v>
      </c>
      <c r="BL227">
        <v>55259.4</v>
      </c>
      <c r="BM227">
        <v>23682.6</v>
      </c>
      <c r="BW227">
        <v>0</v>
      </c>
      <c r="CJ227">
        <v>0</v>
      </c>
      <c r="CW227">
        <v>0</v>
      </c>
      <c r="DJ227">
        <v>0</v>
      </c>
      <c r="DW227">
        <v>0</v>
      </c>
      <c r="EJ227">
        <v>0</v>
      </c>
    </row>
    <row r="228" spans="1:140" hidden="1" x14ac:dyDescent="0.35">
      <c r="A228" t="s">
        <v>3196</v>
      </c>
      <c r="B228" t="s">
        <v>249</v>
      </c>
      <c r="D228" t="s">
        <v>5936</v>
      </c>
      <c r="E228" t="s">
        <v>4465</v>
      </c>
      <c r="F228" t="s">
        <v>4466</v>
      </c>
      <c r="G228" t="s">
        <v>4467</v>
      </c>
      <c r="H228" t="s">
        <v>5937</v>
      </c>
      <c r="I228" t="s">
        <v>5368</v>
      </c>
      <c r="J228" t="s">
        <v>3203</v>
      </c>
      <c r="K228" t="s">
        <v>3203</v>
      </c>
      <c r="L228" t="s">
        <v>4452</v>
      </c>
      <c r="M228" t="s">
        <v>3139</v>
      </c>
      <c r="N228" t="s">
        <v>89</v>
      </c>
      <c r="O228" t="s">
        <v>3088</v>
      </c>
      <c r="P228">
        <v>0</v>
      </c>
      <c r="Q228" t="s">
        <v>3075</v>
      </c>
      <c r="R228">
        <v>0</v>
      </c>
      <c r="S228">
        <v>0</v>
      </c>
      <c r="T228" t="s">
        <v>5369</v>
      </c>
      <c r="U228" t="s">
        <v>5938</v>
      </c>
      <c r="V228" s="17">
        <v>44917</v>
      </c>
      <c r="W228" s="17">
        <v>44925</v>
      </c>
      <c r="X228" s="17">
        <v>44991</v>
      </c>
      <c r="Y228">
        <v>-1171</v>
      </c>
      <c r="Z228">
        <v>2</v>
      </c>
      <c r="AA228">
        <v>2.2000000000000002</v>
      </c>
      <c r="AB228">
        <v>1577.7666666666667</v>
      </c>
      <c r="AC228" s="17"/>
      <c r="AE228">
        <v>0</v>
      </c>
      <c r="AF228">
        <v>46895</v>
      </c>
      <c r="AG228">
        <v>21315.909100000001</v>
      </c>
      <c r="AH228">
        <v>46895</v>
      </c>
      <c r="AI228">
        <v>0</v>
      </c>
      <c r="AJ228">
        <v>0</v>
      </c>
      <c r="AW228">
        <v>0</v>
      </c>
      <c r="BJ228">
        <v>46895</v>
      </c>
      <c r="BL228">
        <v>32826.5</v>
      </c>
      <c r="BN228">
        <v>14068.5</v>
      </c>
      <c r="BW228">
        <v>0</v>
      </c>
      <c r="CJ228">
        <v>0</v>
      </c>
      <c r="CW228">
        <v>0</v>
      </c>
      <c r="DJ228">
        <v>0</v>
      </c>
      <c r="DW228">
        <v>0</v>
      </c>
      <c r="EJ228">
        <v>0</v>
      </c>
    </row>
    <row r="229" spans="1:140" hidden="1" x14ac:dyDescent="0.35">
      <c r="A229" t="s">
        <v>3196</v>
      </c>
      <c r="B229" t="s">
        <v>249</v>
      </c>
      <c r="C229">
        <v>-264</v>
      </c>
      <c r="D229" t="s">
        <v>5939</v>
      </c>
      <c r="E229" t="s">
        <v>3247</v>
      </c>
      <c r="F229" t="s">
        <v>3247</v>
      </c>
      <c r="G229" t="s">
        <v>3248</v>
      </c>
      <c r="H229" t="s">
        <v>5940</v>
      </c>
      <c r="I229" t="s">
        <v>5368</v>
      </c>
      <c r="J229" t="s">
        <v>3108</v>
      </c>
      <c r="K229" t="s">
        <v>3108</v>
      </c>
      <c r="L229" t="s">
        <v>3246</v>
      </c>
      <c r="M229" t="s">
        <v>3087</v>
      </c>
      <c r="N229" t="s">
        <v>3246</v>
      </c>
      <c r="O229" t="s">
        <v>3249</v>
      </c>
      <c r="P229">
        <v>0</v>
      </c>
      <c r="Q229" t="s">
        <v>3075</v>
      </c>
      <c r="R229">
        <v>0</v>
      </c>
      <c r="S229">
        <v>0</v>
      </c>
      <c r="T229" t="s">
        <v>5369</v>
      </c>
      <c r="U229" t="s">
        <v>5941</v>
      </c>
      <c r="V229" s="17">
        <v>44873</v>
      </c>
      <c r="W229" s="17">
        <v>44951</v>
      </c>
      <c r="X229" s="17">
        <v>44951</v>
      </c>
      <c r="Y229">
        <v>-1211</v>
      </c>
      <c r="Z229">
        <v>0</v>
      </c>
      <c r="AA229">
        <v>0</v>
      </c>
      <c r="AB229">
        <v>1579.1</v>
      </c>
      <c r="AC229" s="17"/>
      <c r="AE229">
        <v>0</v>
      </c>
      <c r="AF229">
        <v>6500</v>
      </c>
      <c r="AH229">
        <v>6500</v>
      </c>
      <c r="AI229">
        <v>0</v>
      </c>
      <c r="AJ229">
        <v>0</v>
      </c>
      <c r="AW229">
        <v>0</v>
      </c>
      <c r="BJ229">
        <v>6500</v>
      </c>
      <c r="BK229">
        <v>6500</v>
      </c>
      <c r="BW229">
        <v>0</v>
      </c>
      <c r="CJ229">
        <v>0</v>
      </c>
      <c r="CW229">
        <v>0</v>
      </c>
      <c r="DJ229">
        <v>0</v>
      </c>
      <c r="DW229">
        <v>0</v>
      </c>
      <c r="EJ229">
        <v>0</v>
      </c>
    </row>
    <row r="230" spans="1:140" hidden="1" x14ac:dyDescent="0.35">
      <c r="A230" t="s">
        <v>3196</v>
      </c>
      <c r="B230" t="s">
        <v>249</v>
      </c>
      <c r="D230" t="s">
        <v>5942</v>
      </c>
      <c r="E230" t="s">
        <v>4434</v>
      </c>
      <c r="F230" t="s">
        <v>4435</v>
      </c>
      <c r="G230" t="s">
        <v>4436</v>
      </c>
      <c r="H230" t="s">
        <v>5943</v>
      </c>
      <c r="I230" t="s">
        <v>5368</v>
      </c>
      <c r="J230" t="s">
        <v>3203</v>
      </c>
      <c r="K230" t="s">
        <v>3203</v>
      </c>
      <c r="L230" t="s">
        <v>153</v>
      </c>
      <c r="M230" t="s">
        <v>3917</v>
      </c>
      <c r="N230" t="s">
        <v>153</v>
      </c>
      <c r="O230" t="s">
        <v>3918</v>
      </c>
      <c r="P230">
        <v>0</v>
      </c>
      <c r="Q230" t="s">
        <v>3852</v>
      </c>
      <c r="R230">
        <v>0</v>
      </c>
      <c r="S230">
        <v>0</v>
      </c>
      <c r="T230" t="s">
        <v>5485</v>
      </c>
      <c r="U230" t="s">
        <v>5944</v>
      </c>
      <c r="V230" s="17">
        <v>45110</v>
      </c>
      <c r="W230" s="17">
        <v>45110</v>
      </c>
      <c r="X230" s="17">
        <v>45160</v>
      </c>
      <c r="Y230">
        <v>-1002</v>
      </c>
      <c r="Z230">
        <v>1</v>
      </c>
      <c r="AA230">
        <v>1.6666666666666667</v>
      </c>
      <c r="AB230">
        <v>1572.1333333333334</v>
      </c>
      <c r="AC230" s="17"/>
      <c r="AE230">
        <v>0</v>
      </c>
      <c r="AF230">
        <v>201636.66</v>
      </c>
      <c r="AG230">
        <v>120981.996</v>
      </c>
      <c r="AH230">
        <v>50256.66</v>
      </c>
      <c r="AI230">
        <v>-151380</v>
      </c>
      <c r="AJ230">
        <v>0</v>
      </c>
      <c r="AW230">
        <v>0</v>
      </c>
      <c r="BJ230">
        <v>50256.66</v>
      </c>
      <c r="BQ230">
        <v>30423.32</v>
      </c>
      <c r="BR230">
        <v>17320.509999999998</v>
      </c>
      <c r="BS230">
        <v>2512.83</v>
      </c>
      <c r="BW230">
        <v>0</v>
      </c>
      <c r="CJ230">
        <v>0</v>
      </c>
      <c r="CW230">
        <v>0</v>
      </c>
      <c r="DJ230">
        <v>0</v>
      </c>
      <c r="DW230">
        <v>0</v>
      </c>
      <c r="EJ230">
        <v>0</v>
      </c>
    </row>
    <row r="231" spans="1:140" hidden="1" x14ac:dyDescent="0.35">
      <c r="A231" t="s">
        <v>3196</v>
      </c>
      <c r="B231" t="s">
        <v>249</v>
      </c>
      <c r="D231" t="s">
        <v>5945</v>
      </c>
      <c r="E231" t="s">
        <v>3284</v>
      </c>
      <c r="F231" t="s">
        <v>3285</v>
      </c>
      <c r="G231" t="s">
        <v>3286</v>
      </c>
      <c r="H231" t="s">
        <v>5946</v>
      </c>
      <c r="I231" t="s">
        <v>5368</v>
      </c>
      <c r="J231" t="s">
        <v>3108</v>
      </c>
      <c r="K231" t="s">
        <v>3108</v>
      </c>
      <c r="L231" t="s">
        <v>3287</v>
      </c>
      <c r="M231" t="s">
        <v>3069</v>
      </c>
      <c r="N231" t="s">
        <v>3287</v>
      </c>
      <c r="O231" t="s">
        <v>3107</v>
      </c>
      <c r="P231">
        <v>0</v>
      </c>
      <c r="Q231" t="s">
        <v>3075</v>
      </c>
      <c r="R231">
        <v>0</v>
      </c>
      <c r="S231">
        <v>0</v>
      </c>
      <c r="T231" t="s">
        <v>5485</v>
      </c>
      <c r="U231" t="s">
        <v>5947</v>
      </c>
      <c r="V231" s="17">
        <v>45089</v>
      </c>
      <c r="W231" s="17">
        <v>45135</v>
      </c>
      <c r="X231" s="17">
        <v>45142</v>
      </c>
      <c r="Y231">
        <v>-1020</v>
      </c>
      <c r="Z231">
        <v>1</v>
      </c>
      <c r="AA231">
        <v>0.23333333333333334</v>
      </c>
      <c r="AB231">
        <v>1572.7333333333333</v>
      </c>
      <c r="AC231" s="17"/>
      <c r="AE231">
        <v>0</v>
      </c>
      <c r="AF231">
        <v>13988</v>
      </c>
      <c r="AG231">
        <v>59948.571400000001</v>
      </c>
      <c r="AH231">
        <v>13988</v>
      </c>
      <c r="AI231">
        <v>0</v>
      </c>
      <c r="AJ231">
        <v>0</v>
      </c>
      <c r="AW231">
        <v>0</v>
      </c>
      <c r="BJ231">
        <v>13988</v>
      </c>
      <c r="BQ231">
        <v>3497</v>
      </c>
      <c r="BR231">
        <v>3497</v>
      </c>
      <c r="BS231">
        <v>3497</v>
      </c>
      <c r="BT231">
        <v>3497</v>
      </c>
      <c r="BW231">
        <v>0</v>
      </c>
      <c r="CJ231">
        <v>0</v>
      </c>
      <c r="CW231">
        <v>0</v>
      </c>
      <c r="DJ231">
        <v>0</v>
      </c>
      <c r="DW231">
        <v>0</v>
      </c>
      <c r="EJ231">
        <v>0</v>
      </c>
    </row>
    <row r="232" spans="1:140" hidden="1" x14ac:dyDescent="0.35">
      <c r="A232" t="s">
        <v>3196</v>
      </c>
      <c r="B232" t="s">
        <v>249</v>
      </c>
      <c r="D232" t="s">
        <v>5948</v>
      </c>
      <c r="E232" t="s">
        <v>3288</v>
      </c>
      <c r="F232" t="s">
        <v>3289</v>
      </c>
      <c r="G232" t="s">
        <v>3288</v>
      </c>
      <c r="H232" t="s">
        <v>5949</v>
      </c>
      <c r="I232" t="s">
        <v>5368</v>
      </c>
      <c r="J232" t="s">
        <v>249</v>
      </c>
      <c r="K232" t="s">
        <v>249</v>
      </c>
      <c r="L232" t="s">
        <v>249</v>
      </c>
      <c r="M232" t="s">
        <v>249</v>
      </c>
      <c r="N232" t="s">
        <v>249</v>
      </c>
      <c r="O232" t="s">
        <v>249</v>
      </c>
      <c r="P232" t="s">
        <v>249</v>
      </c>
      <c r="Q232" t="s">
        <v>249</v>
      </c>
      <c r="R232" t="s">
        <v>249</v>
      </c>
      <c r="S232" t="s">
        <v>249</v>
      </c>
      <c r="T232" t="s">
        <v>249</v>
      </c>
      <c r="U232" t="s">
        <v>249</v>
      </c>
      <c r="V232" s="17"/>
      <c r="W232" s="17">
        <v>45199</v>
      </c>
      <c r="X232" s="17">
        <v>45199</v>
      </c>
      <c r="Y232">
        <v>-963</v>
      </c>
      <c r="AA232">
        <v>0</v>
      </c>
      <c r="AB232">
        <v>1570.8333333333333</v>
      </c>
      <c r="AC232" s="17"/>
      <c r="AH232">
        <v>7590</v>
      </c>
      <c r="AJ232">
        <v>0</v>
      </c>
      <c r="AW232">
        <v>0</v>
      </c>
      <c r="BJ232">
        <v>7590</v>
      </c>
      <c r="BS232">
        <v>7590</v>
      </c>
      <c r="BW232">
        <v>0</v>
      </c>
      <c r="CJ232">
        <v>0</v>
      </c>
      <c r="CW232">
        <v>0</v>
      </c>
      <c r="DJ232">
        <v>0</v>
      </c>
      <c r="DW232">
        <v>0</v>
      </c>
      <c r="EJ232">
        <v>0</v>
      </c>
    </row>
    <row r="233" spans="1:140" hidden="1" x14ac:dyDescent="0.35">
      <c r="A233" t="s">
        <v>3196</v>
      </c>
      <c r="B233" t="s">
        <v>249</v>
      </c>
      <c r="D233" t="s">
        <v>5950</v>
      </c>
      <c r="E233" t="s">
        <v>4439</v>
      </c>
      <c r="F233" t="s">
        <v>4440</v>
      </c>
      <c r="G233" t="s">
        <v>4441</v>
      </c>
      <c r="H233" t="s">
        <v>5951</v>
      </c>
      <c r="I233" t="s">
        <v>5368</v>
      </c>
      <c r="J233" t="s">
        <v>3203</v>
      </c>
      <c r="K233" t="s">
        <v>3203</v>
      </c>
      <c r="L233" t="s">
        <v>153</v>
      </c>
      <c r="M233" t="s">
        <v>3917</v>
      </c>
      <c r="N233" t="s">
        <v>153</v>
      </c>
      <c r="O233" t="s">
        <v>3918</v>
      </c>
      <c r="P233">
        <v>0</v>
      </c>
      <c r="Q233" t="s">
        <v>3852</v>
      </c>
      <c r="R233">
        <v>0</v>
      </c>
      <c r="S233">
        <v>0</v>
      </c>
      <c r="T233" t="s">
        <v>5369</v>
      </c>
      <c r="U233" t="s">
        <v>5952</v>
      </c>
      <c r="V233" s="17">
        <v>45160</v>
      </c>
      <c r="W233" s="17"/>
      <c r="X233" s="17"/>
      <c r="Y233">
        <v>-46162</v>
      </c>
      <c r="Z233">
        <v>1</v>
      </c>
      <c r="AA233">
        <v>0</v>
      </c>
      <c r="AB233">
        <v>3077.4666666666667</v>
      </c>
      <c r="AC233" s="17"/>
      <c r="AE233">
        <v>1740.865</v>
      </c>
      <c r="AF233">
        <v>3481.73</v>
      </c>
      <c r="AH233">
        <v>3481.73</v>
      </c>
      <c r="AI233">
        <v>0</v>
      </c>
      <c r="AJ233">
        <v>0</v>
      </c>
      <c r="AW233">
        <v>0</v>
      </c>
      <c r="BJ233">
        <v>3481.73</v>
      </c>
      <c r="BS233">
        <v>3481.73</v>
      </c>
      <c r="BW233">
        <v>0</v>
      </c>
      <c r="CJ233">
        <v>0</v>
      </c>
      <c r="CW233">
        <v>0</v>
      </c>
      <c r="DJ233">
        <v>0</v>
      </c>
      <c r="DW233">
        <v>0</v>
      </c>
      <c r="EJ233">
        <v>0</v>
      </c>
    </row>
    <row r="234" spans="1:140" hidden="1" x14ac:dyDescent="0.35">
      <c r="A234" t="s">
        <v>3317</v>
      </c>
      <c r="B234" t="s">
        <v>249</v>
      </c>
      <c r="D234" t="s">
        <v>5953</v>
      </c>
      <c r="E234" t="s">
        <v>3600</v>
      </c>
      <c r="F234" t="s">
        <v>3601</v>
      </c>
      <c r="G234" t="s">
        <v>5954</v>
      </c>
      <c r="H234" t="s">
        <v>5955</v>
      </c>
      <c r="I234" t="s">
        <v>5368</v>
      </c>
      <c r="J234" t="s">
        <v>3203</v>
      </c>
      <c r="K234" t="s">
        <v>3203</v>
      </c>
      <c r="L234" t="s">
        <v>897</v>
      </c>
      <c r="M234" t="s">
        <v>3180</v>
      </c>
      <c r="N234" t="s">
        <v>89</v>
      </c>
      <c r="O234" t="s">
        <v>3088</v>
      </c>
      <c r="P234">
        <v>0</v>
      </c>
      <c r="Q234" t="s">
        <v>3075</v>
      </c>
      <c r="R234">
        <v>0</v>
      </c>
      <c r="S234">
        <v>0</v>
      </c>
      <c r="T234" t="s">
        <v>5369</v>
      </c>
      <c r="U234" t="s">
        <v>5956</v>
      </c>
      <c r="V234" s="17">
        <v>44926</v>
      </c>
      <c r="W234" s="17">
        <v>44410</v>
      </c>
      <c r="X234" s="17">
        <v>44653</v>
      </c>
      <c r="Y234">
        <v>-1509</v>
      </c>
      <c r="Z234">
        <v>0</v>
      </c>
      <c r="AA234">
        <v>8.1</v>
      </c>
      <c r="AB234">
        <v>1589.0333333333333</v>
      </c>
      <c r="AC234" s="17"/>
      <c r="AE234">
        <v>0</v>
      </c>
      <c r="AF234">
        <v>0</v>
      </c>
      <c r="AG234">
        <v>0</v>
      </c>
      <c r="AH234">
        <v>803137.32590000005</v>
      </c>
      <c r="AI234">
        <v>803137.32590000005</v>
      </c>
      <c r="AJ234">
        <v>170322.96299999999</v>
      </c>
      <c r="AS234">
        <v>42580.740700000002</v>
      </c>
      <c r="AT234">
        <v>42580.740700000002</v>
      </c>
      <c r="AU234">
        <v>42580.740700000002</v>
      </c>
      <c r="AV234">
        <v>42580.740700000002</v>
      </c>
      <c r="AW234">
        <v>292011.26299999998</v>
      </c>
      <c r="AX234">
        <v>42580.740700000002</v>
      </c>
      <c r="AY234">
        <v>42580.740700000002</v>
      </c>
      <c r="AZ234">
        <v>42580.740700000002</v>
      </c>
      <c r="BA234">
        <v>42580.740700000002</v>
      </c>
      <c r="BF234">
        <v>28742</v>
      </c>
      <c r="BG234">
        <v>30982.1</v>
      </c>
      <c r="BH234">
        <v>30982</v>
      </c>
      <c r="BI234">
        <v>30982.1</v>
      </c>
      <c r="BJ234">
        <v>340803.1</v>
      </c>
      <c r="BK234">
        <v>30982.1</v>
      </c>
      <c r="BL234">
        <v>30982.1</v>
      </c>
      <c r="BM234">
        <v>30982.1</v>
      </c>
      <c r="BN234">
        <v>30982.1</v>
      </c>
      <c r="BO234">
        <v>30982.1</v>
      </c>
      <c r="BP234">
        <v>30982.1</v>
      </c>
      <c r="BQ234">
        <v>30982.1</v>
      </c>
      <c r="BR234">
        <v>30982.1</v>
      </c>
      <c r="BS234">
        <v>30982.1</v>
      </c>
      <c r="BT234">
        <v>30982.1</v>
      </c>
      <c r="BU234">
        <v>30982.1</v>
      </c>
      <c r="BW234">
        <v>0</v>
      </c>
      <c r="CJ234">
        <v>0</v>
      </c>
      <c r="CW234">
        <v>0</v>
      </c>
      <c r="DJ234">
        <v>0</v>
      </c>
      <c r="DW234">
        <v>0</v>
      </c>
      <c r="EJ234">
        <v>0</v>
      </c>
    </row>
    <row r="235" spans="1:140" hidden="1" x14ac:dyDescent="0.35">
      <c r="A235" t="s">
        <v>3317</v>
      </c>
      <c r="B235" t="s">
        <v>249</v>
      </c>
      <c r="D235" t="s">
        <v>5957</v>
      </c>
      <c r="E235" t="s">
        <v>3328</v>
      </c>
      <c r="F235" t="s">
        <v>3329</v>
      </c>
      <c r="G235" t="s">
        <v>3330</v>
      </c>
      <c r="H235" t="s">
        <v>5958</v>
      </c>
      <c r="I235" t="s">
        <v>5368</v>
      </c>
      <c r="J235" t="s">
        <v>3071</v>
      </c>
      <c r="K235" t="s">
        <v>3071</v>
      </c>
      <c r="L235" t="s">
        <v>3086</v>
      </c>
      <c r="M235" t="s">
        <v>3087</v>
      </c>
      <c r="N235" t="s">
        <v>89</v>
      </c>
      <c r="O235" t="s">
        <v>3088</v>
      </c>
      <c r="P235">
        <v>0</v>
      </c>
      <c r="Q235" t="s">
        <v>3075</v>
      </c>
      <c r="R235">
        <v>0</v>
      </c>
      <c r="S235">
        <v>0</v>
      </c>
      <c r="T235" t="s">
        <v>5369</v>
      </c>
      <c r="U235" t="s">
        <v>5959</v>
      </c>
      <c r="V235" s="17">
        <v>45064</v>
      </c>
      <c r="W235" s="17">
        <v>44562</v>
      </c>
      <c r="X235" s="17">
        <v>44864</v>
      </c>
      <c r="Y235">
        <v>-1298</v>
      </c>
      <c r="Z235">
        <v>0</v>
      </c>
      <c r="AA235">
        <v>10.066666666666666</v>
      </c>
      <c r="AB235">
        <v>1582</v>
      </c>
      <c r="AC235" s="17"/>
      <c r="AE235">
        <v>0</v>
      </c>
      <c r="AF235">
        <v>483000</v>
      </c>
      <c r="AG235">
        <v>47980.1325</v>
      </c>
      <c r="AH235">
        <v>1585915.5216000001</v>
      </c>
      <c r="AI235">
        <v>1102915.5216000001</v>
      </c>
      <c r="AJ235">
        <v>0</v>
      </c>
      <c r="AW235">
        <v>788021.90159999998</v>
      </c>
      <c r="AY235">
        <v>78366.801699999996</v>
      </c>
      <c r="AZ235">
        <v>78366.801699999996</v>
      </c>
      <c r="BA235">
        <v>78366.801699999996</v>
      </c>
      <c r="BB235">
        <v>78366.801699999996</v>
      </c>
      <c r="BC235">
        <v>78366.801699999996</v>
      </c>
      <c r="BD235">
        <v>78366.801699999996</v>
      </c>
      <c r="BE235">
        <v>78366.801699999996</v>
      </c>
      <c r="BF235">
        <v>69438</v>
      </c>
      <c r="BG235">
        <v>56672</v>
      </c>
      <c r="BH235">
        <v>56672</v>
      </c>
      <c r="BI235">
        <v>56672</v>
      </c>
      <c r="BJ235">
        <v>763393.62</v>
      </c>
      <c r="BK235">
        <v>61937.62</v>
      </c>
      <c r="BL235">
        <v>58132</v>
      </c>
      <c r="BM235">
        <v>60516</v>
      </c>
      <c r="BN235">
        <v>59584</v>
      </c>
      <c r="BO235">
        <v>62488</v>
      </c>
      <c r="BP235">
        <v>48832</v>
      </c>
      <c r="BQ235">
        <v>69000</v>
      </c>
      <c r="BR235">
        <v>69000</v>
      </c>
      <c r="BS235">
        <v>66904</v>
      </c>
      <c r="BT235">
        <v>69000</v>
      </c>
      <c r="BU235">
        <v>69000</v>
      </c>
      <c r="BV235">
        <v>69000</v>
      </c>
      <c r="BW235">
        <v>34500</v>
      </c>
      <c r="BX235">
        <v>34500</v>
      </c>
      <c r="CJ235">
        <v>0</v>
      </c>
      <c r="CW235">
        <v>0</v>
      </c>
      <c r="DJ235">
        <v>0</v>
      </c>
      <c r="DW235">
        <v>0</v>
      </c>
      <c r="EJ235">
        <v>0</v>
      </c>
    </row>
    <row r="236" spans="1:140" hidden="1" x14ac:dyDescent="0.35">
      <c r="A236" t="s">
        <v>3317</v>
      </c>
      <c r="B236" t="s">
        <v>249</v>
      </c>
      <c r="D236" t="s">
        <v>5960</v>
      </c>
      <c r="E236" t="s">
        <v>3333</v>
      </c>
      <c r="F236" t="s">
        <v>3334</v>
      </c>
      <c r="G236" t="s">
        <v>5961</v>
      </c>
      <c r="H236" t="s">
        <v>5962</v>
      </c>
      <c r="I236" t="s">
        <v>5368</v>
      </c>
      <c r="J236" t="s">
        <v>3203</v>
      </c>
      <c r="K236" t="s">
        <v>3203</v>
      </c>
      <c r="L236" t="s">
        <v>990</v>
      </c>
      <c r="M236" t="s">
        <v>3087</v>
      </c>
      <c r="N236" t="s">
        <v>3336</v>
      </c>
      <c r="O236" t="s">
        <v>3088</v>
      </c>
      <c r="P236">
        <v>0</v>
      </c>
      <c r="Q236" t="s">
        <v>3075</v>
      </c>
      <c r="R236">
        <v>0</v>
      </c>
      <c r="S236">
        <v>0</v>
      </c>
      <c r="T236" t="s">
        <v>5369</v>
      </c>
      <c r="U236" t="s">
        <v>5963</v>
      </c>
      <c r="V236" s="17">
        <v>44926</v>
      </c>
      <c r="W236" s="17">
        <v>44574</v>
      </c>
      <c r="X236" s="17">
        <v>44908</v>
      </c>
      <c r="Y236">
        <v>-1254</v>
      </c>
      <c r="Z236">
        <v>0</v>
      </c>
      <c r="AA236">
        <v>11.133333333333333</v>
      </c>
      <c r="AB236">
        <v>1580.5333333333333</v>
      </c>
      <c r="AC236" s="17"/>
      <c r="AE236">
        <v>0</v>
      </c>
      <c r="AF236">
        <v>56015.64</v>
      </c>
      <c r="AG236">
        <v>5031.3449000000001</v>
      </c>
      <c r="AH236">
        <v>433923.49890000001</v>
      </c>
      <c r="AI236">
        <v>377907.85889999999</v>
      </c>
      <c r="AJ236">
        <v>0</v>
      </c>
      <c r="AW236">
        <v>300756.49890000001</v>
      </c>
      <c r="AY236">
        <v>26157.934099999999</v>
      </c>
      <c r="AZ236">
        <v>26157.934099999999</v>
      </c>
      <c r="BA236">
        <v>26157.934099999999</v>
      </c>
      <c r="BB236">
        <v>26157.934099999999</v>
      </c>
      <c r="BC236">
        <v>26157.934099999999</v>
      </c>
      <c r="BD236">
        <v>26157.934099999999</v>
      </c>
      <c r="BE236">
        <v>26157.934099999999</v>
      </c>
      <c r="BF236">
        <v>40927</v>
      </c>
      <c r="BG236">
        <v>29723.96</v>
      </c>
      <c r="BH236">
        <v>23500</v>
      </c>
      <c r="BI236">
        <v>23500</v>
      </c>
      <c r="BJ236">
        <v>133167</v>
      </c>
      <c r="BK236">
        <v>23500</v>
      </c>
      <c r="BL236">
        <v>23500</v>
      </c>
      <c r="BM236">
        <v>23500</v>
      </c>
      <c r="BN236">
        <v>23500</v>
      </c>
      <c r="BO236">
        <v>23500</v>
      </c>
      <c r="BP236">
        <v>15667</v>
      </c>
      <c r="BW236">
        <v>0</v>
      </c>
      <c r="CJ236">
        <v>0</v>
      </c>
      <c r="CW236">
        <v>0</v>
      </c>
      <c r="DJ236">
        <v>0</v>
      </c>
      <c r="DW236">
        <v>0</v>
      </c>
      <c r="EJ236">
        <v>0</v>
      </c>
    </row>
    <row r="237" spans="1:140" hidden="1" x14ac:dyDescent="0.35">
      <c r="A237" t="s">
        <v>3317</v>
      </c>
      <c r="B237" t="s">
        <v>249</v>
      </c>
      <c r="D237" t="s">
        <v>5964</v>
      </c>
      <c r="E237" t="s">
        <v>4719</v>
      </c>
      <c r="F237" t="s">
        <v>4720</v>
      </c>
      <c r="G237" t="s">
        <v>4721</v>
      </c>
      <c r="H237" t="s">
        <v>5965</v>
      </c>
      <c r="I237" t="s">
        <v>5368</v>
      </c>
      <c r="J237" t="s">
        <v>3203</v>
      </c>
      <c r="K237" t="s">
        <v>3203</v>
      </c>
      <c r="L237" t="s">
        <v>4410</v>
      </c>
      <c r="M237" t="s">
        <v>3139</v>
      </c>
      <c r="N237" t="s">
        <v>89</v>
      </c>
      <c r="O237" t="s">
        <v>3088</v>
      </c>
      <c r="P237">
        <v>0</v>
      </c>
      <c r="Q237" t="s">
        <v>3075</v>
      </c>
      <c r="R237">
        <v>0</v>
      </c>
      <c r="S237">
        <v>0</v>
      </c>
      <c r="T237" t="s">
        <v>5369</v>
      </c>
      <c r="U237" t="s">
        <v>5966</v>
      </c>
      <c r="V237" s="17">
        <v>44926</v>
      </c>
      <c r="W237" s="17">
        <v>44634</v>
      </c>
      <c r="X237" s="17">
        <v>44787</v>
      </c>
      <c r="Y237">
        <v>-1375</v>
      </c>
      <c r="Z237">
        <v>0</v>
      </c>
      <c r="AA237">
        <v>5.0999999999999996</v>
      </c>
      <c r="AB237">
        <v>1584.5666666666666</v>
      </c>
      <c r="AC237" s="17"/>
      <c r="AE237">
        <v>0</v>
      </c>
      <c r="AF237">
        <v>8850</v>
      </c>
      <c r="AG237">
        <v>1735.2941000000001</v>
      </c>
      <c r="AH237">
        <v>212738.9516</v>
      </c>
      <c r="AI237">
        <v>203888.9516</v>
      </c>
      <c r="AJ237">
        <v>0</v>
      </c>
      <c r="AW237">
        <v>120391.2016</v>
      </c>
      <c r="BA237">
        <v>20263.7853</v>
      </c>
      <c r="BB237">
        <v>20263.7853</v>
      </c>
      <c r="BC237">
        <v>20263.7853</v>
      </c>
      <c r="BD237">
        <v>20263.7853</v>
      </c>
      <c r="BE237">
        <v>20263.7853</v>
      </c>
      <c r="BG237">
        <v>19072.275000000001</v>
      </c>
      <c r="BH237">
        <v>0</v>
      </c>
      <c r="BJ237">
        <v>92347.75</v>
      </c>
      <c r="BL237">
        <v>13852</v>
      </c>
      <c r="BM237">
        <v>32321.599999999999</v>
      </c>
      <c r="BN237">
        <v>9234.7999999999993</v>
      </c>
      <c r="BO237">
        <v>36939.35</v>
      </c>
      <c r="BW237">
        <v>0</v>
      </c>
      <c r="CJ237">
        <v>0</v>
      </c>
      <c r="CW237">
        <v>0</v>
      </c>
      <c r="DJ237">
        <v>0</v>
      </c>
      <c r="DW237">
        <v>0</v>
      </c>
      <c r="EJ237">
        <v>0</v>
      </c>
    </row>
    <row r="238" spans="1:140" hidden="1" x14ac:dyDescent="0.35">
      <c r="A238" t="s">
        <v>3317</v>
      </c>
      <c r="B238" t="s">
        <v>249</v>
      </c>
      <c r="D238" t="s">
        <v>5967</v>
      </c>
      <c r="E238" t="s">
        <v>3449</v>
      </c>
      <c r="F238" t="s">
        <v>3450</v>
      </c>
      <c r="G238" t="s">
        <v>3449</v>
      </c>
      <c r="H238" t="s">
        <v>5968</v>
      </c>
      <c r="I238" t="s">
        <v>5368</v>
      </c>
      <c r="J238" t="s">
        <v>249</v>
      </c>
      <c r="K238" t="s">
        <v>249</v>
      </c>
      <c r="L238" t="s">
        <v>249</v>
      </c>
      <c r="M238" t="s">
        <v>249</v>
      </c>
      <c r="N238" t="s">
        <v>249</v>
      </c>
      <c r="O238" t="s">
        <v>249</v>
      </c>
      <c r="P238" t="s">
        <v>249</v>
      </c>
      <c r="Q238" t="s">
        <v>249</v>
      </c>
      <c r="R238" t="s">
        <v>249</v>
      </c>
      <c r="S238" t="s">
        <v>249</v>
      </c>
      <c r="T238" t="s">
        <v>249</v>
      </c>
      <c r="U238" t="s">
        <v>249</v>
      </c>
      <c r="V238" s="17"/>
      <c r="W238" s="17">
        <v>44638</v>
      </c>
      <c r="X238" s="17">
        <v>44893</v>
      </c>
      <c r="Y238">
        <v>-1269</v>
      </c>
      <c r="AA238">
        <v>8.5</v>
      </c>
      <c r="AB238">
        <v>1581.0333333333333</v>
      </c>
      <c r="AC238" s="17"/>
      <c r="AH238">
        <v>749411.76470000006</v>
      </c>
      <c r="AJ238">
        <v>0</v>
      </c>
      <c r="AW238">
        <v>493411.7647</v>
      </c>
      <c r="BA238">
        <v>65882.352899999998</v>
      </c>
      <c r="BB238">
        <v>65882.352899999998</v>
      </c>
      <c r="BC238">
        <v>65882.352899999998</v>
      </c>
      <c r="BD238">
        <v>65882.352899999998</v>
      </c>
      <c r="BE238">
        <v>65882.352899999998</v>
      </c>
      <c r="BF238">
        <v>41000</v>
      </c>
      <c r="BG238">
        <v>41000</v>
      </c>
      <c r="BH238">
        <v>41000</v>
      </c>
      <c r="BI238">
        <v>41000</v>
      </c>
      <c r="BJ238">
        <v>256000</v>
      </c>
      <c r="BK238">
        <v>41000</v>
      </c>
      <c r="BL238">
        <v>41000</v>
      </c>
      <c r="BM238">
        <v>29000</v>
      </c>
      <c r="BN238">
        <v>29000</v>
      </c>
      <c r="BO238">
        <v>29000</v>
      </c>
      <c r="BP238">
        <v>29000</v>
      </c>
      <c r="BQ238">
        <v>29000</v>
      </c>
      <c r="BR238">
        <v>29000</v>
      </c>
      <c r="BW238">
        <v>0</v>
      </c>
      <c r="CJ238">
        <v>0</v>
      </c>
      <c r="CW238">
        <v>0</v>
      </c>
      <c r="DJ238">
        <v>0</v>
      </c>
      <c r="DW238">
        <v>0</v>
      </c>
      <c r="EJ238">
        <v>0</v>
      </c>
    </row>
    <row r="239" spans="1:140" hidden="1" x14ac:dyDescent="0.35">
      <c r="A239" t="s">
        <v>3317</v>
      </c>
      <c r="B239" t="s">
        <v>249</v>
      </c>
      <c r="D239" t="s">
        <v>5969</v>
      </c>
      <c r="E239" t="s">
        <v>3425</v>
      </c>
      <c r="F239" t="s">
        <v>3426</v>
      </c>
      <c r="G239" t="s">
        <v>3427</v>
      </c>
      <c r="H239" t="s">
        <v>5970</v>
      </c>
      <c r="I239" t="s">
        <v>5368</v>
      </c>
      <c r="J239" t="s">
        <v>3071</v>
      </c>
      <c r="K239" t="s">
        <v>3071</v>
      </c>
      <c r="L239" t="s">
        <v>3256</v>
      </c>
      <c r="M239" t="s">
        <v>3087</v>
      </c>
      <c r="N239" t="s">
        <v>89</v>
      </c>
      <c r="O239" t="s">
        <v>3088</v>
      </c>
      <c r="P239">
        <v>0</v>
      </c>
      <c r="Q239" t="s">
        <v>3075</v>
      </c>
      <c r="R239">
        <v>0</v>
      </c>
      <c r="S239">
        <v>0</v>
      </c>
      <c r="T239" t="s">
        <v>5369</v>
      </c>
      <c r="U239" t="s">
        <v>5971</v>
      </c>
      <c r="V239" s="17">
        <v>44671</v>
      </c>
      <c r="W239" s="17">
        <v>44687</v>
      </c>
      <c r="X239" s="17">
        <v>44987</v>
      </c>
      <c r="Y239">
        <v>-1175</v>
      </c>
      <c r="Z239">
        <v>0</v>
      </c>
      <c r="AA239">
        <v>10</v>
      </c>
      <c r="AB239">
        <v>1577.9</v>
      </c>
      <c r="AC239" s="17"/>
      <c r="AE239">
        <v>0</v>
      </c>
      <c r="AF239">
        <v>275000</v>
      </c>
      <c r="AG239">
        <v>27500</v>
      </c>
      <c r="AH239">
        <v>386457.96</v>
      </c>
      <c r="AI239">
        <v>111457.96</v>
      </c>
      <c r="AJ239">
        <v>0</v>
      </c>
      <c r="AW239">
        <v>192500</v>
      </c>
      <c r="BC239">
        <v>27500</v>
      </c>
      <c r="BD239">
        <v>27500</v>
      </c>
      <c r="BE239">
        <v>27500</v>
      </c>
      <c r="BF239">
        <v>27500</v>
      </c>
      <c r="BG239">
        <v>27500</v>
      </c>
      <c r="BH239">
        <v>27500</v>
      </c>
      <c r="BI239">
        <v>27500</v>
      </c>
      <c r="BJ239">
        <v>193957.96</v>
      </c>
      <c r="BK239">
        <v>27500</v>
      </c>
      <c r="BL239">
        <v>31891.75</v>
      </c>
      <c r="BM239">
        <v>31878.74</v>
      </c>
      <c r="BN239">
        <v>30844</v>
      </c>
      <c r="BO239">
        <v>32268</v>
      </c>
      <c r="BP239">
        <v>39575.47</v>
      </c>
      <c r="BW239">
        <v>0</v>
      </c>
      <c r="CJ239">
        <v>0</v>
      </c>
      <c r="CW239">
        <v>0</v>
      </c>
      <c r="DJ239">
        <v>0</v>
      </c>
      <c r="DW239">
        <v>0</v>
      </c>
      <c r="EJ239">
        <v>0</v>
      </c>
    </row>
    <row r="240" spans="1:140" hidden="1" x14ac:dyDescent="0.35">
      <c r="A240" t="s">
        <v>3317</v>
      </c>
      <c r="B240" t="s">
        <v>249</v>
      </c>
      <c r="D240" t="s">
        <v>5972</v>
      </c>
      <c r="E240" t="s">
        <v>4556</v>
      </c>
      <c r="F240" t="s">
        <v>4557</v>
      </c>
      <c r="G240" t="s">
        <v>4558</v>
      </c>
      <c r="H240" t="s">
        <v>5973</v>
      </c>
      <c r="I240" t="s">
        <v>5368</v>
      </c>
      <c r="J240" t="s">
        <v>3203</v>
      </c>
      <c r="K240" t="s">
        <v>3203</v>
      </c>
      <c r="L240" t="s">
        <v>4478</v>
      </c>
      <c r="M240" t="s">
        <v>3139</v>
      </c>
      <c r="N240" t="s">
        <v>89</v>
      </c>
      <c r="O240" t="s">
        <v>3088</v>
      </c>
      <c r="P240">
        <v>0</v>
      </c>
      <c r="Q240" t="s">
        <v>3075</v>
      </c>
      <c r="R240">
        <v>0</v>
      </c>
      <c r="S240">
        <v>0</v>
      </c>
      <c r="T240" t="s">
        <v>5369</v>
      </c>
      <c r="U240" t="s">
        <v>5974</v>
      </c>
      <c r="V240" s="17">
        <v>44655</v>
      </c>
      <c r="W240" s="17">
        <v>44718</v>
      </c>
      <c r="X240" s="17">
        <v>44810</v>
      </c>
      <c r="Y240">
        <v>-1352</v>
      </c>
      <c r="Z240">
        <v>0</v>
      </c>
      <c r="AA240">
        <v>3.0666666666666669</v>
      </c>
      <c r="AB240">
        <v>1583.8</v>
      </c>
      <c r="AC240" s="17"/>
      <c r="AE240">
        <v>0</v>
      </c>
      <c r="AF240">
        <v>40000</v>
      </c>
      <c r="AG240">
        <v>13043.478300000001</v>
      </c>
      <c r="AH240">
        <v>77788.755999999994</v>
      </c>
      <c r="AI240">
        <v>37788.756000000001</v>
      </c>
      <c r="AJ240">
        <v>0</v>
      </c>
      <c r="AW240">
        <v>53788.756000000001</v>
      </c>
      <c r="BD240">
        <v>13043.478300000001</v>
      </c>
      <c r="BE240">
        <v>13043.478300000001</v>
      </c>
      <c r="BG240">
        <v>3701.7995000000001</v>
      </c>
      <c r="BI240">
        <v>24000</v>
      </c>
      <c r="BJ240">
        <v>24000</v>
      </c>
      <c r="BL240">
        <v>16000</v>
      </c>
      <c r="BP240">
        <v>4800</v>
      </c>
      <c r="BQ240">
        <v>3200</v>
      </c>
      <c r="BW240">
        <v>0</v>
      </c>
      <c r="CJ240">
        <v>0</v>
      </c>
      <c r="CW240">
        <v>0</v>
      </c>
      <c r="DJ240">
        <v>0</v>
      </c>
      <c r="DW240">
        <v>0</v>
      </c>
      <c r="EJ240">
        <v>0</v>
      </c>
    </row>
    <row r="241" spans="1:140" hidden="1" x14ac:dyDescent="0.35">
      <c r="A241" t="s">
        <v>3317</v>
      </c>
      <c r="B241" t="s">
        <v>249</v>
      </c>
      <c r="D241" t="s">
        <v>5975</v>
      </c>
      <c r="E241" t="s">
        <v>3545</v>
      </c>
      <c r="F241" t="s">
        <v>3546</v>
      </c>
      <c r="G241" t="s">
        <v>3547</v>
      </c>
      <c r="H241" t="s">
        <v>5976</v>
      </c>
      <c r="I241" t="s">
        <v>5368</v>
      </c>
      <c r="J241" t="s">
        <v>3071</v>
      </c>
      <c r="K241" t="s">
        <v>3071</v>
      </c>
      <c r="L241" t="s">
        <v>3548</v>
      </c>
      <c r="M241" t="s">
        <v>3180</v>
      </c>
      <c r="N241" t="s">
        <v>89</v>
      </c>
      <c r="O241" t="s">
        <v>3088</v>
      </c>
      <c r="P241">
        <v>0</v>
      </c>
      <c r="Q241" t="s">
        <v>3075</v>
      </c>
      <c r="R241">
        <v>0</v>
      </c>
      <c r="S241">
        <v>0</v>
      </c>
      <c r="T241" t="s">
        <v>5369</v>
      </c>
      <c r="U241" t="s">
        <v>5977</v>
      </c>
      <c r="V241" s="17">
        <v>44926</v>
      </c>
      <c r="W241" s="17">
        <v>44753</v>
      </c>
      <c r="X241" s="17">
        <v>44937</v>
      </c>
      <c r="Y241">
        <v>-1225</v>
      </c>
      <c r="Z241">
        <v>0</v>
      </c>
      <c r="AA241">
        <v>6.1333333333333337</v>
      </c>
      <c r="AB241">
        <v>1579.5666666666666</v>
      </c>
      <c r="AC241" s="17"/>
      <c r="AE241">
        <v>0</v>
      </c>
      <c r="AF241">
        <v>89160.960000000006</v>
      </c>
      <c r="AG241">
        <v>14537.112999999999</v>
      </c>
      <c r="AH241">
        <v>189553.603</v>
      </c>
      <c r="AI241">
        <v>100392.643</v>
      </c>
      <c r="AJ241">
        <v>0</v>
      </c>
      <c r="AW241">
        <v>73977.112999999998</v>
      </c>
      <c r="BE241">
        <v>14537.112999999999</v>
      </c>
      <c r="BF241">
        <v>14860</v>
      </c>
      <c r="BG241">
        <v>14860</v>
      </c>
      <c r="BH241">
        <v>14860</v>
      </c>
      <c r="BI241">
        <v>14860</v>
      </c>
      <c r="BJ241">
        <v>115576.49</v>
      </c>
      <c r="BK241">
        <v>16122.05</v>
      </c>
      <c r="BL241">
        <v>15094.57</v>
      </c>
      <c r="BM241">
        <v>16446.66</v>
      </c>
      <c r="BN241">
        <v>14860.16</v>
      </c>
      <c r="BO241">
        <v>16016.14</v>
      </c>
      <c r="BP241">
        <v>15735.77</v>
      </c>
      <c r="BQ241">
        <v>21301.14</v>
      </c>
      <c r="BW241">
        <v>0</v>
      </c>
      <c r="CJ241">
        <v>0</v>
      </c>
      <c r="CW241">
        <v>0</v>
      </c>
      <c r="DJ241">
        <v>0</v>
      </c>
      <c r="DW241">
        <v>0</v>
      </c>
      <c r="EJ241">
        <v>0</v>
      </c>
    </row>
    <row r="242" spans="1:140" hidden="1" x14ac:dyDescent="0.35">
      <c r="A242" t="s">
        <v>3317</v>
      </c>
      <c r="B242" t="s">
        <v>249</v>
      </c>
      <c r="D242" t="s">
        <v>5978</v>
      </c>
      <c r="E242" t="s">
        <v>3551</v>
      </c>
      <c r="F242" t="s">
        <v>3552</v>
      </c>
      <c r="G242" t="s">
        <v>3553</v>
      </c>
      <c r="H242" t="s">
        <v>5979</v>
      </c>
      <c r="I242" t="s">
        <v>5368</v>
      </c>
      <c r="J242" t="s">
        <v>3071</v>
      </c>
      <c r="K242" t="s">
        <v>3071</v>
      </c>
      <c r="L242" t="s">
        <v>3548</v>
      </c>
      <c r="M242" t="s">
        <v>3180</v>
      </c>
      <c r="N242" t="s">
        <v>89</v>
      </c>
      <c r="O242" t="s">
        <v>3088</v>
      </c>
      <c r="P242">
        <v>0</v>
      </c>
      <c r="Q242" t="s">
        <v>3075</v>
      </c>
      <c r="R242">
        <v>0</v>
      </c>
      <c r="S242">
        <v>0</v>
      </c>
      <c r="T242" t="s">
        <v>5369</v>
      </c>
      <c r="U242" t="s">
        <v>5980</v>
      </c>
      <c r="V242" s="17">
        <v>44855</v>
      </c>
      <c r="W242" s="17">
        <v>44753</v>
      </c>
      <c r="X242" s="17">
        <v>45118</v>
      </c>
      <c r="Y242">
        <v>-1044</v>
      </c>
      <c r="Z242">
        <v>0</v>
      </c>
      <c r="AA242">
        <v>12.166666666666666</v>
      </c>
      <c r="AB242">
        <v>1573.5333333333333</v>
      </c>
      <c r="AC242" s="17"/>
      <c r="AE242">
        <v>0</v>
      </c>
      <c r="AF242">
        <v>151036.38</v>
      </c>
      <c r="AG242">
        <v>12413.949000000001</v>
      </c>
      <c r="AH242">
        <v>744657.696</v>
      </c>
      <c r="AI242">
        <v>593621.31599999999</v>
      </c>
      <c r="AJ242">
        <v>0</v>
      </c>
      <c r="AW242">
        <v>177468.59529999999</v>
      </c>
      <c r="BE242">
        <v>28464.815299999998</v>
      </c>
      <c r="BF242">
        <v>28860</v>
      </c>
      <c r="BG242">
        <v>28860</v>
      </c>
      <c r="BH242">
        <v>45642</v>
      </c>
      <c r="BI242">
        <v>45641.89</v>
      </c>
      <c r="BJ242">
        <v>545889.51</v>
      </c>
      <c r="BK242">
        <v>45641.98</v>
      </c>
      <c r="BL242">
        <v>45641.98</v>
      </c>
      <c r="BM242">
        <v>45641.98</v>
      </c>
      <c r="BN242">
        <v>45641.98</v>
      </c>
      <c r="BO242">
        <v>45641.98</v>
      </c>
      <c r="BP242">
        <v>42039.79</v>
      </c>
      <c r="BQ242">
        <v>45641.98</v>
      </c>
      <c r="BR242">
        <v>45641.98</v>
      </c>
      <c r="BS242">
        <v>47429.919999999998</v>
      </c>
      <c r="BT242">
        <v>45641.98</v>
      </c>
      <c r="BU242">
        <v>45641.98</v>
      </c>
      <c r="BV242">
        <v>45641.98</v>
      </c>
      <c r="BW242">
        <v>21299.590700000001</v>
      </c>
      <c r="BX242">
        <v>21299.590700000001</v>
      </c>
      <c r="CJ242">
        <v>0</v>
      </c>
      <c r="CW242">
        <v>0</v>
      </c>
      <c r="DJ242">
        <v>0</v>
      </c>
      <c r="DW242">
        <v>0</v>
      </c>
      <c r="EJ242">
        <v>0</v>
      </c>
    </row>
    <row r="243" spans="1:140" hidden="1" x14ac:dyDescent="0.35">
      <c r="A243" t="s">
        <v>3317</v>
      </c>
      <c r="B243" t="s">
        <v>249</v>
      </c>
      <c r="D243" t="s">
        <v>5981</v>
      </c>
      <c r="E243" t="s">
        <v>3382</v>
      </c>
      <c r="F243" t="s">
        <v>3383</v>
      </c>
      <c r="G243" t="s">
        <v>3384</v>
      </c>
      <c r="H243" t="s">
        <v>5982</v>
      </c>
      <c r="I243" t="s">
        <v>5368</v>
      </c>
      <c r="J243" t="s">
        <v>3071</v>
      </c>
      <c r="K243" t="s">
        <v>3071</v>
      </c>
      <c r="L243" t="s">
        <v>3237</v>
      </c>
      <c r="M243" t="s">
        <v>3087</v>
      </c>
      <c r="N243" t="s">
        <v>89</v>
      </c>
      <c r="O243" t="s">
        <v>3088</v>
      </c>
      <c r="P243">
        <v>0</v>
      </c>
      <c r="Q243" t="s">
        <v>3075</v>
      </c>
      <c r="R243">
        <v>0</v>
      </c>
      <c r="S243">
        <v>0</v>
      </c>
      <c r="T243" t="s">
        <v>5369</v>
      </c>
      <c r="U243" t="s">
        <v>5983</v>
      </c>
      <c r="V243" s="17">
        <v>44926</v>
      </c>
      <c r="W243" s="17">
        <v>44788</v>
      </c>
      <c r="X243" s="17">
        <v>45000</v>
      </c>
      <c r="Y243">
        <v>-1162</v>
      </c>
      <c r="Z243">
        <v>0</v>
      </c>
      <c r="AA243">
        <v>7.0666666666666664</v>
      </c>
      <c r="AB243">
        <v>1577.4666666666667</v>
      </c>
      <c r="AC243" s="17"/>
      <c r="AE243">
        <v>0</v>
      </c>
      <c r="AF243">
        <v>143694</v>
      </c>
      <c r="AG243">
        <v>20334.0566</v>
      </c>
      <c r="AH243">
        <v>235780.8</v>
      </c>
      <c r="AI243">
        <v>92086.8</v>
      </c>
      <c r="AJ243">
        <v>0</v>
      </c>
      <c r="AW243">
        <v>63864</v>
      </c>
      <c r="BF243">
        <v>15966</v>
      </c>
      <c r="BG243">
        <v>15966</v>
      </c>
      <c r="BH243">
        <v>15966</v>
      </c>
      <c r="BI243">
        <v>15966</v>
      </c>
      <c r="BJ243">
        <v>171916.79999999999</v>
      </c>
      <c r="BK243">
        <v>12772.8</v>
      </c>
      <c r="BL243">
        <v>15966</v>
      </c>
      <c r="BM243">
        <v>15966</v>
      </c>
      <c r="BN243">
        <v>15966</v>
      </c>
      <c r="BO243">
        <v>15966</v>
      </c>
      <c r="BP243">
        <v>15966</v>
      </c>
      <c r="BQ243">
        <v>15966</v>
      </c>
      <c r="BR243">
        <v>15966</v>
      </c>
      <c r="BS243">
        <v>15966</v>
      </c>
      <c r="BT243">
        <v>15966</v>
      </c>
      <c r="BU243">
        <v>15450</v>
      </c>
      <c r="BW243">
        <v>0</v>
      </c>
      <c r="CJ243">
        <v>0</v>
      </c>
      <c r="CW243">
        <v>0</v>
      </c>
      <c r="DJ243">
        <v>0</v>
      </c>
      <c r="DW243">
        <v>0</v>
      </c>
      <c r="EJ243">
        <v>0</v>
      </c>
    </row>
    <row r="244" spans="1:140" hidden="1" x14ac:dyDescent="0.35">
      <c r="A244" t="s">
        <v>3317</v>
      </c>
      <c r="B244" t="s">
        <v>249</v>
      </c>
      <c r="D244" t="s">
        <v>5984</v>
      </c>
      <c r="E244" t="s">
        <v>3587</v>
      </c>
      <c r="F244" t="s">
        <v>3588</v>
      </c>
      <c r="G244" t="s">
        <v>3589</v>
      </c>
      <c r="H244" t="s">
        <v>5985</v>
      </c>
      <c r="I244" t="s">
        <v>5368</v>
      </c>
      <c r="J244" t="s">
        <v>3079</v>
      </c>
      <c r="K244" t="s">
        <v>3079</v>
      </c>
      <c r="L244" t="s">
        <v>3590</v>
      </c>
      <c r="M244" t="s">
        <v>3139</v>
      </c>
      <c r="N244" t="s">
        <v>89</v>
      </c>
      <c r="O244" t="s">
        <v>3088</v>
      </c>
      <c r="P244">
        <v>0</v>
      </c>
      <c r="Q244" t="s">
        <v>3075</v>
      </c>
      <c r="R244">
        <v>0</v>
      </c>
      <c r="S244">
        <v>0</v>
      </c>
      <c r="T244" t="s">
        <v>5369</v>
      </c>
      <c r="U244" t="s">
        <v>5986</v>
      </c>
      <c r="V244" s="17">
        <v>44926</v>
      </c>
      <c r="W244" s="17">
        <v>44795</v>
      </c>
      <c r="X244" s="17">
        <v>45009</v>
      </c>
      <c r="Y244">
        <v>-1153</v>
      </c>
      <c r="Z244">
        <v>0</v>
      </c>
      <c r="AA244">
        <v>7.1333333333333337</v>
      </c>
      <c r="AB244">
        <v>1577.1666666666667</v>
      </c>
      <c r="AC244" s="17"/>
      <c r="AE244">
        <v>0</v>
      </c>
      <c r="AF244">
        <v>281656.26</v>
      </c>
      <c r="AG244">
        <v>39484.522400000002</v>
      </c>
      <c r="AH244">
        <v>738803.38</v>
      </c>
      <c r="AI244">
        <v>457147.12</v>
      </c>
      <c r="AJ244">
        <v>0</v>
      </c>
      <c r="AW244">
        <v>232511.13</v>
      </c>
      <c r="BF244">
        <v>52858</v>
      </c>
      <c r="BG244">
        <v>55941.33</v>
      </c>
      <c r="BH244">
        <v>52858</v>
      </c>
      <c r="BI244">
        <v>70853.8</v>
      </c>
      <c r="BJ244">
        <v>506292.25</v>
      </c>
      <c r="BK244">
        <v>71035.39</v>
      </c>
      <c r="BL244">
        <v>73770.22</v>
      </c>
      <c r="BM244">
        <v>142712.03</v>
      </c>
      <c r="BN244">
        <v>92913.21</v>
      </c>
      <c r="BO244">
        <v>41953.8</v>
      </c>
      <c r="BP244">
        <v>41953.8</v>
      </c>
      <c r="BQ244">
        <v>41953.8</v>
      </c>
      <c r="BW244">
        <v>0</v>
      </c>
      <c r="CJ244">
        <v>0</v>
      </c>
      <c r="CW244">
        <v>0</v>
      </c>
      <c r="DJ244">
        <v>0</v>
      </c>
      <c r="DW244">
        <v>0</v>
      </c>
      <c r="EJ244">
        <v>0</v>
      </c>
    </row>
    <row r="245" spans="1:140" hidden="1" x14ac:dyDescent="0.35">
      <c r="A245" t="s">
        <v>3317</v>
      </c>
      <c r="B245" t="s">
        <v>249</v>
      </c>
      <c r="D245" t="s">
        <v>5987</v>
      </c>
      <c r="E245" t="s">
        <v>3389</v>
      </c>
      <c r="F245" t="s">
        <v>3390</v>
      </c>
      <c r="G245" t="s">
        <v>3391</v>
      </c>
      <c r="H245" t="s">
        <v>5988</v>
      </c>
      <c r="I245" t="s">
        <v>5368</v>
      </c>
      <c r="J245" t="s">
        <v>3071</v>
      </c>
      <c r="K245" t="s">
        <v>3071</v>
      </c>
      <c r="L245" t="s">
        <v>3237</v>
      </c>
      <c r="M245" t="s">
        <v>3087</v>
      </c>
      <c r="N245" t="s">
        <v>89</v>
      </c>
      <c r="O245" t="s">
        <v>3088</v>
      </c>
      <c r="P245">
        <v>0</v>
      </c>
      <c r="Q245" t="s">
        <v>3075</v>
      </c>
      <c r="R245">
        <v>0</v>
      </c>
      <c r="S245">
        <v>0</v>
      </c>
      <c r="T245" t="s">
        <v>5369</v>
      </c>
      <c r="U245" t="s">
        <v>5989</v>
      </c>
      <c r="V245" s="17">
        <v>44816</v>
      </c>
      <c r="W245" s="17">
        <v>44805</v>
      </c>
      <c r="X245" s="17">
        <v>44986</v>
      </c>
      <c r="Y245">
        <v>-1176</v>
      </c>
      <c r="Z245">
        <v>0</v>
      </c>
      <c r="AA245">
        <v>6.0333333333333332</v>
      </c>
      <c r="AB245">
        <v>1577.9333333333334</v>
      </c>
      <c r="AC245" s="17"/>
      <c r="AE245">
        <v>0</v>
      </c>
      <c r="AF245">
        <v>95796</v>
      </c>
      <c r="AG245">
        <v>15877.7901</v>
      </c>
      <c r="AH245">
        <v>161248.01999999999</v>
      </c>
      <c r="AI245">
        <v>65452.02</v>
      </c>
      <c r="AJ245">
        <v>0</v>
      </c>
      <c r="AW245">
        <v>66789.67</v>
      </c>
      <c r="BF245">
        <v>15966</v>
      </c>
      <c r="BG245">
        <v>15966</v>
      </c>
      <c r="BH245">
        <v>15966</v>
      </c>
      <c r="BI245">
        <v>18891.669999999998</v>
      </c>
      <c r="BJ245">
        <v>94458.35</v>
      </c>
      <c r="BK245">
        <v>18891.669999999998</v>
      </c>
      <c r="BL245">
        <v>18891.669999999998</v>
      </c>
      <c r="BM245">
        <v>18891.669999999998</v>
      </c>
      <c r="BN245">
        <v>18891.669999999998</v>
      </c>
      <c r="BO245">
        <v>18891.669999999998</v>
      </c>
      <c r="BW245">
        <v>0</v>
      </c>
      <c r="CJ245">
        <v>0</v>
      </c>
      <c r="CW245">
        <v>0</v>
      </c>
      <c r="DJ245">
        <v>0</v>
      </c>
      <c r="DW245">
        <v>0</v>
      </c>
      <c r="EJ245">
        <v>0</v>
      </c>
    </row>
    <row r="246" spans="1:140" hidden="1" x14ac:dyDescent="0.35">
      <c r="A246" t="s">
        <v>3317</v>
      </c>
      <c r="B246" t="s">
        <v>249</v>
      </c>
      <c r="D246" t="s">
        <v>5990</v>
      </c>
      <c r="E246" t="s">
        <v>3395</v>
      </c>
      <c r="F246" t="s">
        <v>3396</v>
      </c>
      <c r="G246" t="s">
        <v>3397</v>
      </c>
      <c r="H246" t="s">
        <v>5991</v>
      </c>
      <c r="I246" t="s">
        <v>5368</v>
      </c>
      <c r="J246" t="s">
        <v>3071</v>
      </c>
      <c r="K246" t="s">
        <v>3071</v>
      </c>
      <c r="L246" t="s">
        <v>3237</v>
      </c>
      <c r="M246" t="s">
        <v>3087</v>
      </c>
      <c r="N246" t="s">
        <v>89</v>
      </c>
      <c r="O246" t="s">
        <v>3088</v>
      </c>
      <c r="P246">
        <v>0</v>
      </c>
      <c r="Q246" t="s">
        <v>3075</v>
      </c>
      <c r="R246">
        <v>0</v>
      </c>
      <c r="S246">
        <v>0</v>
      </c>
      <c r="T246" t="s">
        <v>5369</v>
      </c>
      <c r="U246" t="s">
        <v>5992</v>
      </c>
      <c r="V246" s="17">
        <v>44841</v>
      </c>
      <c r="W246" s="17">
        <v>44848</v>
      </c>
      <c r="X246" s="17">
        <v>45228</v>
      </c>
      <c r="Y246">
        <v>-934</v>
      </c>
      <c r="Z246">
        <v>0</v>
      </c>
      <c r="AA246">
        <v>12.666666666666666</v>
      </c>
      <c r="AB246">
        <v>1569.8666666666666</v>
      </c>
      <c r="AC246" s="17"/>
      <c r="AE246">
        <v>0</v>
      </c>
      <c r="AF246">
        <v>200850</v>
      </c>
      <c r="AG246">
        <v>15856.5789</v>
      </c>
      <c r="AH246">
        <v>209090</v>
      </c>
      <c r="AI246">
        <v>8240</v>
      </c>
      <c r="AJ246">
        <v>0</v>
      </c>
      <c r="AW246">
        <v>36050</v>
      </c>
      <c r="BG246">
        <v>5150</v>
      </c>
      <c r="BH246">
        <v>15450</v>
      </c>
      <c r="BI246">
        <v>15450</v>
      </c>
      <c r="BJ246">
        <v>173040</v>
      </c>
      <c r="BK246">
        <v>15450</v>
      </c>
      <c r="BL246">
        <v>15450</v>
      </c>
      <c r="BM246">
        <v>15450</v>
      </c>
      <c r="BN246">
        <v>15450</v>
      </c>
      <c r="BO246">
        <v>15450</v>
      </c>
      <c r="BP246">
        <v>15450</v>
      </c>
      <c r="BQ246">
        <v>15450</v>
      </c>
      <c r="BR246">
        <v>15450</v>
      </c>
      <c r="BS246">
        <v>15450</v>
      </c>
      <c r="BT246">
        <v>15450</v>
      </c>
      <c r="BU246">
        <v>15450</v>
      </c>
      <c r="BV246">
        <v>3090</v>
      </c>
      <c r="BW246">
        <v>0</v>
      </c>
      <c r="CJ246">
        <v>0</v>
      </c>
      <c r="CW246">
        <v>0</v>
      </c>
      <c r="DJ246">
        <v>0</v>
      </c>
      <c r="DW246">
        <v>0</v>
      </c>
      <c r="EJ246">
        <v>0</v>
      </c>
    </row>
    <row r="247" spans="1:140" hidden="1" x14ac:dyDescent="0.35">
      <c r="A247" t="s">
        <v>3317</v>
      </c>
      <c r="B247" t="s">
        <v>249</v>
      </c>
      <c r="D247" t="s">
        <v>5993</v>
      </c>
      <c r="E247" t="s">
        <v>3622</v>
      </c>
      <c r="F247" t="s">
        <v>3623</v>
      </c>
      <c r="G247" t="s">
        <v>5994</v>
      </c>
      <c r="H247" t="s">
        <v>5995</v>
      </c>
      <c r="I247" t="s">
        <v>5368</v>
      </c>
      <c r="J247" t="s">
        <v>3071</v>
      </c>
      <c r="K247" t="s">
        <v>3071</v>
      </c>
      <c r="L247" t="s">
        <v>196</v>
      </c>
      <c r="M247" t="s">
        <v>3180</v>
      </c>
      <c r="N247" t="s">
        <v>89</v>
      </c>
      <c r="O247" t="s">
        <v>3088</v>
      </c>
      <c r="P247">
        <v>0</v>
      </c>
      <c r="Q247" t="s">
        <v>3075</v>
      </c>
      <c r="R247">
        <v>0</v>
      </c>
      <c r="S247">
        <v>0</v>
      </c>
      <c r="T247" t="s">
        <v>5485</v>
      </c>
      <c r="U247" t="s">
        <v>5996</v>
      </c>
      <c r="V247" s="17">
        <v>45102</v>
      </c>
      <c r="W247" s="17">
        <v>44851</v>
      </c>
      <c r="X247" s="17">
        <v>45216</v>
      </c>
      <c r="Y247">
        <v>-946</v>
      </c>
      <c r="Z247">
        <v>12</v>
      </c>
      <c r="AA247">
        <v>12.166666666666666</v>
      </c>
      <c r="AB247">
        <v>1570.2666666666667</v>
      </c>
      <c r="AC247" s="17"/>
      <c r="AE247">
        <v>4468</v>
      </c>
      <c r="AF247">
        <v>44186.22</v>
      </c>
      <c r="AG247">
        <v>3631.7440999999999</v>
      </c>
      <c r="AH247">
        <v>540615.64</v>
      </c>
      <c r="AI247">
        <v>496429.42</v>
      </c>
      <c r="AJ247">
        <v>0</v>
      </c>
      <c r="AW247">
        <v>102944.66</v>
      </c>
      <c r="BH247">
        <v>51472</v>
      </c>
      <c r="BI247">
        <v>51472.33</v>
      </c>
      <c r="BJ247">
        <v>437670.98</v>
      </c>
      <c r="BK247">
        <v>47010.79</v>
      </c>
      <c r="BL247">
        <v>47010.79</v>
      </c>
      <c r="BM247">
        <v>47010.79</v>
      </c>
      <c r="BN247">
        <v>47010.79</v>
      </c>
      <c r="BO247">
        <v>47010.79</v>
      </c>
      <c r="BP247">
        <v>41757.33</v>
      </c>
      <c r="BQ247">
        <v>26809.95</v>
      </c>
      <c r="BR247">
        <v>26809.95</v>
      </c>
      <c r="BS247">
        <v>26809.95</v>
      </c>
      <c r="BT247">
        <v>26809.95</v>
      </c>
      <c r="BU247">
        <v>26809.95</v>
      </c>
      <c r="BV247">
        <v>26809.95</v>
      </c>
      <c r="BW247">
        <v>0</v>
      </c>
      <c r="CJ247">
        <v>0</v>
      </c>
      <c r="CW247">
        <v>0</v>
      </c>
      <c r="DJ247">
        <v>0</v>
      </c>
      <c r="DW247">
        <v>0</v>
      </c>
      <c r="EJ247">
        <v>0</v>
      </c>
    </row>
    <row r="248" spans="1:140" hidden="1" x14ac:dyDescent="0.35">
      <c r="A248" t="s">
        <v>3317</v>
      </c>
      <c r="B248" t="s">
        <v>249</v>
      </c>
      <c r="D248" t="s">
        <v>5993</v>
      </c>
      <c r="E248" t="s">
        <v>3629</v>
      </c>
      <c r="F248" t="s">
        <v>3630</v>
      </c>
      <c r="G248" t="s">
        <v>3629</v>
      </c>
      <c r="H248" t="s">
        <v>5997</v>
      </c>
      <c r="I248" t="s">
        <v>5368</v>
      </c>
      <c r="J248">
        <v>0</v>
      </c>
      <c r="L248" t="s">
        <v>196</v>
      </c>
      <c r="M248" t="s">
        <v>3180</v>
      </c>
      <c r="N248" t="s">
        <v>89</v>
      </c>
      <c r="O248" t="s">
        <v>3088</v>
      </c>
      <c r="P248">
        <v>0</v>
      </c>
      <c r="Q248" t="s">
        <v>3075</v>
      </c>
      <c r="R248">
        <v>0</v>
      </c>
      <c r="S248">
        <v>0</v>
      </c>
      <c r="T248" t="s">
        <v>5485</v>
      </c>
      <c r="U248" t="s">
        <v>5996</v>
      </c>
      <c r="V248" s="17">
        <v>45102</v>
      </c>
      <c r="W248" s="17">
        <v>44909</v>
      </c>
      <c r="X248" s="17">
        <v>45089</v>
      </c>
      <c r="Y248">
        <v>-1073</v>
      </c>
      <c r="Z248">
        <v>12</v>
      </c>
      <c r="AA248">
        <v>6</v>
      </c>
      <c r="AB248">
        <v>1574.5</v>
      </c>
      <c r="AC248" s="17"/>
      <c r="AE248">
        <v>4468</v>
      </c>
      <c r="AF248">
        <v>44186.22</v>
      </c>
      <c r="AG248">
        <v>7364.37</v>
      </c>
      <c r="AH248">
        <v>222420</v>
      </c>
      <c r="AI248">
        <v>178233.78</v>
      </c>
      <c r="AJ248">
        <v>0</v>
      </c>
      <c r="AW248">
        <v>33700</v>
      </c>
      <c r="BI248">
        <v>33700</v>
      </c>
      <c r="BJ248">
        <v>188720</v>
      </c>
      <c r="BK248">
        <v>33700</v>
      </c>
      <c r="BL248">
        <v>33700</v>
      </c>
      <c r="BM248">
        <v>33700</v>
      </c>
      <c r="BN248">
        <v>33700</v>
      </c>
      <c r="BO248">
        <v>33700</v>
      </c>
      <c r="BP248">
        <v>20220</v>
      </c>
      <c r="BW248">
        <v>0</v>
      </c>
      <c r="CJ248">
        <v>0</v>
      </c>
      <c r="CW248">
        <v>0</v>
      </c>
      <c r="DJ248">
        <v>0</v>
      </c>
      <c r="DW248">
        <v>0</v>
      </c>
      <c r="EJ248">
        <v>0</v>
      </c>
    </row>
    <row r="249" spans="1:140" hidden="1" x14ac:dyDescent="0.35">
      <c r="A249" t="s">
        <v>3317</v>
      </c>
      <c r="B249" t="s">
        <v>249</v>
      </c>
      <c r="D249" t="s">
        <v>5998</v>
      </c>
      <c r="E249" t="s">
        <v>3462</v>
      </c>
      <c r="F249" t="s">
        <v>3463</v>
      </c>
      <c r="G249" t="s">
        <v>3464</v>
      </c>
      <c r="H249" t="s">
        <v>5999</v>
      </c>
      <c r="I249" t="s">
        <v>5368</v>
      </c>
      <c r="J249" t="s">
        <v>3422</v>
      </c>
      <c r="K249" t="s">
        <v>3422</v>
      </c>
      <c r="L249" t="s">
        <v>3465</v>
      </c>
      <c r="M249" t="s">
        <v>3421</v>
      </c>
      <c r="N249" t="s">
        <v>3466</v>
      </c>
      <c r="O249" t="s">
        <v>3107</v>
      </c>
      <c r="P249">
        <v>0</v>
      </c>
      <c r="Q249" t="s">
        <v>3075</v>
      </c>
      <c r="R249">
        <v>0</v>
      </c>
      <c r="S249">
        <v>0</v>
      </c>
      <c r="T249" t="s">
        <v>5369</v>
      </c>
      <c r="U249" t="s">
        <v>6000</v>
      </c>
      <c r="V249" s="17">
        <v>44873</v>
      </c>
      <c r="W249" s="17">
        <v>44927</v>
      </c>
      <c r="X249" s="17">
        <v>45107</v>
      </c>
      <c r="Y249">
        <v>-1055</v>
      </c>
      <c r="Z249">
        <v>0</v>
      </c>
      <c r="AA249">
        <v>6</v>
      </c>
      <c r="AB249">
        <v>1573.9</v>
      </c>
      <c r="AC249" s="17"/>
      <c r="AE249">
        <v>0</v>
      </c>
      <c r="AF249">
        <v>69956</v>
      </c>
      <c r="AG249">
        <v>11659.3333</v>
      </c>
      <c r="AH249">
        <v>69955.98</v>
      </c>
      <c r="AI249">
        <v>-0.02</v>
      </c>
      <c r="AJ249">
        <v>0</v>
      </c>
      <c r="AW249">
        <v>0</v>
      </c>
      <c r="BJ249">
        <v>69955.98</v>
      </c>
      <c r="BK249">
        <v>11659.33</v>
      </c>
      <c r="BL249">
        <v>11659.33</v>
      </c>
      <c r="BM249">
        <v>11659.33</v>
      </c>
      <c r="BN249">
        <v>11659.33</v>
      </c>
      <c r="BO249">
        <v>11659.33</v>
      </c>
      <c r="BP249">
        <v>11659.33</v>
      </c>
      <c r="BW249">
        <v>0</v>
      </c>
      <c r="CJ249">
        <v>0</v>
      </c>
      <c r="CW249">
        <v>0</v>
      </c>
      <c r="DJ249">
        <v>0</v>
      </c>
      <c r="DW249">
        <v>0</v>
      </c>
      <c r="EJ249">
        <v>0</v>
      </c>
    </row>
    <row r="250" spans="1:140" hidden="1" x14ac:dyDescent="0.35">
      <c r="A250" t="s">
        <v>3317</v>
      </c>
      <c r="B250" t="s">
        <v>249</v>
      </c>
      <c r="D250" t="s">
        <v>6001</v>
      </c>
      <c r="E250" t="s">
        <v>862</v>
      </c>
      <c r="F250" t="s">
        <v>3474</v>
      </c>
      <c r="G250" t="s">
        <v>3475</v>
      </c>
      <c r="H250" t="s">
        <v>6002</v>
      </c>
      <c r="I250" t="s">
        <v>5368</v>
      </c>
      <c r="J250" t="s">
        <v>3071</v>
      </c>
      <c r="K250" t="s">
        <v>3071</v>
      </c>
      <c r="L250" t="s">
        <v>88</v>
      </c>
      <c r="M250" t="s">
        <v>3139</v>
      </c>
      <c r="N250" t="s">
        <v>89</v>
      </c>
      <c r="O250" t="s">
        <v>3088</v>
      </c>
      <c r="P250">
        <v>0</v>
      </c>
      <c r="Q250" t="s">
        <v>3075</v>
      </c>
      <c r="R250">
        <v>0</v>
      </c>
      <c r="S250">
        <v>0</v>
      </c>
      <c r="T250" t="s">
        <v>5485</v>
      </c>
      <c r="U250" t="s">
        <v>6003</v>
      </c>
      <c r="V250" s="17">
        <v>44890</v>
      </c>
      <c r="W250" s="17">
        <v>44927</v>
      </c>
      <c r="X250" s="17">
        <v>45350</v>
      </c>
      <c r="Y250">
        <v>-812</v>
      </c>
      <c r="Z250">
        <v>0</v>
      </c>
      <c r="AA250">
        <v>14.1</v>
      </c>
      <c r="AB250">
        <v>1565.8</v>
      </c>
      <c r="AC250" s="17"/>
      <c r="AE250">
        <v>0</v>
      </c>
      <c r="AF250">
        <v>173920</v>
      </c>
      <c r="AG250">
        <v>12334.7518</v>
      </c>
      <c r="AH250">
        <v>680677.83</v>
      </c>
      <c r="AI250">
        <v>506757.83</v>
      </c>
      <c r="AJ250">
        <v>0</v>
      </c>
      <c r="AW250">
        <v>21740</v>
      </c>
      <c r="BI250">
        <v>21740</v>
      </c>
      <c r="BJ250">
        <v>422820.83</v>
      </c>
      <c r="BK250">
        <v>21740</v>
      </c>
      <c r="BL250">
        <v>36233.33</v>
      </c>
      <c r="BM250">
        <v>50360.5</v>
      </c>
      <c r="BN250">
        <v>44767</v>
      </c>
      <c r="BO250">
        <v>45064</v>
      </c>
      <c r="BP250">
        <v>44272</v>
      </c>
      <c r="BQ250">
        <v>21740</v>
      </c>
      <c r="BR250">
        <v>23720</v>
      </c>
      <c r="BS250">
        <v>33731</v>
      </c>
      <c r="BT250">
        <v>33731</v>
      </c>
      <c r="BU250">
        <v>33731</v>
      </c>
      <c r="BV250">
        <v>33731</v>
      </c>
      <c r="BW250">
        <v>236117</v>
      </c>
      <c r="BX250">
        <v>33731</v>
      </c>
      <c r="BY250">
        <v>33731</v>
      </c>
      <c r="BZ250">
        <v>33731</v>
      </c>
      <c r="CA250">
        <v>33731</v>
      </c>
      <c r="CB250">
        <v>33731</v>
      </c>
      <c r="CC250">
        <v>33731</v>
      </c>
      <c r="CD250">
        <v>33731</v>
      </c>
      <c r="CJ250">
        <v>0</v>
      </c>
      <c r="CW250">
        <v>0</v>
      </c>
      <c r="DJ250">
        <v>0</v>
      </c>
      <c r="DW250">
        <v>0</v>
      </c>
      <c r="EJ250">
        <v>0</v>
      </c>
    </row>
    <row r="251" spans="1:140" hidden="1" x14ac:dyDescent="0.35">
      <c r="A251" t="s">
        <v>3317</v>
      </c>
      <c r="B251" t="s">
        <v>249</v>
      </c>
      <c r="D251" t="s">
        <v>6004</v>
      </c>
      <c r="E251" t="s">
        <v>4550</v>
      </c>
      <c r="F251" t="s">
        <v>4551</v>
      </c>
      <c r="G251" t="s">
        <v>4552</v>
      </c>
      <c r="H251" t="s">
        <v>6005</v>
      </c>
      <c r="I251" t="s">
        <v>5368</v>
      </c>
      <c r="J251" t="s">
        <v>3203</v>
      </c>
      <c r="K251" t="s">
        <v>3203</v>
      </c>
      <c r="L251" t="s">
        <v>4553</v>
      </c>
      <c r="M251" t="s">
        <v>3139</v>
      </c>
      <c r="N251" t="s">
        <v>4553</v>
      </c>
      <c r="O251" t="s">
        <v>3153</v>
      </c>
      <c r="P251">
        <v>0</v>
      </c>
      <c r="Q251" t="s">
        <v>3852</v>
      </c>
      <c r="R251">
        <v>0</v>
      </c>
      <c r="S251">
        <v>0</v>
      </c>
      <c r="T251" t="s">
        <v>5369</v>
      </c>
      <c r="U251" t="s">
        <v>6006</v>
      </c>
      <c r="V251" s="17">
        <v>44928</v>
      </c>
      <c r="W251" s="17">
        <v>44928</v>
      </c>
      <c r="X251" s="17">
        <v>45292</v>
      </c>
      <c r="Y251">
        <v>-870</v>
      </c>
      <c r="Z251">
        <v>0</v>
      </c>
      <c r="AA251">
        <v>12.133333333333333</v>
      </c>
      <c r="AB251">
        <v>1567.7333333333333</v>
      </c>
      <c r="AC251" s="17"/>
      <c r="AE251">
        <v>0</v>
      </c>
      <c r="AF251">
        <v>293784.23</v>
      </c>
      <c r="AG251">
        <v>24212.986000000001</v>
      </c>
      <c r="AH251">
        <v>0</v>
      </c>
      <c r="AI251">
        <v>-293784.23</v>
      </c>
      <c r="AJ251">
        <v>0</v>
      </c>
      <c r="AW251">
        <v>0</v>
      </c>
      <c r="BJ251">
        <v>0</v>
      </c>
      <c r="BK251">
        <v>0</v>
      </c>
      <c r="BW251">
        <v>0</v>
      </c>
      <c r="CJ251">
        <v>0</v>
      </c>
      <c r="CW251">
        <v>0</v>
      </c>
      <c r="DJ251">
        <v>0</v>
      </c>
      <c r="DW251">
        <v>0</v>
      </c>
      <c r="EJ251">
        <v>0</v>
      </c>
    </row>
    <row r="252" spans="1:140" hidden="1" x14ac:dyDescent="0.35">
      <c r="A252" t="s">
        <v>3317</v>
      </c>
      <c r="B252" t="s">
        <v>249</v>
      </c>
      <c r="D252" t="s">
        <v>6007</v>
      </c>
      <c r="E252" t="s">
        <v>4724</v>
      </c>
      <c r="F252" t="s">
        <v>4725</v>
      </c>
      <c r="G252" t="s">
        <v>4726</v>
      </c>
      <c r="H252" t="s">
        <v>6008</v>
      </c>
      <c r="I252" t="s">
        <v>5368</v>
      </c>
      <c r="J252" t="s">
        <v>3203</v>
      </c>
      <c r="K252" t="s">
        <v>3203</v>
      </c>
      <c r="L252" t="s">
        <v>4410</v>
      </c>
      <c r="M252" t="s">
        <v>3139</v>
      </c>
      <c r="N252" t="s">
        <v>89</v>
      </c>
      <c r="O252" t="s">
        <v>3088</v>
      </c>
      <c r="P252">
        <v>0</v>
      </c>
      <c r="Q252" t="s">
        <v>3075</v>
      </c>
      <c r="R252">
        <v>0</v>
      </c>
      <c r="S252">
        <v>0</v>
      </c>
      <c r="T252" t="s">
        <v>5369</v>
      </c>
      <c r="U252" t="s">
        <v>6009</v>
      </c>
      <c r="V252" s="17">
        <v>44895</v>
      </c>
      <c r="W252" s="17">
        <v>44936</v>
      </c>
      <c r="X252" s="17">
        <v>45062</v>
      </c>
      <c r="Y252">
        <v>-1100</v>
      </c>
      <c r="Z252">
        <v>0</v>
      </c>
      <c r="AA252">
        <v>4.2</v>
      </c>
      <c r="AB252">
        <v>1575.4</v>
      </c>
      <c r="AC252" s="17"/>
      <c r="AE252">
        <v>0</v>
      </c>
      <c r="AF252">
        <v>12866</v>
      </c>
      <c r="AG252">
        <v>3063.3332999999998</v>
      </c>
      <c r="AH252">
        <v>0</v>
      </c>
      <c r="AI252">
        <v>-12866</v>
      </c>
      <c r="AJ252">
        <v>0</v>
      </c>
      <c r="AW252">
        <v>0</v>
      </c>
      <c r="BJ252">
        <v>0</v>
      </c>
      <c r="BW252">
        <v>0</v>
      </c>
      <c r="CJ252">
        <v>0</v>
      </c>
      <c r="CW252">
        <v>0</v>
      </c>
      <c r="DJ252">
        <v>0</v>
      </c>
      <c r="DW252">
        <v>0</v>
      </c>
      <c r="EJ252">
        <v>0</v>
      </c>
    </row>
    <row r="253" spans="1:140" hidden="1" x14ac:dyDescent="0.35">
      <c r="A253" t="s">
        <v>3317</v>
      </c>
      <c r="B253" t="s">
        <v>249</v>
      </c>
      <c r="D253" t="s">
        <v>6010</v>
      </c>
      <c r="E253" t="s">
        <v>3455</v>
      </c>
      <c r="F253" t="s">
        <v>3456</v>
      </c>
      <c r="G253" t="s">
        <v>3457</v>
      </c>
      <c r="H253" t="s">
        <v>6011</v>
      </c>
      <c r="I253" t="s">
        <v>5368</v>
      </c>
      <c r="J253" t="s">
        <v>3079</v>
      </c>
      <c r="K253" t="s">
        <v>3079</v>
      </c>
      <c r="L253" t="s">
        <v>3458</v>
      </c>
      <c r="M253" t="s">
        <v>3087</v>
      </c>
      <c r="N253" t="s">
        <v>3459</v>
      </c>
      <c r="O253" t="s">
        <v>3107</v>
      </c>
      <c r="P253">
        <v>0</v>
      </c>
      <c r="Q253" t="s">
        <v>3075</v>
      </c>
      <c r="R253">
        <v>0</v>
      </c>
      <c r="S253">
        <v>0</v>
      </c>
      <c r="T253" t="s">
        <v>5369</v>
      </c>
      <c r="U253" t="s">
        <v>6012</v>
      </c>
      <c r="V253" s="17">
        <v>44942</v>
      </c>
      <c r="W253" s="17">
        <v>44943</v>
      </c>
      <c r="X253" s="17">
        <v>45063</v>
      </c>
      <c r="Y253">
        <v>-1099</v>
      </c>
      <c r="Z253">
        <v>4</v>
      </c>
      <c r="AA253">
        <v>4</v>
      </c>
      <c r="AB253">
        <v>1575.3666666666666</v>
      </c>
      <c r="AC253" s="17"/>
      <c r="AE253">
        <v>0</v>
      </c>
      <c r="AF253">
        <v>268000</v>
      </c>
      <c r="AG253">
        <v>67000</v>
      </c>
      <c r="AH253">
        <v>297353.33</v>
      </c>
      <c r="AI253">
        <v>29353.33</v>
      </c>
      <c r="AJ253">
        <v>0</v>
      </c>
      <c r="AW253">
        <v>0</v>
      </c>
      <c r="BJ253">
        <v>297353.33</v>
      </c>
      <c r="BK253">
        <v>20000</v>
      </c>
      <c r="BL253">
        <v>47500</v>
      </c>
      <c r="BM253">
        <v>49780</v>
      </c>
      <c r="BN253">
        <v>47500</v>
      </c>
      <c r="BO253">
        <v>72500</v>
      </c>
      <c r="BP253">
        <v>37473.33</v>
      </c>
      <c r="BQ253">
        <v>22600</v>
      </c>
      <c r="BW253">
        <v>0</v>
      </c>
      <c r="CJ253">
        <v>0</v>
      </c>
      <c r="CW253">
        <v>0</v>
      </c>
      <c r="DJ253">
        <v>0</v>
      </c>
      <c r="DW253">
        <v>0</v>
      </c>
      <c r="EJ253">
        <v>0</v>
      </c>
    </row>
    <row r="254" spans="1:140" hidden="1" x14ac:dyDescent="0.35">
      <c r="A254" t="s">
        <v>3317</v>
      </c>
      <c r="B254" t="s">
        <v>249</v>
      </c>
      <c r="D254" t="s">
        <v>6013</v>
      </c>
      <c r="E254" t="s">
        <v>3417</v>
      </c>
      <c r="F254" t="s">
        <v>3418</v>
      </c>
      <c r="G254" t="s">
        <v>3417</v>
      </c>
      <c r="H254" t="s">
        <v>6014</v>
      </c>
      <c r="I254" t="s">
        <v>5368</v>
      </c>
      <c r="J254">
        <v>0</v>
      </c>
      <c r="L254" t="s">
        <v>3420</v>
      </c>
      <c r="M254" t="s">
        <v>3421</v>
      </c>
      <c r="N254" t="s">
        <v>3420</v>
      </c>
      <c r="O254" t="s">
        <v>3153</v>
      </c>
      <c r="P254">
        <v>0</v>
      </c>
      <c r="Q254" t="s">
        <v>3075</v>
      </c>
      <c r="R254">
        <v>0</v>
      </c>
      <c r="S254">
        <v>0</v>
      </c>
      <c r="T254" t="s">
        <v>5369</v>
      </c>
      <c r="U254" t="s">
        <v>6015</v>
      </c>
      <c r="V254" s="17">
        <v>44865</v>
      </c>
      <c r="W254" s="17">
        <v>44945</v>
      </c>
      <c r="X254" s="17">
        <v>45157</v>
      </c>
      <c r="Y254">
        <v>-1005</v>
      </c>
      <c r="Z254">
        <v>0</v>
      </c>
      <c r="AA254">
        <v>7.0666666666666664</v>
      </c>
      <c r="AB254">
        <v>1572.2333333333333</v>
      </c>
      <c r="AC254" s="17"/>
      <c r="AE254">
        <v>0</v>
      </c>
      <c r="AF254">
        <v>70000</v>
      </c>
      <c r="AG254">
        <v>9905.6604000000007</v>
      </c>
      <c r="AH254">
        <v>28000</v>
      </c>
      <c r="AI254">
        <v>-42000</v>
      </c>
      <c r="AJ254">
        <v>0</v>
      </c>
      <c r="AW254">
        <v>0</v>
      </c>
      <c r="BJ254">
        <v>28000</v>
      </c>
      <c r="BL254">
        <v>4000</v>
      </c>
      <c r="BM254">
        <v>4000</v>
      </c>
      <c r="BN254">
        <v>4000</v>
      </c>
      <c r="BO254">
        <v>4000</v>
      </c>
      <c r="BP254">
        <v>4000</v>
      </c>
      <c r="BQ254">
        <v>4000</v>
      </c>
      <c r="BR254">
        <v>4000</v>
      </c>
      <c r="BW254">
        <v>0</v>
      </c>
      <c r="CJ254">
        <v>0</v>
      </c>
      <c r="CW254">
        <v>0</v>
      </c>
      <c r="DJ254">
        <v>0</v>
      </c>
      <c r="DW254">
        <v>0</v>
      </c>
      <c r="EJ254">
        <v>0</v>
      </c>
    </row>
    <row r="255" spans="1:140" hidden="1" x14ac:dyDescent="0.35">
      <c r="A255" t="s">
        <v>3317</v>
      </c>
      <c r="B255" t="s">
        <v>249</v>
      </c>
      <c r="D255" t="s">
        <v>6016</v>
      </c>
      <c r="E255" t="s">
        <v>3581</v>
      </c>
      <c r="F255" t="s">
        <v>3582</v>
      </c>
      <c r="G255" t="s">
        <v>6017</v>
      </c>
      <c r="H255" t="s">
        <v>6018</v>
      </c>
      <c r="I255" t="s">
        <v>5368</v>
      </c>
      <c r="J255" t="s">
        <v>3079</v>
      </c>
      <c r="K255" t="s">
        <v>3079</v>
      </c>
      <c r="L255" t="s">
        <v>3584</v>
      </c>
      <c r="M255" t="s">
        <v>3069</v>
      </c>
      <c r="N255" t="s">
        <v>89</v>
      </c>
      <c r="O255" t="s">
        <v>3088</v>
      </c>
      <c r="P255">
        <v>0</v>
      </c>
      <c r="Q255" t="s">
        <v>3075</v>
      </c>
      <c r="R255">
        <v>0</v>
      </c>
      <c r="S255">
        <v>0</v>
      </c>
      <c r="T255" t="s">
        <v>5369</v>
      </c>
      <c r="U255" t="s">
        <v>6019</v>
      </c>
      <c r="V255" s="17">
        <v>45078</v>
      </c>
      <c r="W255" s="17">
        <v>44949</v>
      </c>
      <c r="X255" s="17">
        <v>45099</v>
      </c>
      <c r="Y255">
        <v>-1063</v>
      </c>
      <c r="Z255">
        <v>0</v>
      </c>
      <c r="AA255">
        <v>5</v>
      </c>
      <c r="AB255">
        <v>1574.1666666666667</v>
      </c>
      <c r="AC255" s="17"/>
      <c r="AE255">
        <v>0</v>
      </c>
      <c r="AF255">
        <v>65896</v>
      </c>
      <c r="AG255">
        <v>13179.2</v>
      </c>
      <c r="AH255">
        <v>430844</v>
      </c>
      <c r="AI255">
        <v>364948</v>
      </c>
      <c r="AJ255">
        <v>0</v>
      </c>
      <c r="AW255">
        <v>0</v>
      </c>
      <c r="BJ255">
        <v>406081</v>
      </c>
      <c r="BL255">
        <v>38333.33</v>
      </c>
      <c r="BM255">
        <v>56666.67</v>
      </c>
      <c r="BN255">
        <v>50000</v>
      </c>
      <c r="BO255">
        <v>55000</v>
      </c>
      <c r="BP255">
        <v>32948</v>
      </c>
      <c r="BQ255">
        <v>32948</v>
      </c>
      <c r="BR255">
        <v>32948</v>
      </c>
      <c r="BS255">
        <v>32948</v>
      </c>
      <c r="BT255">
        <v>24763</v>
      </c>
      <c r="BU255">
        <v>24763</v>
      </c>
      <c r="BV255">
        <v>24763</v>
      </c>
      <c r="BW255">
        <v>24763</v>
      </c>
      <c r="BX255">
        <v>24763</v>
      </c>
      <c r="CJ255">
        <v>0</v>
      </c>
      <c r="CW255">
        <v>0</v>
      </c>
      <c r="DJ255">
        <v>0</v>
      </c>
      <c r="DW255">
        <v>0</v>
      </c>
      <c r="EJ255">
        <v>0</v>
      </c>
    </row>
    <row r="256" spans="1:140" hidden="1" x14ac:dyDescent="0.35">
      <c r="A256" t="s">
        <v>3317</v>
      </c>
      <c r="B256" t="s">
        <v>249</v>
      </c>
      <c r="D256" t="s">
        <v>6020</v>
      </c>
      <c r="E256" t="s">
        <v>3321</v>
      </c>
      <c r="F256" t="s">
        <v>3322</v>
      </c>
      <c r="G256" t="s">
        <v>3323</v>
      </c>
      <c r="H256" t="s">
        <v>6021</v>
      </c>
      <c r="I256" t="s">
        <v>5477</v>
      </c>
      <c r="J256" t="s">
        <v>3071</v>
      </c>
      <c r="K256" t="s">
        <v>3071</v>
      </c>
      <c r="L256" t="s">
        <v>3068</v>
      </c>
      <c r="M256" t="s">
        <v>3069</v>
      </c>
      <c r="N256" t="s">
        <v>3325</v>
      </c>
      <c r="O256" t="s">
        <v>3070</v>
      </c>
      <c r="P256">
        <v>0</v>
      </c>
      <c r="Q256" t="s">
        <v>3075</v>
      </c>
      <c r="R256">
        <v>0</v>
      </c>
      <c r="S256">
        <v>0</v>
      </c>
      <c r="T256" t="s">
        <v>5369</v>
      </c>
      <c r="U256" t="s">
        <v>6022</v>
      </c>
      <c r="V256" s="17">
        <v>44950</v>
      </c>
      <c r="W256" s="17">
        <v>44985</v>
      </c>
      <c r="X256" s="17">
        <v>45166</v>
      </c>
      <c r="Y256">
        <v>-996</v>
      </c>
      <c r="Z256">
        <v>0</v>
      </c>
      <c r="AA256">
        <v>6.0333333333333332</v>
      </c>
      <c r="AB256">
        <v>1571.9333333333334</v>
      </c>
      <c r="AC256" s="17"/>
      <c r="AE256">
        <v>0</v>
      </c>
      <c r="AF256">
        <v>0</v>
      </c>
      <c r="AG256">
        <v>0</v>
      </c>
      <c r="AH256">
        <v>945786.85</v>
      </c>
      <c r="AI256">
        <v>945786.85</v>
      </c>
      <c r="AJ256">
        <v>0</v>
      </c>
      <c r="AW256">
        <v>0</v>
      </c>
      <c r="BJ256">
        <v>856986.85</v>
      </c>
      <c r="BK256">
        <v>0</v>
      </c>
      <c r="BL256">
        <v>6531.77</v>
      </c>
      <c r="BM256">
        <v>137885.38</v>
      </c>
      <c r="BN256">
        <v>108460.9</v>
      </c>
      <c r="BO256">
        <v>109671.61</v>
      </c>
      <c r="BP256">
        <v>98210.85</v>
      </c>
      <c r="BQ256">
        <v>93780.78</v>
      </c>
      <c r="BR256">
        <v>79004.850000000006</v>
      </c>
      <c r="BS256">
        <v>57013.57</v>
      </c>
      <c r="BT256">
        <v>57013.57</v>
      </c>
      <c r="BU256">
        <v>57013.57</v>
      </c>
      <c r="BV256">
        <v>52400</v>
      </c>
      <c r="BW256">
        <v>88800</v>
      </c>
      <c r="BX256">
        <v>29600</v>
      </c>
      <c r="BY256">
        <v>29600</v>
      </c>
      <c r="BZ256">
        <v>29600</v>
      </c>
      <c r="CJ256">
        <v>0</v>
      </c>
      <c r="CW256">
        <v>0</v>
      </c>
      <c r="DJ256">
        <v>0</v>
      </c>
      <c r="DW256">
        <v>0</v>
      </c>
      <c r="EJ256">
        <v>0</v>
      </c>
    </row>
    <row r="257" spans="1:140" hidden="1" x14ac:dyDescent="0.35">
      <c r="A257" t="s">
        <v>3317</v>
      </c>
      <c r="B257" t="s">
        <v>249</v>
      </c>
      <c r="D257" t="s">
        <v>6023</v>
      </c>
      <c r="E257" t="s">
        <v>4734</v>
      </c>
      <c r="F257" t="s">
        <v>4735</v>
      </c>
      <c r="G257" t="s">
        <v>4736</v>
      </c>
      <c r="H257" t="s">
        <v>6024</v>
      </c>
      <c r="I257" t="s">
        <v>5368</v>
      </c>
      <c r="J257" t="s">
        <v>3203</v>
      </c>
      <c r="K257" t="s">
        <v>3203</v>
      </c>
      <c r="L257" t="s">
        <v>4737</v>
      </c>
      <c r="M257" t="s">
        <v>3139</v>
      </c>
      <c r="N257" t="s">
        <v>4738</v>
      </c>
      <c r="O257" t="s">
        <v>249</v>
      </c>
      <c r="P257">
        <v>0</v>
      </c>
      <c r="Q257" t="s">
        <v>3075</v>
      </c>
      <c r="R257">
        <v>0</v>
      </c>
      <c r="S257">
        <v>0</v>
      </c>
      <c r="T257" t="s">
        <v>5369</v>
      </c>
      <c r="U257" t="s">
        <v>6025</v>
      </c>
      <c r="V257" s="17">
        <v>44980</v>
      </c>
      <c r="W257" s="17">
        <v>44986</v>
      </c>
      <c r="X257" s="17">
        <v>45015</v>
      </c>
      <c r="Y257">
        <v>-1147</v>
      </c>
      <c r="Z257">
        <v>1</v>
      </c>
      <c r="AA257">
        <v>0.96666666666666667</v>
      </c>
      <c r="AB257">
        <v>1576.9666666666667</v>
      </c>
      <c r="AC257" s="17"/>
      <c r="AE257">
        <v>0</v>
      </c>
      <c r="AF257">
        <v>13830</v>
      </c>
      <c r="AG257">
        <v>14306.8966</v>
      </c>
      <c r="AH257">
        <v>13830</v>
      </c>
      <c r="AI257">
        <v>0</v>
      </c>
      <c r="AJ257">
        <v>0</v>
      </c>
      <c r="AW257">
        <v>0</v>
      </c>
      <c r="BJ257">
        <v>13830</v>
      </c>
      <c r="BM257">
        <v>8298</v>
      </c>
      <c r="BN257">
        <v>5532</v>
      </c>
      <c r="BW257">
        <v>0</v>
      </c>
      <c r="CJ257">
        <v>0</v>
      </c>
      <c r="CW257">
        <v>0</v>
      </c>
      <c r="DJ257">
        <v>0</v>
      </c>
      <c r="DW257">
        <v>0</v>
      </c>
      <c r="EJ257">
        <v>0</v>
      </c>
    </row>
    <row r="258" spans="1:140" hidden="1" x14ac:dyDescent="0.35">
      <c r="A258" t="s">
        <v>3317</v>
      </c>
      <c r="B258" t="s">
        <v>249</v>
      </c>
      <c r="D258" t="s">
        <v>6026</v>
      </c>
      <c r="E258" t="s">
        <v>4741</v>
      </c>
      <c r="F258" t="s">
        <v>4742</v>
      </c>
      <c r="G258" t="s">
        <v>4743</v>
      </c>
      <c r="H258" t="s">
        <v>6027</v>
      </c>
      <c r="I258" t="s">
        <v>5368</v>
      </c>
      <c r="J258" t="s">
        <v>3203</v>
      </c>
      <c r="K258" t="s">
        <v>3203</v>
      </c>
      <c r="L258" t="s">
        <v>4737</v>
      </c>
      <c r="M258" t="s">
        <v>3139</v>
      </c>
      <c r="N258" t="s">
        <v>89</v>
      </c>
      <c r="O258" t="s">
        <v>3088</v>
      </c>
      <c r="P258">
        <v>0</v>
      </c>
      <c r="Q258" t="s">
        <v>3075</v>
      </c>
      <c r="R258">
        <v>0</v>
      </c>
      <c r="S258">
        <v>0</v>
      </c>
      <c r="T258" t="s">
        <v>5369</v>
      </c>
      <c r="U258" t="s">
        <v>6028</v>
      </c>
      <c r="V258" s="17">
        <v>44985</v>
      </c>
      <c r="W258" s="17">
        <v>44992</v>
      </c>
      <c r="X258" s="17">
        <v>45068</v>
      </c>
      <c r="Y258">
        <v>-1094</v>
      </c>
      <c r="Z258">
        <v>1</v>
      </c>
      <c r="AA258">
        <v>2.5333333333333332</v>
      </c>
      <c r="AB258">
        <v>1575.2</v>
      </c>
      <c r="AC258" s="17"/>
      <c r="AE258">
        <v>0</v>
      </c>
      <c r="AF258">
        <v>17116.22</v>
      </c>
      <c r="AG258">
        <v>6756.4026000000003</v>
      </c>
      <c r="AH258">
        <v>17116.22</v>
      </c>
      <c r="AI258">
        <v>0</v>
      </c>
      <c r="AJ258">
        <v>0</v>
      </c>
      <c r="AW258">
        <v>0</v>
      </c>
      <c r="BJ258">
        <v>17116.22</v>
      </c>
      <c r="BM258">
        <v>11981.353999999999</v>
      </c>
      <c r="BN258">
        <v>5134.866</v>
      </c>
      <c r="BW258">
        <v>0</v>
      </c>
      <c r="CJ258">
        <v>0</v>
      </c>
      <c r="CW258">
        <v>0</v>
      </c>
      <c r="DJ258">
        <v>0</v>
      </c>
      <c r="DW258">
        <v>0</v>
      </c>
      <c r="EJ258">
        <v>0</v>
      </c>
    </row>
    <row r="259" spans="1:140" hidden="1" x14ac:dyDescent="0.35">
      <c r="A259" t="s">
        <v>3317</v>
      </c>
      <c r="B259" t="s">
        <v>249</v>
      </c>
      <c r="D259" t="s">
        <v>6029</v>
      </c>
      <c r="E259" t="s">
        <v>3634</v>
      </c>
      <c r="F259" t="s">
        <v>3635</v>
      </c>
      <c r="G259" t="s">
        <v>3636</v>
      </c>
      <c r="H259" t="s">
        <v>6030</v>
      </c>
      <c r="I259" t="s">
        <v>5368</v>
      </c>
      <c r="J259" t="s">
        <v>3071</v>
      </c>
      <c r="K259" t="s">
        <v>3071</v>
      </c>
      <c r="L259" t="s">
        <v>909</v>
      </c>
      <c r="M259" t="s">
        <v>3087</v>
      </c>
      <c r="N259" t="s">
        <v>3637</v>
      </c>
      <c r="O259" t="s">
        <v>3366</v>
      </c>
      <c r="P259">
        <v>0</v>
      </c>
      <c r="Q259" t="s">
        <v>3075</v>
      </c>
      <c r="R259" t="s">
        <v>4394</v>
      </c>
      <c r="S259">
        <v>0</v>
      </c>
      <c r="T259">
        <v>0</v>
      </c>
      <c r="U259" t="s">
        <v>6031</v>
      </c>
      <c r="V259" s="17">
        <v>45148</v>
      </c>
      <c r="W259" s="17">
        <v>44994</v>
      </c>
      <c r="X259" s="17">
        <v>45208</v>
      </c>
      <c r="Y259">
        <v>-954</v>
      </c>
      <c r="Z259">
        <v>6</v>
      </c>
      <c r="AA259">
        <v>7.1333333333333337</v>
      </c>
      <c r="AB259">
        <v>1570.5333333333333</v>
      </c>
      <c r="AC259" s="17"/>
      <c r="AE259">
        <v>11486.736699999999</v>
      </c>
      <c r="AF259">
        <v>68920.42</v>
      </c>
      <c r="AG259">
        <v>9661.7410999999993</v>
      </c>
      <c r="AH259">
        <v>105395.48</v>
      </c>
      <c r="AI259">
        <v>36475.06</v>
      </c>
      <c r="AJ259">
        <v>0</v>
      </c>
      <c r="AW259">
        <v>0</v>
      </c>
      <c r="BJ259">
        <v>79795.759999999995</v>
      </c>
      <c r="BM259">
        <v>6228.1589999999997</v>
      </c>
      <c r="BN259">
        <v>6609.0010000000002</v>
      </c>
      <c r="BO259">
        <v>3939.79</v>
      </c>
      <c r="BP259">
        <v>3939.79</v>
      </c>
      <c r="BQ259">
        <v>3939.79</v>
      </c>
      <c r="BR259">
        <v>3939.79</v>
      </c>
      <c r="BS259">
        <v>12799.86</v>
      </c>
      <c r="BT259">
        <v>12799.86</v>
      </c>
      <c r="BU259">
        <v>12799.86</v>
      </c>
      <c r="BV259">
        <v>12799.86</v>
      </c>
      <c r="BW259">
        <v>25599.72</v>
      </c>
      <c r="BX259">
        <v>12799.86</v>
      </c>
      <c r="BY259">
        <v>12799.86</v>
      </c>
      <c r="CJ259">
        <v>0</v>
      </c>
      <c r="CW259">
        <v>0</v>
      </c>
      <c r="DJ259">
        <v>0</v>
      </c>
      <c r="DW259">
        <v>0</v>
      </c>
      <c r="EJ259">
        <v>0</v>
      </c>
    </row>
    <row r="260" spans="1:140" hidden="1" x14ac:dyDescent="0.35">
      <c r="A260" t="s">
        <v>3317</v>
      </c>
      <c r="B260" t="s">
        <v>249</v>
      </c>
      <c r="D260" t="s">
        <v>6032</v>
      </c>
      <c r="E260" t="s">
        <v>3400</v>
      </c>
      <c r="F260" t="s">
        <v>3401</v>
      </c>
      <c r="G260" t="s">
        <v>3402</v>
      </c>
      <c r="H260" t="s">
        <v>6033</v>
      </c>
      <c r="I260" t="s">
        <v>5368</v>
      </c>
      <c r="J260" t="s">
        <v>3071</v>
      </c>
      <c r="K260" t="s">
        <v>3071</v>
      </c>
      <c r="L260" t="s">
        <v>3237</v>
      </c>
      <c r="M260" t="s">
        <v>3087</v>
      </c>
      <c r="N260" t="s">
        <v>89</v>
      </c>
      <c r="O260" t="s">
        <v>3088</v>
      </c>
      <c r="P260">
        <v>0</v>
      </c>
      <c r="Q260" t="s">
        <v>3075</v>
      </c>
      <c r="R260">
        <v>0</v>
      </c>
      <c r="S260">
        <v>0</v>
      </c>
      <c r="T260" t="s">
        <v>5485</v>
      </c>
      <c r="U260" t="s">
        <v>6034</v>
      </c>
      <c r="V260" s="17">
        <v>44991</v>
      </c>
      <c r="W260" s="17">
        <v>45000</v>
      </c>
      <c r="X260" s="17">
        <v>45153</v>
      </c>
      <c r="Y260">
        <v>-1009</v>
      </c>
      <c r="Z260">
        <v>5</v>
      </c>
      <c r="AA260">
        <v>5.0999999999999996</v>
      </c>
      <c r="AB260">
        <v>1572.3666666666666</v>
      </c>
      <c r="AC260" s="17"/>
      <c r="AE260">
        <v>20985</v>
      </c>
      <c r="AF260">
        <v>104925</v>
      </c>
      <c r="AG260">
        <v>20573.529399999999</v>
      </c>
      <c r="AH260">
        <v>111220.5</v>
      </c>
      <c r="AI260">
        <v>6295.5</v>
      </c>
      <c r="AJ260">
        <v>0</v>
      </c>
      <c r="AW260">
        <v>0</v>
      </c>
      <c r="BJ260">
        <v>111220.5</v>
      </c>
      <c r="BN260">
        <v>20985</v>
      </c>
      <c r="BO260">
        <v>20985</v>
      </c>
      <c r="BP260">
        <v>20985</v>
      </c>
      <c r="BQ260">
        <v>20985</v>
      </c>
      <c r="BR260">
        <v>27280.5</v>
      </c>
      <c r="BW260">
        <v>0</v>
      </c>
      <c r="CJ260">
        <v>0</v>
      </c>
      <c r="CW260">
        <v>0</v>
      </c>
      <c r="DJ260">
        <v>0</v>
      </c>
      <c r="DW260">
        <v>0</v>
      </c>
      <c r="EJ260">
        <v>0</v>
      </c>
    </row>
    <row r="261" spans="1:140" hidden="1" x14ac:dyDescent="0.35">
      <c r="A261" t="s">
        <v>3317</v>
      </c>
      <c r="B261" t="s">
        <v>249</v>
      </c>
      <c r="D261" t="s">
        <v>6035</v>
      </c>
      <c r="E261" t="s">
        <v>4654</v>
      </c>
      <c r="F261" t="s">
        <v>4655</v>
      </c>
      <c r="G261" t="s">
        <v>6036</v>
      </c>
      <c r="H261" t="s">
        <v>6037</v>
      </c>
      <c r="I261" t="s">
        <v>5368</v>
      </c>
      <c r="J261" t="s">
        <v>3849</v>
      </c>
      <c r="K261" t="s">
        <v>3849</v>
      </c>
      <c r="L261" t="s">
        <v>4657</v>
      </c>
      <c r="M261" t="s">
        <v>4658</v>
      </c>
      <c r="N261" t="s">
        <v>4657</v>
      </c>
      <c r="O261" t="s">
        <v>3155</v>
      </c>
      <c r="P261">
        <v>0</v>
      </c>
      <c r="Q261" t="s">
        <v>3852</v>
      </c>
      <c r="R261" t="s">
        <v>1580</v>
      </c>
      <c r="S261">
        <v>0</v>
      </c>
      <c r="T261" t="s">
        <v>5485</v>
      </c>
      <c r="U261" t="s">
        <v>6038</v>
      </c>
      <c r="V261" s="17">
        <v>0</v>
      </c>
      <c r="W261" s="17">
        <v>45007</v>
      </c>
      <c r="X261" s="17">
        <v>45068</v>
      </c>
      <c r="Y261">
        <v>-1094</v>
      </c>
      <c r="Z261">
        <v>0</v>
      </c>
      <c r="AA261">
        <v>2.0333333333333332</v>
      </c>
      <c r="AB261">
        <v>1575.2</v>
      </c>
      <c r="AC261" s="17"/>
      <c r="AE261">
        <v>15525</v>
      </c>
      <c r="AF261">
        <v>31050</v>
      </c>
      <c r="AG261">
        <v>15270.4918</v>
      </c>
      <c r="AH261">
        <v>30000</v>
      </c>
      <c r="AI261">
        <v>-1050</v>
      </c>
      <c r="AJ261">
        <v>0</v>
      </c>
      <c r="AW261">
        <v>0</v>
      </c>
      <c r="BJ261">
        <v>30000</v>
      </c>
      <c r="BN261">
        <v>15000</v>
      </c>
      <c r="BO261">
        <v>15000</v>
      </c>
      <c r="BW261">
        <v>0</v>
      </c>
      <c r="CJ261">
        <v>0</v>
      </c>
      <c r="CW261">
        <v>0</v>
      </c>
      <c r="DJ261">
        <v>0</v>
      </c>
      <c r="DW261">
        <v>0</v>
      </c>
      <c r="EJ261">
        <v>0</v>
      </c>
    </row>
    <row r="262" spans="1:140" hidden="1" x14ac:dyDescent="0.35">
      <c r="A262" t="s">
        <v>3317</v>
      </c>
      <c r="B262" t="s">
        <v>249</v>
      </c>
      <c r="D262" t="s">
        <v>6039</v>
      </c>
      <c r="E262" t="s">
        <v>4686</v>
      </c>
      <c r="F262" t="s">
        <v>4687</v>
      </c>
      <c r="G262" t="s">
        <v>4688</v>
      </c>
      <c r="H262" t="s">
        <v>6040</v>
      </c>
      <c r="I262" t="s">
        <v>5368</v>
      </c>
      <c r="J262" t="s">
        <v>3203</v>
      </c>
      <c r="K262" t="s">
        <v>3203</v>
      </c>
      <c r="L262" t="s">
        <v>4689</v>
      </c>
      <c r="M262" t="s">
        <v>3087</v>
      </c>
      <c r="N262" t="s">
        <v>4690</v>
      </c>
      <c r="O262" t="s">
        <v>4691</v>
      </c>
      <c r="P262">
        <v>0</v>
      </c>
      <c r="Q262" t="s">
        <v>3075</v>
      </c>
      <c r="R262">
        <v>0</v>
      </c>
      <c r="S262">
        <v>0</v>
      </c>
      <c r="T262" t="s">
        <v>5369</v>
      </c>
      <c r="U262" t="s">
        <v>6041</v>
      </c>
      <c r="V262" s="17">
        <v>45002</v>
      </c>
      <c r="W262" s="17">
        <v>45012</v>
      </c>
      <c r="X262" s="17">
        <v>45073</v>
      </c>
      <c r="Y262">
        <v>-1089</v>
      </c>
      <c r="Z262">
        <v>1</v>
      </c>
      <c r="AA262">
        <v>2.0333333333333332</v>
      </c>
      <c r="AB262">
        <v>1575.0333333333333</v>
      </c>
      <c r="AC262" s="17"/>
      <c r="AE262">
        <v>0</v>
      </c>
      <c r="AF262">
        <v>42636</v>
      </c>
      <c r="AG262">
        <v>20968.524600000001</v>
      </c>
      <c r="AH262">
        <v>42636</v>
      </c>
      <c r="AI262">
        <v>0</v>
      </c>
      <c r="AJ262">
        <v>0</v>
      </c>
      <c r="AW262">
        <v>0</v>
      </c>
      <c r="BJ262">
        <v>42636</v>
      </c>
      <c r="BN262">
        <v>28139.759999999998</v>
      </c>
      <c r="BO262">
        <v>14496.24</v>
      </c>
      <c r="BW262">
        <v>0</v>
      </c>
      <c r="CJ262">
        <v>0</v>
      </c>
      <c r="CW262">
        <v>0</v>
      </c>
      <c r="DJ262">
        <v>0</v>
      </c>
      <c r="DW262">
        <v>0</v>
      </c>
      <c r="EJ262">
        <v>0</v>
      </c>
    </row>
    <row r="263" spans="1:140" hidden="1" x14ac:dyDescent="0.35">
      <c r="A263" t="s">
        <v>3317</v>
      </c>
      <c r="B263" t="s">
        <v>249</v>
      </c>
      <c r="D263" t="s">
        <v>6042</v>
      </c>
      <c r="E263" t="s">
        <v>3410</v>
      </c>
      <c r="F263" t="s">
        <v>3411</v>
      </c>
      <c r="G263" t="s">
        <v>3412</v>
      </c>
      <c r="H263" t="s">
        <v>6043</v>
      </c>
      <c r="I263" t="s">
        <v>5368</v>
      </c>
      <c r="J263" t="s">
        <v>3071</v>
      </c>
      <c r="K263" t="s">
        <v>3071</v>
      </c>
      <c r="L263" t="s">
        <v>3237</v>
      </c>
      <c r="M263" t="s">
        <v>3087</v>
      </c>
      <c r="N263" t="s">
        <v>89</v>
      </c>
      <c r="O263" t="s">
        <v>3088</v>
      </c>
      <c r="P263">
        <v>0</v>
      </c>
      <c r="Q263" t="s">
        <v>3075</v>
      </c>
      <c r="R263">
        <v>0</v>
      </c>
      <c r="S263">
        <v>0</v>
      </c>
      <c r="T263" t="s">
        <v>5369</v>
      </c>
      <c r="U263" t="s">
        <v>6044</v>
      </c>
      <c r="V263" s="17">
        <v>45029</v>
      </c>
      <c r="W263" s="17">
        <v>45019</v>
      </c>
      <c r="X263" s="17">
        <v>45233</v>
      </c>
      <c r="Y263">
        <v>-929</v>
      </c>
      <c r="Z263">
        <v>6</v>
      </c>
      <c r="AA263">
        <v>7.1333333333333337</v>
      </c>
      <c r="AB263">
        <v>1569.7</v>
      </c>
      <c r="AC263" s="17"/>
      <c r="AE263">
        <v>17500</v>
      </c>
      <c r="AF263">
        <v>105000</v>
      </c>
      <c r="AG263">
        <v>14719.626200000001</v>
      </c>
      <c r="AH263">
        <v>138833.32999999999</v>
      </c>
      <c r="AI263">
        <v>33833.33</v>
      </c>
      <c r="AJ263">
        <v>0</v>
      </c>
      <c r="AW263">
        <v>0</v>
      </c>
      <c r="BJ263">
        <v>138833.32999999999</v>
      </c>
      <c r="BN263">
        <v>16333.33</v>
      </c>
      <c r="BO263">
        <v>17500</v>
      </c>
      <c r="BP263">
        <v>17500</v>
      </c>
      <c r="BQ263">
        <v>17500</v>
      </c>
      <c r="BR263">
        <v>17500</v>
      </c>
      <c r="BS263">
        <v>17500</v>
      </c>
      <c r="BT263">
        <v>17500</v>
      </c>
      <c r="BU263">
        <v>17500</v>
      </c>
      <c r="BW263">
        <v>0</v>
      </c>
      <c r="CJ263">
        <v>0</v>
      </c>
      <c r="CW263">
        <v>0</v>
      </c>
      <c r="DJ263">
        <v>0</v>
      </c>
      <c r="DW263">
        <v>0</v>
      </c>
      <c r="EJ263">
        <v>0</v>
      </c>
    </row>
    <row r="264" spans="1:140" hidden="1" x14ac:dyDescent="0.35">
      <c r="A264" t="s">
        <v>3317</v>
      </c>
      <c r="B264" t="s">
        <v>249</v>
      </c>
      <c r="D264" t="s">
        <v>6045</v>
      </c>
      <c r="E264" t="s">
        <v>3496</v>
      </c>
      <c r="F264" t="s">
        <v>3497</v>
      </c>
      <c r="G264" t="s">
        <v>3498</v>
      </c>
      <c r="H264" t="s">
        <v>6046</v>
      </c>
      <c r="I264" t="s">
        <v>5368</v>
      </c>
      <c r="J264" t="s">
        <v>3422</v>
      </c>
      <c r="K264" t="s">
        <v>3422</v>
      </c>
      <c r="L264" t="s">
        <v>3499</v>
      </c>
      <c r="M264" t="s">
        <v>3087</v>
      </c>
      <c r="N264" t="s">
        <v>3500</v>
      </c>
      <c r="O264" t="s">
        <v>3107</v>
      </c>
      <c r="P264">
        <v>0</v>
      </c>
      <c r="Q264" t="s">
        <v>3075</v>
      </c>
      <c r="R264">
        <v>0</v>
      </c>
      <c r="S264">
        <v>0</v>
      </c>
      <c r="T264" t="s">
        <v>5369</v>
      </c>
      <c r="U264" t="s">
        <v>6047</v>
      </c>
      <c r="V264" s="17">
        <v>45019</v>
      </c>
      <c r="W264" s="17">
        <v>45026</v>
      </c>
      <c r="X264" s="17">
        <v>45076</v>
      </c>
      <c r="Y264">
        <v>-1086</v>
      </c>
      <c r="Z264">
        <v>1</v>
      </c>
      <c r="AA264">
        <v>1.6666666666666667</v>
      </c>
      <c r="AB264">
        <v>1574.9333333333334</v>
      </c>
      <c r="AC264" s="17"/>
      <c r="AE264">
        <v>0</v>
      </c>
      <c r="AF264">
        <v>12984.3</v>
      </c>
      <c r="AG264">
        <v>7790.58</v>
      </c>
      <c r="AH264">
        <v>12984.3</v>
      </c>
      <c r="AI264">
        <v>0</v>
      </c>
      <c r="AJ264">
        <v>0</v>
      </c>
      <c r="AW264">
        <v>0</v>
      </c>
      <c r="BJ264">
        <v>12984.3</v>
      </c>
      <c r="BN264">
        <v>2164.0500000000002</v>
      </c>
      <c r="BO264">
        <v>2164.0500000000002</v>
      </c>
      <c r="BP264">
        <v>2164.0500000000002</v>
      </c>
      <c r="BQ264">
        <v>2164.0500000000002</v>
      </c>
      <c r="BR264">
        <v>2164.0500000000002</v>
      </c>
      <c r="BS264">
        <v>2164.0500000000002</v>
      </c>
      <c r="BW264">
        <v>0</v>
      </c>
      <c r="CJ264">
        <v>0</v>
      </c>
      <c r="CW264">
        <v>0</v>
      </c>
      <c r="DJ264">
        <v>0</v>
      </c>
      <c r="DW264">
        <v>0</v>
      </c>
      <c r="EJ264">
        <v>0</v>
      </c>
    </row>
    <row r="265" spans="1:140" hidden="1" x14ac:dyDescent="0.35">
      <c r="A265" t="s">
        <v>3317</v>
      </c>
      <c r="B265" t="s">
        <v>249</v>
      </c>
      <c r="D265" t="s">
        <v>6048</v>
      </c>
      <c r="E265" t="s">
        <v>3405</v>
      </c>
      <c r="F265" t="s">
        <v>3406</v>
      </c>
      <c r="G265" t="s">
        <v>3407</v>
      </c>
      <c r="H265" t="s">
        <v>6049</v>
      </c>
      <c r="I265" t="s">
        <v>5368</v>
      </c>
      <c r="J265" t="s">
        <v>3071</v>
      </c>
      <c r="K265" t="s">
        <v>3071</v>
      </c>
      <c r="L265" t="s">
        <v>3237</v>
      </c>
      <c r="M265" t="s">
        <v>3087</v>
      </c>
      <c r="N265" t="s">
        <v>89</v>
      </c>
      <c r="O265" t="s">
        <v>3088</v>
      </c>
      <c r="P265">
        <v>0</v>
      </c>
      <c r="Q265" t="s">
        <v>3075</v>
      </c>
      <c r="R265">
        <v>0</v>
      </c>
      <c r="S265">
        <v>0</v>
      </c>
      <c r="T265" t="s">
        <v>5485</v>
      </c>
      <c r="U265" t="s">
        <v>6050</v>
      </c>
      <c r="V265" s="17">
        <v>45008</v>
      </c>
      <c r="W265" s="17">
        <v>45029</v>
      </c>
      <c r="X265" s="17">
        <v>45401</v>
      </c>
      <c r="Y265">
        <v>-761</v>
      </c>
      <c r="Z265">
        <v>36</v>
      </c>
      <c r="AA265">
        <v>12.4</v>
      </c>
      <c r="AB265">
        <v>1564.1</v>
      </c>
      <c r="AC265" s="17"/>
      <c r="AE265">
        <v>28620</v>
      </c>
      <c r="AF265">
        <v>2060676</v>
      </c>
      <c r="AG265">
        <v>166183.5484</v>
      </c>
      <c r="AH265">
        <v>1221340.98</v>
      </c>
      <c r="AI265">
        <v>-839335.02</v>
      </c>
      <c r="AJ265">
        <v>0</v>
      </c>
      <c r="AW265">
        <v>0</v>
      </c>
      <c r="BJ265">
        <v>477207.98</v>
      </c>
      <c r="BN265">
        <v>12591</v>
      </c>
      <c r="BO265">
        <v>57241</v>
      </c>
      <c r="BP265">
        <v>57241</v>
      </c>
      <c r="BQ265">
        <v>57241</v>
      </c>
      <c r="BR265">
        <v>63929.98</v>
      </c>
      <c r="BS265">
        <v>57241</v>
      </c>
      <c r="BT265">
        <v>57241</v>
      </c>
      <c r="BU265">
        <v>57241</v>
      </c>
      <c r="BV265">
        <v>57241</v>
      </c>
      <c r="BW265">
        <v>686892</v>
      </c>
      <c r="BX265">
        <v>57241</v>
      </c>
      <c r="BY265">
        <v>57241</v>
      </c>
      <c r="BZ265">
        <v>57241</v>
      </c>
      <c r="CA265">
        <v>57241</v>
      </c>
      <c r="CB265">
        <v>57241</v>
      </c>
      <c r="CC265">
        <v>57241</v>
      </c>
      <c r="CD265">
        <v>57241</v>
      </c>
      <c r="CE265">
        <v>57241</v>
      </c>
      <c r="CF265">
        <v>57241</v>
      </c>
      <c r="CG265">
        <v>57241</v>
      </c>
      <c r="CH265">
        <v>57241</v>
      </c>
      <c r="CI265">
        <v>57241</v>
      </c>
      <c r="CJ265">
        <v>57241</v>
      </c>
      <c r="CK265">
        <v>57241</v>
      </c>
      <c r="CW265">
        <v>0</v>
      </c>
      <c r="DJ265">
        <v>0</v>
      </c>
      <c r="DW265">
        <v>0</v>
      </c>
      <c r="EJ265">
        <v>57241</v>
      </c>
    </row>
    <row r="266" spans="1:140" hidden="1" x14ac:dyDescent="0.35">
      <c r="A266" t="s">
        <v>3317</v>
      </c>
      <c r="B266" t="s">
        <v>249</v>
      </c>
      <c r="D266" t="s">
        <v>6051</v>
      </c>
      <c r="E266" t="s">
        <v>3561</v>
      </c>
      <c r="F266" t="s">
        <v>3562</v>
      </c>
      <c r="G266" t="s">
        <v>3561</v>
      </c>
      <c r="H266" t="s">
        <v>6052</v>
      </c>
      <c r="I266" t="s">
        <v>5368</v>
      </c>
      <c r="J266" t="s">
        <v>249</v>
      </c>
      <c r="K266" t="s">
        <v>249</v>
      </c>
      <c r="L266" t="s">
        <v>249</v>
      </c>
      <c r="M266" t="s">
        <v>249</v>
      </c>
      <c r="N266" t="s">
        <v>249</v>
      </c>
      <c r="O266" t="s">
        <v>249</v>
      </c>
      <c r="P266" t="s">
        <v>249</v>
      </c>
      <c r="Q266" t="s">
        <v>249</v>
      </c>
      <c r="R266" t="s">
        <v>249</v>
      </c>
      <c r="S266" t="s">
        <v>249</v>
      </c>
      <c r="T266" t="s">
        <v>249</v>
      </c>
      <c r="U266" t="s">
        <v>249</v>
      </c>
      <c r="V266" s="17"/>
      <c r="W266" s="17">
        <v>45033</v>
      </c>
      <c r="X266" s="17">
        <v>45094</v>
      </c>
      <c r="Y266">
        <v>-1068</v>
      </c>
      <c r="AA266">
        <v>2.0333333333333332</v>
      </c>
      <c r="AB266">
        <v>1574.3333333333333</v>
      </c>
      <c r="AC266" s="17"/>
      <c r="AH266">
        <v>22000</v>
      </c>
      <c r="AJ266">
        <v>0</v>
      </c>
      <c r="AW266">
        <v>0</v>
      </c>
      <c r="BJ266">
        <v>22000</v>
      </c>
      <c r="BO266">
        <v>5500</v>
      </c>
      <c r="BP266">
        <v>5500</v>
      </c>
      <c r="BQ266">
        <v>5500</v>
      </c>
      <c r="BR266">
        <v>5500</v>
      </c>
      <c r="BW266">
        <v>0</v>
      </c>
      <c r="CJ266">
        <v>0</v>
      </c>
      <c r="CW266">
        <v>0</v>
      </c>
      <c r="DJ266">
        <v>0</v>
      </c>
      <c r="DW266">
        <v>0</v>
      </c>
      <c r="EJ266">
        <v>0</v>
      </c>
    </row>
    <row r="267" spans="1:140" hidden="1" x14ac:dyDescent="0.35">
      <c r="A267" t="s">
        <v>3317</v>
      </c>
      <c r="B267" t="s">
        <v>249</v>
      </c>
      <c r="D267" t="s">
        <v>6053</v>
      </c>
      <c r="E267" t="s">
        <v>3508</v>
      </c>
      <c r="F267" t="s">
        <v>3509</v>
      </c>
      <c r="G267" t="s">
        <v>3510</v>
      </c>
      <c r="H267" t="s">
        <v>6054</v>
      </c>
      <c r="I267" t="s">
        <v>5368</v>
      </c>
      <c r="J267" t="s">
        <v>3071</v>
      </c>
      <c r="K267" t="s">
        <v>3071</v>
      </c>
      <c r="L267" t="s">
        <v>3129</v>
      </c>
      <c r="M267" t="s">
        <v>3130</v>
      </c>
      <c r="N267" t="s">
        <v>3511</v>
      </c>
      <c r="O267" t="s">
        <v>3512</v>
      </c>
      <c r="P267">
        <v>0</v>
      </c>
      <c r="Q267" t="s">
        <v>3075</v>
      </c>
      <c r="R267">
        <v>0</v>
      </c>
      <c r="S267">
        <v>0</v>
      </c>
      <c r="T267" t="s">
        <v>5485</v>
      </c>
      <c r="U267" t="s">
        <v>6055</v>
      </c>
      <c r="V267" s="17">
        <v>45037</v>
      </c>
      <c r="W267" s="17">
        <v>45037</v>
      </c>
      <c r="X267" s="17">
        <v>45037</v>
      </c>
      <c r="Y267">
        <v>-1125</v>
      </c>
      <c r="Z267">
        <v>8</v>
      </c>
      <c r="AA267">
        <v>0</v>
      </c>
      <c r="AB267">
        <v>1576.2333333333333</v>
      </c>
      <c r="AC267" s="17"/>
      <c r="AE267">
        <v>5680</v>
      </c>
      <c r="AF267">
        <v>45440</v>
      </c>
      <c r="AH267">
        <v>0</v>
      </c>
      <c r="AI267">
        <v>-45440</v>
      </c>
      <c r="AJ267">
        <v>0</v>
      </c>
      <c r="AW267">
        <v>0</v>
      </c>
      <c r="BJ267">
        <v>0</v>
      </c>
      <c r="BW267">
        <v>0</v>
      </c>
      <c r="CJ267">
        <v>0</v>
      </c>
      <c r="CW267">
        <v>0</v>
      </c>
      <c r="DJ267">
        <v>0</v>
      </c>
      <c r="DW267">
        <v>0</v>
      </c>
      <c r="EJ267">
        <v>0</v>
      </c>
    </row>
    <row r="268" spans="1:140" hidden="1" x14ac:dyDescent="0.35">
      <c r="A268" t="s">
        <v>3317</v>
      </c>
      <c r="B268" t="s">
        <v>249</v>
      </c>
      <c r="D268" t="s">
        <v>6056</v>
      </c>
      <c r="E268" t="s">
        <v>3556</v>
      </c>
      <c r="F268" t="s">
        <v>3557</v>
      </c>
      <c r="G268" t="s">
        <v>3558</v>
      </c>
      <c r="H268" t="s">
        <v>6057</v>
      </c>
      <c r="I268" t="s">
        <v>5368</v>
      </c>
      <c r="J268" t="s">
        <v>3071</v>
      </c>
      <c r="K268" t="s">
        <v>3071</v>
      </c>
      <c r="L268" t="s">
        <v>3548</v>
      </c>
      <c r="M268" t="s">
        <v>3180</v>
      </c>
      <c r="N268" t="s">
        <v>89</v>
      </c>
      <c r="O268" t="s">
        <v>3088</v>
      </c>
      <c r="P268">
        <v>0</v>
      </c>
      <c r="Q268" t="s">
        <v>3075</v>
      </c>
      <c r="R268">
        <v>0</v>
      </c>
      <c r="S268">
        <v>0</v>
      </c>
      <c r="T268" t="s">
        <v>5369</v>
      </c>
      <c r="U268" t="s">
        <v>6058</v>
      </c>
      <c r="V268" s="17">
        <v>45049</v>
      </c>
      <c r="W268" s="17">
        <v>45054</v>
      </c>
      <c r="X268" s="17">
        <v>45324</v>
      </c>
      <c r="Y268">
        <v>-838</v>
      </c>
      <c r="Z268">
        <v>9</v>
      </c>
      <c r="AA268">
        <v>9</v>
      </c>
      <c r="AB268">
        <v>1566.6666666666667</v>
      </c>
      <c r="AC268" s="17"/>
      <c r="AE268">
        <v>31330</v>
      </c>
      <c r="AF268">
        <v>281970</v>
      </c>
      <c r="AG268">
        <v>31330</v>
      </c>
      <c r="AH268">
        <v>284333</v>
      </c>
      <c r="AI268">
        <v>2363</v>
      </c>
      <c r="AJ268">
        <v>0</v>
      </c>
      <c r="AW268">
        <v>0</v>
      </c>
      <c r="BJ268">
        <v>221673</v>
      </c>
      <c r="BP268">
        <v>31330</v>
      </c>
      <c r="BQ268">
        <v>32442</v>
      </c>
      <c r="BR268">
        <v>32581</v>
      </c>
      <c r="BS268">
        <v>31330</v>
      </c>
      <c r="BT268">
        <v>31330</v>
      </c>
      <c r="BU268">
        <v>31330</v>
      </c>
      <c r="BV268">
        <v>31330</v>
      </c>
      <c r="BW268">
        <v>62660</v>
      </c>
      <c r="BX268">
        <v>31330</v>
      </c>
      <c r="BY268">
        <v>31330</v>
      </c>
      <c r="CJ268">
        <v>0</v>
      </c>
      <c r="CW268">
        <v>0</v>
      </c>
      <c r="DJ268">
        <v>0</v>
      </c>
      <c r="DW268">
        <v>0</v>
      </c>
      <c r="EJ268">
        <v>0</v>
      </c>
    </row>
    <row r="269" spans="1:140" hidden="1" x14ac:dyDescent="0.35">
      <c r="A269" t="s">
        <v>3317</v>
      </c>
      <c r="B269" t="s">
        <v>249</v>
      </c>
      <c r="D269" t="s">
        <v>6059</v>
      </c>
      <c r="E269" t="s">
        <v>4746</v>
      </c>
      <c r="F269" t="s">
        <v>4746</v>
      </c>
      <c r="G269" t="s">
        <v>4747</v>
      </c>
      <c r="H269" t="s">
        <v>6060</v>
      </c>
      <c r="I269" t="s">
        <v>5368</v>
      </c>
      <c r="J269" t="s">
        <v>3203</v>
      </c>
      <c r="K269" t="s">
        <v>3203</v>
      </c>
      <c r="L269" t="s">
        <v>4737</v>
      </c>
      <c r="M269" t="s">
        <v>3139</v>
      </c>
      <c r="N269" t="s">
        <v>89</v>
      </c>
      <c r="O269" t="s">
        <v>3088</v>
      </c>
      <c r="P269">
        <v>0</v>
      </c>
      <c r="Q269" t="s">
        <v>3075</v>
      </c>
      <c r="R269">
        <v>0</v>
      </c>
      <c r="S269">
        <v>0</v>
      </c>
      <c r="T269" t="s">
        <v>5369</v>
      </c>
      <c r="U269" t="s">
        <v>6061</v>
      </c>
      <c r="V269" s="17">
        <v>45047</v>
      </c>
      <c r="W269" s="17">
        <v>45054</v>
      </c>
      <c r="X269" s="17">
        <v>45107</v>
      </c>
      <c r="Y269">
        <v>-1055</v>
      </c>
      <c r="Z269">
        <v>1</v>
      </c>
      <c r="AA269">
        <v>1.7666666666666666</v>
      </c>
      <c r="AB269">
        <v>1573.9</v>
      </c>
      <c r="AC269" s="17"/>
      <c r="AE269">
        <v>0</v>
      </c>
      <c r="AF269">
        <v>21923</v>
      </c>
      <c r="AG269">
        <v>12409.2453</v>
      </c>
      <c r="AH269">
        <v>21923</v>
      </c>
      <c r="AI269">
        <v>0</v>
      </c>
      <c r="AJ269">
        <v>0</v>
      </c>
      <c r="AW269">
        <v>0</v>
      </c>
      <c r="BJ269">
        <v>21923</v>
      </c>
      <c r="BO269">
        <v>15346.1</v>
      </c>
      <c r="BP269">
        <v>6576.9</v>
      </c>
      <c r="BW269">
        <v>0</v>
      </c>
      <c r="CJ269">
        <v>0</v>
      </c>
      <c r="CW269">
        <v>0</v>
      </c>
      <c r="DJ269">
        <v>0</v>
      </c>
      <c r="DW269">
        <v>0</v>
      </c>
      <c r="EJ269">
        <v>0</v>
      </c>
    </row>
    <row r="270" spans="1:140" hidden="1" x14ac:dyDescent="0.35">
      <c r="A270" t="s">
        <v>3317</v>
      </c>
      <c r="B270" t="s">
        <v>249</v>
      </c>
      <c r="D270" t="s">
        <v>6062</v>
      </c>
      <c r="E270" t="s">
        <v>4666</v>
      </c>
      <c r="F270" t="s">
        <v>4667</v>
      </c>
      <c r="G270" t="s">
        <v>4668</v>
      </c>
      <c r="H270" t="s">
        <v>6063</v>
      </c>
      <c r="I270" t="s">
        <v>5368</v>
      </c>
      <c r="J270" t="s">
        <v>3203</v>
      </c>
      <c r="K270" t="s">
        <v>3203</v>
      </c>
      <c r="L270" t="s">
        <v>179</v>
      </c>
      <c r="M270" t="s">
        <v>3069</v>
      </c>
      <c r="N270" t="s">
        <v>89</v>
      </c>
      <c r="O270" t="s">
        <v>3088</v>
      </c>
      <c r="P270">
        <v>0</v>
      </c>
      <c r="Q270" t="s">
        <v>3075</v>
      </c>
      <c r="R270">
        <v>0</v>
      </c>
      <c r="S270">
        <v>0</v>
      </c>
      <c r="T270" t="s">
        <v>5369</v>
      </c>
      <c r="U270" t="s">
        <v>6064</v>
      </c>
      <c r="V270" s="17">
        <v>45051</v>
      </c>
      <c r="W270" s="17">
        <v>45061</v>
      </c>
      <c r="X270" s="17">
        <v>45184</v>
      </c>
      <c r="Y270">
        <v>-978</v>
      </c>
      <c r="Z270">
        <v>0</v>
      </c>
      <c r="AA270">
        <v>4.0999999999999996</v>
      </c>
      <c r="AB270">
        <v>1571.3333333333333</v>
      </c>
      <c r="AC270" s="17"/>
      <c r="AE270">
        <v>0</v>
      </c>
      <c r="AF270">
        <v>42900</v>
      </c>
      <c r="AG270">
        <v>10463.4146</v>
      </c>
      <c r="AH270">
        <v>42900</v>
      </c>
      <c r="AI270">
        <v>0</v>
      </c>
      <c r="AJ270">
        <v>0</v>
      </c>
      <c r="AW270">
        <v>0</v>
      </c>
      <c r="BJ270">
        <v>42900</v>
      </c>
      <c r="BO270">
        <v>42900</v>
      </c>
      <c r="BW270">
        <v>0</v>
      </c>
      <c r="CJ270">
        <v>0</v>
      </c>
      <c r="CW270">
        <v>0</v>
      </c>
      <c r="DJ270">
        <v>0</v>
      </c>
      <c r="DW270">
        <v>0</v>
      </c>
      <c r="EJ270">
        <v>0</v>
      </c>
    </row>
    <row r="271" spans="1:140" hidden="1" x14ac:dyDescent="0.35">
      <c r="A271" t="s">
        <v>3317</v>
      </c>
      <c r="B271" t="s">
        <v>249</v>
      </c>
      <c r="D271" t="s">
        <v>6065</v>
      </c>
      <c r="E271" t="s">
        <v>4676</v>
      </c>
      <c r="F271" t="s">
        <v>4677</v>
      </c>
      <c r="G271" t="s">
        <v>4676</v>
      </c>
      <c r="H271" t="s">
        <v>6066</v>
      </c>
      <c r="I271" t="s">
        <v>5368</v>
      </c>
      <c r="J271" t="s">
        <v>249</v>
      </c>
      <c r="K271" t="s">
        <v>249</v>
      </c>
      <c r="L271" t="s">
        <v>249</v>
      </c>
      <c r="M271" t="s">
        <v>249</v>
      </c>
      <c r="N271" t="s">
        <v>249</v>
      </c>
      <c r="O271" t="s">
        <v>249</v>
      </c>
      <c r="P271" t="s">
        <v>249</v>
      </c>
      <c r="Q271" t="s">
        <v>249</v>
      </c>
      <c r="R271" t="s">
        <v>249</v>
      </c>
      <c r="S271" t="s">
        <v>249</v>
      </c>
      <c r="T271" t="s">
        <v>249</v>
      </c>
      <c r="U271" t="s">
        <v>249</v>
      </c>
      <c r="V271" s="17"/>
      <c r="W271" s="17">
        <v>45063</v>
      </c>
      <c r="X271" s="17">
        <v>45155</v>
      </c>
      <c r="Y271">
        <v>-1007</v>
      </c>
      <c r="AA271">
        <v>3.0666666666666669</v>
      </c>
      <c r="AB271">
        <v>1572.3</v>
      </c>
      <c r="AC271" s="17"/>
      <c r="AH271">
        <v>57081.83</v>
      </c>
      <c r="AJ271">
        <v>0</v>
      </c>
      <c r="AW271">
        <v>0</v>
      </c>
      <c r="BJ271">
        <v>57081.83</v>
      </c>
      <c r="BQ271">
        <v>11400</v>
      </c>
      <c r="BR271">
        <v>40720.730000000003</v>
      </c>
      <c r="BS271">
        <v>4961.1000000000004</v>
      </c>
      <c r="BW271">
        <v>0</v>
      </c>
      <c r="CJ271">
        <v>0</v>
      </c>
      <c r="CW271">
        <v>0</v>
      </c>
      <c r="DJ271">
        <v>0</v>
      </c>
      <c r="DW271">
        <v>0</v>
      </c>
      <c r="EJ271">
        <v>0</v>
      </c>
    </row>
    <row r="272" spans="1:140" hidden="1" x14ac:dyDescent="0.35">
      <c r="A272" t="s">
        <v>3317</v>
      </c>
      <c r="B272" t="s">
        <v>249</v>
      </c>
      <c r="D272" t="s">
        <v>6067</v>
      </c>
      <c r="E272" t="s">
        <v>3352</v>
      </c>
      <c r="F272" t="s">
        <v>3353</v>
      </c>
      <c r="G272" t="s">
        <v>3354</v>
      </c>
      <c r="H272" t="s">
        <v>6068</v>
      </c>
      <c r="I272" t="s">
        <v>5368</v>
      </c>
      <c r="J272" t="s">
        <v>3079</v>
      </c>
      <c r="K272" t="s">
        <v>3079</v>
      </c>
      <c r="L272" t="s">
        <v>235</v>
      </c>
      <c r="M272" t="s">
        <v>3139</v>
      </c>
      <c r="N272" t="s">
        <v>132</v>
      </c>
      <c r="O272" t="s">
        <v>3070</v>
      </c>
      <c r="P272">
        <v>0</v>
      </c>
      <c r="Q272" t="s">
        <v>3075</v>
      </c>
      <c r="R272">
        <v>0</v>
      </c>
      <c r="S272">
        <v>0</v>
      </c>
      <c r="T272" t="s">
        <v>5369</v>
      </c>
      <c r="U272" t="s">
        <v>6069</v>
      </c>
      <c r="V272" s="17">
        <v>45061</v>
      </c>
      <c r="W272" s="17">
        <v>45064</v>
      </c>
      <c r="X272" s="17">
        <v>45290</v>
      </c>
      <c r="Y272">
        <v>-872</v>
      </c>
      <c r="Z272">
        <v>12</v>
      </c>
      <c r="AA272">
        <v>7.5333333333333332</v>
      </c>
      <c r="AB272">
        <v>1567.8</v>
      </c>
      <c r="AC272" s="17"/>
      <c r="AE272">
        <v>17000</v>
      </c>
      <c r="AF272">
        <v>204000</v>
      </c>
      <c r="AG272">
        <v>27079.646000000001</v>
      </c>
      <c r="AH272">
        <v>209278.75</v>
      </c>
      <c r="AI272">
        <v>5278.75</v>
      </c>
      <c r="AJ272">
        <v>0</v>
      </c>
      <c r="AW272">
        <v>0</v>
      </c>
      <c r="BJ272">
        <v>209278.75</v>
      </c>
      <c r="BP272">
        <v>35736.17</v>
      </c>
      <c r="BQ272">
        <v>35825.54</v>
      </c>
      <c r="BR272">
        <v>35717.040000000001</v>
      </c>
      <c r="BS272">
        <v>34000</v>
      </c>
      <c r="BT272">
        <v>34000</v>
      </c>
      <c r="BU272">
        <v>34000</v>
      </c>
      <c r="BW272">
        <v>0</v>
      </c>
      <c r="CJ272">
        <v>0</v>
      </c>
      <c r="CW272">
        <v>0</v>
      </c>
      <c r="DJ272">
        <v>0</v>
      </c>
      <c r="DW272">
        <v>0</v>
      </c>
      <c r="EJ272">
        <v>0</v>
      </c>
    </row>
    <row r="273" spans="1:140" hidden="1" x14ac:dyDescent="0.35">
      <c r="A273" t="s">
        <v>3317</v>
      </c>
      <c r="B273" t="s">
        <v>249</v>
      </c>
      <c r="D273" t="s">
        <v>6070</v>
      </c>
      <c r="E273" t="s">
        <v>3482</v>
      </c>
      <c r="F273" t="s">
        <v>3483</v>
      </c>
      <c r="G273" t="s">
        <v>3484</v>
      </c>
      <c r="H273" t="s">
        <v>6071</v>
      </c>
      <c r="I273" t="s">
        <v>5368</v>
      </c>
      <c r="J273" t="s">
        <v>3071</v>
      </c>
      <c r="K273" t="s">
        <v>3071</v>
      </c>
      <c r="L273" t="s">
        <v>88</v>
      </c>
      <c r="M273" t="s">
        <v>3139</v>
      </c>
      <c r="N273" t="s">
        <v>89</v>
      </c>
      <c r="O273" t="s">
        <v>3088</v>
      </c>
      <c r="P273">
        <v>0</v>
      </c>
      <c r="Q273" t="s">
        <v>3075</v>
      </c>
      <c r="R273">
        <v>0</v>
      </c>
      <c r="S273">
        <v>0</v>
      </c>
      <c r="T273" t="s">
        <v>5369</v>
      </c>
      <c r="U273" t="s">
        <v>6072</v>
      </c>
      <c r="V273" s="17">
        <v>45071</v>
      </c>
      <c r="W273" s="17">
        <v>45075</v>
      </c>
      <c r="X273" s="17">
        <v>45411</v>
      </c>
      <c r="Y273">
        <v>-751</v>
      </c>
      <c r="Z273">
        <v>11</v>
      </c>
      <c r="AA273">
        <v>11.2</v>
      </c>
      <c r="AB273">
        <v>1563.7666666666667</v>
      </c>
      <c r="AC273" s="17"/>
      <c r="AE273">
        <v>25000</v>
      </c>
      <c r="AF273">
        <v>550000</v>
      </c>
      <c r="AG273">
        <v>49107.142899999999</v>
      </c>
      <c r="AH273">
        <v>608419.63</v>
      </c>
      <c r="AI273">
        <v>58419.63</v>
      </c>
      <c r="AJ273">
        <v>0</v>
      </c>
      <c r="AW273">
        <v>0</v>
      </c>
      <c r="BJ273">
        <v>375363.11</v>
      </c>
      <c r="BO273">
        <v>30000</v>
      </c>
      <c r="BP273">
        <v>4883.67</v>
      </c>
      <c r="BQ273">
        <v>44600.75</v>
      </c>
      <c r="BR273">
        <v>64181.89</v>
      </c>
      <c r="BS273">
        <v>57924.2</v>
      </c>
      <c r="BT273">
        <v>57924.2</v>
      </c>
      <c r="BU273">
        <v>57924.2</v>
      </c>
      <c r="BV273">
        <v>57924.2</v>
      </c>
      <c r="BW273">
        <v>233056.52</v>
      </c>
      <c r="BX273">
        <v>57924.2</v>
      </c>
      <c r="BY273">
        <v>57924.2</v>
      </c>
      <c r="BZ273">
        <v>29302.03</v>
      </c>
      <c r="CA273">
        <v>29302.03</v>
      </c>
      <c r="CB273">
        <v>29302.03</v>
      </c>
      <c r="CC273">
        <v>29302.03</v>
      </c>
      <c r="CJ273">
        <v>0</v>
      </c>
      <c r="CW273">
        <v>0</v>
      </c>
      <c r="DJ273">
        <v>0</v>
      </c>
      <c r="DW273">
        <v>0</v>
      </c>
      <c r="EJ273">
        <v>0</v>
      </c>
    </row>
    <row r="274" spans="1:140" hidden="1" x14ac:dyDescent="0.35">
      <c r="A274" t="s">
        <v>3317</v>
      </c>
      <c r="B274" t="s">
        <v>249</v>
      </c>
      <c r="D274" t="s">
        <v>6073</v>
      </c>
      <c r="E274" t="s">
        <v>3503</v>
      </c>
      <c r="F274" t="s">
        <v>3504</v>
      </c>
      <c r="G274" t="s">
        <v>3505</v>
      </c>
      <c r="H274" t="s">
        <v>6074</v>
      </c>
      <c r="I274" t="s">
        <v>5368</v>
      </c>
      <c r="J274" t="s">
        <v>3422</v>
      </c>
      <c r="K274" t="s">
        <v>3422</v>
      </c>
      <c r="L274" t="s">
        <v>3499</v>
      </c>
      <c r="M274" t="s">
        <v>3087</v>
      </c>
      <c r="N274" t="s">
        <v>3500</v>
      </c>
      <c r="O274" t="s">
        <v>3107</v>
      </c>
      <c r="P274">
        <v>0</v>
      </c>
      <c r="Q274" t="s">
        <v>3075</v>
      </c>
      <c r="R274">
        <v>0</v>
      </c>
      <c r="S274">
        <v>0</v>
      </c>
      <c r="T274" t="s">
        <v>5369</v>
      </c>
      <c r="U274" t="s">
        <v>6075</v>
      </c>
      <c r="V274" s="17">
        <v>45083</v>
      </c>
      <c r="W274" s="17">
        <v>45082</v>
      </c>
      <c r="X274" s="17">
        <v>45260</v>
      </c>
      <c r="Y274">
        <v>-902</v>
      </c>
      <c r="Z274">
        <v>6</v>
      </c>
      <c r="AA274">
        <v>5.9333333333333336</v>
      </c>
      <c r="AB274">
        <v>1568.8</v>
      </c>
      <c r="AC274" s="17"/>
      <c r="AE274">
        <v>0</v>
      </c>
      <c r="AF274">
        <v>0</v>
      </c>
      <c r="AG274">
        <v>0</v>
      </c>
      <c r="AH274">
        <v>0</v>
      </c>
      <c r="AI274">
        <v>0</v>
      </c>
      <c r="AJ274">
        <v>0</v>
      </c>
      <c r="AW274">
        <v>0</v>
      </c>
      <c r="BJ274">
        <v>0</v>
      </c>
      <c r="BP274">
        <v>0</v>
      </c>
      <c r="BQ274">
        <v>0</v>
      </c>
      <c r="BR274">
        <v>0</v>
      </c>
      <c r="BS274">
        <v>0</v>
      </c>
      <c r="BT274">
        <v>0</v>
      </c>
      <c r="BU274">
        <v>0</v>
      </c>
      <c r="BW274">
        <v>0</v>
      </c>
      <c r="CJ274">
        <v>0</v>
      </c>
      <c r="CW274">
        <v>0</v>
      </c>
      <c r="DJ274">
        <v>0</v>
      </c>
      <c r="DW274">
        <v>0</v>
      </c>
      <c r="EJ274">
        <v>0</v>
      </c>
    </row>
    <row r="275" spans="1:140" hidden="1" x14ac:dyDescent="0.35">
      <c r="A275" t="s">
        <v>3317</v>
      </c>
      <c r="B275" t="s">
        <v>249</v>
      </c>
      <c r="D275" t="s">
        <v>6076</v>
      </c>
      <c r="E275" t="s">
        <v>3469</v>
      </c>
      <c r="F275" t="s">
        <v>3470</v>
      </c>
      <c r="G275" t="s">
        <v>3471</v>
      </c>
      <c r="H275" t="s">
        <v>6077</v>
      </c>
      <c r="I275" t="s">
        <v>5368</v>
      </c>
      <c r="J275" t="s">
        <v>3422</v>
      </c>
      <c r="K275" t="s">
        <v>3422</v>
      </c>
      <c r="L275" t="s">
        <v>3465</v>
      </c>
      <c r="M275" t="s">
        <v>3421</v>
      </c>
      <c r="N275" t="s">
        <v>3466</v>
      </c>
      <c r="O275" t="s">
        <v>3107</v>
      </c>
      <c r="P275">
        <v>0</v>
      </c>
      <c r="Q275" t="s">
        <v>3075</v>
      </c>
      <c r="R275">
        <v>0</v>
      </c>
      <c r="S275">
        <v>0</v>
      </c>
      <c r="T275" t="s">
        <v>5369</v>
      </c>
      <c r="U275" t="s">
        <v>6078</v>
      </c>
      <c r="V275" s="17">
        <v>45077</v>
      </c>
      <c r="W275" s="17">
        <v>45083</v>
      </c>
      <c r="X275" s="17">
        <v>45214</v>
      </c>
      <c r="Y275">
        <v>-948</v>
      </c>
      <c r="Z275">
        <v>4</v>
      </c>
      <c r="AA275">
        <v>4.3666666666666663</v>
      </c>
      <c r="AB275">
        <v>1570.3333333333333</v>
      </c>
      <c r="AC275" s="17"/>
      <c r="AE275">
        <v>0</v>
      </c>
      <c r="AF275">
        <v>47980</v>
      </c>
      <c r="AG275">
        <v>10987.7863</v>
      </c>
      <c r="AH275">
        <v>47980</v>
      </c>
      <c r="AI275">
        <v>0</v>
      </c>
      <c r="AJ275">
        <v>0</v>
      </c>
      <c r="AW275">
        <v>0</v>
      </c>
      <c r="BJ275">
        <v>47980</v>
      </c>
      <c r="BP275">
        <v>9596</v>
      </c>
      <c r="BQ275">
        <v>9596</v>
      </c>
      <c r="BR275">
        <v>9596</v>
      </c>
      <c r="BS275">
        <v>9596</v>
      </c>
      <c r="BT275">
        <v>9596</v>
      </c>
      <c r="BW275">
        <v>0</v>
      </c>
      <c r="CJ275">
        <v>0</v>
      </c>
      <c r="CW275">
        <v>0</v>
      </c>
      <c r="DJ275">
        <v>0</v>
      </c>
      <c r="DW275">
        <v>0</v>
      </c>
      <c r="EJ275">
        <v>0</v>
      </c>
    </row>
    <row r="276" spans="1:140" hidden="1" x14ac:dyDescent="0.35">
      <c r="A276" t="s">
        <v>3317</v>
      </c>
      <c r="B276" t="s">
        <v>249</v>
      </c>
      <c r="D276" t="s">
        <v>6079</v>
      </c>
      <c r="E276" t="s">
        <v>4729</v>
      </c>
      <c r="F276" t="s">
        <v>4730</v>
      </c>
      <c r="G276" t="s">
        <v>4731</v>
      </c>
      <c r="H276" t="s">
        <v>6080</v>
      </c>
      <c r="I276" t="s">
        <v>5368</v>
      </c>
      <c r="J276" t="s">
        <v>3203</v>
      </c>
      <c r="K276" t="s">
        <v>3203</v>
      </c>
      <c r="L276" t="s">
        <v>4410</v>
      </c>
      <c r="M276" t="s">
        <v>3139</v>
      </c>
      <c r="N276" t="s">
        <v>89</v>
      </c>
      <c r="O276" t="s">
        <v>3088</v>
      </c>
      <c r="P276">
        <v>0</v>
      </c>
      <c r="Q276" t="s">
        <v>3075</v>
      </c>
      <c r="R276">
        <v>0</v>
      </c>
      <c r="S276">
        <v>0</v>
      </c>
      <c r="T276" t="s">
        <v>5369</v>
      </c>
      <c r="U276" t="s">
        <v>6081</v>
      </c>
      <c r="V276" s="17">
        <v>45064</v>
      </c>
      <c r="W276" s="17">
        <v>45083</v>
      </c>
      <c r="X276" s="17">
        <v>45175</v>
      </c>
      <c r="Y276">
        <v>-987</v>
      </c>
      <c r="Z276">
        <v>1</v>
      </c>
      <c r="AA276">
        <v>3.0666666666666669</v>
      </c>
      <c r="AB276">
        <v>1571.6333333333334</v>
      </c>
      <c r="AC276" s="17"/>
      <c r="AE276">
        <v>0</v>
      </c>
      <c r="AF276">
        <v>9500</v>
      </c>
      <c r="AG276">
        <v>3097.8261000000002</v>
      </c>
      <c r="AH276">
        <v>9500</v>
      </c>
      <c r="AI276">
        <v>0</v>
      </c>
      <c r="AJ276">
        <v>0</v>
      </c>
      <c r="AW276">
        <v>0</v>
      </c>
      <c r="BJ276">
        <v>9500</v>
      </c>
      <c r="BP276">
        <v>9500</v>
      </c>
      <c r="BW276">
        <v>0</v>
      </c>
      <c r="CJ276">
        <v>0</v>
      </c>
      <c r="CW276">
        <v>0</v>
      </c>
      <c r="DJ276">
        <v>0</v>
      </c>
      <c r="DW276">
        <v>0</v>
      </c>
      <c r="EJ276">
        <v>0</v>
      </c>
    </row>
    <row r="277" spans="1:140" hidden="1" x14ac:dyDescent="0.35">
      <c r="A277" t="s">
        <v>3317</v>
      </c>
      <c r="B277" t="s">
        <v>249</v>
      </c>
      <c r="D277" t="s">
        <v>6082</v>
      </c>
      <c r="E277" t="s">
        <v>4661</v>
      </c>
      <c r="F277" t="s">
        <v>4662</v>
      </c>
      <c r="G277" t="s">
        <v>6083</v>
      </c>
      <c r="H277" t="s">
        <v>6084</v>
      </c>
      <c r="I277" t="s">
        <v>5368</v>
      </c>
      <c r="J277" t="s">
        <v>3071</v>
      </c>
      <c r="K277" t="s">
        <v>3071</v>
      </c>
      <c r="L277" t="s">
        <v>212</v>
      </c>
      <c r="M277" t="s">
        <v>3087</v>
      </c>
      <c r="N277" t="s">
        <v>3492</v>
      </c>
      <c r="O277" t="s">
        <v>3088</v>
      </c>
      <c r="P277">
        <v>0</v>
      </c>
      <c r="Q277" t="s">
        <v>3075</v>
      </c>
      <c r="R277">
        <v>0</v>
      </c>
      <c r="S277">
        <v>0</v>
      </c>
      <c r="T277" t="s">
        <v>5485</v>
      </c>
      <c r="U277" t="s">
        <v>6085</v>
      </c>
      <c r="V277" s="17">
        <v>45083</v>
      </c>
      <c r="W277" s="17">
        <v>45084</v>
      </c>
      <c r="X277" s="17">
        <v>45114</v>
      </c>
      <c r="Y277">
        <v>-1048</v>
      </c>
      <c r="Z277">
        <v>1</v>
      </c>
      <c r="AA277">
        <v>1</v>
      </c>
      <c r="AB277">
        <v>1573.6666666666667</v>
      </c>
      <c r="AC277" s="17"/>
      <c r="AE277">
        <v>0</v>
      </c>
      <c r="AF277">
        <v>10995</v>
      </c>
      <c r="AG277">
        <v>10995</v>
      </c>
      <c r="AH277">
        <v>10995</v>
      </c>
      <c r="AI277">
        <v>0</v>
      </c>
      <c r="AJ277">
        <v>0</v>
      </c>
      <c r="AW277">
        <v>0</v>
      </c>
      <c r="BJ277">
        <v>10995</v>
      </c>
      <c r="BP277">
        <v>5497.5</v>
      </c>
      <c r="BQ277">
        <v>5497.5</v>
      </c>
      <c r="BW277">
        <v>0</v>
      </c>
      <c r="CJ277">
        <v>0</v>
      </c>
      <c r="CW277">
        <v>0</v>
      </c>
      <c r="DJ277">
        <v>0</v>
      </c>
      <c r="DW277">
        <v>0</v>
      </c>
      <c r="EJ277">
        <v>0</v>
      </c>
    </row>
    <row r="278" spans="1:140" hidden="1" x14ac:dyDescent="0.35">
      <c r="A278" t="s">
        <v>3317</v>
      </c>
      <c r="B278" t="s">
        <v>249</v>
      </c>
      <c r="D278" t="s">
        <v>6086</v>
      </c>
      <c r="E278" t="s">
        <v>3489</v>
      </c>
      <c r="F278" t="s">
        <v>3490</v>
      </c>
      <c r="G278" t="s">
        <v>3491</v>
      </c>
      <c r="H278" t="s">
        <v>6087</v>
      </c>
      <c r="I278" t="s">
        <v>5368</v>
      </c>
      <c r="J278" t="s">
        <v>3071</v>
      </c>
      <c r="K278" t="s">
        <v>3071</v>
      </c>
      <c r="L278" t="s">
        <v>88</v>
      </c>
      <c r="M278" t="s">
        <v>3139</v>
      </c>
      <c r="N278" t="s">
        <v>3492</v>
      </c>
      <c r="O278" t="s">
        <v>3088</v>
      </c>
      <c r="P278">
        <v>0</v>
      </c>
      <c r="Q278" t="s">
        <v>3075</v>
      </c>
      <c r="R278">
        <v>0</v>
      </c>
      <c r="S278">
        <v>0</v>
      </c>
      <c r="T278" t="s">
        <v>5485</v>
      </c>
      <c r="U278" t="s">
        <v>6088</v>
      </c>
      <c r="V278" s="17">
        <v>45082</v>
      </c>
      <c r="W278" s="17">
        <v>45092</v>
      </c>
      <c r="X278" s="17">
        <v>45337</v>
      </c>
      <c r="Y278">
        <v>-825</v>
      </c>
      <c r="Z278">
        <v>8</v>
      </c>
      <c r="AA278">
        <v>8.1666666666666661</v>
      </c>
      <c r="AB278">
        <v>1566.2333333333333</v>
      </c>
      <c r="AC278" s="17"/>
      <c r="AE278">
        <v>30642</v>
      </c>
      <c r="AF278">
        <v>490280</v>
      </c>
      <c r="AG278">
        <v>60034.2857</v>
      </c>
      <c r="AH278">
        <v>569922.94999999995</v>
      </c>
      <c r="AI278">
        <v>79642.95</v>
      </c>
      <c r="AJ278">
        <v>0</v>
      </c>
      <c r="AW278">
        <v>0</v>
      </c>
      <c r="BJ278">
        <v>438222.95</v>
      </c>
      <c r="BP278">
        <v>17500</v>
      </c>
      <c r="BQ278">
        <v>79225</v>
      </c>
      <c r="BR278">
        <v>78097.95</v>
      </c>
      <c r="BS278">
        <v>65850</v>
      </c>
      <c r="BT278">
        <v>65850</v>
      </c>
      <c r="BU278">
        <v>65850</v>
      </c>
      <c r="BV278">
        <v>65850</v>
      </c>
      <c r="BW278">
        <v>131700</v>
      </c>
      <c r="BX278">
        <v>65850</v>
      </c>
      <c r="BY278">
        <v>65850</v>
      </c>
      <c r="CJ278">
        <v>0</v>
      </c>
      <c r="CW278">
        <v>0</v>
      </c>
      <c r="DJ278">
        <v>0</v>
      </c>
      <c r="DW278">
        <v>0</v>
      </c>
      <c r="EJ278">
        <v>0</v>
      </c>
    </row>
    <row r="279" spans="1:140" hidden="1" x14ac:dyDescent="0.35">
      <c r="A279" t="s">
        <v>3317</v>
      </c>
      <c r="B279" t="s">
        <v>249</v>
      </c>
      <c r="D279" t="s">
        <v>6089</v>
      </c>
      <c r="E279" t="s">
        <v>4671</v>
      </c>
      <c r="F279" t="s">
        <v>4672</v>
      </c>
      <c r="G279" t="s">
        <v>4673</v>
      </c>
      <c r="H279" t="s">
        <v>6090</v>
      </c>
      <c r="I279" t="s">
        <v>5368</v>
      </c>
      <c r="J279" t="s">
        <v>3203</v>
      </c>
      <c r="K279" t="s">
        <v>3203</v>
      </c>
      <c r="L279" t="s">
        <v>179</v>
      </c>
      <c r="M279" t="s">
        <v>3069</v>
      </c>
      <c r="N279" t="s">
        <v>89</v>
      </c>
      <c r="O279" t="s">
        <v>3088</v>
      </c>
      <c r="P279">
        <v>0</v>
      </c>
      <c r="Q279" t="s">
        <v>3075</v>
      </c>
      <c r="R279">
        <v>0</v>
      </c>
      <c r="S279">
        <v>0</v>
      </c>
      <c r="T279" t="s">
        <v>5485</v>
      </c>
      <c r="U279" t="s">
        <v>6091</v>
      </c>
      <c r="V279" s="17">
        <v>45097</v>
      </c>
      <c r="W279" s="17">
        <v>45097</v>
      </c>
      <c r="X279" s="17">
        <v>45168</v>
      </c>
      <c r="Y279">
        <v>-994</v>
      </c>
      <c r="Z279">
        <v>1</v>
      </c>
      <c r="AA279">
        <v>2.3666666666666667</v>
      </c>
      <c r="AB279">
        <v>1571.8666666666666</v>
      </c>
      <c r="AC279" s="17"/>
      <c r="AE279">
        <v>0</v>
      </c>
      <c r="AF279">
        <v>58500</v>
      </c>
      <c r="AG279">
        <v>24718.3099</v>
      </c>
      <c r="AH279">
        <v>58500</v>
      </c>
      <c r="AI279">
        <v>0</v>
      </c>
      <c r="AJ279">
        <v>0</v>
      </c>
      <c r="AW279">
        <v>0</v>
      </c>
      <c r="BJ279">
        <v>58500</v>
      </c>
      <c r="BP279">
        <v>19500</v>
      </c>
      <c r="BQ279">
        <v>19500</v>
      </c>
      <c r="BR279">
        <v>19500</v>
      </c>
      <c r="BW279">
        <v>0</v>
      </c>
      <c r="CJ279">
        <v>0</v>
      </c>
      <c r="CW279">
        <v>0</v>
      </c>
      <c r="DJ279">
        <v>0</v>
      </c>
      <c r="DW279">
        <v>0</v>
      </c>
      <c r="EJ279">
        <v>0</v>
      </c>
    </row>
    <row r="280" spans="1:140" hidden="1" x14ac:dyDescent="0.35">
      <c r="A280" t="s">
        <v>3317</v>
      </c>
      <c r="B280" t="s">
        <v>249</v>
      </c>
      <c r="D280" t="s">
        <v>6092</v>
      </c>
      <c r="E280" t="s">
        <v>1244</v>
      </c>
      <c r="F280" t="s">
        <v>3444</v>
      </c>
      <c r="G280" t="s">
        <v>3445</v>
      </c>
      <c r="H280" t="s">
        <v>6093</v>
      </c>
      <c r="I280" t="s">
        <v>5368</v>
      </c>
      <c r="J280" t="s">
        <v>3071</v>
      </c>
      <c r="K280" t="s">
        <v>3071</v>
      </c>
      <c r="L280" t="s">
        <v>901</v>
      </c>
      <c r="M280" t="s">
        <v>3069</v>
      </c>
      <c r="N280" t="s">
        <v>89</v>
      </c>
      <c r="O280" t="s">
        <v>3088</v>
      </c>
      <c r="P280">
        <v>0</v>
      </c>
      <c r="Q280" t="s">
        <v>3075</v>
      </c>
      <c r="R280">
        <v>0</v>
      </c>
      <c r="S280">
        <v>0</v>
      </c>
      <c r="T280" t="s">
        <v>5485</v>
      </c>
      <c r="U280" t="s">
        <v>6094</v>
      </c>
      <c r="V280" s="17">
        <v>0</v>
      </c>
      <c r="W280" s="17">
        <v>45103</v>
      </c>
      <c r="X280" s="17">
        <v>45137</v>
      </c>
      <c r="Y280">
        <v>-1025</v>
      </c>
      <c r="Z280">
        <v>0</v>
      </c>
      <c r="AA280">
        <v>1.1333333333333333</v>
      </c>
      <c r="AB280">
        <v>1572.9</v>
      </c>
      <c r="AC280" s="17"/>
      <c r="AE280">
        <v>31898</v>
      </c>
      <c r="AF280">
        <v>510370</v>
      </c>
      <c r="AG280">
        <v>450326.4706</v>
      </c>
      <c r="AH280">
        <v>597970.31000000006</v>
      </c>
      <c r="AI280">
        <v>87600.31</v>
      </c>
      <c r="AJ280">
        <v>0</v>
      </c>
      <c r="AW280">
        <v>0</v>
      </c>
      <c r="BJ280">
        <v>287706.05</v>
      </c>
      <c r="BQ280">
        <v>29072.400000000001</v>
      </c>
      <c r="BR280">
        <v>45118.73</v>
      </c>
      <c r="BS280">
        <v>53378.73</v>
      </c>
      <c r="BT280">
        <v>53378.73</v>
      </c>
      <c r="BU280">
        <v>53378.73</v>
      </c>
      <c r="BV280">
        <v>53378.73</v>
      </c>
      <c r="BW280">
        <v>310264.26</v>
      </c>
      <c r="BX280">
        <v>53378.73</v>
      </c>
      <c r="BY280">
        <v>53378.73</v>
      </c>
      <c r="BZ280">
        <v>29072.400000000001</v>
      </c>
      <c r="CA280">
        <v>29072.400000000001</v>
      </c>
      <c r="CB280">
        <v>29072.400000000001</v>
      </c>
      <c r="CC280">
        <v>29072.400000000001</v>
      </c>
      <c r="CD280">
        <v>29072.400000000001</v>
      </c>
      <c r="CE280">
        <v>29072.400000000001</v>
      </c>
      <c r="CF280">
        <v>29072.400000000001</v>
      </c>
      <c r="CJ280">
        <v>0</v>
      </c>
      <c r="CW280">
        <v>0</v>
      </c>
      <c r="DJ280">
        <v>0</v>
      </c>
      <c r="DW280">
        <v>0</v>
      </c>
      <c r="EJ280">
        <v>0</v>
      </c>
    </row>
    <row r="281" spans="1:140" hidden="1" x14ac:dyDescent="0.35">
      <c r="A281" t="s">
        <v>3317</v>
      </c>
      <c r="B281" t="s">
        <v>249</v>
      </c>
      <c r="D281" t="s">
        <v>6095</v>
      </c>
      <c r="E281" t="s">
        <v>4501</v>
      </c>
      <c r="F281" t="s">
        <v>4502</v>
      </c>
      <c r="G281" t="s">
        <v>4503</v>
      </c>
      <c r="H281" t="s">
        <v>6096</v>
      </c>
      <c r="I281" t="s">
        <v>5368</v>
      </c>
      <c r="J281" t="s">
        <v>3203</v>
      </c>
      <c r="K281" t="s">
        <v>3203</v>
      </c>
      <c r="L281" t="s">
        <v>153</v>
      </c>
      <c r="M281" t="s">
        <v>3917</v>
      </c>
      <c r="N281" t="s">
        <v>153</v>
      </c>
      <c r="O281" t="s">
        <v>3918</v>
      </c>
      <c r="P281">
        <v>0</v>
      </c>
      <c r="Q281" t="s">
        <v>3852</v>
      </c>
      <c r="R281">
        <v>0</v>
      </c>
      <c r="S281">
        <v>0</v>
      </c>
      <c r="T281" t="s">
        <v>5485</v>
      </c>
      <c r="U281" t="s">
        <v>6097</v>
      </c>
      <c r="V281" s="17">
        <v>45119</v>
      </c>
      <c r="W281" s="17">
        <v>45117</v>
      </c>
      <c r="X281" s="17">
        <v>45160</v>
      </c>
      <c r="Y281">
        <v>-1002</v>
      </c>
      <c r="Z281">
        <v>1</v>
      </c>
      <c r="AA281">
        <v>1.4333333333333333</v>
      </c>
      <c r="AB281">
        <v>1572.1333333333334</v>
      </c>
      <c r="AC281" s="17"/>
      <c r="AE281">
        <v>0</v>
      </c>
      <c r="AF281">
        <v>19997</v>
      </c>
      <c r="AG281">
        <v>13951.3953</v>
      </c>
      <c r="AH281">
        <v>19997.38</v>
      </c>
      <c r="AI281">
        <v>0.38</v>
      </c>
      <c r="AJ281">
        <v>0</v>
      </c>
      <c r="AW281">
        <v>0</v>
      </c>
      <c r="BJ281">
        <v>19997.38</v>
      </c>
      <c r="BR281">
        <v>19997.38</v>
      </c>
      <c r="BW281">
        <v>0</v>
      </c>
      <c r="CJ281">
        <v>0</v>
      </c>
      <c r="CW281">
        <v>0</v>
      </c>
      <c r="DJ281">
        <v>0</v>
      </c>
      <c r="DW281">
        <v>0</v>
      </c>
      <c r="EJ281">
        <v>0</v>
      </c>
    </row>
    <row r="282" spans="1:140" hidden="1" x14ac:dyDescent="0.35">
      <c r="A282" t="s">
        <v>3317</v>
      </c>
      <c r="B282" t="s">
        <v>249</v>
      </c>
      <c r="D282" t="s">
        <v>6098</v>
      </c>
      <c r="E282" t="s">
        <v>3513</v>
      </c>
      <c r="F282" t="s">
        <v>3514</v>
      </c>
      <c r="G282" t="s">
        <v>3515</v>
      </c>
      <c r="H282" t="s">
        <v>6099</v>
      </c>
      <c r="I282" t="s">
        <v>5368</v>
      </c>
      <c r="J282" t="s">
        <v>3071</v>
      </c>
      <c r="K282" t="s">
        <v>3071</v>
      </c>
      <c r="L282" t="s">
        <v>903</v>
      </c>
      <c r="M282" t="s">
        <v>3069</v>
      </c>
      <c r="N282" t="s">
        <v>89</v>
      </c>
      <c r="O282" t="s">
        <v>3088</v>
      </c>
      <c r="P282">
        <v>0</v>
      </c>
      <c r="Q282" t="s">
        <v>3075</v>
      </c>
      <c r="R282">
        <v>0</v>
      </c>
      <c r="S282">
        <v>0</v>
      </c>
      <c r="T282" t="s">
        <v>5485</v>
      </c>
      <c r="U282" t="s">
        <v>6100</v>
      </c>
      <c r="V282" s="17">
        <v>45111</v>
      </c>
      <c r="W282" s="17">
        <v>45117</v>
      </c>
      <c r="X282" s="17">
        <v>45301</v>
      </c>
      <c r="Y282">
        <v>-861</v>
      </c>
      <c r="Z282">
        <v>6</v>
      </c>
      <c r="AA282">
        <v>6.1333333333333337</v>
      </c>
      <c r="AB282">
        <v>1567.4333333333334</v>
      </c>
      <c r="AC282" s="17">
        <v>45169</v>
      </c>
      <c r="AE282">
        <v>15900</v>
      </c>
      <c r="AF282">
        <v>95400</v>
      </c>
      <c r="AG282">
        <v>15554.3478</v>
      </c>
      <c r="AH282">
        <v>91676</v>
      </c>
      <c r="AI282">
        <v>-3724</v>
      </c>
      <c r="AJ282">
        <v>0</v>
      </c>
      <c r="AW282">
        <v>0</v>
      </c>
      <c r="BJ282">
        <v>91676</v>
      </c>
      <c r="BQ282">
        <v>11726</v>
      </c>
      <c r="BR282">
        <v>15990</v>
      </c>
      <c r="BS282">
        <v>15990</v>
      </c>
      <c r="BT282">
        <v>15990</v>
      </c>
      <c r="BU282">
        <v>15990</v>
      </c>
      <c r="BV282">
        <v>15990</v>
      </c>
      <c r="BW282">
        <v>0</v>
      </c>
      <c r="CJ282">
        <v>0</v>
      </c>
      <c r="CW282">
        <v>0</v>
      </c>
      <c r="DJ282">
        <v>0</v>
      </c>
      <c r="DW282">
        <v>0</v>
      </c>
      <c r="EJ282">
        <v>0</v>
      </c>
    </row>
    <row r="283" spans="1:140" hidden="1" x14ac:dyDescent="0.35">
      <c r="A283" t="s">
        <v>3317</v>
      </c>
      <c r="B283" t="s">
        <v>249</v>
      </c>
      <c r="D283" t="s">
        <v>6101</v>
      </c>
      <c r="E283" t="s">
        <v>4616</v>
      </c>
      <c r="F283" t="s">
        <v>4617</v>
      </c>
      <c r="G283" t="s">
        <v>4618</v>
      </c>
      <c r="H283" t="s">
        <v>6102</v>
      </c>
      <c r="I283" t="s">
        <v>5368</v>
      </c>
      <c r="J283" t="s">
        <v>3203</v>
      </c>
      <c r="K283" t="s">
        <v>3203</v>
      </c>
      <c r="L283" t="s">
        <v>452</v>
      </c>
      <c r="M283" t="s">
        <v>3069</v>
      </c>
      <c r="N283" t="s">
        <v>89</v>
      </c>
      <c r="O283" t="s">
        <v>3088</v>
      </c>
      <c r="P283">
        <v>0</v>
      </c>
      <c r="Q283" t="s">
        <v>3075</v>
      </c>
      <c r="R283">
        <v>0</v>
      </c>
      <c r="S283">
        <v>0</v>
      </c>
      <c r="T283" t="s">
        <v>5369</v>
      </c>
      <c r="U283" t="s">
        <v>6103</v>
      </c>
      <c r="V283" s="17">
        <v>45096</v>
      </c>
      <c r="W283" s="17">
        <v>45119</v>
      </c>
      <c r="X283" s="17">
        <v>45160</v>
      </c>
      <c r="Y283">
        <v>-1002</v>
      </c>
      <c r="Z283">
        <v>1</v>
      </c>
      <c r="AA283">
        <v>1.3666666666666667</v>
      </c>
      <c r="AB283">
        <v>1572.1333333333334</v>
      </c>
      <c r="AC283" s="17"/>
      <c r="AE283">
        <v>0</v>
      </c>
      <c r="AF283">
        <v>19991.62</v>
      </c>
      <c r="AG283">
        <v>14628.0146</v>
      </c>
      <c r="AH283">
        <v>19991.62</v>
      </c>
      <c r="AI283">
        <v>0</v>
      </c>
      <c r="AJ283">
        <v>0</v>
      </c>
      <c r="AW283">
        <v>0</v>
      </c>
      <c r="BJ283">
        <v>19991.62</v>
      </c>
      <c r="BP283">
        <v>3998.32</v>
      </c>
      <c r="BQ283">
        <v>5997.49</v>
      </c>
      <c r="BR283">
        <v>9995.81</v>
      </c>
      <c r="BW283">
        <v>0</v>
      </c>
      <c r="CJ283">
        <v>0</v>
      </c>
      <c r="CW283">
        <v>0</v>
      </c>
      <c r="DJ283">
        <v>0</v>
      </c>
      <c r="DW283">
        <v>0</v>
      </c>
      <c r="EJ283">
        <v>0</v>
      </c>
    </row>
    <row r="284" spans="1:140" hidden="1" x14ac:dyDescent="0.35">
      <c r="A284" t="s">
        <v>3317</v>
      </c>
      <c r="B284" t="s">
        <v>249</v>
      </c>
      <c r="D284" t="s">
        <v>6104</v>
      </c>
      <c r="E284" t="s">
        <v>3519</v>
      </c>
      <c r="F284" t="s">
        <v>3520</v>
      </c>
      <c r="G284" t="s">
        <v>3521</v>
      </c>
      <c r="H284" t="s">
        <v>6105</v>
      </c>
      <c r="I284" t="s">
        <v>5368</v>
      </c>
      <c r="J284" t="s">
        <v>3079</v>
      </c>
      <c r="K284" t="s">
        <v>3079</v>
      </c>
      <c r="L284" t="s">
        <v>252</v>
      </c>
      <c r="M284" t="s">
        <v>3087</v>
      </c>
      <c r="N284" t="s">
        <v>447</v>
      </c>
      <c r="O284" t="s">
        <v>3088</v>
      </c>
      <c r="P284">
        <v>0</v>
      </c>
      <c r="Q284" t="s">
        <v>3075</v>
      </c>
      <c r="R284">
        <v>0</v>
      </c>
      <c r="S284">
        <v>0</v>
      </c>
      <c r="T284" t="s">
        <v>5485</v>
      </c>
      <c r="U284" t="s">
        <v>6106</v>
      </c>
      <c r="V284" s="17">
        <v>45107</v>
      </c>
      <c r="W284" s="17">
        <v>45119</v>
      </c>
      <c r="X284" s="17">
        <v>45272</v>
      </c>
      <c r="Y284">
        <v>-890</v>
      </c>
      <c r="Z284">
        <v>5</v>
      </c>
      <c r="AA284">
        <v>5.0999999999999996</v>
      </c>
      <c r="AB284">
        <v>1568.4</v>
      </c>
      <c r="AC284" s="17"/>
      <c r="AE284">
        <v>16930</v>
      </c>
      <c r="AF284">
        <v>984464</v>
      </c>
      <c r="AG284">
        <v>193032.1569</v>
      </c>
      <c r="AH284">
        <v>176574.11</v>
      </c>
      <c r="AI284">
        <v>-807889.89</v>
      </c>
      <c r="AJ284">
        <v>0</v>
      </c>
      <c r="AW284">
        <v>0</v>
      </c>
      <c r="BJ284">
        <v>176574.11</v>
      </c>
      <c r="BQ284">
        <v>26583.99</v>
      </c>
      <c r="BR284">
        <v>37497.53</v>
      </c>
      <c r="BS284">
        <v>37497.53</v>
      </c>
      <c r="BT284">
        <v>37497.53</v>
      </c>
      <c r="BU284">
        <v>37497.53</v>
      </c>
      <c r="BW284">
        <v>0</v>
      </c>
      <c r="CJ284">
        <v>0</v>
      </c>
      <c r="CW284">
        <v>0</v>
      </c>
      <c r="DJ284">
        <v>0</v>
      </c>
      <c r="DW284">
        <v>0</v>
      </c>
      <c r="EJ284">
        <v>0</v>
      </c>
    </row>
    <row r="285" spans="1:140" hidden="1" x14ac:dyDescent="0.35">
      <c r="A285" t="s">
        <v>3317</v>
      </c>
      <c r="B285" t="s">
        <v>249</v>
      </c>
      <c r="D285" t="s">
        <v>6107</v>
      </c>
      <c r="E285" t="s">
        <v>3339</v>
      </c>
      <c r="F285" t="s">
        <v>6108</v>
      </c>
      <c r="G285" t="s">
        <v>3341</v>
      </c>
      <c r="H285" t="s">
        <v>6109</v>
      </c>
      <c r="I285" t="s">
        <v>5368</v>
      </c>
      <c r="J285" t="s">
        <v>3079</v>
      </c>
      <c r="K285" t="s">
        <v>3079</v>
      </c>
      <c r="L285" t="s">
        <v>990</v>
      </c>
      <c r="M285" t="s">
        <v>3087</v>
      </c>
      <c r="N285" t="s">
        <v>990</v>
      </c>
      <c r="O285" t="s">
        <v>3107</v>
      </c>
      <c r="P285">
        <v>0</v>
      </c>
      <c r="Q285" t="s">
        <v>3075</v>
      </c>
      <c r="R285">
        <v>0</v>
      </c>
      <c r="S285">
        <v>0</v>
      </c>
      <c r="T285" t="s">
        <v>5369</v>
      </c>
      <c r="U285" t="s">
        <v>6110</v>
      </c>
      <c r="V285" s="17">
        <v>45131</v>
      </c>
      <c r="W285" s="17">
        <v>45138</v>
      </c>
      <c r="X285" s="17">
        <v>45230</v>
      </c>
      <c r="Y285">
        <v>-932</v>
      </c>
      <c r="Z285">
        <v>3</v>
      </c>
      <c r="AA285">
        <v>3.0666666666666669</v>
      </c>
      <c r="AB285">
        <v>1569.8</v>
      </c>
      <c r="AC285" s="17"/>
      <c r="AE285">
        <v>36333.333299999998</v>
      </c>
      <c r="AF285">
        <v>109000</v>
      </c>
      <c r="AG285">
        <v>35543.478300000002</v>
      </c>
      <c r="AH285">
        <v>139000</v>
      </c>
      <c r="AI285">
        <v>30000</v>
      </c>
      <c r="AJ285">
        <v>0</v>
      </c>
      <c r="AW285">
        <v>0</v>
      </c>
      <c r="BJ285">
        <v>139000</v>
      </c>
      <c r="BR285">
        <v>36333.333299999998</v>
      </c>
      <c r="BS285">
        <v>36333.333299999998</v>
      </c>
      <c r="BT285">
        <v>36333.333299999998</v>
      </c>
      <c r="BU285">
        <v>30000</v>
      </c>
      <c r="BW285">
        <v>0</v>
      </c>
      <c r="CJ285">
        <v>0</v>
      </c>
      <c r="CW285">
        <v>0</v>
      </c>
      <c r="DJ285">
        <v>0</v>
      </c>
      <c r="DW285">
        <v>0</v>
      </c>
      <c r="EJ285">
        <v>0</v>
      </c>
    </row>
    <row r="286" spans="1:140" hidden="1" x14ac:dyDescent="0.35">
      <c r="A286" t="s">
        <v>3317</v>
      </c>
      <c r="B286" t="s">
        <v>249</v>
      </c>
      <c r="D286" t="s">
        <v>6111</v>
      </c>
      <c r="E286" t="s">
        <v>4706</v>
      </c>
      <c r="F286" t="s">
        <v>4707</v>
      </c>
      <c r="G286" t="s">
        <v>6112</v>
      </c>
      <c r="H286" t="s">
        <v>6113</v>
      </c>
      <c r="I286" t="s">
        <v>5368</v>
      </c>
      <c r="J286" t="s">
        <v>3071</v>
      </c>
      <c r="K286" t="s">
        <v>3071</v>
      </c>
      <c r="L286" t="s">
        <v>3584</v>
      </c>
      <c r="M286" t="s">
        <v>3069</v>
      </c>
      <c r="N286" t="s">
        <v>4709</v>
      </c>
      <c r="O286" t="s">
        <v>3155</v>
      </c>
      <c r="P286">
        <v>0</v>
      </c>
      <c r="Q286" t="s">
        <v>3075</v>
      </c>
      <c r="R286">
        <v>0</v>
      </c>
      <c r="S286">
        <v>0</v>
      </c>
      <c r="T286" t="s">
        <v>5485</v>
      </c>
      <c r="U286" t="s">
        <v>6114</v>
      </c>
      <c r="V286" s="17">
        <v>0</v>
      </c>
      <c r="W286" s="17">
        <v>45138</v>
      </c>
      <c r="X286" s="17">
        <v>45350</v>
      </c>
      <c r="Y286">
        <v>-812</v>
      </c>
      <c r="Z286">
        <v>0</v>
      </c>
      <c r="AA286">
        <v>7.0666666666666664</v>
      </c>
      <c r="AB286">
        <v>1565.8</v>
      </c>
      <c r="AC286" s="17"/>
      <c r="AE286">
        <v>7460</v>
      </c>
      <c r="AF286">
        <v>53495</v>
      </c>
      <c r="AG286">
        <v>7570.0472</v>
      </c>
      <c r="AH286">
        <v>66550</v>
      </c>
      <c r="AI286">
        <v>13055</v>
      </c>
      <c r="AJ286">
        <v>0</v>
      </c>
      <c r="AW286">
        <v>0</v>
      </c>
      <c r="BJ286">
        <v>59090</v>
      </c>
      <c r="BP286">
        <v>14330</v>
      </c>
      <c r="BQ286">
        <v>7460</v>
      </c>
      <c r="BR286">
        <v>7460</v>
      </c>
      <c r="BS286">
        <v>7460</v>
      </c>
      <c r="BT286">
        <v>7460</v>
      </c>
      <c r="BU286">
        <v>7460</v>
      </c>
      <c r="BV286">
        <v>7460</v>
      </c>
      <c r="BW286">
        <v>7460</v>
      </c>
      <c r="BX286">
        <v>7460</v>
      </c>
      <c r="CJ286">
        <v>0</v>
      </c>
      <c r="CW286">
        <v>0</v>
      </c>
      <c r="DJ286">
        <v>0</v>
      </c>
      <c r="DW286">
        <v>0</v>
      </c>
      <c r="EJ286">
        <v>0</v>
      </c>
    </row>
    <row r="287" spans="1:140" hidden="1" x14ac:dyDescent="0.35">
      <c r="A287" t="s">
        <v>3317</v>
      </c>
      <c r="B287" t="s">
        <v>249</v>
      </c>
      <c r="D287" t="s">
        <v>6115</v>
      </c>
      <c r="E287" t="s">
        <v>4579</v>
      </c>
      <c r="F287" t="s">
        <v>4580</v>
      </c>
      <c r="G287" t="s">
        <v>4581</v>
      </c>
      <c r="H287" t="s">
        <v>6116</v>
      </c>
      <c r="I287" t="s">
        <v>5368</v>
      </c>
      <c r="J287" t="s">
        <v>3203</v>
      </c>
      <c r="K287" t="s">
        <v>3203</v>
      </c>
      <c r="L287" t="s">
        <v>990</v>
      </c>
      <c r="M287" t="s">
        <v>3087</v>
      </c>
      <c r="N287" t="s">
        <v>990</v>
      </c>
      <c r="O287" t="s">
        <v>3107</v>
      </c>
      <c r="P287">
        <v>0</v>
      </c>
      <c r="Q287" t="s">
        <v>3852</v>
      </c>
      <c r="R287">
        <v>0</v>
      </c>
      <c r="S287">
        <v>0</v>
      </c>
      <c r="T287" t="s">
        <v>5369</v>
      </c>
      <c r="U287" t="s">
        <v>6117</v>
      </c>
      <c r="V287" s="17">
        <v>45138</v>
      </c>
      <c r="W287" s="17">
        <v>45139</v>
      </c>
      <c r="X287" s="17">
        <v>45260</v>
      </c>
      <c r="Y287">
        <v>-902</v>
      </c>
      <c r="Z287">
        <v>1.5</v>
      </c>
      <c r="AA287">
        <v>4.0333333333333332</v>
      </c>
      <c r="AB287">
        <v>1568.8</v>
      </c>
      <c r="AC287" s="17"/>
      <c r="AE287">
        <v>0</v>
      </c>
      <c r="AF287">
        <v>46500</v>
      </c>
      <c r="AG287">
        <v>11528.9256</v>
      </c>
      <c r="AH287">
        <v>46500</v>
      </c>
      <c r="AI287">
        <v>0</v>
      </c>
      <c r="AJ287">
        <v>0</v>
      </c>
      <c r="AW287">
        <v>0</v>
      </c>
      <c r="BJ287">
        <v>46500</v>
      </c>
      <c r="BT287">
        <v>15500</v>
      </c>
      <c r="BU287">
        <v>15500</v>
      </c>
      <c r="BV287">
        <v>15500</v>
      </c>
      <c r="BW287">
        <v>0</v>
      </c>
      <c r="CJ287">
        <v>0</v>
      </c>
      <c r="CW287">
        <v>0</v>
      </c>
      <c r="DJ287">
        <v>0</v>
      </c>
      <c r="DW287">
        <v>0</v>
      </c>
      <c r="EJ287">
        <v>0</v>
      </c>
    </row>
    <row r="288" spans="1:140" hidden="1" x14ac:dyDescent="0.35">
      <c r="A288" t="s">
        <v>3317</v>
      </c>
      <c r="B288" t="s">
        <v>249</v>
      </c>
      <c r="D288" t="s">
        <v>6118</v>
      </c>
      <c r="E288" t="s">
        <v>3605</v>
      </c>
      <c r="F288" t="s">
        <v>3606</v>
      </c>
      <c r="G288" t="s">
        <v>3607</v>
      </c>
      <c r="H288" t="s">
        <v>6119</v>
      </c>
      <c r="I288" t="s">
        <v>5368</v>
      </c>
      <c r="J288" t="s">
        <v>3071</v>
      </c>
      <c r="K288" t="s">
        <v>3071</v>
      </c>
      <c r="L288" t="s">
        <v>897</v>
      </c>
      <c r="M288" t="s">
        <v>3180</v>
      </c>
      <c r="N288" t="s">
        <v>89</v>
      </c>
      <c r="O288" t="s">
        <v>3088</v>
      </c>
      <c r="P288">
        <v>0</v>
      </c>
      <c r="Q288" t="s">
        <v>3075</v>
      </c>
      <c r="R288">
        <v>0</v>
      </c>
      <c r="S288">
        <v>0</v>
      </c>
      <c r="T288">
        <v>0</v>
      </c>
      <c r="U288" t="s">
        <v>6120</v>
      </c>
      <c r="V288" s="17">
        <v>45170</v>
      </c>
      <c r="W288" s="17">
        <v>45145</v>
      </c>
      <c r="X288" s="17">
        <v>45329</v>
      </c>
      <c r="Y288">
        <v>-833</v>
      </c>
      <c r="Z288">
        <v>5</v>
      </c>
      <c r="AA288">
        <v>6.1333333333333337</v>
      </c>
      <c r="AB288">
        <v>1566.5</v>
      </c>
      <c r="AC288" s="17"/>
      <c r="AE288">
        <v>17800</v>
      </c>
      <c r="AF288">
        <v>89000</v>
      </c>
      <c r="AG288">
        <v>14510.8696</v>
      </c>
      <c r="AH288">
        <v>117000</v>
      </c>
      <c r="AI288">
        <v>28000</v>
      </c>
      <c r="AJ288">
        <v>0</v>
      </c>
      <c r="AW288">
        <v>0</v>
      </c>
      <c r="BJ288">
        <v>102000</v>
      </c>
      <c r="BR288">
        <v>14000</v>
      </c>
      <c r="BS288">
        <v>36000</v>
      </c>
      <c r="BT288">
        <v>22000</v>
      </c>
      <c r="BU288">
        <v>15000</v>
      </c>
      <c r="BV288">
        <v>15000</v>
      </c>
      <c r="BW288">
        <v>15000</v>
      </c>
      <c r="BX288">
        <v>15000</v>
      </c>
      <c r="CJ288">
        <v>0</v>
      </c>
      <c r="CW288">
        <v>0</v>
      </c>
      <c r="DJ288">
        <v>0</v>
      </c>
      <c r="DW288">
        <v>0</v>
      </c>
      <c r="EJ288">
        <v>0</v>
      </c>
    </row>
    <row r="289" spans="1:140" hidden="1" x14ac:dyDescent="0.35">
      <c r="A289" t="s">
        <v>3317</v>
      </c>
      <c r="B289" t="s">
        <v>249</v>
      </c>
      <c r="D289" t="s">
        <v>6121</v>
      </c>
      <c r="E289" t="s">
        <v>4506</v>
      </c>
      <c r="F289" t="s">
        <v>4507</v>
      </c>
      <c r="G289" t="s">
        <v>4508</v>
      </c>
      <c r="H289" t="s">
        <v>6122</v>
      </c>
      <c r="I289" t="s">
        <v>6123</v>
      </c>
      <c r="J289" t="s">
        <v>3203</v>
      </c>
      <c r="K289" t="s">
        <v>3203</v>
      </c>
      <c r="L289" t="s">
        <v>153</v>
      </c>
      <c r="M289" t="s">
        <v>3917</v>
      </c>
      <c r="N289" t="s">
        <v>153</v>
      </c>
      <c r="O289" t="s">
        <v>3918</v>
      </c>
      <c r="P289">
        <v>0</v>
      </c>
      <c r="Q289" t="s">
        <v>3852</v>
      </c>
      <c r="R289">
        <v>0</v>
      </c>
      <c r="S289">
        <v>0</v>
      </c>
      <c r="T289" t="s">
        <v>5485</v>
      </c>
      <c r="U289" t="s">
        <v>6124</v>
      </c>
      <c r="V289" s="17">
        <v>45140</v>
      </c>
      <c r="W289" s="17">
        <v>45160</v>
      </c>
      <c r="X289" s="17">
        <v>45191</v>
      </c>
      <c r="Y289">
        <v>-971</v>
      </c>
      <c r="Z289">
        <v>1</v>
      </c>
      <c r="AA289">
        <v>1.0333333333333334</v>
      </c>
      <c r="AB289">
        <v>1571.1</v>
      </c>
      <c r="AC289" s="17"/>
      <c r="AE289">
        <v>0</v>
      </c>
      <c r="AF289">
        <v>26778.23</v>
      </c>
      <c r="AG289">
        <v>25914.416099999999</v>
      </c>
      <c r="AH289">
        <v>26778.22</v>
      </c>
      <c r="AI289">
        <v>-0.01</v>
      </c>
      <c r="AJ289">
        <v>0</v>
      </c>
      <c r="AW289">
        <v>0</v>
      </c>
      <c r="BJ289">
        <v>26778.22</v>
      </c>
      <c r="BR289">
        <v>13389.11</v>
      </c>
      <c r="BS289">
        <v>13389.11</v>
      </c>
      <c r="BW289">
        <v>0</v>
      </c>
      <c r="CJ289">
        <v>0</v>
      </c>
      <c r="CW289">
        <v>0</v>
      </c>
      <c r="DJ289">
        <v>0</v>
      </c>
      <c r="DW289">
        <v>0</v>
      </c>
      <c r="EJ289">
        <v>0</v>
      </c>
    </row>
    <row r="290" spans="1:140" hidden="1" x14ac:dyDescent="0.35">
      <c r="A290" t="s">
        <v>3317</v>
      </c>
      <c r="B290" t="s">
        <v>249</v>
      </c>
      <c r="D290" t="s">
        <v>6125</v>
      </c>
      <c r="E290" t="s">
        <v>3578</v>
      </c>
      <c r="F290" t="s">
        <v>3579</v>
      </c>
      <c r="G290" t="s">
        <v>3580</v>
      </c>
      <c r="H290" t="s">
        <v>6126</v>
      </c>
      <c r="I290" t="s">
        <v>5368</v>
      </c>
      <c r="J290" t="s">
        <v>3108</v>
      </c>
      <c r="K290" t="s">
        <v>3108</v>
      </c>
      <c r="L290" t="s">
        <v>98</v>
      </c>
      <c r="M290" t="s">
        <v>3087</v>
      </c>
      <c r="N290" t="s">
        <v>98</v>
      </c>
      <c r="O290" t="s">
        <v>3107</v>
      </c>
      <c r="P290">
        <v>0</v>
      </c>
      <c r="Q290" t="s">
        <v>3075</v>
      </c>
      <c r="R290">
        <v>0</v>
      </c>
      <c r="S290">
        <v>0</v>
      </c>
      <c r="T290">
        <v>0</v>
      </c>
      <c r="U290" t="s">
        <v>6127</v>
      </c>
      <c r="V290" s="17">
        <v>45160</v>
      </c>
      <c r="W290" s="17">
        <v>45160</v>
      </c>
      <c r="X290" s="17">
        <v>45210</v>
      </c>
      <c r="Y290">
        <v>-952</v>
      </c>
      <c r="Z290">
        <v>1</v>
      </c>
      <c r="AA290">
        <v>1.6666666666666667</v>
      </c>
      <c r="AB290">
        <v>1570.4666666666667</v>
      </c>
      <c r="AC290" s="17"/>
      <c r="AE290">
        <v>0</v>
      </c>
      <c r="AF290">
        <v>6000</v>
      </c>
      <c r="AG290">
        <v>3600</v>
      </c>
      <c r="AH290">
        <v>6000</v>
      </c>
      <c r="AI290">
        <v>0</v>
      </c>
      <c r="AJ290">
        <v>0</v>
      </c>
      <c r="AW290">
        <v>0</v>
      </c>
      <c r="BJ290">
        <v>6000</v>
      </c>
      <c r="BT290">
        <v>6000</v>
      </c>
      <c r="BW290">
        <v>0</v>
      </c>
      <c r="CJ290">
        <v>0</v>
      </c>
      <c r="CW290">
        <v>0</v>
      </c>
      <c r="DJ290">
        <v>0</v>
      </c>
      <c r="DW290">
        <v>0</v>
      </c>
      <c r="EJ290">
        <v>0</v>
      </c>
    </row>
    <row r="291" spans="1:140" hidden="1" x14ac:dyDescent="0.35">
      <c r="A291" t="s">
        <v>3317</v>
      </c>
      <c r="B291" t="s">
        <v>249</v>
      </c>
      <c r="D291" t="s">
        <v>6128</v>
      </c>
      <c r="E291" t="s">
        <v>3566</v>
      </c>
      <c r="F291" t="s">
        <v>3567</v>
      </c>
      <c r="G291" t="s">
        <v>3568</v>
      </c>
      <c r="H291" t="s">
        <v>6129</v>
      </c>
      <c r="I291" t="s">
        <v>5368</v>
      </c>
      <c r="J291" t="s">
        <v>3422</v>
      </c>
      <c r="K291" t="s">
        <v>3422</v>
      </c>
      <c r="L291" t="s">
        <v>3168</v>
      </c>
      <c r="M291" t="s">
        <v>3139</v>
      </c>
      <c r="N291" t="s">
        <v>3168</v>
      </c>
      <c r="O291" t="s">
        <v>3155</v>
      </c>
      <c r="P291">
        <v>0</v>
      </c>
      <c r="Q291" t="s">
        <v>3075</v>
      </c>
      <c r="R291">
        <v>0</v>
      </c>
      <c r="S291">
        <v>0</v>
      </c>
      <c r="T291" t="s">
        <v>5485</v>
      </c>
      <c r="U291" t="s">
        <v>6130</v>
      </c>
      <c r="V291" s="17">
        <v>45141</v>
      </c>
      <c r="W291" s="17">
        <v>45166</v>
      </c>
      <c r="X291" s="17">
        <v>45268</v>
      </c>
      <c r="Y291">
        <v>-894</v>
      </c>
      <c r="Z291">
        <v>2</v>
      </c>
      <c r="AA291">
        <v>3.4</v>
      </c>
      <c r="AB291">
        <v>1568.5333333333333</v>
      </c>
      <c r="AC291" s="17"/>
      <c r="AE291">
        <v>8961.14</v>
      </c>
      <c r="AF291">
        <v>17922.28</v>
      </c>
      <c r="AG291">
        <v>5271.2587999999996</v>
      </c>
      <c r="AH291">
        <v>17922.28</v>
      </c>
      <c r="AI291">
        <v>0</v>
      </c>
      <c r="AJ291">
        <v>0</v>
      </c>
      <c r="AW291">
        <v>0</v>
      </c>
      <c r="BJ291">
        <v>17922.28</v>
      </c>
      <c r="BR291">
        <v>17922.28</v>
      </c>
      <c r="BW291">
        <v>0</v>
      </c>
      <c r="CJ291">
        <v>0</v>
      </c>
      <c r="CW291">
        <v>0</v>
      </c>
      <c r="DJ291">
        <v>0</v>
      </c>
      <c r="DW291">
        <v>0</v>
      </c>
      <c r="EJ291">
        <v>0</v>
      </c>
    </row>
    <row r="292" spans="1:140" hidden="1" x14ac:dyDescent="0.35">
      <c r="A292" t="s">
        <v>3317</v>
      </c>
      <c r="B292" t="s">
        <v>249</v>
      </c>
      <c r="D292" t="s">
        <v>6131</v>
      </c>
      <c r="E292" t="s">
        <v>4642</v>
      </c>
      <c r="F292" t="s">
        <v>4643</v>
      </c>
      <c r="G292" t="s">
        <v>6132</v>
      </c>
      <c r="H292" t="s">
        <v>6133</v>
      </c>
      <c r="I292" t="s">
        <v>5368</v>
      </c>
      <c r="J292" t="s">
        <v>3071</v>
      </c>
      <c r="K292" t="s">
        <v>3071</v>
      </c>
      <c r="L292" t="s">
        <v>4645</v>
      </c>
      <c r="M292" t="s">
        <v>4646</v>
      </c>
      <c r="N292" t="s">
        <v>89</v>
      </c>
      <c r="O292" t="s">
        <v>3088</v>
      </c>
      <c r="P292">
        <v>0</v>
      </c>
      <c r="Q292" t="s">
        <v>3075</v>
      </c>
      <c r="R292">
        <v>0</v>
      </c>
      <c r="S292">
        <v>0</v>
      </c>
      <c r="T292">
        <v>0</v>
      </c>
      <c r="U292" t="s">
        <v>6134</v>
      </c>
      <c r="V292" s="17">
        <v>45174</v>
      </c>
      <c r="W292" s="17">
        <v>45182</v>
      </c>
      <c r="X292" s="17">
        <v>45335</v>
      </c>
      <c r="Y292">
        <v>-827</v>
      </c>
      <c r="Z292">
        <v>6</v>
      </c>
      <c r="AA292">
        <v>5.0999999999999996</v>
      </c>
      <c r="AB292">
        <v>1566.3</v>
      </c>
      <c r="AC292" s="17"/>
      <c r="AE292">
        <v>14089.713299999999</v>
      </c>
      <c r="AF292">
        <v>84538.28</v>
      </c>
      <c r="AG292">
        <v>16576.133300000001</v>
      </c>
      <c r="AH292">
        <v>78174.240000000005</v>
      </c>
      <c r="AI292">
        <v>-6364.04</v>
      </c>
      <c r="AJ292">
        <v>0</v>
      </c>
      <c r="AW292">
        <v>0</v>
      </c>
      <c r="BJ292">
        <v>58823.040000000001</v>
      </c>
      <c r="BS292">
        <v>19350.990000000002</v>
      </c>
      <c r="BT292">
        <v>13194</v>
      </c>
      <c r="BU292">
        <v>13084.05</v>
      </c>
      <c r="BV292">
        <v>13194</v>
      </c>
      <c r="BW292">
        <v>19351.2</v>
      </c>
      <c r="BX292">
        <v>9675.6</v>
      </c>
      <c r="BY292">
        <v>9675.6</v>
      </c>
      <c r="CJ292">
        <v>0</v>
      </c>
      <c r="CW292">
        <v>0</v>
      </c>
      <c r="DJ292">
        <v>0</v>
      </c>
      <c r="DW292">
        <v>0</v>
      </c>
      <c r="EJ292">
        <v>0</v>
      </c>
    </row>
    <row r="293" spans="1:140" hidden="1" x14ac:dyDescent="0.35">
      <c r="A293" t="s">
        <v>3317</v>
      </c>
      <c r="B293" t="s">
        <v>249</v>
      </c>
      <c r="D293" t="s">
        <v>6135</v>
      </c>
      <c r="E293" t="s">
        <v>3542</v>
      </c>
      <c r="F293" t="s">
        <v>3543</v>
      </c>
      <c r="G293" t="s">
        <v>3544</v>
      </c>
      <c r="H293" t="s">
        <v>6136</v>
      </c>
      <c r="I293" t="s">
        <v>5368</v>
      </c>
      <c r="J293" t="s">
        <v>3108</v>
      </c>
      <c r="K293" t="s">
        <v>3108</v>
      </c>
      <c r="L293" t="s">
        <v>179</v>
      </c>
      <c r="M293" t="s">
        <v>3069</v>
      </c>
      <c r="N293" t="s">
        <v>179</v>
      </c>
      <c r="O293" t="s">
        <v>3107</v>
      </c>
      <c r="P293">
        <v>0</v>
      </c>
      <c r="Q293" t="s">
        <v>3075</v>
      </c>
      <c r="R293">
        <v>0</v>
      </c>
      <c r="S293">
        <v>0</v>
      </c>
      <c r="T293" t="s">
        <v>5485</v>
      </c>
      <c r="U293" t="s">
        <v>6137</v>
      </c>
      <c r="V293" s="17">
        <v>45198</v>
      </c>
      <c r="W293" s="17">
        <v>45209</v>
      </c>
      <c r="X293" s="17">
        <v>45230</v>
      </c>
      <c r="Y293">
        <v>-932</v>
      </c>
      <c r="Z293">
        <v>1</v>
      </c>
      <c r="AA293">
        <v>0.7</v>
      </c>
      <c r="AB293">
        <v>1569.8</v>
      </c>
      <c r="AC293" s="17"/>
      <c r="AE293">
        <v>0</v>
      </c>
      <c r="AF293">
        <v>10956</v>
      </c>
      <c r="AG293">
        <v>15651.428599999999</v>
      </c>
      <c r="AH293">
        <v>10956</v>
      </c>
      <c r="AI293">
        <v>0</v>
      </c>
      <c r="AJ293">
        <v>0</v>
      </c>
      <c r="AW293">
        <v>0</v>
      </c>
      <c r="BJ293">
        <v>10956</v>
      </c>
      <c r="BU293">
        <v>10956</v>
      </c>
      <c r="BW293">
        <v>0</v>
      </c>
      <c r="CJ293">
        <v>0</v>
      </c>
      <c r="CW293">
        <v>0</v>
      </c>
      <c r="DJ293">
        <v>0</v>
      </c>
      <c r="DW293">
        <v>0</v>
      </c>
      <c r="EJ293">
        <v>0</v>
      </c>
    </row>
    <row r="294" spans="1:140" hidden="1" x14ac:dyDescent="0.35">
      <c r="A294" t="s">
        <v>3317</v>
      </c>
      <c r="B294" t="s">
        <v>249</v>
      </c>
      <c r="D294" t="s">
        <v>6138</v>
      </c>
      <c r="E294" t="s">
        <v>4712</v>
      </c>
      <c r="F294" t="s">
        <v>4713</v>
      </c>
      <c r="G294" t="s">
        <v>4714</v>
      </c>
      <c r="H294" t="s">
        <v>6139</v>
      </c>
      <c r="I294" t="s">
        <v>5368</v>
      </c>
      <c r="J294" t="s">
        <v>3203</v>
      </c>
      <c r="K294" t="s">
        <v>3203</v>
      </c>
      <c r="L294" t="s">
        <v>4715</v>
      </c>
      <c r="M294" t="s">
        <v>4716</v>
      </c>
      <c r="N294" t="s">
        <v>89</v>
      </c>
      <c r="O294" t="s">
        <v>3088</v>
      </c>
      <c r="P294">
        <v>0</v>
      </c>
      <c r="Q294" t="s">
        <v>3075</v>
      </c>
      <c r="R294">
        <v>0</v>
      </c>
      <c r="S294">
        <v>0</v>
      </c>
      <c r="T294">
        <v>0</v>
      </c>
      <c r="U294" t="s">
        <v>6140</v>
      </c>
      <c r="V294" s="17">
        <v>45190</v>
      </c>
      <c r="W294" s="17">
        <v>45209</v>
      </c>
      <c r="X294" s="17">
        <v>45392</v>
      </c>
      <c r="Y294">
        <v>-770</v>
      </c>
      <c r="Z294">
        <v>1.5</v>
      </c>
      <c r="AA294">
        <v>6.1</v>
      </c>
      <c r="AB294">
        <v>1564.4</v>
      </c>
      <c r="AC294" s="17"/>
      <c r="AE294">
        <v>0</v>
      </c>
      <c r="AF294">
        <v>43991.74</v>
      </c>
      <c r="AG294">
        <v>7211.7606999999998</v>
      </c>
      <c r="AH294">
        <v>43991.741999999998</v>
      </c>
      <c r="AI294">
        <v>2E-3</v>
      </c>
      <c r="AJ294">
        <v>0</v>
      </c>
      <c r="AW294">
        <v>0</v>
      </c>
      <c r="BJ294">
        <v>4399.174</v>
      </c>
      <c r="BT294">
        <v>4399.174</v>
      </c>
      <c r="BW294">
        <v>39592.567999999999</v>
      </c>
      <c r="CA294">
        <v>30794.22</v>
      </c>
      <c r="CB294">
        <v>8798.348</v>
      </c>
      <c r="CJ294">
        <v>0</v>
      </c>
      <c r="CW294">
        <v>0</v>
      </c>
      <c r="DJ294">
        <v>0</v>
      </c>
      <c r="DW294">
        <v>0</v>
      </c>
      <c r="EJ294">
        <v>0</v>
      </c>
    </row>
    <row r="295" spans="1:140" hidden="1" x14ac:dyDescent="0.35">
      <c r="A295" t="s">
        <v>3317</v>
      </c>
      <c r="B295" t="s">
        <v>249</v>
      </c>
      <c r="D295" t="s">
        <v>6141</v>
      </c>
      <c r="E295" t="s">
        <v>3357</v>
      </c>
      <c r="F295" t="s">
        <v>6142</v>
      </c>
      <c r="G295" t="s">
        <v>3359</v>
      </c>
      <c r="H295" t="s">
        <v>6143</v>
      </c>
      <c r="I295" t="s">
        <v>5368</v>
      </c>
      <c r="J295" t="s">
        <v>3071</v>
      </c>
      <c r="K295" t="s">
        <v>3071</v>
      </c>
      <c r="L295" t="s">
        <v>235</v>
      </c>
      <c r="M295" t="s">
        <v>3139</v>
      </c>
      <c r="N295" t="s">
        <v>235</v>
      </c>
      <c r="O295" t="s">
        <v>3107</v>
      </c>
      <c r="P295">
        <v>0</v>
      </c>
      <c r="Q295" t="s">
        <v>3075</v>
      </c>
      <c r="R295">
        <v>0</v>
      </c>
      <c r="S295">
        <v>0</v>
      </c>
      <c r="T295">
        <v>0</v>
      </c>
      <c r="U295" t="s">
        <v>6144</v>
      </c>
      <c r="V295" s="17">
        <v>45183</v>
      </c>
      <c r="W295" s="17">
        <v>45217</v>
      </c>
      <c r="X295" s="17">
        <v>45260</v>
      </c>
      <c r="Y295">
        <v>-902</v>
      </c>
      <c r="Z295">
        <v>4</v>
      </c>
      <c r="AA295">
        <v>1.4333333333333333</v>
      </c>
      <c r="AB295">
        <v>1568.8</v>
      </c>
      <c r="AC295" s="17"/>
      <c r="AE295">
        <v>31250</v>
      </c>
      <c r="AF295">
        <v>125000</v>
      </c>
      <c r="AG295">
        <v>87209.302299999996</v>
      </c>
      <c r="AH295">
        <v>156250</v>
      </c>
      <c r="AI295">
        <v>31250</v>
      </c>
      <c r="AJ295">
        <v>0</v>
      </c>
      <c r="AW295">
        <v>0</v>
      </c>
      <c r="BJ295">
        <v>125000</v>
      </c>
      <c r="BS295">
        <v>0</v>
      </c>
      <c r="BT295">
        <v>62500</v>
      </c>
      <c r="BU295">
        <v>31250</v>
      </c>
      <c r="BV295">
        <v>31250</v>
      </c>
      <c r="BW295">
        <v>31250</v>
      </c>
      <c r="BX295">
        <v>31250</v>
      </c>
      <c r="CJ295">
        <v>0</v>
      </c>
      <c r="CW295">
        <v>0</v>
      </c>
      <c r="DJ295">
        <v>0</v>
      </c>
      <c r="DW295">
        <v>0</v>
      </c>
      <c r="EJ295">
        <v>0</v>
      </c>
    </row>
    <row r="296" spans="1:140" hidden="1" x14ac:dyDescent="0.35">
      <c r="A296" t="s">
        <v>3317</v>
      </c>
      <c r="B296" t="s">
        <v>249</v>
      </c>
      <c r="D296" t="s">
        <v>6145</v>
      </c>
      <c r="E296" t="s">
        <v>4694</v>
      </c>
      <c r="F296" t="s">
        <v>4695</v>
      </c>
      <c r="G296" t="s">
        <v>6146</v>
      </c>
      <c r="H296" t="s">
        <v>6147</v>
      </c>
      <c r="I296" t="s">
        <v>5368</v>
      </c>
      <c r="J296" t="s">
        <v>3071</v>
      </c>
      <c r="K296" t="s">
        <v>3071</v>
      </c>
      <c r="L296" t="s">
        <v>4697</v>
      </c>
      <c r="M296" t="s">
        <v>3087</v>
      </c>
      <c r="N296" t="s">
        <v>89</v>
      </c>
      <c r="O296" t="s">
        <v>3088</v>
      </c>
      <c r="P296">
        <v>0</v>
      </c>
      <c r="Q296" t="s">
        <v>3075</v>
      </c>
      <c r="R296">
        <v>0</v>
      </c>
      <c r="S296">
        <v>0</v>
      </c>
      <c r="T296">
        <v>0</v>
      </c>
      <c r="U296" t="s">
        <v>6148</v>
      </c>
      <c r="V296" s="17">
        <v>45196</v>
      </c>
      <c r="W296" s="17">
        <v>45219</v>
      </c>
      <c r="X296" s="17">
        <v>45445</v>
      </c>
      <c r="Y296">
        <v>-717</v>
      </c>
      <c r="Z296">
        <v>8</v>
      </c>
      <c r="AA296">
        <v>7.5333333333333332</v>
      </c>
      <c r="AB296">
        <v>1562.6333333333334</v>
      </c>
      <c r="AC296" s="17"/>
      <c r="AE296">
        <v>0</v>
      </c>
      <c r="AF296">
        <v>46554.96</v>
      </c>
      <c r="AG296">
        <v>6179.8618999999999</v>
      </c>
      <c r="AH296">
        <v>46554.96</v>
      </c>
      <c r="AI296">
        <v>0</v>
      </c>
      <c r="AJ296">
        <v>0</v>
      </c>
      <c r="AW296">
        <v>0</v>
      </c>
      <c r="BJ296">
        <v>22180.89</v>
      </c>
      <c r="BT296">
        <v>10542.15</v>
      </c>
      <c r="BU296">
        <v>5819.37</v>
      </c>
      <c r="BV296">
        <v>5819.37</v>
      </c>
      <c r="BW296">
        <v>24374.07</v>
      </c>
      <c r="BX296">
        <v>5819.37</v>
      </c>
      <c r="BY296">
        <v>5819.37</v>
      </c>
      <c r="BZ296">
        <v>5819.37</v>
      </c>
      <c r="CA296">
        <v>6915.96</v>
      </c>
      <c r="CJ296">
        <v>0</v>
      </c>
      <c r="CW296">
        <v>0</v>
      </c>
      <c r="DJ296">
        <v>0</v>
      </c>
      <c r="DW296">
        <v>0</v>
      </c>
      <c r="EJ296">
        <v>0</v>
      </c>
    </row>
    <row r="297" spans="1:140" hidden="1" x14ac:dyDescent="0.35">
      <c r="A297" t="s">
        <v>3317</v>
      </c>
      <c r="B297" t="s">
        <v>249</v>
      </c>
      <c r="C297">
        <v>-287</v>
      </c>
      <c r="D297" t="s">
        <v>6149</v>
      </c>
      <c r="E297" t="s">
        <v>3611</v>
      </c>
      <c r="F297" t="s">
        <v>3612</v>
      </c>
      <c r="G297" t="s">
        <v>3613</v>
      </c>
      <c r="H297" t="s">
        <v>6150</v>
      </c>
      <c r="I297" t="s">
        <v>5368</v>
      </c>
      <c r="J297" t="s">
        <v>3071</v>
      </c>
      <c r="K297" t="s">
        <v>3071</v>
      </c>
      <c r="L297" t="s">
        <v>897</v>
      </c>
      <c r="M297" t="s">
        <v>3180</v>
      </c>
      <c r="N297" t="s">
        <v>897</v>
      </c>
      <c r="O297" t="s">
        <v>3107</v>
      </c>
      <c r="P297">
        <v>0</v>
      </c>
      <c r="Q297" t="s">
        <v>3075</v>
      </c>
      <c r="R297" t="s">
        <v>2513</v>
      </c>
      <c r="S297">
        <v>0</v>
      </c>
      <c r="T297">
        <v>0</v>
      </c>
      <c r="U297" t="s">
        <v>6151</v>
      </c>
      <c r="V297" s="17">
        <v>45199</v>
      </c>
      <c r="W297" s="17">
        <v>45225</v>
      </c>
      <c r="X297" s="17">
        <v>45408</v>
      </c>
      <c r="Y297">
        <v>-754</v>
      </c>
      <c r="Z297">
        <v>6</v>
      </c>
      <c r="AA297">
        <v>6.1</v>
      </c>
      <c r="AB297">
        <v>1563.8666666666666</v>
      </c>
      <c r="AC297" s="17"/>
      <c r="AE297">
        <v>36333.333299999998</v>
      </c>
      <c r="AF297">
        <v>218000</v>
      </c>
      <c r="AG297">
        <v>35737.704899999997</v>
      </c>
      <c r="AH297">
        <v>218000</v>
      </c>
      <c r="AI297">
        <v>0</v>
      </c>
      <c r="AJ297">
        <v>0</v>
      </c>
      <c r="AW297">
        <v>0</v>
      </c>
      <c r="BJ297">
        <v>96888.888900000005</v>
      </c>
      <c r="BT297">
        <v>24222.2222</v>
      </c>
      <c r="BU297">
        <v>36333.333299999998</v>
      </c>
      <c r="BV297">
        <v>36333.333299999998</v>
      </c>
      <c r="BW297">
        <v>121111.11109999999</v>
      </c>
      <c r="BX297">
        <v>36333.333299999998</v>
      </c>
      <c r="BY297">
        <v>36333.333299999998</v>
      </c>
      <c r="BZ297">
        <v>36333.333299999998</v>
      </c>
      <c r="CA297">
        <v>12111.1111</v>
      </c>
      <c r="CJ297">
        <v>0</v>
      </c>
      <c r="CW297">
        <v>0</v>
      </c>
      <c r="DJ297">
        <v>0</v>
      </c>
      <c r="DW297">
        <v>0</v>
      </c>
      <c r="EJ297">
        <v>0</v>
      </c>
    </row>
    <row r="298" spans="1:140" hidden="1" x14ac:dyDescent="0.35">
      <c r="A298" t="s">
        <v>3317</v>
      </c>
      <c r="B298" t="s">
        <v>249</v>
      </c>
      <c r="C298">
        <v>-201</v>
      </c>
      <c r="D298" t="s">
        <v>6152</v>
      </c>
      <c r="E298" t="s">
        <v>4511</v>
      </c>
      <c r="F298" t="s">
        <v>4512</v>
      </c>
      <c r="G298" t="s">
        <v>4513</v>
      </c>
      <c r="H298" t="s">
        <v>6153</v>
      </c>
      <c r="I298" t="s">
        <v>6123</v>
      </c>
      <c r="J298" t="s">
        <v>3203</v>
      </c>
      <c r="K298" t="s">
        <v>3203</v>
      </c>
      <c r="L298" t="s">
        <v>153</v>
      </c>
      <c r="M298" t="s">
        <v>3917</v>
      </c>
      <c r="N298" t="s">
        <v>153</v>
      </c>
      <c r="O298" t="s">
        <v>3918</v>
      </c>
      <c r="P298">
        <v>0</v>
      </c>
      <c r="Q298" t="s">
        <v>3852</v>
      </c>
      <c r="R298">
        <v>0</v>
      </c>
      <c r="S298">
        <v>0</v>
      </c>
      <c r="T298">
        <v>0</v>
      </c>
      <c r="U298" t="s">
        <v>6154</v>
      </c>
      <c r="V298" s="17">
        <v>45225</v>
      </c>
      <c r="W298" s="17">
        <v>45230</v>
      </c>
      <c r="X298" s="17">
        <v>45256</v>
      </c>
      <c r="Y298">
        <v>-906</v>
      </c>
      <c r="Z298">
        <v>1</v>
      </c>
      <c r="AA298">
        <v>0.8666666666666667</v>
      </c>
      <c r="AB298">
        <v>1568.9333333333334</v>
      </c>
      <c r="AC298" s="17"/>
      <c r="AE298">
        <v>28609.88</v>
      </c>
      <c r="AF298">
        <v>28609.88</v>
      </c>
      <c r="AG298">
        <v>33011.4</v>
      </c>
      <c r="AH298">
        <v>28609.88</v>
      </c>
      <c r="AI298">
        <v>0</v>
      </c>
      <c r="AJ298">
        <v>0</v>
      </c>
      <c r="AW298">
        <v>0</v>
      </c>
      <c r="BJ298">
        <v>28609.88</v>
      </c>
      <c r="BU298">
        <v>28609.88</v>
      </c>
      <c r="BW298">
        <v>0</v>
      </c>
      <c r="CJ298">
        <v>0</v>
      </c>
      <c r="CW298">
        <v>0</v>
      </c>
      <c r="DJ298">
        <v>0</v>
      </c>
      <c r="DW298">
        <v>0</v>
      </c>
      <c r="EJ298">
        <v>0</v>
      </c>
    </row>
    <row r="299" spans="1:140" hidden="1" x14ac:dyDescent="0.35">
      <c r="A299" t="s">
        <v>3317</v>
      </c>
      <c r="B299" t="s">
        <v>249</v>
      </c>
      <c r="C299">
        <v>-260</v>
      </c>
      <c r="D299" t="s">
        <v>6155</v>
      </c>
      <c r="E299" t="s">
        <v>4516</v>
      </c>
      <c r="F299" t="s">
        <v>4517</v>
      </c>
      <c r="G299" t="s">
        <v>4518</v>
      </c>
      <c r="H299" t="s">
        <v>6156</v>
      </c>
      <c r="I299" t="s">
        <v>5368</v>
      </c>
      <c r="J299" t="s">
        <v>3203</v>
      </c>
      <c r="K299" t="s">
        <v>3203</v>
      </c>
      <c r="L299" t="s">
        <v>153</v>
      </c>
      <c r="M299" t="s">
        <v>3917</v>
      </c>
      <c r="N299" t="s">
        <v>153</v>
      </c>
      <c r="O299" t="s">
        <v>3918</v>
      </c>
      <c r="P299">
        <v>0</v>
      </c>
      <c r="Q299" t="s">
        <v>3852</v>
      </c>
      <c r="R299">
        <v>0</v>
      </c>
      <c r="S299">
        <v>0</v>
      </c>
      <c r="T299" t="s">
        <v>5485</v>
      </c>
      <c r="U299" t="s">
        <v>6157</v>
      </c>
      <c r="V299" s="17">
        <v>45230</v>
      </c>
      <c r="W299" s="17">
        <v>45230</v>
      </c>
      <c r="X299" s="17">
        <v>45260</v>
      </c>
      <c r="Y299">
        <v>-902</v>
      </c>
      <c r="Z299">
        <v>1</v>
      </c>
      <c r="AA299">
        <v>1</v>
      </c>
      <c r="AB299">
        <v>1568.8</v>
      </c>
      <c r="AC299" s="17"/>
      <c r="AE299">
        <v>0</v>
      </c>
      <c r="AF299">
        <v>32243.97</v>
      </c>
      <c r="AG299">
        <v>32243.97</v>
      </c>
      <c r="AH299">
        <v>32243.97</v>
      </c>
      <c r="AI299">
        <v>0</v>
      </c>
      <c r="AJ299">
        <v>0</v>
      </c>
      <c r="AW299">
        <v>0</v>
      </c>
      <c r="BJ299">
        <v>32243.97</v>
      </c>
      <c r="BU299">
        <v>6448.79</v>
      </c>
      <c r="BV299">
        <v>25795.18</v>
      </c>
      <c r="BW299">
        <v>0</v>
      </c>
      <c r="CJ299">
        <v>0</v>
      </c>
      <c r="CW299">
        <v>0</v>
      </c>
      <c r="DJ299">
        <v>0</v>
      </c>
      <c r="DW299">
        <v>0</v>
      </c>
      <c r="EJ299">
        <v>0</v>
      </c>
    </row>
    <row r="300" spans="1:140" hidden="1" x14ac:dyDescent="0.35">
      <c r="A300" t="s">
        <v>3317</v>
      </c>
      <c r="B300" t="s">
        <v>249</v>
      </c>
      <c r="C300">
        <v>-127</v>
      </c>
      <c r="D300" t="s">
        <v>6158</v>
      </c>
      <c r="E300" t="s">
        <v>4589</v>
      </c>
      <c r="F300" t="s">
        <v>4590</v>
      </c>
      <c r="G300" t="s">
        <v>4591</v>
      </c>
      <c r="H300" t="s">
        <v>6159</v>
      </c>
      <c r="I300" t="s">
        <v>5368</v>
      </c>
      <c r="J300" t="s">
        <v>3203</v>
      </c>
      <c r="K300" t="s">
        <v>3203</v>
      </c>
      <c r="L300" t="s">
        <v>4592</v>
      </c>
      <c r="M300" t="s">
        <v>3087</v>
      </c>
      <c r="N300" t="s">
        <v>4592</v>
      </c>
      <c r="O300" t="s">
        <v>3107</v>
      </c>
      <c r="P300">
        <v>0</v>
      </c>
      <c r="Q300" t="s">
        <v>3852</v>
      </c>
      <c r="R300">
        <v>0</v>
      </c>
      <c r="S300">
        <v>0</v>
      </c>
      <c r="T300">
        <v>0</v>
      </c>
      <c r="U300" t="s">
        <v>6160</v>
      </c>
      <c r="V300" s="17">
        <v>45226</v>
      </c>
      <c r="W300" s="17">
        <v>45230</v>
      </c>
      <c r="X300" s="17">
        <v>45270</v>
      </c>
      <c r="Y300">
        <v>-892</v>
      </c>
      <c r="Z300">
        <v>1</v>
      </c>
      <c r="AA300">
        <v>1.3333333333333333</v>
      </c>
      <c r="AB300">
        <v>1568.4666666666667</v>
      </c>
      <c r="AC300" s="17"/>
      <c r="AE300">
        <v>0</v>
      </c>
      <c r="AF300">
        <v>24813.17</v>
      </c>
      <c r="AG300">
        <v>18609.877499999999</v>
      </c>
      <c r="AH300">
        <v>24813.73</v>
      </c>
      <c r="AI300">
        <v>0.56000000000000005</v>
      </c>
      <c r="AJ300">
        <v>0</v>
      </c>
      <c r="AW300">
        <v>0</v>
      </c>
      <c r="BJ300">
        <v>24813.73</v>
      </c>
      <c r="BU300">
        <v>4962.75</v>
      </c>
      <c r="BV300">
        <v>19850.98</v>
      </c>
      <c r="BW300">
        <v>0</v>
      </c>
      <c r="CJ300">
        <v>0</v>
      </c>
      <c r="CW300">
        <v>0</v>
      </c>
      <c r="DJ300">
        <v>0</v>
      </c>
      <c r="DW300">
        <v>0</v>
      </c>
      <c r="EJ300">
        <v>0</v>
      </c>
    </row>
    <row r="301" spans="1:140" hidden="1" x14ac:dyDescent="0.35">
      <c r="A301" t="s">
        <v>3317</v>
      </c>
      <c r="B301" t="s">
        <v>249</v>
      </c>
      <c r="D301" t="s">
        <v>6161</v>
      </c>
      <c r="E301" t="s">
        <v>4561</v>
      </c>
      <c r="F301" t="s">
        <v>4562</v>
      </c>
      <c r="G301" t="s">
        <v>4563</v>
      </c>
      <c r="H301" t="s">
        <v>6162</v>
      </c>
      <c r="I301" t="s">
        <v>5368</v>
      </c>
      <c r="J301" t="s">
        <v>3203</v>
      </c>
      <c r="K301" t="s">
        <v>3203</v>
      </c>
      <c r="L301" t="s">
        <v>4478</v>
      </c>
      <c r="M301" t="s">
        <v>3139</v>
      </c>
      <c r="N301" t="s">
        <v>89</v>
      </c>
      <c r="O301" t="s">
        <v>3088</v>
      </c>
      <c r="P301">
        <v>0</v>
      </c>
      <c r="Q301" t="s">
        <v>3075</v>
      </c>
      <c r="R301" t="s">
        <v>4394</v>
      </c>
      <c r="S301">
        <v>0</v>
      </c>
      <c r="T301">
        <v>0</v>
      </c>
      <c r="U301" t="s">
        <v>6163</v>
      </c>
      <c r="V301" s="17">
        <v>45230</v>
      </c>
      <c r="W301" s="17">
        <v>45231</v>
      </c>
      <c r="X301" s="17">
        <v>45316</v>
      </c>
      <c r="Y301">
        <v>-846</v>
      </c>
      <c r="Z301">
        <v>1</v>
      </c>
      <c r="AA301">
        <v>2.8333333333333335</v>
      </c>
      <c r="AB301">
        <v>1566.9333333333334</v>
      </c>
      <c r="AC301" s="17"/>
      <c r="AE301">
        <v>0</v>
      </c>
      <c r="AF301">
        <v>65725.19</v>
      </c>
      <c r="AG301">
        <v>23197.125899999999</v>
      </c>
      <c r="AH301">
        <v>65725.19</v>
      </c>
      <c r="AI301">
        <v>0</v>
      </c>
      <c r="AJ301">
        <v>0</v>
      </c>
      <c r="AW301">
        <v>0</v>
      </c>
      <c r="BJ301">
        <v>65725.19</v>
      </c>
      <c r="BU301">
        <v>65725.19</v>
      </c>
      <c r="BW301">
        <v>0</v>
      </c>
      <c r="CJ301">
        <v>0</v>
      </c>
      <c r="CW301">
        <v>0</v>
      </c>
      <c r="DJ301">
        <v>0</v>
      </c>
      <c r="DW301">
        <v>0</v>
      </c>
      <c r="EJ301">
        <v>0</v>
      </c>
    </row>
    <row r="302" spans="1:140" hidden="1" x14ac:dyDescent="0.35">
      <c r="A302" t="s">
        <v>3317</v>
      </c>
      <c r="B302" t="s">
        <v>249</v>
      </c>
      <c r="D302" t="s">
        <v>6164</v>
      </c>
      <c r="E302" t="s">
        <v>4521</v>
      </c>
      <c r="F302" t="s">
        <v>4522</v>
      </c>
      <c r="G302" t="s">
        <v>4523</v>
      </c>
      <c r="H302" t="s">
        <v>6165</v>
      </c>
      <c r="I302" t="s">
        <v>6123</v>
      </c>
      <c r="J302" t="s">
        <v>3203</v>
      </c>
      <c r="K302" t="s">
        <v>3203</v>
      </c>
      <c r="L302" t="s">
        <v>153</v>
      </c>
      <c r="M302" t="s">
        <v>3917</v>
      </c>
      <c r="N302" t="s">
        <v>153</v>
      </c>
      <c r="O302" t="s">
        <v>3918</v>
      </c>
      <c r="P302">
        <v>0</v>
      </c>
      <c r="Q302" t="s">
        <v>3852</v>
      </c>
      <c r="R302">
        <v>0</v>
      </c>
      <c r="S302">
        <v>0</v>
      </c>
      <c r="T302">
        <v>0</v>
      </c>
      <c r="U302" t="s">
        <v>6166</v>
      </c>
      <c r="V302" s="17">
        <v>45247</v>
      </c>
      <c r="W302" s="17">
        <v>45247</v>
      </c>
      <c r="X302" s="17">
        <v>45291</v>
      </c>
      <c r="Y302">
        <v>-871</v>
      </c>
      <c r="Z302">
        <v>1</v>
      </c>
      <c r="AA302">
        <v>1.4666666666666666</v>
      </c>
      <c r="AB302">
        <v>1567.7666666666667</v>
      </c>
      <c r="AC302" s="17"/>
      <c r="AE302">
        <v>0</v>
      </c>
      <c r="AF302">
        <v>37596.15</v>
      </c>
      <c r="AG302">
        <v>25633.738600000001</v>
      </c>
      <c r="AH302">
        <v>37596.15</v>
      </c>
      <c r="AI302">
        <v>0</v>
      </c>
      <c r="AJ302">
        <v>0</v>
      </c>
      <c r="AW302">
        <v>0</v>
      </c>
      <c r="BJ302">
        <v>0</v>
      </c>
      <c r="BW302">
        <v>37596.15</v>
      </c>
      <c r="BX302">
        <v>37596.15</v>
      </c>
      <c r="CJ302">
        <v>0</v>
      </c>
      <c r="CW302">
        <v>0</v>
      </c>
      <c r="DJ302">
        <v>0</v>
      </c>
      <c r="DW302">
        <v>0</v>
      </c>
      <c r="EJ302">
        <v>0</v>
      </c>
    </row>
    <row r="303" spans="1:140" hidden="1" x14ac:dyDescent="0.35">
      <c r="A303" t="s">
        <v>3317</v>
      </c>
      <c r="B303" t="s">
        <v>249</v>
      </c>
      <c r="C303">
        <v>-126</v>
      </c>
      <c r="D303" t="s">
        <v>6167</v>
      </c>
      <c r="E303" t="s">
        <v>4526</v>
      </c>
      <c r="F303" t="s">
        <v>4527</v>
      </c>
      <c r="G303" t="s">
        <v>4528</v>
      </c>
      <c r="H303" t="s">
        <v>6168</v>
      </c>
      <c r="I303" t="s">
        <v>6123</v>
      </c>
      <c r="J303" t="s">
        <v>3203</v>
      </c>
      <c r="K303" t="s">
        <v>3203</v>
      </c>
      <c r="L303" t="s">
        <v>153</v>
      </c>
      <c r="M303" t="s">
        <v>3917</v>
      </c>
      <c r="N303" t="s">
        <v>153</v>
      </c>
      <c r="O303" t="s">
        <v>3918</v>
      </c>
      <c r="P303">
        <v>0</v>
      </c>
      <c r="Q303" t="s">
        <v>3852</v>
      </c>
      <c r="R303">
        <v>0</v>
      </c>
      <c r="S303">
        <v>0</v>
      </c>
      <c r="T303">
        <v>0</v>
      </c>
      <c r="U303" t="s">
        <v>6169</v>
      </c>
      <c r="V303" s="17">
        <v>45247</v>
      </c>
      <c r="W303" s="17">
        <v>45247</v>
      </c>
      <c r="X303" s="17">
        <v>45291</v>
      </c>
      <c r="Y303">
        <v>-871</v>
      </c>
      <c r="Z303">
        <v>1</v>
      </c>
      <c r="AA303">
        <v>1.4666666666666666</v>
      </c>
      <c r="AB303">
        <v>1567.7666666666667</v>
      </c>
      <c r="AC303" s="17"/>
      <c r="AE303">
        <v>0</v>
      </c>
      <c r="AF303">
        <v>43617.02</v>
      </c>
      <c r="AG303">
        <v>29738.8773</v>
      </c>
      <c r="AH303">
        <v>43617.02</v>
      </c>
      <c r="AI303">
        <v>0</v>
      </c>
      <c r="AJ303">
        <v>0</v>
      </c>
      <c r="AW303">
        <v>0</v>
      </c>
      <c r="BJ303">
        <v>0</v>
      </c>
      <c r="BW303">
        <v>43617.02</v>
      </c>
      <c r="BX303">
        <v>43617.02</v>
      </c>
      <c r="CJ303">
        <v>0</v>
      </c>
      <c r="CW303">
        <v>0</v>
      </c>
      <c r="DJ303">
        <v>0</v>
      </c>
      <c r="DW303">
        <v>0</v>
      </c>
      <c r="EJ303">
        <v>0</v>
      </c>
    </row>
    <row r="304" spans="1:140" hidden="1" x14ac:dyDescent="0.35">
      <c r="A304" t="s">
        <v>3317</v>
      </c>
      <c r="B304" t="s">
        <v>249</v>
      </c>
      <c r="D304" t="s">
        <v>6170</v>
      </c>
      <c r="E304" t="s">
        <v>3314</v>
      </c>
      <c r="F304" t="s">
        <v>3315</v>
      </c>
      <c r="G304" t="s">
        <v>3316</v>
      </c>
      <c r="H304" t="s">
        <v>6171</v>
      </c>
      <c r="I304" t="s">
        <v>5368</v>
      </c>
      <c r="J304" t="s">
        <v>3071</v>
      </c>
      <c r="K304" t="s">
        <v>3071</v>
      </c>
      <c r="L304" t="s">
        <v>235</v>
      </c>
      <c r="M304" t="s">
        <v>3139</v>
      </c>
      <c r="N304" t="s">
        <v>89</v>
      </c>
      <c r="O304" t="s">
        <v>3088</v>
      </c>
      <c r="P304">
        <v>0</v>
      </c>
      <c r="Q304" t="s">
        <v>3075</v>
      </c>
      <c r="R304">
        <v>0</v>
      </c>
      <c r="S304">
        <v>0</v>
      </c>
      <c r="T304">
        <v>0</v>
      </c>
      <c r="U304" t="s">
        <v>6172</v>
      </c>
      <c r="V304" s="17">
        <v>45245</v>
      </c>
      <c r="W304" s="17">
        <v>45247</v>
      </c>
      <c r="X304" s="17">
        <v>45548</v>
      </c>
      <c r="Y304">
        <v>-614</v>
      </c>
      <c r="Z304">
        <v>7</v>
      </c>
      <c r="AA304">
        <v>10.033333333333333</v>
      </c>
      <c r="AB304">
        <v>1559.2</v>
      </c>
      <c r="AC304" s="17"/>
      <c r="AE304">
        <v>36219.949999999997</v>
      </c>
      <c r="AF304">
        <v>253539.65</v>
      </c>
      <c r="AG304">
        <v>25269.732599999999</v>
      </c>
      <c r="AH304">
        <v>307067.25</v>
      </c>
      <c r="AI304">
        <v>53527.6</v>
      </c>
      <c r="AJ304">
        <v>0</v>
      </c>
      <c r="AW304">
        <v>0</v>
      </c>
      <c r="BJ304">
        <v>117081.25</v>
      </c>
      <c r="BT304">
        <v>17000</v>
      </c>
      <c r="BU304">
        <v>44697.75</v>
      </c>
      <c r="BV304">
        <v>55383.5</v>
      </c>
      <c r="BW304">
        <v>189986</v>
      </c>
      <c r="BX304">
        <v>58774</v>
      </c>
      <c r="BY304">
        <v>58774</v>
      </c>
      <c r="BZ304">
        <v>36219</v>
      </c>
      <c r="CA304">
        <v>36219</v>
      </c>
      <c r="CJ304">
        <v>0</v>
      </c>
      <c r="CW304">
        <v>0</v>
      </c>
      <c r="DJ304">
        <v>0</v>
      </c>
      <c r="DW304">
        <v>0</v>
      </c>
      <c r="EJ304">
        <v>0</v>
      </c>
    </row>
    <row r="305" spans="1:140" hidden="1" x14ac:dyDescent="0.35">
      <c r="A305" t="s">
        <v>3317</v>
      </c>
      <c r="B305" t="s">
        <v>249</v>
      </c>
      <c r="D305" t="s">
        <v>6173</v>
      </c>
      <c r="E305" t="s">
        <v>4649</v>
      </c>
      <c r="F305" t="s">
        <v>4650</v>
      </c>
      <c r="G305" t="s">
        <v>4651</v>
      </c>
      <c r="H305" t="s">
        <v>6174</v>
      </c>
      <c r="I305" t="s">
        <v>5368</v>
      </c>
      <c r="J305" t="s">
        <v>3203</v>
      </c>
      <c r="K305" t="s">
        <v>3203</v>
      </c>
      <c r="L305" t="s">
        <v>252</v>
      </c>
      <c r="M305" t="s">
        <v>3087</v>
      </c>
      <c r="N305" t="s">
        <v>132</v>
      </c>
      <c r="O305" t="s">
        <v>3070</v>
      </c>
      <c r="P305">
        <v>0</v>
      </c>
      <c r="Q305" t="s">
        <v>3075</v>
      </c>
      <c r="R305">
        <v>0</v>
      </c>
      <c r="S305">
        <v>0</v>
      </c>
      <c r="T305">
        <v>0</v>
      </c>
      <c r="U305" t="s">
        <v>6175</v>
      </c>
      <c r="V305" s="17">
        <v>45252</v>
      </c>
      <c r="W305" s="17">
        <v>45252</v>
      </c>
      <c r="X305" s="17">
        <v>45282</v>
      </c>
      <c r="Y305">
        <v>-880</v>
      </c>
      <c r="Z305">
        <v>1</v>
      </c>
      <c r="AA305">
        <v>1</v>
      </c>
      <c r="AB305">
        <v>1568.0666666666666</v>
      </c>
      <c r="AC305" s="17"/>
      <c r="AE305">
        <v>27968</v>
      </c>
      <c r="AF305">
        <v>27968</v>
      </c>
      <c r="AG305">
        <v>27968</v>
      </c>
      <c r="AH305">
        <v>27968</v>
      </c>
      <c r="AI305">
        <v>0</v>
      </c>
      <c r="AJ305">
        <v>0</v>
      </c>
      <c r="AW305">
        <v>0</v>
      </c>
      <c r="BJ305">
        <v>23772.799999999999</v>
      </c>
      <c r="BV305">
        <v>23772.799999999999</v>
      </c>
      <c r="BW305">
        <v>4195.2</v>
      </c>
      <c r="BX305">
        <v>4195.2</v>
      </c>
      <c r="CJ305">
        <v>0</v>
      </c>
      <c r="CW305">
        <v>0</v>
      </c>
      <c r="DJ305">
        <v>0</v>
      </c>
      <c r="DW305">
        <v>0</v>
      </c>
      <c r="EJ305">
        <v>0</v>
      </c>
    </row>
    <row r="306" spans="1:140" hidden="1" x14ac:dyDescent="0.35">
      <c r="A306" t="s">
        <v>3317</v>
      </c>
      <c r="B306" t="s">
        <v>249</v>
      </c>
      <c r="C306">
        <v>-61</v>
      </c>
      <c r="D306" t="s">
        <v>6176</v>
      </c>
      <c r="E306" t="s">
        <v>3344</v>
      </c>
      <c r="F306" t="s">
        <v>3345</v>
      </c>
      <c r="G306" t="s">
        <v>3346</v>
      </c>
      <c r="H306" t="s">
        <v>6177</v>
      </c>
      <c r="I306" t="s">
        <v>5368</v>
      </c>
      <c r="J306" t="s">
        <v>3079</v>
      </c>
      <c r="K306" t="s">
        <v>3079</v>
      </c>
      <c r="L306" t="s">
        <v>990</v>
      </c>
      <c r="M306" t="s">
        <v>3087</v>
      </c>
      <c r="N306" t="s">
        <v>3347</v>
      </c>
      <c r="O306" t="s">
        <v>3153</v>
      </c>
      <c r="P306">
        <v>0</v>
      </c>
      <c r="Q306" t="s">
        <v>3075</v>
      </c>
      <c r="R306">
        <v>0</v>
      </c>
      <c r="S306">
        <v>0</v>
      </c>
      <c r="T306" t="s">
        <v>5369</v>
      </c>
      <c r="U306" t="s">
        <v>6178</v>
      </c>
      <c r="V306" s="17">
        <v>45204</v>
      </c>
      <c r="W306" s="17">
        <v>45261</v>
      </c>
      <c r="X306" s="17">
        <v>45322</v>
      </c>
      <c r="Y306">
        <v>-840</v>
      </c>
      <c r="Z306">
        <v>2</v>
      </c>
      <c r="AA306">
        <v>2.0333333333333332</v>
      </c>
      <c r="AB306">
        <v>1566.7333333333333</v>
      </c>
      <c r="AC306" s="17"/>
      <c r="AE306">
        <v>0</v>
      </c>
      <c r="AF306">
        <v>53233.83</v>
      </c>
      <c r="AG306">
        <v>26180.572100000001</v>
      </c>
      <c r="AH306">
        <v>52233.83</v>
      </c>
      <c r="AI306">
        <v>-1000</v>
      </c>
      <c r="AJ306">
        <v>0</v>
      </c>
      <c r="AW306">
        <v>0</v>
      </c>
      <c r="BJ306">
        <v>52233.83</v>
      </c>
      <c r="BT306">
        <v>17411.276699999999</v>
      </c>
      <c r="BU306">
        <v>26116.915000000001</v>
      </c>
      <c r="BV306">
        <v>8705.6383000000005</v>
      </c>
      <c r="BW306">
        <v>0</v>
      </c>
      <c r="CJ306">
        <v>0</v>
      </c>
      <c r="CW306">
        <v>0</v>
      </c>
      <c r="DJ306">
        <v>0</v>
      </c>
      <c r="DW306">
        <v>0</v>
      </c>
      <c r="EJ306">
        <v>0</v>
      </c>
    </row>
    <row r="307" spans="1:140" hidden="1" x14ac:dyDescent="0.35">
      <c r="A307" t="s">
        <v>3317</v>
      </c>
      <c r="B307" t="s">
        <v>249</v>
      </c>
      <c r="D307" t="s">
        <v>6179</v>
      </c>
      <c r="E307" t="s">
        <v>3363</v>
      </c>
      <c r="F307" t="s">
        <v>3364</v>
      </c>
      <c r="G307" t="s">
        <v>3365</v>
      </c>
      <c r="H307" t="s">
        <v>6180</v>
      </c>
      <c r="I307" t="s">
        <v>6123</v>
      </c>
      <c r="J307" t="s">
        <v>3071</v>
      </c>
      <c r="K307" t="s">
        <v>3071</v>
      </c>
      <c r="L307" t="s">
        <v>235</v>
      </c>
      <c r="M307" t="s">
        <v>3139</v>
      </c>
      <c r="N307" t="s">
        <v>227</v>
      </c>
      <c r="O307" t="s">
        <v>3366</v>
      </c>
      <c r="P307">
        <v>0</v>
      </c>
      <c r="Q307" t="s">
        <v>3075</v>
      </c>
      <c r="R307" t="s">
        <v>1580</v>
      </c>
      <c r="S307">
        <v>0</v>
      </c>
      <c r="T307">
        <v>0</v>
      </c>
      <c r="U307" t="s">
        <v>6181</v>
      </c>
      <c r="V307" s="17">
        <v>45266</v>
      </c>
      <c r="W307" s="17">
        <v>45261</v>
      </c>
      <c r="X307" s="17">
        <v>45442</v>
      </c>
      <c r="Y307">
        <v>-720</v>
      </c>
      <c r="Z307">
        <v>4</v>
      </c>
      <c r="AA307">
        <v>6.0333333333333332</v>
      </c>
      <c r="AB307">
        <v>1562.7333333333333</v>
      </c>
      <c r="AC307" s="17"/>
      <c r="AE307">
        <v>27926.62</v>
      </c>
      <c r="AF307">
        <v>273977.95</v>
      </c>
      <c r="AG307">
        <v>45410.709900000002</v>
      </c>
      <c r="AH307">
        <v>744485.49</v>
      </c>
      <c r="AI307">
        <v>470507.54</v>
      </c>
      <c r="AJ307">
        <v>0</v>
      </c>
      <c r="AW307">
        <v>0</v>
      </c>
      <c r="BJ307">
        <v>87342.23</v>
      </c>
      <c r="BV307">
        <v>87342.23</v>
      </c>
      <c r="BW307">
        <v>657143.26</v>
      </c>
      <c r="BX307">
        <v>126897.23</v>
      </c>
      <c r="BY307">
        <v>99737.96</v>
      </c>
      <c r="BZ307">
        <v>99737.96</v>
      </c>
      <c r="CA307">
        <v>99737.96</v>
      </c>
      <c r="CB307">
        <v>99737.96</v>
      </c>
      <c r="CC307">
        <v>99737.96</v>
      </c>
      <c r="CD307">
        <v>31556.23</v>
      </c>
      <c r="CJ307">
        <v>0</v>
      </c>
      <c r="CW307">
        <v>0</v>
      </c>
      <c r="DJ307">
        <v>0</v>
      </c>
      <c r="DW307">
        <v>0</v>
      </c>
      <c r="EJ307">
        <v>0</v>
      </c>
    </row>
    <row r="308" spans="1:140" hidden="1" x14ac:dyDescent="0.35">
      <c r="A308" t="s">
        <v>3317</v>
      </c>
      <c r="B308" t="s">
        <v>249</v>
      </c>
      <c r="D308" t="s">
        <v>6182</v>
      </c>
      <c r="E308" t="s">
        <v>4566</v>
      </c>
      <c r="F308" t="s">
        <v>4567</v>
      </c>
      <c r="G308" t="s">
        <v>4568</v>
      </c>
      <c r="H308" t="s">
        <v>6183</v>
      </c>
      <c r="I308" t="s">
        <v>5368</v>
      </c>
      <c r="J308" t="s">
        <v>3203</v>
      </c>
      <c r="K308" t="s">
        <v>3203</v>
      </c>
      <c r="L308" t="s">
        <v>4478</v>
      </c>
      <c r="M308" t="s">
        <v>3139</v>
      </c>
      <c r="N308" t="s">
        <v>89</v>
      </c>
      <c r="O308" t="s">
        <v>3088</v>
      </c>
      <c r="P308">
        <v>0</v>
      </c>
      <c r="Q308" t="s">
        <v>3075</v>
      </c>
      <c r="R308" t="s">
        <v>4394</v>
      </c>
      <c r="S308">
        <v>0</v>
      </c>
      <c r="T308">
        <v>0</v>
      </c>
      <c r="U308" t="s">
        <v>6184</v>
      </c>
      <c r="V308" s="17">
        <v>45272</v>
      </c>
      <c r="W308" s="17">
        <v>45273</v>
      </c>
      <c r="X308" s="17">
        <v>45335</v>
      </c>
      <c r="Y308">
        <v>-827</v>
      </c>
      <c r="Z308">
        <v>1</v>
      </c>
      <c r="AA308">
        <v>2.0666666666666669</v>
      </c>
      <c r="AB308">
        <v>1566.3</v>
      </c>
      <c r="AC308" s="17"/>
      <c r="AE308">
        <v>12050.79</v>
      </c>
      <c r="AF308">
        <v>12050.79</v>
      </c>
      <c r="AG308">
        <v>5831.0273999999999</v>
      </c>
      <c r="AH308">
        <v>12050.79</v>
      </c>
      <c r="AI308">
        <v>0</v>
      </c>
      <c r="AJ308">
        <v>0</v>
      </c>
      <c r="AW308">
        <v>0</v>
      </c>
      <c r="BJ308">
        <v>9640.6319999999996</v>
      </c>
      <c r="BV308">
        <v>9640.6319999999996</v>
      </c>
      <c r="BW308">
        <v>2410.1579999999999</v>
      </c>
      <c r="BX308">
        <v>2410.1579999999999</v>
      </c>
      <c r="CJ308">
        <v>0</v>
      </c>
      <c r="CW308">
        <v>0</v>
      </c>
      <c r="DJ308">
        <v>0</v>
      </c>
      <c r="DW308">
        <v>0</v>
      </c>
      <c r="EJ308">
        <v>0</v>
      </c>
    </row>
    <row r="309" spans="1:140" hidden="1" x14ac:dyDescent="0.35">
      <c r="A309" t="s">
        <v>3317</v>
      </c>
      <c r="B309" t="s">
        <v>249</v>
      </c>
      <c r="C309">
        <v>-48</v>
      </c>
      <c r="D309" t="s">
        <v>6185</v>
      </c>
      <c r="E309" t="s">
        <v>4531</v>
      </c>
      <c r="F309" t="s">
        <v>4532</v>
      </c>
      <c r="G309" t="s">
        <v>4533</v>
      </c>
      <c r="H309" t="s">
        <v>6186</v>
      </c>
      <c r="I309" t="s">
        <v>5368</v>
      </c>
      <c r="J309" t="s">
        <v>3203</v>
      </c>
      <c r="K309" t="s">
        <v>3203</v>
      </c>
      <c r="L309" t="s">
        <v>557</v>
      </c>
      <c r="M309" t="s">
        <v>3069</v>
      </c>
      <c r="N309" t="s">
        <v>4534</v>
      </c>
      <c r="O309" t="s">
        <v>4535</v>
      </c>
      <c r="P309">
        <v>0</v>
      </c>
      <c r="Q309" t="s">
        <v>3075</v>
      </c>
      <c r="R309" t="s">
        <v>4394</v>
      </c>
      <c r="S309">
        <v>0</v>
      </c>
      <c r="T309">
        <v>0</v>
      </c>
      <c r="U309" t="s">
        <v>6187</v>
      </c>
      <c r="V309" s="17">
        <v>45273</v>
      </c>
      <c r="W309" s="17">
        <v>45275</v>
      </c>
      <c r="X309" s="17">
        <v>45641</v>
      </c>
      <c r="Y309">
        <v>-521</v>
      </c>
      <c r="Z309">
        <v>1</v>
      </c>
      <c r="AA309">
        <v>12.2</v>
      </c>
      <c r="AB309">
        <v>1556.1</v>
      </c>
      <c r="AC309" s="17"/>
      <c r="AE309">
        <v>44186.22</v>
      </c>
      <c r="AF309">
        <v>44186.22</v>
      </c>
      <c r="AG309">
        <v>3621.8213000000001</v>
      </c>
      <c r="AH309">
        <v>44186.22</v>
      </c>
      <c r="AI309">
        <v>0</v>
      </c>
      <c r="AJ309">
        <v>0</v>
      </c>
      <c r="AW309">
        <v>0</v>
      </c>
      <c r="BJ309">
        <v>0</v>
      </c>
      <c r="BW309">
        <v>44186.22</v>
      </c>
      <c r="BX309">
        <v>22093.11</v>
      </c>
      <c r="BY309">
        <v>22093.11</v>
      </c>
      <c r="CJ309">
        <v>0</v>
      </c>
      <c r="CW309">
        <v>0</v>
      </c>
      <c r="DJ309">
        <v>0</v>
      </c>
      <c r="DW309">
        <v>0</v>
      </c>
      <c r="EJ309">
        <v>0</v>
      </c>
    </row>
    <row r="310" spans="1:140" hidden="1" x14ac:dyDescent="0.35">
      <c r="A310" t="s">
        <v>3317</v>
      </c>
      <c r="B310" t="s">
        <v>249</v>
      </c>
      <c r="D310" t="s">
        <v>6188</v>
      </c>
      <c r="E310" t="s">
        <v>4538</v>
      </c>
      <c r="F310" t="s">
        <v>4539</v>
      </c>
      <c r="G310" t="s">
        <v>4540</v>
      </c>
      <c r="H310" t="s">
        <v>6189</v>
      </c>
      <c r="I310" t="s">
        <v>5368</v>
      </c>
      <c r="J310" t="s">
        <v>3203</v>
      </c>
      <c r="K310" t="s">
        <v>3203</v>
      </c>
      <c r="L310" t="s">
        <v>557</v>
      </c>
      <c r="M310" t="s">
        <v>3069</v>
      </c>
      <c r="N310" t="s">
        <v>4534</v>
      </c>
      <c r="O310" t="s">
        <v>4535</v>
      </c>
      <c r="P310">
        <v>0</v>
      </c>
      <c r="Q310" t="s">
        <v>3075</v>
      </c>
      <c r="R310" t="s">
        <v>4394</v>
      </c>
      <c r="S310" t="s">
        <v>5374</v>
      </c>
      <c r="T310" t="s">
        <v>5485</v>
      </c>
      <c r="U310" t="s">
        <v>6190</v>
      </c>
      <c r="V310" s="17">
        <v>45378</v>
      </c>
      <c r="W310" s="17">
        <v>45275</v>
      </c>
      <c r="X310" s="17">
        <v>45641</v>
      </c>
      <c r="Y310">
        <v>-521</v>
      </c>
      <c r="Z310">
        <v>1</v>
      </c>
      <c r="AA310">
        <v>12.2</v>
      </c>
      <c r="AB310">
        <v>1556.1</v>
      </c>
      <c r="AC310" s="17"/>
      <c r="AE310">
        <v>96406.31</v>
      </c>
      <c r="AF310">
        <v>96406.31</v>
      </c>
      <c r="AG310">
        <v>7902.1566000000003</v>
      </c>
      <c r="AH310">
        <v>96401.31</v>
      </c>
      <c r="AI310">
        <v>-5</v>
      </c>
      <c r="AJ310">
        <v>0</v>
      </c>
      <c r="AW310">
        <v>0</v>
      </c>
      <c r="BJ310">
        <v>0</v>
      </c>
      <c r="BW310">
        <v>96401.31</v>
      </c>
      <c r="CA310">
        <v>96401.31</v>
      </c>
      <c r="CJ310">
        <v>0</v>
      </c>
      <c r="CW310">
        <v>0</v>
      </c>
      <c r="DJ310">
        <v>0</v>
      </c>
      <c r="DW310">
        <v>0</v>
      </c>
      <c r="EJ310">
        <v>0</v>
      </c>
    </row>
    <row r="311" spans="1:140" hidden="1" x14ac:dyDescent="0.35">
      <c r="A311" t="s">
        <v>3317</v>
      </c>
      <c r="B311" t="s">
        <v>249</v>
      </c>
      <c r="C311">
        <v>-43</v>
      </c>
      <c r="D311" t="s">
        <v>6191</v>
      </c>
      <c r="E311" t="s">
        <v>873</v>
      </c>
      <c r="F311" t="s">
        <v>3478</v>
      </c>
      <c r="G311" t="s">
        <v>3479</v>
      </c>
      <c r="H311" t="s">
        <v>6192</v>
      </c>
      <c r="I311" t="s">
        <v>5368</v>
      </c>
      <c r="J311" t="s">
        <v>3071</v>
      </c>
      <c r="K311" t="s">
        <v>3071</v>
      </c>
      <c r="L311" t="s">
        <v>88</v>
      </c>
      <c r="M311" t="s">
        <v>3139</v>
      </c>
      <c r="N311" t="s">
        <v>89</v>
      </c>
      <c r="O311" t="s">
        <v>3088</v>
      </c>
      <c r="P311">
        <v>0</v>
      </c>
      <c r="Q311" t="s">
        <v>3075</v>
      </c>
      <c r="R311">
        <v>0</v>
      </c>
      <c r="S311">
        <v>0</v>
      </c>
      <c r="T311" t="s">
        <v>5369</v>
      </c>
      <c r="U311" t="s">
        <v>6193</v>
      </c>
      <c r="V311" s="17">
        <v>44957</v>
      </c>
      <c r="W311" s="17">
        <v>44957</v>
      </c>
      <c r="X311" s="17">
        <v>45322</v>
      </c>
      <c r="Y311">
        <v>-840</v>
      </c>
      <c r="Z311">
        <v>12</v>
      </c>
      <c r="AA311">
        <v>12.166666666666666</v>
      </c>
      <c r="AB311">
        <v>1566.7333333333333</v>
      </c>
      <c r="AC311" s="17"/>
      <c r="AE311">
        <v>0</v>
      </c>
      <c r="AF311">
        <v>252000</v>
      </c>
      <c r="AG311">
        <v>20712.328799999999</v>
      </c>
      <c r="AH311">
        <v>539012.98</v>
      </c>
      <c r="AI311">
        <v>287012.98</v>
      </c>
      <c r="AJ311">
        <v>0</v>
      </c>
      <c r="AW311">
        <v>0</v>
      </c>
      <c r="BJ311">
        <v>255339.54</v>
      </c>
      <c r="BM311">
        <v>21000</v>
      </c>
      <c r="BN311">
        <v>21000</v>
      </c>
      <c r="BO311">
        <v>21000</v>
      </c>
      <c r="BP311">
        <v>21000</v>
      </c>
      <c r="BQ311">
        <v>22962</v>
      </c>
      <c r="BR311">
        <v>21000</v>
      </c>
      <c r="BS311">
        <v>21000</v>
      </c>
      <c r="BT311">
        <v>35459.18</v>
      </c>
      <c r="BU311">
        <v>35459.18</v>
      </c>
      <c r="BV311">
        <v>35459.18</v>
      </c>
      <c r="BW311">
        <v>283673.44</v>
      </c>
      <c r="BX311">
        <v>35459.18</v>
      </c>
      <c r="BY311">
        <v>35459.18</v>
      </c>
      <c r="BZ311">
        <v>35459.18</v>
      </c>
      <c r="CA311">
        <v>35459.18</v>
      </c>
      <c r="CB311">
        <v>35459.18</v>
      </c>
      <c r="CC311">
        <v>35459.18</v>
      </c>
      <c r="CD311">
        <v>35459.18</v>
      </c>
      <c r="CE311">
        <v>35459.18</v>
      </c>
      <c r="CJ311">
        <v>0</v>
      </c>
      <c r="CW311">
        <v>0</v>
      </c>
      <c r="DJ311">
        <v>0</v>
      </c>
      <c r="DW311">
        <v>0</v>
      </c>
      <c r="EJ311">
        <v>0</v>
      </c>
    </row>
    <row r="312" spans="1:140" hidden="1" x14ac:dyDescent="0.35">
      <c r="A312" t="s">
        <v>3317</v>
      </c>
      <c r="B312" t="s">
        <v>249</v>
      </c>
      <c r="C312">
        <v>-42</v>
      </c>
      <c r="D312" t="s">
        <v>6194</v>
      </c>
      <c r="E312" t="s">
        <v>3437</v>
      </c>
      <c r="F312" t="s">
        <v>3438</v>
      </c>
      <c r="G312" t="s">
        <v>3439</v>
      </c>
      <c r="H312" t="s">
        <v>6195</v>
      </c>
      <c r="I312" t="s">
        <v>5368</v>
      </c>
      <c r="J312" t="s">
        <v>3079</v>
      </c>
      <c r="K312" t="s">
        <v>3079</v>
      </c>
      <c r="L312" t="s">
        <v>452</v>
      </c>
      <c r="M312" t="s">
        <v>3069</v>
      </c>
      <c r="N312" t="s">
        <v>3440</v>
      </c>
      <c r="O312" t="s">
        <v>3441</v>
      </c>
      <c r="P312">
        <v>0</v>
      </c>
      <c r="Q312" t="s">
        <v>3075</v>
      </c>
      <c r="R312">
        <v>0</v>
      </c>
      <c r="S312">
        <v>0</v>
      </c>
      <c r="T312">
        <v>0</v>
      </c>
      <c r="U312" t="s">
        <v>6196</v>
      </c>
      <c r="V312" s="17">
        <v>45266</v>
      </c>
      <c r="W312" s="17">
        <v>45282</v>
      </c>
      <c r="X312" s="17">
        <v>45373</v>
      </c>
      <c r="Y312">
        <v>-789</v>
      </c>
      <c r="Z312">
        <v>3</v>
      </c>
      <c r="AA312">
        <v>3.0333333333333332</v>
      </c>
      <c r="AB312">
        <v>1565.0333333333333</v>
      </c>
      <c r="AC312" s="17"/>
      <c r="AE312">
        <v>42982.46</v>
      </c>
      <c r="AF312">
        <v>128947.38</v>
      </c>
      <c r="AG312">
        <v>42510.1253</v>
      </c>
      <c r="AH312">
        <v>128940</v>
      </c>
      <c r="AI312">
        <v>-7.38</v>
      </c>
      <c r="AJ312">
        <v>0</v>
      </c>
      <c r="AW312">
        <v>0</v>
      </c>
      <c r="BJ312">
        <v>0</v>
      </c>
      <c r="BW312">
        <v>128940</v>
      </c>
      <c r="BX312">
        <v>42980</v>
      </c>
      <c r="BY312">
        <v>42980</v>
      </c>
      <c r="BZ312">
        <v>42980</v>
      </c>
      <c r="CJ312">
        <v>0</v>
      </c>
      <c r="CW312">
        <v>0</v>
      </c>
      <c r="DJ312">
        <v>0</v>
      </c>
      <c r="DW312">
        <v>0</v>
      </c>
      <c r="EJ312">
        <v>0</v>
      </c>
    </row>
    <row r="313" spans="1:140" hidden="1" x14ac:dyDescent="0.35">
      <c r="A313" t="s">
        <v>3317</v>
      </c>
      <c r="B313" t="s">
        <v>249</v>
      </c>
      <c r="C313">
        <v>-35</v>
      </c>
      <c r="D313" t="s">
        <v>6197</v>
      </c>
      <c r="E313" t="s">
        <v>3536</v>
      </c>
      <c r="F313" t="s">
        <v>3537</v>
      </c>
      <c r="G313" t="s">
        <v>3538</v>
      </c>
      <c r="H313" t="s">
        <v>6198</v>
      </c>
      <c r="I313" t="s">
        <v>5368</v>
      </c>
      <c r="J313" t="s">
        <v>3071</v>
      </c>
      <c r="K313" t="s">
        <v>3071</v>
      </c>
      <c r="L313" t="s">
        <v>212</v>
      </c>
      <c r="M313" t="s">
        <v>3087</v>
      </c>
      <c r="N313" t="s">
        <v>89</v>
      </c>
      <c r="O313" t="s">
        <v>3088</v>
      </c>
      <c r="P313">
        <v>0</v>
      </c>
      <c r="Q313" t="s">
        <v>3075</v>
      </c>
      <c r="R313" t="s">
        <v>2513</v>
      </c>
      <c r="S313">
        <v>0</v>
      </c>
      <c r="T313" t="s">
        <v>2704</v>
      </c>
      <c r="U313" t="s">
        <v>6199</v>
      </c>
      <c r="V313" s="17">
        <v>45282</v>
      </c>
      <c r="W313" s="17">
        <v>45293</v>
      </c>
      <c r="X313" s="17">
        <v>45323</v>
      </c>
      <c r="Y313">
        <v>-839</v>
      </c>
      <c r="Z313">
        <v>1</v>
      </c>
      <c r="AA313">
        <v>1</v>
      </c>
      <c r="AB313">
        <v>1566.7</v>
      </c>
      <c r="AC313" s="17"/>
      <c r="AE313">
        <v>19361.099999999999</v>
      </c>
      <c r="AF313">
        <v>19361.099999999999</v>
      </c>
      <c r="AG313">
        <v>19361.099999999999</v>
      </c>
      <c r="AH313">
        <v>19361.099999999999</v>
      </c>
      <c r="AI313">
        <v>0</v>
      </c>
      <c r="AJ313">
        <v>0</v>
      </c>
      <c r="AW313">
        <v>0</v>
      </c>
      <c r="BJ313">
        <v>0</v>
      </c>
      <c r="BW313">
        <v>19361.099999999999</v>
      </c>
      <c r="BX313">
        <v>19361.099999999999</v>
      </c>
      <c r="CJ313">
        <v>0</v>
      </c>
      <c r="CW313">
        <v>0</v>
      </c>
      <c r="DJ313">
        <v>0</v>
      </c>
      <c r="DW313">
        <v>0</v>
      </c>
      <c r="EJ313">
        <v>0</v>
      </c>
    </row>
    <row r="314" spans="1:140" hidden="1" x14ac:dyDescent="0.35">
      <c r="A314" t="s">
        <v>3317</v>
      </c>
      <c r="B314" t="s">
        <v>249</v>
      </c>
      <c r="C314">
        <v>-22</v>
      </c>
      <c r="D314" t="s">
        <v>6200</v>
      </c>
      <c r="E314" t="s">
        <v>4700</v>
      </c>
      <c r="F314" t="s">
        <v>4701</v>
      </c>
      <c r="G314" t="s">
        <v>4702</v>
      </c>
      <c r="H314" t="s">
        <v>6201</v>
      </c>
      <c r="I314" t="s">
        <v>5368</v>
      </c>
      <c r="J314" t="s">
        <v>3203</v>
      </c>
      <c r="K314" t="s">
        <v>3203</v>
      </c>
      <c r="L314" t="s">
        <v>4703</v>
      </c>
      <c r="M314" t="s">
        <v>3088</v>
      </c>
      <c r="N314" t="s">
        <v>447</v>
      </c>
      <c r="O314" t="s">
        <v>3088</v>
      </c>
      <c r="P314">
        <v>0</v>
      </c>
      <c r="Q314" t="s">
        <v>3075</v>
      </c>
      <c r="R314">
        <v>0</v>
      </c>
      <c r="S314">
        <v>0</v>
      </c>
      <c r="T314">
        <v>0</v>
      </c>
      <c r="U314" t="s">
        <v>6202</v>
      </c>
      <c r="V314" s="17">
        <v>45238</v>
      </c>
      <c r="W314" s="17">
        <v>45295</v>
      </c>
      <c r="X314" s="17">
        <v>45412</v>
      </c>
      <c r="Y314">
        <v>-750</v>
      </c>
      <c r="Z314">
        <v>4</v>
      </c>
      <c r="AA314">
        <v>3.9</v>
      </c>
      <c r="AB314">
        <v>1563.7333333333333</v>
      </c>
      <c r="AC314" s="17"/>
      <c r="AE314">
        <v>0</v>
      </c>
      <c r="AF314">
        <v>179294.87</v>
      </c>
      <c r="AG314">
        <v>45973.043599999997</v>
      </c>
      <c r="AH314">
        <v>179294.87</v>
      </c>
      <c r="AI314">
        <v>0</v>
      </c>
      <c r="AJ314">
        <v>0</v>
      </c>
      <c r="AW314">
        <v>0</v>
      </c>
      <c r="BJ314">
        <v>35858.97</v>
      </c>
      <c r="BV314">
        <v>35858.97</v>
      </c>
      <c r="BW314">
        <v>143435.9</v>
      </c>
      <c r="BX314">
        <v>23750</v>
      </c>
      <c r="BY314">
        <v>56839.74</v>
      </c>
      <c r="BZ314">
        <v>51211.54</v>
      </c>
      <c r="CA314">
        <v>11634.62</v>
      </c>
      <c r="CJ314">
        <v>0</v>
      </c>
      <c r="CW314">
        <v>0</v>
      </c>
      <c r="DJ314">
        <v>0</v>
      </c>
      <c r="DW314">
        <v>0</v>
      </c>
      <c r="EJ314">
        <v>0</v>
      </c>
    </row>
    <row r="315" spans="1:140" hidden="1" x14ac:dyDescent="0.35">
      <c r="A315" t="s">
        <v>3317</v>
      </c>
      <c r="B315" t="s">
        <v>249</v>
      </c>
      <c r="C315">
        <v>-34</v>
      </c>
      <c r="D315" t="s">
        <v>6203</v>
      </c>
      <c r="E315" t="s">
        <v>4571</v>
      </c>
      <c r="F315" t="s">
        <v>4572</v>
      </c>
      <c r="G315" t="s">
        <v>4573</v>
      </c>
      <c r="H315" t="s">
        <v>6204</v>
      </c>
      <c r="I315" t="s">
        <v>5368</v>
      </c>
      <c r="J315" t="s">
        <v>3203</v>
      </c>
      <c r="K315" t="s">
        <v>3203</v>
      </c>
      <c r="L315" t="s">
        <v>4478</v>
      </c>
      <c r="M315" t="s">
        <v>3139</v>
      </c>
      <c r="N315" t="s">
        <v>184</v>
      </c>
      <c r="O315" t="s">
        <v>3088</v>
      </c>
      <c r="P315">
        <v>0</v>
      </c>
      <c r="Q315" t="s">
        <v>3075</v>
      </c>
      <c r="R315" t="s">
        <v>4394</v>
      </c>
      <c r="S315" t="s">
        <v>5374</v>
      </c>
      <c r="T315">
        <v>0</v>
      </c>
      <c r="U315" t="s">
        <v>6205</v>
      </c>
      <c r="V315" s="17">
        <v>45302</v>
      </c>
      <c r="W315" s="17">
        <v>45303</v>
      </c>
      <c r="X315" s="17">
        <v>45455</v>
      </c>
      <c r="Y315">
        <v>-707</v>
      </c>
      <c r="Z315">
        <v>1</v>
      </c>
      <c r="AA315">
        <v>5.0666666666666664</v>
      </c>
      <c r="AB315">
        <v>1562.3</v>
      </c>
      <c r="AC315" s="17"/>
      <c r="AE315">
        <v>161012.26999999999</v>
      </c>
      <c r="AF315">
        <v>161012.26999999999</v>
      </c>
      <c r="AG315">
        <v>31778.737499999999</v>
      </c>
      <c r="AH315">
        <v>161012.26999999999</v>
      </c>
      <c r="AI315">
        <v>0</v>
      </c>
      <c r="AJ315">
        <v>0</v>
      </c>
      <c r="AW315">
        <v>0</v>
      </c>
      <c r="BJ315">
        <v>0</v>
      </c>
      <c r="BW315">
        <v>161012.26999999999</v>
      </c>
      <c r="BY315">
        <v>112708.58900000001</v>
      </c>
      <c r="BZ315">
        <v>48303.680999999997</v>
      </c>
      <c r="CJ315">
        <v>0</v>
      </c>
      <c r="CW315">
        <v>0</v>
      </c>
      <c r="DJ315">
        <v>0</v>
      </c>
      <c r="DW315">
        <v>0</v>
      </c>
      <c r="EJ315">
        <v>0</v>
      </c>
    </row>
    <row r="316" spans="1:140" hidden="1" x14ac:dyDescent="0.35">
      <c r="A316" t="s">
        <v>3317</v>
      </c>
      <c r="B316" t="s">
        <v>249</v>
      </c>
      <c r="C316">
        <v>-16</v>
      </c>
      <c r="D316" t="s">
        <v>6206</v>
      </c>
      <c r="E316" t="s">
        <v>3370</v>
      </c>
      <c r="F316" t="s">
        <v>3371</v>
      </c>
      <c r="G316" t="s">
        <v>3372</v>
      </c>
      <c r="H316" t="s">
        <v>6207</v>
      </c>
      <c r="I316" t="s">
        <v>6123</v>
      </c>
      <c r="J316" t="s">
        <v>3071</v>
      </c>
      <c r="K316" t="s">
        <v>3071</v>
      </c>
      <c r="L316" t="s">
        <v>235</v>
      </c>
      <c r="M316" t="s">
        <v>3139</v>
      </c>
      <c r="N316" t="s">
        <v>227</v>
      </c>
      <c r="O316" t="s">
        <v>3366</v>
      </c>
      <c r="P316">
        <v>0</v>
      </c>
      <c r="Q316" t="s">
        <v>3075</v>
      </c>
      <c r="R316" t="s">
        <v>1580</v>
      </c>
      <c r="S316">
        <v>0</v>
      </c>
      <c r="T316">
        <v>0</v>
      </c>
      <c r="U316" t="s">
        <v>6208</v>
      </c>
      <c r="V316" s="17">
        <v>45266</v>
      </c>
      <c r="W316" s="17">
        <v>45314</v>
      </c>
      <c r="X316" s="17">
        <v>45442</v>
      </c>
      <c r="Y316">
        <v>-720</v>
      </c>
      <c r="Z316">
        <v>4</v>
      </c>
      <c r="AA316">
        <v>4.2666666666666666</v>
      </c>
      <c r="AB316">
        <v>1562.7333333333333</v>
      </c>
      <c r="AC316" s="17"/>
      <c r="AE316">
        <v>15958.067999999999</v>
      </c>
      <c r="AF316">
        <v>159580.68</v>
      </c>
      <c r="AG316">
        <v>37401.721899999997</v>
      </c>
      <c r="AH316">
        <v>335265.71000000002</v>
      </c>
      <c r="AI316">
        <v>175685.03</v>
      </c>
      <c r="AJ316">
        <v>0</v>
      </c>
      <c r="AW316">
        <v>0</v>
      </c>
      <c r="BJ316">
        <v>0</v>
      </c>
      <c r="BW316">
        <v>335265.71000000002</v>
      </c>
      <c r="BX316">
        <v>36051.85</v>
      </c>
      <c r="BY316">
        <v>99737.94</v>
      </c>
      <c r="BZ316">
        <v>99737.96</v>
      </c>
      <c r="CA316">
        <v>99737.96</v>
      </c>
      <c r="CJ316">
        <v>0</v>
      </c>
      <c r="CW316">
        <v>0</v>
      </c>
      <c r="DJ316">
        <v>0</v>
      </c>
      <c r="DW316">
        <v>0</v>
      </c>
      <c r="EJ316">
        <v>0</v>
      </c>
    </row>
    <row r="317" spans="1:140" hidden="1" x14ac:dyDescent="0.35">
      <c r="A317" t="s">
        <v>3317</v>
      </c>
      <c r="B317" t="s">
        <v>249</v>
      </c>
      <c r="C317">
        <v>-7</v>
      </c>
      <c r="D317" t="s">
        <v>6209</v>
      </c>
      <c r="E317" t="s">
        <v>4543</v>
      </c>
      <c r="F317" t="s">
        <v>4544</v>
      </c>
      <c r="G317" t="s">
        <v>4545</v>
      </c>
      <c r="H317" t="s">
        <v>6210</v>
      </c>
      <c r="I317" t="s">
        <v>5368</v>
      </c>
      <c r="J317" t="s">
        <v>3203</v>
      </c>
      <c r="K317" t="s">
        <v>3203</v>
      </c>
      <c r="L317" t="s">
        <v>4546</v>
      </c>
      <c r="M317" t="s">
        <v>249</v>
      </c>
      <c r="N317" t="s">
        <v>4547</v>
      </c>
      <c r="O317" t="s">
        <v>3088</v>
      </c>
      <c r="P317">
        <v>0</v>
      </c>
      <c r="Q317" t="s">
        <v>3075</v>
      </c>
      <c r="R317" t="s">
        <v>4394</v>
      </c>
      <c r="S317" t="s">
        <v>5452</v>
      </c>
      <c r="T317">
        <v>0</v>
      </c>
      <c r="U317" t="s">
        <v>6211</v>
      </c>
      <c r="V317" s="17">
        <v>45320</v>
      </c>
      <c r="W317" s="17">
        <v>45320</v>
      </c>
      <c r="X317" s="17">
        <v>45337</v>
      </c>
      <c r="Y317">
        <v>-825</v>
      </c>
      <c r="Z317">
        <v>1</v>
      </c>
      <c r="AA317">
        <v>0.56666666666666665</v>
      </c>
      <c r="AB317">
        <v>1566.2333333333333</v>
      </c>
      <c r="AC317" s="17"/>
      <c r="AE317">
        <v>26000</v>
      </c>
      <c r="AF317">
        <v>26000</v>
      </c>
      <c r="AG317">
        <v>45882.352899999998</v>
      </c>
      <c r="AH317">
        <v>26000</v>
      </c>
      <c r="AI317">
        <v>0</v>
      </c>
      <c r="AJ317">
        <v>0</v>
      </c>
      <c r="AW317">
        <v>0</v>
      </c>
      <c r="BJ317">
        <v>0</v>
      </c>
      <c r="BW317">
        <v>26000</v>
      </c>
      <c r="BY317">
        <v>26000</v>
      </c>
      <c r="CJ317">
        <v>0</v>
      </c>
      <c r="CW317">
        <v>0</v>
      </c>
      <c r="DJ317">
        <v>0</v>
      </c>
      <c r="DW317">
        <v>0</v>
      </c>
      <c r="EJ317">
        <v>0</v>
      </c>
    </row>
    <row r="318" spans="1:140" hidden="1" x14ac:dyDescent="0.35">
      <c r="A318" t="s">
        <v>3317</v>
      </c>
      <c r="B318" t="s">
        <v>249</v>
      </c>
      <c r="D318" t="s">
        <v>6212</v>
      </c>
      <c r="E318" t="s">
        <v>3530</v>
      </c>
      <c r="F318" t="s">
        <v>3531</v>
      </c>
      <c r="G318" t="s">
        <v>3532</v>
      </c>
      <c r="H318" t="s">
        <v>6213</v>
      </c>
      <c r="I318" t="s">
        <v>5368</v>
      </c>
      <c r="J318" t="s">
        <v>3071</v>
      </c>
      <c r="K318" t="s">
        <v>3071</v>
      </c>
      <c r="L318" t="s">
        <v>212</v>
      </c>
      <c r="M318" t="s">
        <v>3087</v>
      </c>
      <c r="N318" t="s">
        <v>89</v>
      </c>
      <c r="O318" t="s">
        <v>3088</v>
      </c>
      <c r="P318">
        <v>0</v>
      </c>
      <c r="Q318" t="s">
        <v>3075</v>
      </c>
      <c r="R318">
        <v>0</v>
      </c>
      <c r="S318">
        <v>0</v>
      </c>
      <c r="T318">
        <v>0</v>
      </c>
      <c r="U318" t="s">
        <v>6214</v>
      </c>
      <c r="V318" s="17">
        <v>45258</v>
      </c>
      <c r="W318" s="17">
        <v>45320</v>
      </c>
      <c r="X318" s="17">
        <v>45410</v>
      </c>
      <c r="Y318">
        <v>-752</v>
      </c>
      <c r="Z318">
        <v>3</v>
      </c>
      <c r="AA318">
        <v>3</v>
      </c>
      <c r="AB318">
        <v>1563.8</v>
      </c>
      <c r="AC318" s="17"/>
      <c r="AE318">
        <v>14446.07</v>
      </c>
      <c r="AF318">
        <v>43338.21</v>
      </c>
      <c r="AG318">
        <v>14446.07</v>
      </c>
      <c r="AH318">
        <v>43337</v>
      </c>
      <c r="AI318">
        <v>-1.21</v>
      </c>
      <c r="AJ318">
        <v>0</v>
      </c>
      <c r="AW318">
        <v>0</v>
      </c>
      <c r="BJ318">
        <v>26002</v>
      </c>
      <c r="BU318">
        <v>11556</v>
      </c>
      <c r="BV318">
        <v>14446</v>
      </c>
      <c r="BW318">
        <v>17335</v>
      </c>
      <c r="BX318">
        <v>14446</v>
      </c>
      <c r="BY318">
        <v>2889</v>
      </c>
      <c r="CJ318">
        <v>0</v>
      </c>
      <c r="CW318">
        <v>0</v>
      </c>
      <c r="DJ318">
        <v>0</v>
      </c>
      <c r="DW318">
        <v>0</v>
      </c>
      <c r="EJ318">
        <v>0</v>
      </c>
    </row>
    <row r="319" spans="1:140" hidden="1" x14ac:dyDescent="0.35">
      <c r="A319" t="s">
        <v>3317</v>
      </c>
      <c r="B319" t="s">
        <v>249</v>
      </c>
      <c r="D319" t="s">
        <v>6215</v>
      </c>
      <c r="E319" t="s">
        <v>4624</v>
      </c>
      <c r="F319" t="s">
        <v>4625</v>
      </c>
      <c r="G319" t="s">
        <v>4626</v>
      </c>
      <c r="H319" t="s">
        <v>6216</v>
      </c>
      <c r="I319" t="s">
        <v>5368</v>
      </c>
      <c r="J319" t="s">
        <v>3203</v>
      </c>
      <c r="K319" t="s">
        <v>3203</v>
      </c>
      <c r="L319" t="s">
        <v>4627</v>
      </c>
      <c r="M319" t="s">
        <v>249</v>
      </c>
      <c r="N319" t="s">
        <v>89</v>
      </c>
      <c r="O319" t="s">
        <v>3088</v>
      </c>
      <c r="P319">
        <v>0</v>
      </c>
      <c r="Q319" t="s">
        <v>3075</v>
      </c>
      <c r="R319" t="s">
        <v>4394</v>
      </c>
      <c r="S319" t="s">
        <v>5452</v>
      </c>
      <c r="T319">
        <v>0</v>
      </c>
      <c r="U319" t="s">
        <v>6217</v>
      </c>
      <c r="V319" s="17">
        <v>45324</v>
      </c>
      <c r="W319" s="17">
        <v>45327</v>
      </c>
      <c r="X319" s="17">
        <v>45369</v>
      </c>
      <c r="Y319">
        <v>-793</v>
      </c>
      <c r="Z319">
        <v>1</v>
      </c>
      <c r="AA319">
        <v>1.4</v>
      </c>
      <c r="AB319">
        <v>1565.1666666666667</v>
      </c>
      <c r="AC319" s="17"/>
      <c r="AE319">
        <v>30000</v>
      </c>
      <c r="AF319">
        <v>30000</v>
      </c>
      <c r="AG319">
        <v>21428.571400000001</v>
      </c>
      <c r="AH319">
        <v>30000</v>
      </c>
      <c r="AI319">
        <v>0</v>
      </c>
      <c r="AJ319">
        <v>0</v>
      </c>
      <c r="AW319">
        <v>0</v>
      </c>
      <c r="BJ319">
        <v>0</v>
      </c>
      <c r="BW319">
        <v>30000</v>
      </c>
      <c r="BZ319">
        <v>24000</v>
      </c>
      <c r="CA319">
        <v>6000</v>
      </c>
      <c r="CJ319">
        <v>0</v>
      </c>
      <c r="CW319">
        <v>0</v>
      </c>
      <c r="DJ319">
        <v>0</v>
      </c>
      <c r="DW319">
        <v>0</v>
      </c>
      <c r="EJ319">
        <v>0</v>
      </c>
    </row>
    <row r="320" spans="1:140" hidden="1" x14ac:dyDescent="0.35">
      <c r="A320" t="s">
        <v>3317</v>
      </c>
      <c r="B320" t="s">
        <v>249</v>
      </c>
      <c r="D320" t="s">
        <v>6218</v>
      </c>
      <c r="E320" t="s">
        <v>4637</v>
      </c>
      <c r="F320" t="s">
        <v>4638</v>
      </c>
      <c r="G320" t="s">
        <v>4639</v>
      </c>
      <c r="H320" t="s">
        <v>6219</v>
      </c>
      <c r="I320" t="s">
        <v>5368</v>
      </c>
      <c r="J320" t="s">
        <v>3203</v>
      </c>
      <c r="K320" t="s">
        <v>3203</v>
      </c>
      <c r="L320" t="s">
        <v>132</v>
      </c>
      <c r="M320" t="s">
        <v>3997</v>
      </c>
      <c r="N320" t="s">
        <v>132</v>
      </c>
      <c r="O320" t="s">
        <v>3070</v>
      </c>
      <c r="P320">
        <v>0</v>
      </c>
      <c r="Q320" t="s">
        <v>3852</v>
      </c>
      <c r="R320" t="s">
        <v>4394</v>
      </c>
      <c r="S320" t="s">
        <v>5452</v>
      </c>
      <c r="T320">
        <v>0</v>
      </c>
      <c r="U320" t="s">
        <v>6220</v>
      </c>
      <c r="V320" s="17">
        <v>45330</v>
      </c>
      <c r="W320" s="17">
        <v>45330</v>
      </c>
      <c r="X320" s="17">
        <v>45400</v>
      </c>
      <c r="Y320">
        <v>-762</v>
      </c>
      <c r="Z320">
        <v>1</v>
      </c>
      <c r="AA320">
        <v>2.3333333333333335</v>
      </c>
      <c r="AB320">
        <v>1564.1333333333334</v>
      </c>
      <c r="AC320" s="17"/>
      <c r="AE320">
        <v>352526.49</v>
      </c>
      <c r="AF320">
        <v>352526.49</v>
      </c>
      <c r="AG320">
        <v>151082.78140000001</v>
      </c>
      <c r="AH320">
        <v>372526.49</v>
      </c>
      <c r="AI320">
        <v>20000</v>
      </c>
      <c r="AJ320">
        <v>0</v>
      </c>
      <c r="AW320">
        <v>0</v>
      </c>
      <c r="BJ320">
        <v>0</v>
      </c>
      <c r="BW320">
        <v>372526.49</v>
      </c>
      <c r="BY320">
        <v>13517.12</v>
      </c>
      <c r="BZ320">
        <v>208163.65</v>
      </c>
      <c r="CA320">
        <v>130845.72</v>
      </c>
      <c r="CF320">
        <v>20000</v>
      </c>
      <c r="CJ320">
        <v>0</v>
      </c>
      <c r="CW320">
        <v>0</v>
      </c>
      <c r="DJ320">
        <v>0</v>
      </c>
      <c r="DW320">
        <v>0</v>
      </c>
      <c r="EJ320">
        <v>0</v>
      </c>
    </row>
    <row r="321" spans="1:140" hidden="1" x14ac:dyDescent="0.35">
      <c r="A321" t="s">
        <v>3317</v>
      </c>
      <c r="B321" t="s">
        <v>249</v>
      </c>
      <c r="D321" t="s">
        <v>6221</v>
      </c>
      <c r="E321" t="s">
        <v>3571</v>
      </c>
      <c r="F321" t="s">
        <v>3572</v>
      </c>
      <c r="G321" t="s">
        <v>3573</v>
      </c>
      <c r="H321" t="s">
        <v>6222</v>
      </c>
      <c r="I321" t="s">
        <v>5368</v>
      </c>
      <c r="J321" t="s">
        <v>3071</v>
      </c>
      <c r="K321" t="s">
        <v>3071</v>
      </c>
      <c r="L321" t="s">
        <v>3574</v>
      </c>
      <c r="M321" t="s">
        <v>3069</v>
      </c>
      <c r="N321" t="s">
        <v>3575</v>
      </c>
      <c r="O321" t="s">
        <v>3069</v>
      </c>
      <c r="P321">
        <v>0</v>
      </c>
      <c r="Q321" t="s">
        <v>3075</v>
      </c>
      <c r="R321" t="s">
        <v>2513</v>
      </c>
      <c r="S321" t="s">
        <v>5374</v>
      </c>
      <c r="T321">
        <v>0</v>
      </c>
      <c r="U321" t="s">
        <v>6223</v>
      </c>
      <c r="V321" s="17">
        <v>45338</v>
      </c>
      <c r="W321" s="17">
        <v>45344</v>
      </c>
      <c r="X321" s="17">
        <v>45364</v>
      </c>
      <c r="Y321">
        <v>-798</v>
      </c>
      <c r="Z321">
        <v>1</v>
      </c>
      <c r="AA321">
        <v>0.66666666666666663</v>
      </c>
      <c r="AB321">
        <v>1565.3333333333333</v>
      </c>
      <c r="AC321" s="17"/>
      <c r="AE321">
        <v>13000</v>
      </c>
      <c r="AF321">
        <v>13000</v>
      </c>
      <c r="AG321">
        <v>19500</v>
      </c>
      <c r="AH321">
        <v>13000</v>
      </c>
      <c r="AI321">
        <v>0</v>
      </c>
      <c r="AJ321">
        <v>0</v>
      </c>
      <c r="AW321">
        <v>0</v>
      </c>
      <c r="BJ321">
        <v>0</v>
      </c>
      <c r="BW321">
        <v>13000</v>
      </c>
      <c r="BZ321">
        <v>13000</v>
      </c>
      <c r="CJ321">
        <v>0</v>
      </c>
      <c r="CW321">
        <v>0</v>
      </c>
      <c r="DJ321">
        <v>0</v>
      </c>
      <c r="DW321">
        <v>0</v>
      </c>
      <c r="EJ321">
        <v>0</v>
      </c>
    </row>
    <row r="322" spans="1:140" hidden="1" x14ac:dyDescent="0.35">
      <c r="A322" t="s">
        <v>3317</v>
      </c>
      <c r="B322" t="s">
        <v>249</v>
      </c>
      <c r="D322" t="s">
        <v>6224</v>
      </c>
      <c r="E322" t="s">
        <v>951</v>
      </c>
      <c r="F322" t="s">
        <v>3430</v>
      </c>
      <c r="G322" t="s">
        <v>6225</v>
      </c>
      <c r="H322" t="s">
        <v>6226</v>
      </c>
      <c r="I322" t="s">
        <v>5368</v>
      </c>
      <c r="J322" t="s">
        <v>3079</v>
      </c>
      <c r="K322" t="s">
        <v>3079</v>
      </c>
      <c r="L322" t="s">
        <v>395</v>
      </c>
      <c r="M322" t="s">
        <v>3130</v>
      </c>
      <c r="N322" t="s">
        <v>89</v>
      </c>
      <c r="O322" t="s">
        <v>3088</v>
      </c>
      <c r="P322">
        <v>0</v>
      </c>
      <c r="Q322" t="s">
        <v>3075</v>
      </c>
      <c r="R322" t="s">
        <v>2513</v>
      </c>
      <c r="S322" t="s">
        <v>5374</v>
      </c>
      <c r="T322" t="s">
        <v>1576</v>
      </c>
      <c r="U322" t="s">
        <v>6227</v>
      </c>
      <c r="V322" s="17">
        <v>45345</v>
      </c>
      <c r="W322" s="17">
        <v>45355</v>
      </c>
      <c r="X322" s="17">
        <v>45508</v>
      </c>
      <c r="Y322">
        <v>-654</v>
      </c>
      <c r="Z322">
        <v>5</v>
      </c>
      <c r="AA322">
        <v>5.0999999999999996</v>
      </c>
      <c r="AB322">
        <v>1560.5333333333333</v>
      </c>
      <c r="AC322" s="17"/>
      <c r="AE322">
        <v>36000</v>
      </c>
      <c r="AF322">
        <v>180000</v>
      </c>
      <c r="AG322">
        <v>35294.117599999998</v>
      </c>
      <c r="AH322">
        <v>213500</v>
      </c>
      <c r="AI322">
        <v>33500</v>
      </c>
      <c r="AJ322">
        <v>0</v>
      </c>
      <c r="AW322">
        <v>0</v>
      </c>
      <c r="BJ322">
        <v>0</v>
      </c>
      <c r="BW322">
        <v>213500</v>
      </c>
      <c r="BZ322">
        <v>28000</v>
      </c>
      <c r="CA322">
        <v>38750</v>
      </c>
      <c r="CB322">
        <v>36000</v>
      </c>
      <c r="CC322">
        <v>36000</v>
      </c>
      <c r="CD322">
        <v>36000</v>
      </c>
      <c r="CE322">
        <v>38750</v>
      </c>
      <c r="CJ322">
        <v>0</v>
      </c>
      <c r="CW322">
        <v>0</v>
      </c>
      <c r="DJ322">
        <v>0</v>
      </c>
      <c r="DW322">
        <v>0</v>
      </c>
      <c r="EJ322">
        <v>0</v>
      </c>
    </row>
    <row r="323" spans="1:140" hidden="1" x14ac:dyDescent="0.35">
      <c r="A323" t="s">
        <v>3317</v>
      </c>
      <c r="B323" t="s">
        <v>249</v>
      </c>
      <c r="D323" t="s">
        <v>6228</v>
      </c>
      <c r="E323" t="s">
        <v>951</v>
      </c>
      <c r="F323" t="s">
        <v>3430</v>
      </c>
      <c r="G323" t="s">
        <v>4613</v>
      </c>
      <c r="H323" t="s">
        <v>6226</v>
      </c>
      <c r="I323" t="s">
        <v>5368</v>
      </c>
      <c r="J323" t="s">
        <v>3203</v>
      </c>
      <c r="K323" t="s">
        <v>3203</v>
      </c>
      <c r="L323" t="s">
        <v>395</v>
      </c>
      <c r="M323" t="s">
        <v>3130</v>
      </c>
      <c r="N323" t="s">
        <v>89</v>
      </c>
      <c r="O323" t="s">
        <v>3088</v>
      </c>
      <c r="P323">
        <v>0</v>
      </c>
      <c r="Q323" t="s">
        <v>3075</v>
      </c>
      <c r="R323" t="s">
        <v>4394</v>
      </c>
      <c r="S323" t="s">
        <v>5374</v>
      </c>
      <c r="T323" t="s">
        <v>1576</v>
      </c>
      <c r="U323" t="s">
        <v>6229</v>
      </c>
      <c r="V323" s="17">
        <v>45345</v>
      </c>
      <c r="W323" s="17">
        <v>45355</v>
      </c>
      <c r="X323" s="17">
        <v>45508</v>
      </c>
      <c r="Y323">
        <v>-654</v>
      </c>
      <c r="Z323">
        <v>1</v>
      </c>
      <c r="AA323">
        <v>5.0999999999999996</v>
      </c>
      <c r="AB323">
        <v>1560.5333333333333</v>
      </c>
      <c r="AC323" s="17"/>
      <c r="AE323">
        <v>33000</v>
      </c>
      <c r="AF323">
        <v>33000</v>
      </c>
      <c r="AG323">
        <v>6470.5882000000001</v>
      </c>
      <c r="AH323">
        <v>28000</v>
      </c>
      <c r="AI323">
        <v>-5000</v>
      </c>
      <c r="AJ323">
        <v>0</v>
      </c>
      <c r="AW323">
        <v>0</v>
      </c>
      <c r="BJ323">
        <v>0</v>
      </c>
      <c r="BW323">
        <v>28000</v>
      </c>
      <c r="BZ323">
        <v>28000</v>
      </c>
      <c r="CJ323">
        <v>0</v>
      </c>
      <c r="CW323">
        <v>0</v>
      </c>
      <c r="DJ323">
        <v>0</v>
      </c>
      <c r="DW323">
        <v>0</v>
      </c>
      <c r="EJ323">
        <v>0</v>
      </c>
    </row>
    <row r="324" spans="1:140" hidden="1" x14ac:dyDescent="0.35">
      <c r="A324" t="s">
        <v>3317</v>
      </c>
      <c r="B324" t="s">
        <v>249</v>
      </c>
      <c r="D324" t="s">
        <v>6230</v>
      </c>
      <c r="E324" t="s">
        <v>3616</v>
      </c>
      <c r="F324" t="s">
        <v>3617</v>
      </c>
      <c r="G324" t="s">
        <v>6231</v>
      </c>
      <c r="H324" t="s">
        <v>6232</v>
      </c>
      <c r="I324" t="s">
        <v>5368</v>
      </c>
      <c r="J324" t="s">
        <v>3203</v>
      </c>
      <c r="K324" t="s">
        <v>3203</v>
      </c>
      <c r="L324" t="s">
        <v>897</v>
      </c>
      <c r="M324" t="s">
        <v>3180</v>
      </c>
      <c r="N324" t="s">
        <v>89</v>
      </c>
      <c r="O324" t="s">
        <v>3088</v>
      </c>
      <c r="P324">
        <v>0</v>
      </c>
      <c r="Q324" t="s">
        <v>3075</v>
      </c>
      <c r="R324" t="s">
        <v>2513</v>
      </c>
      <c r="S324" t="s">
        <v>5374</v>
      </c>
      <c r="T324" t="s">
        <v>1576</v>
      </c>
      <c r="U324" t="s">
        <v>6233</v>
      </c>
      <c r="V324" s="17">
        <v>45351</v>
      </c>
      <c r="W324" s="17">
        <v>45358</v>
      </c>
      <c r="X324" s="17">
        <v>45388</v>
      </c>
      <c r="Y324">
        <v>-774</v>
      </c>
      <c r="Z324">
        <v>1</v>
      </c>
      <c r="AA324">
        <v>1</v>
      </c>
      <c r="AB324">
        <v>1564.5333333333333</v>
      </c>
      <c r="AC324" s="17"/>
      <c r="AE324">
        <v>33500</v>
      </c>
      <c r="AF324">
        <v>33500</v>
      </c>
      <c r="AG324">
        <v>33500</v>
      </c>
      <c r="AH324">
        <v>33500</v>
      </c>
      <c r="AI324">
        <v>0</v>
      </c>
      <c r="AJ324">
        <v>0</v>
      </c>
      <c r="AW324">
        <v>0</v>
      </c>
      <c r="BJ324">
        <v>0</v>
      </c>
      <c r="BW324">
        <v>33500</v>
      </c>
      <c r="BZ324">
        <v>16750</v>
      </c>
      <c r="CA324">
        <v>16750</v>
      </c>
      <c r="CJ324">
        <v>0</v>
      </c>
      <c r="CW324">
        <v>0</v>
      </c>
      <c r="DJ324">
        <v>0</v>
      </c>
      <c r="DW324">
        <v>0</v>
      </c>
      <c r="EJ324">
        <v>0</v>
      </c>
    </row>
    <row r="325" spans="1:140" hidden="1" x14ac:dyDescent="0.35">
      <c r="A325" t="s">
        <v>3317</v>
      </c>
      <c r="B325" t="s">
        <v>249</v>
      </c>
      <c r="D325" t="s">
        <v>6234</v>
      </c>
      <c r="E325" t="s">
        <v>4595</v>
      </c>
      <c r="F325" t="s">
        <v>4596</v>
      </c>
      <c r="G325" t="s">
        <v>4597</v>
      </c>
      <c r="H325" t="s">
        <v>6235</v>
      </c>
      <c r="I325" t="s">
        <v>5368</v>
      </c>
      <c r="J325" t="s">
        <v>3203</v>
      </c>
      <c r="K325" t="s">
        <v>3203</v>
      </c>
      <c r="L325" t="s">
        <v>235</v>
      </c>
      <c r="M325" t="s">
        <v>3139</v>
      </c>
      <c r="N325" t="s">
        <v>89</v>
      </c>
      <c r="O325" t="s">
        <v>3088</v>
      </c>
      <c r="P325">
        <v>0</v>
      </c>
      <c r="Q325" t="s">
        <v>3075</v>
      </c>
      <c r="R325">
        <v>0</v>
      </c>
      <c r="S325">
        <v>0</v>
      </c>
      <c r="T325" t="s">
        <v>5369</v>
      </c>
      <c r="U325" t="s">
        <v>6236</v>
      </c>
      <c r="V325" s="17">
        <v>44945</v>
      </c>
      <c r="W325" s="17"/>
      <c r="X325" s="17"/>
      <c r="Y325">
        <v>-46162</v>
      </c>
      <c r="Z325">
        <v>1</v>
      </c>
      <c r="AA325">
        <v>0</v>
      </c>
      <c r="AB325">
        <v>3077.4666666666667</v>
      </c>
      <c r="AC325" s="17"/>
      <c r="AE325">
        <v>0</v>
      </c>
      <c r="AF325">
        <v>62000</v>
      </c>
      <c r="AH325">
        <v>62000</v>
      </c>
      <c r="AI325">
        <v>0</v>
      </c>
      <c r="AJ325">
        <v>0</v>
      </c>
      <c r="AW325">
        <v>0</v>
      </c>
      <c r="BJ325">
        <v>62000</v>
      </c>
      <c r="BL325">
        <v>62000</v>
      </c>
      <c r="BW325">
        <v>0</v>
      </c>
      <c r="CJ325">
        <v>0</v>
      </c>
      <c r="CW325">
        <v>0</v>
      </c>
      <c r="DJ325">
        <v>0</v>
      </c>
      <c r="DW325">
        <v>0</v>
      </c>
      <c r="EJ325">
        <v>0</v>
      </c>
    </row>
    <row r="326" spans="1:140" hidden="1" x14ac:dyDescent="0.35">
      <c r="A326" t="s">
        <v>3317</v>
      </c>
      <c r="B326" t="s">
        <v>249</v>
      </c>
      <c r="D326" t="s">
        <v>6237</v>
      </c>
      <c r="E326" t="s">
        <v>945</v>
      </c>
      <c r="F326" t="s">
        <v>3376</v>
      </c>
      <c r="G326" t="s">
        <v>3377</v>
      </c>
      <c r="H326" t="s">
        <v>6238</v>
      </c>
      <c r="I326" t="s">
        <v>5368</v>
      </c>
      <c r="J326" t="s">
        <v>3079</v>
      </c>
      <c r="K326" t="s">
        <v>3079</v>
      </c>
      <c r="L326" t="s">
        <v>235</v>
      </c>
      <c r="M326" t="s">
        <v>3139</v>
      </c>
      <c r="N326" t="s">
        <v>1082</v>
      </c>
      <c r="O326" t="s">
        <v>3070</v>
      </c>
      <c r="P326">
        <v>0</v>
      </c>
      <c r="Q326" t="s">
        <v>3075</v>
      </c>
      <c r="R326" t="s">
        <v>1580</v>
      </c>
      <c r="S326" t="s">
        <v>5374</v>
      </c>
      <c r="T326" t="s">
        <v>2704</v>
      </c>
      <c r="U326" t="s">
        <v>6239</v>
      </c>
      <c r="V326" s="17">
        <v>45320</v>
      </c>
      <c r="W326" s="17">
        <v>45327</v>
      </c>
      <c r="X326" s="17">
        <v>45436</v>
      </c>
      <c r="Y326">
        <v>-726</v>
      </c>
      <c r="Z326">
        <v>4</v>
      </c>
      <c r="AA326">
        <v>3.6333333333333333</v>
      </c>
      <c r="AB326">
        <v>1562.9333333333334</v>
      </c>
      <c r="AC326" s="17"/>
      <c r="AE326">
        <v>35997.870000000003</v>
      </c>
      <c r="AF326">
        <v>143991.48000000001</v>
      </c>
      <c r="AG326">
        <v>39630.6826</v>
      </c>
      <c r="AH326">
        <v>143991.48000000001</v>
      </c>
      <c r="AI326">
        <v>0</v>
      </c>
      <c r="AJ326">
        <v>0</v>
      </c>
      <c r="AW326">
        <v>0</v>
      </c>
      <c r="BJ326">
        <v>0</v>
      </c>
      <c r="BW326">
        <v>143991.48000000001</v>
      </c>
      <c r="BY326">
        <v>35997.870000000003</v>
      </c>
      <c r="BZ326">
        <v>35997.870000000003</v>
      </c>
      <c r="CA326">
        <v>35997.870000000003</v>
      </c>
      <c r="CB326">
        <v>35997.870000000003</v>
      </c>
      <c r="CJ326">
        <v>0</v>
      </c>
      <c r="CW326">
        <v>0</v>
      </c>
      <c r="DJ326">
        <v>0</v>
      </c>
      <c r="DW326">
        <v>0</v>
      </c>
      <c r="EJ326">
        <v>0</v>
      </c>
    </row>
    <row r="327" spans="1:140" hidden="1" x14ac:dyDescent="0.35">
      <c r="A327" t="s">
        <v>3317</v>
      </c>
      <c r="B327" t="s">
        <v>249</v>
      </c>
      <c r="D327" t="s">
        <v>6240</v>
      </c>
      <c r="E327" t="s">
        <v>4600</v>
      </c>
      <c r="F327" t="s">
        <v>4601</v>
      </c>
      <c r="G327" t="s">
        <v>4602</v>
      </c>
      <c r="H327" t="s">
        <v>6241</v>
      </c>
      <c r="I327" t="s">
        <v>5368</v>
      </c>
      <c r="J327" t="s">
        <v>3203</v>
      </c>
      <c r="K327" t="s">
        <v>3203</v>
      </c>
      <c r="L327" t="s">
        <v>235</v>
      </c>
      <c r="M327" t="s">
        <v>3139</v>
      </c>
      <c r="N327" t="s">
        <v>4603</v>
      </c>
      <c r="O327" t="s">
        <v>4604</v>
      </c>
      <c r="P327">
        <v>0</v>
      </c>
      <c r="Q327" t="s">
        <v>3075</v>
      </c>
      <c r="R327" t="s">
        <v>4394</v>
      </c>
      <c r="S327" t="s">
        <v>5374</v>
      </c>
      <c r="T327" t="s">
        <v>5485</v>
      </c>
      <c r="U327" t="s">
        <v>6242</v>
      </c>
      <c r="V327" s="17">
        <v>45378</v>
      </c>
      <c r="W327" s="17">
        <v>45388</v>
      </c>
      <c r="X327" s="17">
        <v>45418</v>
      </c>
      <c r="Y327">
        <v>-744</v>
      </c>
      <c r="Z327">
        <v>1</v>
      </c>
      <c r="AA327">
        <v>1</v>
      </c>
      <c r="AB327">
        <v>1563.5333333333333</v>
      </c>
      <c r="AC327" s="17"/>
      <c r="AE327">
        <v>30000</v>
      </c>
      <c r="AF327">
        <v>30000</v>
      </c>
      <c r="AG327">
        <v>30000</v>
      </c>
      <c r="AH327">
        <v>30000</v>
      </c>
      <c r="AI327">
        <v>0</v>
      </c>
      <c r="AJ327">
        <v>0</v>
      </c>
      <c r="AW327">
        <v>0</v>
      </c>
      <c r="BJ327">
        <v>0</v>
      </c>
      <c r="BW327">
        <v>30000</v>
      </c>
      <c r="CA327">
        <v>30000</v>
      </c>
      <c r="CJ327">
        <v>0</v>
      </c>
      <c r="CW327">
        <v>0</v>
      </c>
      <c r="DJ327">
        <v>0</v>
      </c>
      <c r="DW327">
        <v>0</v>
      </c>
      <c r="EJ327">
        <v>0</v>
      </c>
    </row>
    <row r="328" spans="1:140" hidden="1" x14ac:dyDescent="0.35">
      <c r="A328" t="s">
        <v>3317</v>
      </c>
      <c r="B328" t="s">
        <v>249</v>
      </c>
      <c r="E328" t="s">
        <v>6243</v>
      </c>
      <c r="F328" t="s">
        <v>6244</v>
      </c>
      <c r="G328" t="s">
        <v>6243</v>
      </c>
      <c r="H328" t="s">
        <v>6245</v>
      </c>
      <c r="I328" t="s">
        <v>5368</v>
      </c>
      <c r="J328" t="s">
        <v>249</v>
      </c>
      <c r="K328" t="s">
        <v>249</v>
      </c>
      <c r="L328" t="s">
        <v>249</v>
      </c>
      <c r="M328" t="s">
        <v>249</v>
      </c>
      <c r="N328" t="s">
        <v>249</v>
      </c>
      <c r="O328" t="s">
        <v>249</v>
      </c>
      <c r="P328" t="s">
        <v>249</v>
      </c>
      <c r="Q328" t="s">
        <v>249</v>
      </c>
      <c r="R328" t="s">
        <v>249</v>
      </c>
      <c r="S328" t="s">
        <v>249</v>
      </c>
      <c r="T328" t="s">
        <v>249</v>
      </c>
      <c r="U328" t="s">
        <v>249</v>
      </c>
      <c r="V328" s="17"/>
      <c r="W328" s="17"/>
      <c r="X328" s="17"/>
      <c r="Y328">
        <v>-46162</v>
      </c>
      <c r="AA328">
        <v>0</v>
      </c>
      <c r="AB328">
        <v>3077.4666666666667</v>
      </c>
      <c r="AC328" s="17"/>
      <c r="AH328">
        <v>9990.98</v>
      </c>
      <c r="AJ328">
        <v>0</v>
      </c>
      <c r="AW328">
        <v>0</v>
      </c>
      <c r="BJ328">
        <v>9990.98</v>
      </c>
      <c r="BP328">
        <v>9990.98</v>
      </c>
      <c r="BW328">
        <v>0</v>
      </c>
      <c r="CJ328">
        <v>0</v>
      </c>
      <c r="CW328">
        <v>0</v>
      </c>
      <c r="DJ328">
        <v>0</v>
      </c>
      <c r="DW328">
        <v>0</v>
      </c>
      <c r="EJ328">
        <v>0</v>
      </c>
    </row>
    <row r="329" spans="1:140" hidden="1" x14ac:dyDescent="0.35">
      <c r="A329" t="s">
        <v>3317</v>
      </c>
      <c r="B329" t="s">
        <v>249</v>
      </c>
      <c r="D329" t="s">
        <v>6246</v>
      </c>
      <c r="E329" t="s">
        <v>5106</v>
      </c>
      <c r="F329" t="s">
        <v>5107</v>
      </c>
      <c r="G329" t="s">
        <v>5108</v>
      </c>
      <c r="H329" t="s">
        <v>6247</v>
      </c>
      <c r="I329" t="s">
        <v>5368</v>
      </c>
      <c r="J329" t="s">
        <v>5102</v>
      </c>
      <c r="K329" t="s">
        <v>5102</v>
      </c>
      <c r="L329" t="s">
        <v>5109</v>
      </c>
      <c r="M329" t="s">
        <v>3153</v>
      </c>
      <c r="N329" t="s">
        <v>447</v>
      </c>
      <c r="O329" t="s">
        <v>3088</v>
      </c>
      <c r="P329">
        <v>0</v>
      </c>
      <c r="Q329" t="s">
        <v>3075</v>
      </c>
      <c r="R329" t="s">
        <v>2403</v>
      </c>
      <c r="S329" t="s">
        <v>5452</v>
      </c>
      <c r="T329">
        <v>0</v>
      </c>
      <c r="U329" t="s">
        <v>6248</v>
      </c>
      <c r="V329" s="17">
        <v>45404</v>
      </c>
      <c r="W329" s="17">
        <v>45401</v>
      </c>
      <c r="X329" s="17">
        <v>45431</v>
      </c>
      <c r="Y329">
        <v>-731</v>
      </c>
      <c r="Z329">
        <v>1</v>
      </c>
      <c r="AA329">
        <v>1</v>
      </c>
      <c r="AB329">
        <v>1563.1</v>
      </c>
      <c r="AC329" s="17"/>
      <c r="AE329">
        <v>38760</v>
      </c>
      <c r="AF329">
        <v>38760</v>
      </c>
      <c r="AG329">
        <v>38760</v>
      </c>
      <c r="AH329">
        <v>38760</v>
      </c>
      <c r="AI329">
        <v>0</v>
      </c>
      <c r="AJ329">
        <v>0</v>
      </c>
      <c r="AW329">
        <v>0</v>
      </c>
      <c r="BJ329">
        <v>0</v>
      </c>
      <c r="BW329">
        <v>38760</v>
      </c>
      <c r="CB329">
        <v>19380</v>
      </c>
      <c r="CC329">
        <v>19380</v>
      </c>
      <c r="CJ329">
        <v>0</v>
      </c>
      <c r="CW329">
        <v>0</v>
      </c>
      <c r="DJ329">
        <v>0</v>
      </c>
      <c r="DW329">
        <v>0</v>
      </c>
      <c r="EJ329">
        <v>0</v>
      </c>
    </row>
    <row r="330" spans="1:140" hidden="1" x14ac:dyDescent="0.35">
      <c r="A330" t="s">
        <v>3317</v>
      </c>
      <c r="B330" t="s">
        <v>249</v>
      </c>
      <c r="D330" t="s">
        <v>6249</v>
      </c>
      <c r="E330" t="s">
        <v>3525</v>
      </c>
      <c r="F330" t="s">
        <v>3526</v>
      </c>
      <c r="G330" t="s">
        <v>3527</v>
      </c>
      <c r="H330" t="s">
        <v>6250</v>
      </c>
      <c r="I330" t="s">
        <v>5368</v>
      </c>
      <c r="J330" t="s">
        <v>3108</v>
      </c>
      <c r="K330" t="s">
        <v>3108</v>
      </c>
      <c r="L330" t="s">
        <v>252</v>
      </c>
      <c r="M330" t="s">
        <v>3087</v>
      </c>
      <c r="N330" t="s">
        <v>252</v>
      </c>
      <c r="O330" t="s">
        <v>3153</v>
      </c>
      <c r="P330">
        <v>0</v>
      </c>
      <c r="Q330" t="s">
        <v>3075</v>
      </c>
      <c r="R330" t="s">
        <v>2464</v>
      </c>
      <c r="S330" t="s">
        <v>5374</v>
      </c>
      <c r="T330" t="s">
        <v>1576</v>
      </c>
      <c r="U330" t="s">
        <v>6251</v>
      </c>
      <c r="V330" s="17">
        <v>45406</v>
      </c>
      <c r="W330" s="17">
        <v>45405</v>
      </c>
      <c r="X330" s="17">
        <v>45430</v>
      </c>
      <c r="Y330">
        <v>-732</v>
      </c>
      <c r="Z330">
        <v>1</v>
      </c>
      <c r="AA330">
        <v>0.83333333333333337</v>
      </c>
      <c r="AB330">
        <v>1563.1333333333334</v>
      </c>
      <c r="AC330" s="17"/>
      <c r="AE330">
        <v>18189.95</v>
      </c>
      <c r="AF330">
        <v>18189.95</v>
      </c>
      <c r="AG330">
        <v>21827.94</v>
      </c>
      <c r="AH330">
        <v>18189.95</v>
      </c>
      <c r="AI330">
        <v>0</v>
      </c>
      <c r="AJ330">
        <v>0</v>
      </c>
      <c r="AW330">
        <v>0</v>
      </c>
      <c r="BJ330">
        <v>0</v>
      </c>
      <c r="BW330">
        <v>18189.95</v>
      </c>
      <c r="CB330">
        <v>18189.95</v>
      </c>
      <c r="CJ330">
        <v>0</v>
      </c>
      <c r="CW330">
        <v>0</v>
      </c>
      <c r="DJ330">
        <v>0</v>
      </c>
      <c r="DW330">
        <v>0</v>
      </c>
      <c r="EJ330">
        <v>0</v>
      </c>
    </row>
    <row r="331" spans="1:140" hidden="1" x14ac:dyDescent="0.35">
      <c r="A331" t="s">
        <v>3317</v>
      </c>
      <c r="B331" t="s">
        <v>249</v>
      </c>
      <c r="D331" t="s">
        <v>6252</v>
      </c>
      <c r="E331" t="s">
        <v>4584</v>
      </c>
      <c r="F331" t="s">
        <v>4585</v>
      </c>
      <c r="G331" t="s">
        <v>4586</v>
      </c>
      <c r="H331" t="s">
        <v>6253</v>
      </c>
      <c r="I331" t="s">
        <v>5368</v>
      </c>
      <c r="J331" t="s">
        <v>3203</v>
      </c>
      <c r="K331" t="s">
        <v>3203</v>
      </c>
      <c r="L331" t="s">
        <v>990</v>
      </c>
      <c r="M331" t="s">
        <v>3087</v>
      </c>
      <c r="N331" t="s">
        <v>132</v>
      </c>
      <c r="O331" t="s">
        <v>3070</v>
      </c>
      <c r="P331">
        <v>0</v>
      </c>
      <c r="Q331" t="s">
        <v>3075</v>
      </c>
      <c r="R331" t="s">
        <v>4394</v>
      </c>
      <c r="S331" t="s">
        <v>5374</v>
      </c>
      <c r="T331" t="s">
        <v>1576</v>
      </c>
      <c r="U331" t="s">
        <v>6254</v>
      </c>
      <c r="V331" s="17">
        <v>45406</v>
      </c>
      <c r="W331" s="17">
        <v>45415</v>
      </c>
      <c r="X331" s="17">
        <v>45445</v>
      </c>
      <c r="Y331">
        <v>-717</v>
      </c>
      <c r="Z331">
        <v>1</v>
      </c>
      <c r="AA331">
        <v>1</v>
      </c>
      <c r="AB331">
        <v>1562.6333333333334</v>
      </c>
      <c r="AC331" s="17"/>
      <c r="AE331">
        <v>30000</v>
      </c>
      <c r="AF331">
        <v>30000</v>
      </c>
      <c r="AG331">
        <v>30000</v>
      </c>
      <c r="AH331">
        <v>30000</v>
      </c>
      <c r="AI331">
        <v>0</v>
      </c>
      <c r="AJ331">
        <v>0</v>
      </c>
      <c r="AW331">
        <v>0</v>
      </c>
      <c r="BJ331">
        <v>0</v>
      </c>
      <c r="BW331">
        <v>30000</v>
      </c>
      <c r="CA331">
        <v>17000</v>
      </c>
      <c r="CB331">
        <v>13000</v>
      </c>
      <c r="CJ331">
        <v>0</v>
      </c>
      <c r="CW331">
        <v>0</v>
      </c>
      <c r="DJ331">
        <v>0</v>
      </c>
      <c r="DW331">
        <v>0</v>
      </c>
      <c r="EJ331">
        <v>0</v>
      </c>
    </row>
    <row r="332" spans="1:140" hidden="1" x14ac:dyDescent="0.35">
      <c r="A332" t="s">
        <v>3317</v>
      </c>
      <c r="B332" t="s">
        <v>249</v>
      </c>
      <c r="D332" t="s">
        <v>6255</v>
      </c>
      <c r="E332" t="s">
        <v>5097</v>
      </c>
      <c r="F332" t="s">
        <v>5098</v>
      </c>
      <c r="G332" t="s">
        <v>5099</v>
      </c>
      <c r="H332" t="s">
        <v>6256</v>
      </c>
      <c r="I332" t="s">
        <v>5368</v>
      </c>
      <c r="J332" t="s">
        <v>5102</v>
      </c>
      <c r="K332" t="s">
        <v>5102</v>
      </c>
      <c r="L332" t="s">
        <v>5101</v>
      </c>
      <c r="M332" t="s">
        <v>3153</v>
      </c>
      <c r="N332" t="s">
        <v>5101</v>
      </c>
      <c r="O332" t="s">
        <v>3153</v>
      </c>
      <c r="P332">
        <v>0</v>
      </c>
      <c r="Q332" t="s">
        <v>3075</v>
      </c>
      <c r="R332" t="s">
        <v>2403</v>
      </c>
      <c r="S332" t="s">
        <v>5452</v>
      </c>
      <c r="T332" t="s">
        <v>2403</v>
      </c>
      <c r="U332" t="s">
        <v>6257</v>
      </c>
      <c r="V332" s="17">
        <v>45415</v>
      </c>
      <c r="W332" s="17">
        <v>45427</v>
      </c>
      <c r="X332" s="17">
        <v>45487</v>
      </c>
      <c r="Y332">
        <v>-675</v>
      </c>
      <c r="Z332">
        <v>2</v>
      </c>
      <c r="AA332">
        <v>2</v>
      </c>
      <c r="AB332">
        <v>1561.2333333333333</v>
      </c>
      <c r="AC332" s="17"/>
      <c r="AE332">
        <v>35000</v>
      </c>
      <c r="AF332">
        <v>70000</v>
      </c>
      <c r="AG332">
        <v>35000</v>
      </c>
      <c r="AH332">
        <v>70000</v>
      </c>
      <c r="AI332">
        <v>0</v>
      </c>
      <c r="AJ332">
        <v>0</v>
      </c>
      <c r="AW332">
        <v>0</v>
      </c>
      <c r="BJ332">
        <v>0</v>
      </c>
      <c r="BW332">
        <v>70000</v>
      </c>
      <c r="CB332">
        <v>35000</v>
      </c>
      <c r="CC332">
        <v>31500</v>
      </c>
      <c r="CD332">
        <v>3500</v>
      </c>
      <c r="CJ332">
        <v>0</v>
      </c>
      <c r="CW332">
        <v>0</v>
      </c>
      <c r="DJ332">
        <v>0</v>
      </c>
      <c r="DW332">
        <v>0</v>
      </c>
      <c r="EJ332">
        <v>0</v>
      </c>
    </row>
    <row r="333" spans="1:140" hidden="1" x14ac:dyDescent="0.35">
      <c r="A333" t="s">
        <v>3317</v>
      </c>
      <c r="B333" t="s">
        <v>249</v>
      </c>
      <c r="D333" t="s">
        <v>6258</v>
      </c>
      <c r="E333" t="s">
        <v>4630</v>
      </c>
      <c r="F333" t="s">
        <v>4631</v>
      </c>
      <c r="G333" t="s">
        <v>6259</v>
      </c>
      <c r="H333" t="s">
        <v>6260</v>
      </c>
      <c r="I333" t="s">
        <v>5368</v>
      </c>
      <c r="J333" t="s">
        <v>3108</v>
      </c>
      <c r="K333" t="s">
        <v>3108</v>
      </c>
      <c r="L333" t="s">
        <v>4633</v>
      </c>
      <c r="M333" t="s">
        <v>249</v>
      </c>
      <c r="N333" t="s">
        <v>4634</v>
      </c>
      <c r="O333" t="s">
        <v>3107</v>
      </c>
      <c r="P333">
        <v>0</v>
      </c>
      <c r="Q333" t="s">
        <v>3075</v>
      </c>
      <c r="R333" t="s">
        <v>4394</v>
      </c>
      <c r="S333" t="s">
        <v>5452</v>
      </c>
      <c r="T333" t="s">
        <v>1576</v>
      </c>
      <c r="U333" t="s">
        <v>6261</v>
      </c>
      <c r="V333" s="17">
        <v>45433</v>
      </c>
      <c r="W333" s="17">
        <v>45440</v>
      </c>
      <c r="X333" s="17">
        <v>45470</v>
      </c>
      <c r="Y333">
        <v>-692</v>
      </c>
      <c r="Z333">
        <v>1</v>
      </c>
      <c r="AA333">
        <v>1</v>
      </c>
      <c r="AB333">
        <v>1561.8</v>
      </c>
      <c r="AC333" s="17"/>
      <c r="AE333">
        <v>4700</v>
      </c>
      <c r="AF333">
        <v>4700</v>
      </c>
      <c r="AG333">
        <v>4700</v>
      </c>
      <c r="AH333">
        <v>4700</v>
      </c>
      <c r="AI333">
        <v>0</v>
      </c>
      <c r="AJ333">
        <v>0</v>
      </c>
      <c r="AW333">
        <v>0</v>
      </c>
      <c r="BJ333">
        <v>0</v>
      </c>
      <c r="BW333">
        <v>4700</v>
      </c>
      <c r="CC333">
        <v>4700</v>
      </c>
      <c r="CJ333">
        <v>0</v>
      </c>
      <c r="CW333">
        <v>0</v>
      </c>
      <c r="DJ333">
        <v>0</v>
      </c>
      <c r="DW333">
        <v>0</v>
      </c>
      <c r="EJ333">
        <v>0</v>
      </c>
    </row>
    <row r="334" spans="1:140" hidden="1" x14ac:dyDescent="0.35">
      <c r="A334" t="s">
        <v>3317</v>
      </c>
      <c r="B334" t="s">
        <v>249</v>
      </c>
      <c r="D334" t="s">
        <v>6262</v>
      </c>
      <c r="E334" t="s">
        <v>4607</v>
      </c>
      <c r="F334" t="s">
        <v>4608</v>
      </c>
      <c r="G334" t="s">
        <v>4609</v>
      </c>
      <c r="H334" t="s">
        <v>6263</v>
      </c>
      <c r="I334" t="s">
        <v>5368</v>
      </c>
      <c r="J334" t="s">
        <v>3203</v>
      </c>
      <c r="K334" t="s">
        <v>3203</v>
      </c>
      <c r="L334" t="s">
        <v>219</v>
      </c>
      <c r="M334" t="s">
        <v>3087</v>
      </c>
      <c r="N334" t="s">
        <v>4610</v>
      </c>
      <c r="O334" t="s">
        <v>3989</v>
      </c>
      <c r="P334">
        <v>0</v>
      </c>
      <c r="Q334" t="s">
        <v>3075</v>
      </c>
      <c r="R334" t="s">
        <v>4394</v>
      </c>
      <c r="S334" t="s">
        <v>5374</v>
      </c>
      <c r="T334">
        <v>0</v>
      </c>
      <c r="U334" t="s">
        <v>6264</v>
      </c>
      <c r="V334" s="17">
        <v>45454</v>
      </c>
      <c r="W334" s="17">
        <v>45461</v>
      </c>
      <c r="X334" s="17">
        <v>45493</v>
      </c>
      <c r="Y334">
        <v>-669</v>
      </c>
      <c r="Z334">
        <v>1</v>
      </c>
      <c r="AA334">
        <v>1.0666666666666667</v>
      </c>
      <c r="AB334">
        <v>1561.0333333333333</v>
      </c>
      <c r="AC334" s="17"/>
      <c r="AE334">
        <v>33139.919999999998</v>
      </c>
      <c r="AF334">
        <v>33139.919999999998</v>
      </c>
      <c r="AG334">
        <v>31068.674999999999</v>
      </c>
      <c r="AH334">
        <v>33139.919999999998</v>
      </c>
      <c r="AI334">
        <v>0</v>
      </c>
      <c r="AJ334">
        <v>0</v>
      </c>
      <c r="AW334">
        <v>0</v>
      </c>
      <c r="BJ334">
        <v>0</v>
      </c>
      <c r="BW334">
        <v>33139.919999999998</v>
      </c>
      <c r="CC334">
        <v>16569.96</v>
      </c>
      <c r="CD334">
        <v>16569.96</v>
      </c>
      <c r="CJ334">
        <v>0</v>
      </c>
      <c r="CW334">
        <v>0</v>
      </c>
      <c r="DJ334">
        <v>0</v>
      </c>
      <c r="DW334">
        <v>0</v>
      </c>
      <c r="EJ334">
        <v>0</v>
      </c>
    </row>
    <row r="335" spans="1:140" hidden="1" x14ac:dyDescent="0.35">
      <c r="A335" t="s">
        <v>3317</v>
      </c>
      <c r="B335" t="s">
        <v>249</v>
      </c>
      <c r="D335" t="s">
        <v>6265</v>
      </c>
      <c r="E335" t="s">
        <v>3594</v>
      </c>
      <c r="F335" t="s">
        <v>3595</v>
      </c>
      <c r="G335" t="s">
        <v>6266</v>
      </c>
      <c r="H335" t="s">
        <v>6267</v>
      </c>
      <c r="I335" t="s">
        <v>5368</v>
      </c>
      <c r="J335" t="s">
        <v>3203</v>
      </c>
      <c r="K335" t="s">
        <v>3203</v>
      </c>
      <c r="L335" t="s">
        <v>996</v>
      </c>
      <c r="M335" t="s">
        <v>3597</v>
      </c>
      <c r="N335" t="s">
        <v>89</v>
      </c>
      <c r="O335" t="s">
        <v>3088</v>
      </c>
      <c r="P335">
        <v>0</v>
      </c>
      <c r="Q335" t="s">
        <v>3075</v>
      </c>
      <c r="R335" t="s">
        <v>1580</v>
      </c>
      <c r="S335" t="s">
        <v>5452</v>
      </c>
      <c r="T335" t="s">
        <v>1576</v>
      </c>
      <c r="U335" t="s">
        <v>6268</v>
      </c>
      <c r="V335" s="17">
        <v>45460</v>
      </c>
      <c r="W335" s="17">
        <v>45460</v>
      </c>
      <c r="X335" s="17">
        <v>45477</v>
      </c>
      <c r="Y335">
        <v>-685</v>
      </c>
      <c r="Z335">
        <v>1</v>
      </c>
      <c r="AA335">
        <v>0.56666666666666665</v>
      </c>
      <c r="AB335">
        <v>1561.5666666666666</v>
      </c>
      <c r="AC335" s="17"/>
      <c r="AE335">
        <v>35000</v>
      </c>
      <c r="AF335">
        <v>35000</v>
      </c>
      <c r="AG335">
        <v>61764.705900000001</v>
      </c>
      <c r="AH335">
        <v>35000</v>
      </c>
      <c r="AI335">
        <v>0</v>
      </c>
      <c r="AJ335">
        <v>0</v>
      </c>
      <c r="AW335">
        <v>0</v>
      </c>
      <c r="BJ335">
        <v>0</v>
      </c>
      <c r="BW335">
        <v>35000</v>
      </c>
      <c r="CD335">
        <v>35000</v>
      </c>
      <c r="CJ335">
        <v>0</v>
      </c>
      <c r="CW335">
        <v>0</v>
      </c>
      <c r="DJ335">
        <v>0</v>
      </c>
      <c r="DW335">
        <v>0</v>
      </c>
      <c r="EJ335">
        <v>0</v>
      </c>
    </row>
    <row r="336" spans="1:140" hidden="1" x14ac:dyDescent="0.35">
      <c r="A336" t="s">
        <v>3317</v>
      </c>
      <c r="B336" t="s">
        <v>249</v>
      </c>
      <c r="D336" t="s">
        <v>6269</v>
      </c>
      <c r="E336" t="s">
        <v>4681</v>
      </c>
      <c r="F336" t="s">
        <v>4682</v>
      </c>
      <c r="G336" t="s">
        <v>4683</v>
      </c>
      <c r="H336" t="s">
        <v>6270</v>
      </c>
      <c r="I336" t="s">
        <v>5368</v>
      </c>
      <c r="J336" t="s">
        <v>3203</v>
      </c>
      <c r="K336" t="s">
        <v>3203</v>
      </c>
      <c r="L336" t="s">
        <v>3287</v>
      </c>
      <c r="M336" t="s">
        <v>3069</v>
      </c>
      <c r="N336" t="s">
        <v>89</v>
      </c>
      <c r="O336" t="s">
        <v>3088</v>
      </c>
      <c r="P336">
        <v>0</v>
      </c>
      <c r="Q336" t="s">
        <v>3075</v>
      </c>
      <c r="R336" t="s">
        <v>4394</v>
      </c>
      <c r="S336">
        <v>0</v>
      </c>
      <c r="T336" t="s">
        <v>1576</v>
      </c>
      <c r="U336" t="s">
        <v>6271</v>
      </c>
      <c r="V336" s="17">
        <v>0</v>
      </c>
      <c r="W336" s="17">
        <v>45425</v>
      </c>
      <c r="X336" s="17">
        <v>45428</v>
      </c>
      <c r="Y336">
        <v>-734</v>
      </c>
      <c r="Z336">
        <v>1</v>
      </c>
      <c r="AA336">
        <v>0.1</v>
      </c>
      <c r="AB336">
        <v>1563.2</v>
      </c>
      <c r="AC336" s="17"/>
      <c r="AE336">
        <v>2500</v>
      </c>
      <c r="AF336">
        <v>2500</v>
      </c>
      <c r="AG336">
        <v>25000</v>
      </c>
      <c r="AH336">
        <v>2500</v>
      </c>
      <c r="AI336">
        <v>0</v>
      </c>
      <c r="AJ336">
        <v>0</v>
      </c>
      <c r="AW336">
        <v>0</v>
      </c>
      <c r="BJ336">
        <v>0</v>
      </c>
      <c r="BW336">
        <v>2500</v>
      </c>
      <c r="CC336">
        <v>2500</v>
      </c>
      <c r="CJ336">
        <v>0</v>
      </c>
      <c r="CW336">
        <v>0</v>
      </c>
      <c r="DJ336">
        <v>0</v>
      </c>
      <c r="DW336">
        <v>0</v>
      </c>
      <c r="EJ336">
        <v>0</v>
      </c>
    </row>
    <row r="337" spans="1:140" hidden="1" x14ac:dyDescent="0.35">
      <c r="A337" t="s">
        <v>3317</v>
      </c>
      <c r="B337" t="s">
        <v>249</v>
      </c>
      <c r="D337" t="s">
        <v>6272</v>
      </c>
      <c r="E337" t="s">
        <v>1026</v>
      </c>
      <c r="F337" t="s">
        <v>3664</v>
      </c>
      <c r="G337" t="s">
        <v>3665</v>
      </c>
      <c r="H337" t="s">
        <v>6273</v>
      </c>
      <c r="I337" t="s">
        <v>5368</v>
      </c>
      <c r="J337" t="s">
        <v>3071</v>
      </c>
      <c r="K337" t="s">
        <v>3071</v>
      </c>
      <c r="L337" t="s">
        <v>3666</v>
      </c>
      <c r="M337" t="s">
        <v>3667</v>
      </c>
      <c r="N337" t="s">
        <v>326</v>
      </c>
      <c r="O337" t="s">
        <v>3512</v>
      </c>
      <c r="P337">
        <v>0</v>
      </c>
      <c r="Q337" t="s">
        <v>3075</v>
      </c>
      <c r="R337" t="s">
        <v>2513</v>
      </c>
      <c r="S337" t="s">
        <v>5452</v>
      </c>
      <c r="T337" t="s">
        <v>2363</v>
      </c>
      <c r="U337" t="s">
        <v>6274</v>
      </c>
      <c r="V337" s="17">
        <v>45492</v>
      </c>
      <c r="W337" s="17">
        <v>45525</v>
      </c>
      <c r="X337" s="17">
        <v>45647</v>
      </c>
      <c r="Y337">
        <v>-515</v>
      </c>
      <c r="Z337">
        <v>4</v>
      </c>
      <c r="AA337">
        <v>4.0666666666666664</v>
      </c>
      <c r="AB337">
        <v>1555.9</v>
      </c>
      <c r="AC337" s="17"/>
      <c r="AD337">
        <v>45621</v>
      </c>
      <c r="AE337">
        <v>20000</v>
      </c>
      <c r="AF337">
        <v>80000</v>
      </c>
      <c r="AG337">
        <v>19672.131099999999</v>
      </c>
      <c r="AH337">
        <v>80000</v>
      </c>
      <c r="AI337">
        <v>0</v>
      </c>
      <c r="AJ337">
        <v>0</v>
      </c>
      <c r="AW337">
        <v>0</v>
      </c>
      <c r="BJ337">
        <v>0</v>
      </c>
      <c r="BW337">
        <v>80000</v>
      </c>
      <c r="CE337">
        <v>20000</v>
      </c>
      <c r="CF337">
        <v>20000</v>
      </c>
      <c r="CG337">
        <v>20000</v>
      </c>
      <c r="CH337">
        <v>20000</v>
      </c>
      <c r="CJ337">
        <v>0</v>
      </c>
      <c r="CW337">
        <v>0</v>
      </c>
      <c r="DJ337">
        <v>0</v>
      </c>
      <c r="DW337">
        <v>0</v>
      </c>
      <c r="EJ337">
        <v>0</v>
      </c>
    </row>
    <row r="338" spans="1:140" hidden="1" x14ac:dyDescent="0.35">
      <c r="A338" t="s">
        <v>3067</v>
      </c>
      <c r="B338" t="s">
        <v>249</v>
      </c>
      <c r="D338" t="s">
        <v>6275</v>
      </c>
      <c r="E338" t="s">
        <v>1019</v>
      </c>
      <c r="F338" t="s">
        <v>3640</v>
      </c>
      <c r="G338" t="s">
        <v>3641</v>
      </c>
      <c r="H338" t="s">
        <v>6276</v>
      </c>
      <c r="I338" t="s">
        <v>5368</v>
      </c>
      <c r="J338" t="s">
        <v>3071</v>
      </c>
      <c r="K338" t="s">
        <v>3071</v>
      </c>
      <c r="L338" t="s">
        <v>990</v>
      </c>
      <c r="M338" t="s">
        <v>3087</v>
      </c>
      <c r="N338" t="s">
        <v>132</v>
      </c>
      <c r="O338" t="s">
        <v>3070</v>
      </c>
      <c r="P338">
        <v>0</v>
      </c>
      <c r="Q338" t="s">
        <v>3075</v>
      </c>
      <c r="R338" t="s">
        <v>1580</v>
      </c>
      <c r="S338" t="s">
        <v>5374</v>
      </c>
      <c r="T338" t="s">
        <v>2319</v>
      </c>
      <c r="U338" t="s">
        <v>6277</v>
      </c>
      <c r="V338" s="17">
        <v>45534</v>
      </c>
      <c r="W338" s="17">
        <v>45537</v>
      </c>
      <c r="X338" s="17">
        <v>45717</v>
      </c>
      <c r="Y338">
        <v>-445</v>
      </c>
      <c r="Z338">
        <v>6</v>
      </c>
      <c r="AA338">
        <v>6</v>
      </c>
      <c r="AB338">
        <v>1553.5666666666666</v>
      </c>
      <c r="AC338" s="17">
        <v>45625</v>
      </c>
      <c r="AE338">
        <v>19208.334999999999</v>
      </c>
      <c r="AF338">
        <v>230500.02</v>
      </c>
      <c r="AG338">
        <v>38416.67</v>
      </c>
      <c r="AH338">
        <v>230500</v>
      </c>
      <c r="AI338">
        <v>-0.02</v>
      </c>
      <c r="AJ338">
        <v>0</v>
      </c>
      <c r="AW338">
        <v>0</v>
      </c>
      <c r="BJ338">
        <v>0</v>
      </c>
      <c r="BW338">
        <v>152750</v>
      </c>
      <c r="CF338">
        <v>40250</v>
      </c>
      <c r="CG338">
        <v>37500</v>
      </c>
      <c r="CH338">
        <v>37500</v>
      </c>
      <c r="CI338">
        <v>37500</v>
      </c>
      <c r="CJ338">
        <v>77750</v>
      </c>
      <c r="CK338">
        <v>37500</v>
      </c>
      <c r="CL338">
        <v>40250</v>
      </c>
      <c r="CW338">
        <v>0</v>
      </c>
      <c r="DJ338">
        <v>0</v>
      </c>
      <c r="DW338">
        <v>0</v>
      </c>
      <c r="EJ338">
        <v>77750</v>
      </c>
    </row>
    <row r="339" spans="1:140" hidden="1" x14ac:dyDescent="0.35">
      <c r="A339" t="s">
        <v>3317</v>
      </c>
      <c r="B339" t="s">
        <v>249</v>
      </c>
      <c r="D339" t="s">
        <v>6278</v>
      </c>
      <c r="E339" t="s">
        <v>973</v>
      </c>
      <c r="F339" t="s">
        <v>3656</v>
      </c>
      <c r="G339" t="s">
        <v>3657</v>
      </c>
      <c r="H339" t="s">
        <v>6279</v>
      </c>
      <c r="I339" t="s">
        <v>5368</v>
      </c>
      <c r="J339" t="s">
        <v>3071</v>
      </c>
      <c r="K339" t="s">
        <v>3071</v>
      </c>
      <c r="L339" t="s">
        <v>138</v>
      </c>
      <c r="M339" t="s">
        <v>3153</v>
      </c>
      <c r="N339" t="s">
        <v>3658</v>
      </c>
      <c r="O339" t="s">
        <v>3659</v>
      </c>
      <c r="P339">
        <v>0</v>
      </c>
      <c r="Q339" t="s">
        <v>3075</v>
      </c>
      <c r="R339" t="s">
        <v>2513</v>
      </c>
      <c r="S339" t="s">
        <v>5452</v>
      </c>
      <c r="T339" t="s">
        <v>1576</v>
      </c>
      <c r="U339" t="s">
        <v>6280</v>
      </c>
      <c r="V339" s="17">
        <v>45394</v>
      </c>
      <c r="W339" s="17">
        <v>45404</v>
      </c>
      <c r="X339" s="17">
        <v>45534</v>
      </c>
      <c r="Y339">
        <v>-628</v>
      </c>
      <c r="Z339">
        <v>4</v>
      </c>
      <c r="AA339">
        <v>4.333333333333333</v>
      </c>
      <c r="AB339">
        <v>1559.6666666666667</v>
      </c>
      <c r="AC339" s="17"/>
      <c r="AD339">
        <v>45606</v>
      </c>
      <c r="AE339">
        <v>33957</v>
      </c>
      <c r="AF339">
        <v>135828</v>
      </c>
      <c r="AG339">
        <v>31344.9231</v>
      </c>
      <c r="AH339">
        <v>209142</v>
      </c>
      <c r="AI339">
        <v>73314</v>
      </c>
      <c r="AJ339">
        <v>0</v>
      </c>
      <c r="AW339">
        <v>0</v>
      </c>
      <c r="BJ339">
        <v>0</v>
      </c>
      <c r="BW339">
        <v>209142</v>
      </c>
      <c r="CB339">
        <v>36657</v>
      </c>
      <c r="CC339">
        <v>33957</v>
      </c>
      <c r="CD339">
        <v>33957</v>
      </c>
      <c r="CE339">
        <v>33957</v>
      </c>
      <c r="CF339">
        <v>33957</v>
      </c>
      <c r="CG339">
        <v>36657</v>
      </c>
      <c r="CJ339">
        <v>0</v>
      </c>
      <c r="CW339">
        <v>0</v>
      </c>
      <c r="DJ339">
        <v>0</v>
      </c>
      <c r="DW339">
        <v>0</v>
      </c>
      <c r="EJ339">
        <v>0</v>
      </c>
    </row>
    <row r="340" spans="1:140" hidden="1" x14ac:dyDescent="0.35">
      <c r="A340" t="s">
        <v>3067</v>
      </c>
      <c r="B340" t="s">
        <v>249</v>
      </c>
      <c r="D340" t="s">
        <v>6281</v>
      </c>
      <c r="E340" t="s">
        <v>1009</v>
      </c>
      <c r="F340" t="s">
        <v>3645</v>
      </c>
      <c r="G340" t="s">
        <v>3646</v>
      </c>
      <c r="H340" t="s">
        <v>6282</v>
      </c>
      <c r="I340" t="s">
        <v>5368</v>
      </c>
      <c r="J340" t="s">
        <v>3071</v>
      </c>
      <c r="K340" t="s">
        <v>3071</v>
      </c>
      <c r="L340" t="s">
        <v>1007</v>
      </c>
      <c r="M340" t="s">
        <v>3153</v>
      </c>
      <c r="N340" t="s">
        <v>89</v>
      </c>
      <c r="O340" t="s">
        <v>3088</v>
      </c>
      <c r="P340">
        <v>0</v>
      </c>
      <c r="Q340" t="s">
        <v>3075</v>
      </c>
      <c r="R340" t="s">
        <v>2513</v>
      </c>
      <c r="S340" t="s">
        <v>5452</v>
      </c>
      <c r="T340" t="s">
        <v>2363</v>
      </c>
      <c r="U340" t="s">
        <v>6283</v>
      </c>
      <c r="V340" s="17">
        <v>45503</v>
      </c>
      <c r="W340" s="17">
        <v>45503</v>
      </c>
      <c r="X340" s="17">
        <v>45656</v>
      </c>
      <c r="Y340">
        <v>-506</v>
      </c>
      <c r="Z340">
        <v>6</v>
      </c>
      <c r="AA340">
        <v>5.0999999999999996</v>
      </c>
      <c r="AB340">
        <v>1555.6</v>
      </c>
      <c r="AC340" s="17">
        <v>45596</v>
      </c>
      <c r="AE340">
        <v>21000</v>
      </c>
      <c r="AF340">
        <v>126000</v>
      </c>
      <c r="AG340">
        <v>24705.882399999999</v>
      </c>
      <c r="AH340">
        <v>126000</v>
      </c>
      <c r="AI340">
        <v>0</v>
      </c>
      <c r="AJ340">
        <v>0</v>
      </c>
      <c r="AW340">
        <v>0</v>
      </c>
      <c r="BJ340">
        <v>0</v>
      </c>
      <c r="BW340">
        <v>105000</v>
      </c>
      <c r="CE340">
        <v>21000</v>
      </c>
      <c r="CF340">
        <v>21000</v>
      </c>
      <c r="CG340">
        <v>21000</v>
      </c>
      <c r="CH340">
        <v>21000</v>
      </c>
      <c r="CI340">
        <v>21000</v>
      </c>
      <c r="CJ340">
        <v>21000</v>
      </c>
      <c r="CK340">
        <v>21000</v>
      </c>
      <c r="CW340">
        <v>0</v>
      </c>
      <c r="DJ340">
        <v>0</v>
      </c>
      <c r="DW340">
        <v>0</v>
      </c>
      <c r="EJ340">
        <v>21000</v>
      </c>
    </row>
    <row r="341" spans="1:140" hidden="1" x14ac:dyDescent="0.35">
      <c r="A341" t="s">
        <v>3317</v>
      </c>
      <c r="B341" t="s">
        <v>249</v>
      </c>
      <c r="D341" t="s">
        <v>6284</v>
      </c>
      <c r="E341" t="s">
        <v>3685</v>
      </c>
      <c r="F341" t="s">
        <v>3686</v>
      </c>
      <c r="G341" t="s">
        <v>6285</v>
      </c>
      <c r="H341" t="s">
        <v>6286</v>
      </c>
      <c r="I341" t="s">
        <v>5373</v>
      </c>
      <c r="J341" t="s">
        <v>3079</v>
      </c>
      <c r="K341" t="s">
        <v>3079</v>
      </c>
      <c r="L341" t="s">
        <v>395</v>
      </c>
      <c r="M341" t="s">
        <v>3130</v>
      </c>
      <c r="N341" t="s">
        <v>89</v>
      </c>
      <c r="O341" t="s">
        <v>3088</v>
      </c>
      <c r="P341">
        <v>0</v>
      </c>
      <c r="Q341" t="s">
        <v>3075</v>
      </c>
      <c r="R341" t="s">
        <v>2513</v>
      </c>
      <c r="S341" t="s">
        <v>5374</v>
      </c>
      <c r="T341" t="s">
        <v>5369</v>
      </c>
      <c r="U341" t="s">
        <v>6287</v>
      </c>
      <c r="V341" s="17">
        <v>45436</v>
      </c>
      <c r="W341" s="17">
        <v>45413</v>
      </c>
      <c r="X341" s="17">
        <v>45596</v>
      </c>
      <c r="Y341">
        <v>-566</v>
      </c>
      <c r="Z341">
        <v>6</v>
      </c>
      <c r="AA341">
        <v>6.1</v>
      </c>
      <c r="AB341">
        <v>1557.6</v>
      </c>
      <c r="AC341" s="17"/>
      <c r="AD341">
        <v>45596</v>
      </c>
      <c r="AE341">
        <v>24000</v>
      </c>
      <c r="AF341">
        <v>144000</v>
      </c>
      <c r="AG341">
        <v>23606.557400000002</v>
      </c>
      <c r="AH341">
        <v>144000</v>
      </c>
      <c r="AI341">
        <v>0</v>
      </c>
      <c r="AJ341">
        <v>0</v>
      </c>
      <c r="AW341">
        <v>0</v>
      </c>
      <c r="BJ341">
        <v>0</v>
      </c>
      <c r="BW341">
        <v>144000</v>
      </c>
      <c r="CB341">
        <v>24000</v>
      </c>
      <c r="CC341">
        <v>24000</v>
      </c>
      <c r="CD341">
        <v>24000</v>
      </c>
      <c r="CE341">
        <v>24000</v>
      </c>
      <c r="CF341">
        <v>24000</v>
      </c>
      <c r="CG341">
        <v>24000</v>
      </c>
      <c r="CJ341">
        <v>0</v>
      </c>
      <c r="CW341">
        <v>0</v>
      </c>
      <c r="DJ341">
        <v>0</v>
      </c>
      <c r="DW341">
        <v>0</v>
      </c>
      <c r="EJ341">
        <v>0</v>
      </c>
    </row>
    <row r="342" spans="1:140" hidden="1" x14ac:dyDescent="0.35">
      <c r="A342" t="s">
        <v>3317</v>
      </c>
      <c r="B342" t="s">
        <v>249</v>
      </c>
      <c r="D342" t="s">
        <v>6288</v>
      </c>
      <c r="E342" t="s">
        <v>3670</v>
      </c>
      <c r="F342" t="s">
        <v>3671</v>
      </c>
      <c r="G342" t="s">
        <v>3672</v>
      </c>
      <c r="H342" t="s">
        <v>6289</v>
      </c>
      <c r="I342" t="s">
        <v>5368</v>
      </c>
      <c r="J342" t="s">
        <v>3108</v>
      </c>
      <c r="K342" t="s">
        <v>3108</v>
      </c>
      <c r="L342" t="s">
        <v>3673</v>
      </c>
      <c r="M342" t="s">
        <v>2002</v>
      </c>
      <c r="N342" t="s">
        <v>3673</v>
      </c>
      <c r="O342" t="s">
        <v>3153</v>
      </c>
      <c r="P342">
        <v>0</v>
      </c>
      <c r="Q342" t="s">
        <v>3075</v>
      </c>
      <c r="R342" t="s">
        <v>2464</v>
      </c>
      <c r="S342" t="s">
        <v>5452</v>
      </c>
      <c r="T342" t="s">
        <v>2363</v>
      </c>
      <c r="U342" t="s">
        <v>6290</v>
      </c>
      <c r="V342" s="17">
        <v>45484</v>
      </c>
      <c r="W342" s="17">
        <v>45491</v>
      </c>
      <c r="X342" s="17">
        <v>45614</v>
      </c>
      <c r="Y342">
        <v>-548</v>
      </c>
      <c r="Z342">
        <v>1</v>
      </c>
      <c r="AA342">
        <v>4.0999999999999996</v>
      </c>
      <c r="AB342">
        <v>1557</v>
      </c>
      <c r="AC342" s="17"/>
      <c r="AD342">
        <v>45535</v>
      </c>
      <c r="AE342">
        <v>8928.5499999999993</v>
      </c>
      <c r="AF342">
        <v>8928.5499999999993</v>
      </c>
      <c r="AG342">
        <v>2177.6950999999999</v>
      </c>
      <c r="AH342">
        <v>8828.5499999999993</v>
      </c>
      <c r="AI342">
        <v>-100</v>
      </c>
      <c r="AJ342">
        <v>0</v>
      </c>
      <c r="AW342">
        <v>0</v>
      </c>
      <c r="BJ342">
        <v>0</v>
      </c>
      <c r="BW342">
        <v>8828.5499999999993</v>
      </c>
      <c r="CG342">
        <v>8829</v>
      </c>
      <c r="CJ342">
        <v>0</v>
      </c>
      <c r="CW342">
        <v>0</v>
      </c>
      <c r="DJ342">
        <v>0</v>
      </c>
      <c r="DW342">
        <v>0</v>
      </c>
      <c r="EJ342">
        <v>0</v>
      </c>
    </row>
    <row r="343" spans="1:140" hidden="1" x14ac:dyDescent="0.35">
      <c r="A343" t="s">
        <v>3317</v>
      </c>
      <c r="B343" t="s">
        <v>249</v>
      </c>
      <c r="D343" t="s">
        <v>6291</v>
      </c>
      <c r="E343" t="s">
        <v>3676</v>
      </c>
      <c r="F343" t="s">
        <v>3677</v>
      </c>
      <c r="G343" t="s">
        <v>3678</v>
      </c>
      <c r="H343" t="s">
        <v>6292</v>
      </c>
      <c r="I343" t="s">
        <v>5368</v>
      </c>
      <c r="J343" t="s">
        <v>3071</v>
      </c>
      <c r="K343" t="s">
        <v>3071</v>
      </c>
      <c r="L343" t="s">
        <v>897</v>
      </c>
      <c r="M343" t="s">
        <v>3180</v>
      </c>
      <c r="N343" t="s">
        <v>89</v>
      </c>
      <c r="O343" t="s">
        <v>3088</v>
      </c>
      <c r="P343">
        <v>0</v>
      </c>
      <c r="Q343" t="s">
        <v>3075</v>
      </c>
      <c r="R343" t="s">
        <v>2513</v>
      </c>
      <c r="S343">
        <v>0</v>
      </c>
      <c r="T343" t="s">
        <v>5485</v>
      </c>
      <c r="U343" t="s">
        <v>6293</v>
      </c>
      <c r="V343" s="17">
        <v>45070</v>
      </c>
      <c r="W343" s="17">
        <v>45082</v>
      </c>
      <c r="X343" s="17">
        <v>45388</v>
      </c>
      <c r="Y343">
        <v>-774</v>
      </c>
      <c r="Z343">
        <v>10</v>
      </c>
      <c r="AA343">
        <v>10.199999999999999</v>
      </c>
      <c r="AB343">
        <v>1564.5333333333333</v>
      </c>
      <c r="AC343" s="17"/>
      <c r="AD343">
        <v>45606</v>
      </c>
      <c r="AE343">
        <v>19400</v>
      </c>
      <c r="AF343">
        <v>388000</v>
      </c>
      <c r="AG343">
        <v>38039.215700000001</v>
      </c>
      <c r="AH343">
        <v>506791.8</v>
      </c>
      <c r="AI343">
        <v>118791.8</v>
      </c>
      <c r="AJ343">
        <v>0</v>
      </c>
      <c r="AW343">
        <v>0</v>
      </c>
      <c r="BJ343">
        <v>254000</v>
      </c>
      <c r="BP343">
        <v>14000</v>
      </c>
      <c r="BQ343">
        <v>45000</v>
      </c>
      <c r="BR343">
        <v>39000</v>
      </c>
      <c r="BS343">
        <v>39000</v>
      </c>
      <c r="BT343">
        <v>39000</v>
      </c>
      <c r="BU343">
        <v>39000</v>
      </c>
      <c r="BV343">
        <v>39000</v>
      </c>
      <c r="BW343">
        <v>252791.8</v>
      </c>
      <c r="BX343">
        <v>39000</v>
      </c>
      <c r="BY343">
        <v>39000</v>
      </c>
      <c r="BZ343">
        <v>18000</v>
      </c>
      <c r="CA343">
        <v>22000</v>
      </c>
      <c r="CB343">
        <v>22000</v>
      </c>
      <c r="CC343">
        <v>22000</v>
      </c>
      <c r="CD343">
        <v>22000</v>
      </c>
      <c r="CE343">
        <v>22930.6</v>
      </c>
      <c r="CF343">
        <v>22930.6</v>
      </c>
      <c r="CG343">
        <v>22931</v>
      </c>
      <c r="CJ343">
        <v>0</v>
      </c>
      <c r="CW343">
        <v>0</v>
      </c>
      <c r="DJ343">
        <v>0</v>
      </c>
      <c r="DW343">
        <v>0</v>
      </c>
      <c r="EJ343">
        <v>0</v>
      </c>
    </row>
    <row r="344" spans="1:140" hidden="1" x14ac:dyDescent="0.35">
      <c r="A344" t="s">
        <v>3317</v>
      </c>
      <c r="B344" t="s">
        <v>249</v>
      </c>
      <c r="D344" t="s">
        <v>6294</v>
      </c>
      <c r="E344" t="s">
        <v>3650</v>
      </c>
      <c r="F344" t="s">
        <v>3651</v>
      </c>
      <c r="G344" t="s">
        <v>3652</v>
      </c>
      <c r="H344" t="s">
        <v>6295</v>
      </c>
      <c r="I344" t="s">
        <v>5368</v>
      </c>
      <c r="J344" t="s">
        <v>3071</v>
      </c>
      <c r="K344" t="s">
        <v>3071</v>
      </c>
      <c r="L344" t="s">
        <v>174</v>
      </c>
      <c r="M344" t="s">
        <v>3653</v>
      </c>
      <c r="N344" t="s">
        <v>174</v>
      </c>
      <c r="O344" t="s">
        <v>3070</v>
      </c>
      <c r="P344">
        <v>0</v>
      </c>
      <c r="Q344" t="s">
        <v>3075</v>
      </c>
      <c r="R344" t="s">
        <v>6296</v>
      </c>
      <c r="S344" t="s">
        <v>5452</v>
      </c>
      <c r="T344" t="s">
        <v>1576</v>
      </c>
      <c r="U344" t="s">
        <v>6297</v>
      </c>
      <c r="V344" s="17">
        <v>45464</v>
      </c>
      <c r="W344" s="17">
        <v>45494</v>
      </c>
      <c r="X344" s="17">
        <v>45626</v>
      </c>
      <c r="Y344">
        <v>-536</v>
      </c>
      <c r="Z344">
        <v>3</v>
      </c>
      <c r="AA344">
        <v>4.4000000000000004</v>
      </c>
      <c r="AB344">
        <v>1556.6</v>
      </c>
      <c r="AC344" s="17"/>
      <c r="AD344">
        <v>45596</v>
      </c>
      <c r="AE344">
        <v>64760.73</v>
      </c>
      <c r="AF344">
        <v>582846.56999999995</v>
      </c>
      <c r="AG344">
        <v>132465.12950000001</v>
      </c>
      <c r="AH344">
        <v>696847</v>
      </c>
      <c r="AI344">
        <v>114000.43</v>
      </c>
      <c r="AJ344">
        <v>0</v>
      </c>
      <c r="AW344">
        <v>0</v>
      </c>
      <c r="BJ344">
        <v>0</v>
      </c>
      <c r="BW344">
        <v>696847</v>
      </c>
      <c r="CE344">
        <v>163312</v>
      </c>
      <c r="CF344">
        <v>277939</v>
      </c>
      <c r="CG344">
        <v>255596</v>
      </c>
      <c r="CJ344">
        <v>0</v>
      </c>
      <c r="CW344">
        <v>0</v>
      </c>
      <c r="DJ344">
        <v>0</v>
      </c>
      <c r="DW344">
        <v>0</v>
      </c>
      <c r="EJ344">
        <v>0</v>
      </c>
    </row>
    <row r="345" spans="1:140" hidden="1" x14ac:dyDescent="0.35">
      <c r="A345" t="s">
        <v>3317</v>
      </c>
      <c r="B345" t="s">
        <v>249</v>
      </c>
      <c r="D345" t="s">
        <v>6298</v>
      </c>
      <c r="E345" t="s">
        <v>3685</v>
      </c>
      <c r="F345" t="s">
        <v>3686</v>
      </c>
      <c r="G345" t="s">
        <v>6285</v>
      </c>
      <c r="H345" t="s">
        <v>6299</v>
      </c>
      <c r="I345" t="s">
        <v>5368</v>
      </c>
      <c r="J345" t="s">
        <v>3079</v>
      </c>
      <c r="K345" t="s">
        <v>3079</v>
      </c>
      <c r="L345" t="s">
        <v>395</v>
      </c>
      <c r="M345" t="s">
        <v>3130</v>
      </c>
      <c r="N345" t="s">
        <v>89</v>
      </c>
      <c r="O345" t="s">
        <v>3088</v>
      </c>
      <c r="P345">
        <v>0</v>
      </c>
      <c r="Q345" t="s">
        <v>3075</v>
      </c>
      <c r="R345">
        <v>0</v>
      </c>
      <c r="S345">
        <v>0</v>
      </c>
      <c r="T345" t="s">
        <v>5369</v>
      </c>
      <c r="U345" t="s">
        <v>6300</v>
      </c>
      <c r="V345" s="17">
        <v>45119</v>
      </c>
      <c r="W345" s="17">
        <v>45131</v>
      </c>
      <c r="X345" s="17">
        <v>45254</v>
      </c>
      <c r="Y345">
        <v>-908</v>
      </c>
      <c r="Z345">
        <v>4</v>
      </c>
      <c r="AA345">
        <v>4.0999999999999996</v>
      </c>
      <c r="AB345">
        <v>1569</v>
      </c>
      <c r="AC345" s="17"/>
      <c r="AD345">
        <v>45596</v>
      </c>
      <c r="AE345">
        <v>32400</v>
      </c>
      <c r="AF345">
        <v>129600</v>
      </c>
      <c r="AG345">
        <v>31609.756099999999</v>
      </c>
      <c r="AH345">
        <v>64800</v>
      </c>
      <c r="AI345">
        <v>-64800</v>
      </c>
      <c r="AJ345">
        <v>0</v>
      </c>
      <c r="AW345">
        <v>0</v>
      </c>
      <c r="BJ345">
        <v>0</v>
      </c>
      <c r="BW345">
        <v>64800</v>
      </c>
      <c r="BZ345">
        <v>32400</v>
      </c>
      <c r="CA345">
        <v>32400</v>
      </c>
      <c r="CJ345">
        <v>0</v>
      </c>
      <c r="CW345">
        <v>0</v>
      </c>
      <c r="DJ345">
        <v>0</v>
      </c>
      <c r="DW345">
        <v>0</v>
      </c>
      <c r="EJ345">
        <v>0</v>
      </c>
    </row>
    <row r="346" spans="1:140" hidden="1" x14ac:dyDescent="0.35">
      <c r="A346" t="s">
        <v>3317</v>
      </c>
      <c r="B346" t="s">
        <v>249</v>
      </c>
      <c r="D346" t="s">
        <v>6284</v>
      </c>
      <c r="E346" t="s">
        <v>3685</v>
      </c>
      <c r="F346" t="s">
        <v>3686</v>
      </c>
      <c r="G346" t="s">
        <v>3685</v>
      </c>
      <c r="H346" t="s">
        <v>6286</v>
      </c>
      <c r="I346" t="s">
        <v>5373</v>
      </c>
      <c r="J346">
        <v>0</v>
      </c>
      <c r="L346" t="s">
        <v>395</v>
      </c>
      <c r="M346" t="s">
        <v>3130</v>
      </c>
      <c r="N346" t="s">
        <v>89</v>
      </c>
      <c r="O346" t="s">
        <v>3088</v>
      </c>
      <c r="P346">
        <v>0</v>
      </c>
      <c r="Q346" t="s">
        <v>3075</v>
      </c>
      <c r="R346" t="s">
        <v>2513</v>
      </c>
      <c r="S346" t="s">
        <v>5374</v>
      </c>
      <c r="T346" t="s">
        <v>5369</v>
      </c>
      <c r="U346" t="s">
        <v>6287</v>
      </c>
      <c r="V346" s="17">
        <v>45436</v>
      </c>
      <c r="W346" s="17">
        <v>45413</v>
      </c>
      <c r="X346" s="17">
        <v>45596</v>
      </c>
      <c r="Y346">
        <v>-566</v>
      </c>
      <c r="Z346">
        <v>6</v>
      </c>
      <c r="AA346">
        <v>6.1</v>
      </c>
      <c r="AB346">
        <v>1557.6</v>
      </c>
      <c r="AC346" s="17"/>
      <c r="AD346">
        <v>45596</v>
      </c>
      <c r="AE346">
        <v>24000</v>
      </c>
      <c r="AF346">
        <v>144000</v>
      </c>
      <c r="AG346">
        <v>23606.557400000002</v>
      </c>
      <c r="AH346">
        <v>144000</v>
      </c>
      <c r="AI346">
        <v>0</v>
      </c>
      <c r="AJ346">
        <v>0</v>
      </c>
      <c r="AW346">
        <v>0</v>
      </c>
      <c r="BJ346">
        <v>0</v>
      </c>
      <c r="BW346">
        <v>144000</v>
      </c>
      <c r="CB346">
        <v>24000</v>
      </c>
      <c r="CC346">
        <v>24000</v>
      </c>
      <c r="CD346">
        <v>24000</v>
      </c>
      <c r="CE346">
        <v>24000</v>
      </c>
      <c r="CF346">
        <v>24000</v>
      </c>
      <c r="CG346">
        <v>24000</v>
      </c>
      <c r="CJ346">
        <v>0</v>
      </c>
      <c r="CW346">
        <v>0</v>
      </c>
      <c r="DJ346">
        <v>0</v>
      </c>
      <c r="DW346">
        <v>0</v>
      </c>
      <c r="EJ346">
        <v>0</v>
      </c>
    </row>
    <row r="347" spans="1:140" hidden="1" x14ac:dyDescent="0.35">
      <c r="A347" t="s">
        <v>3317</v>
      </c>
      <c r="B347" t="s">
        <v>249</v>
      </c>
      <c r="D347" t="s">
        <v>6301</v>
      </c>
      <c r="E347" t="s">
        <v>892</v>
      </c>
      <c r="F347" t="s">
        <v>3681</v>
      </c>
      <c r="G347" t="s">
        <v>3682</v>
      </c>
      <c r="H347" t="s">
        <v>6302</v>
      </c>
      <c r="I347" t="s">
        <v>5368</v>
      </c>
      <c r="J347" t="s">
        <v>3071</v>
      </c>
      <c r="K347" t="s">
        <v>3071</v>
      </c>
      <c r="L347" t="s">
        <v>235</v>
      </c>
      <c r="M347" t="s">
        <v>3139</v>
      </c>
      <c r="N347" t="s">
        <v>132</v>
      </c>
      <c r="O347" t="s">
        <v>3070</v>
      </c>
      <c r="P347">
        <v>0</v>
      </c>
      <c r="Q347" t="s">
        <v>3075</v>
      </c>
      <c r="R347" t="s">
        <v>1580</v>
      </c>
      <c r="S347" t="s">
        <v>5374</v>
      </c>
      <c r="T347">
        <v>0</v>
      </c>
      <c r="U347" t="s">
        <v>6303</v>
      </c>
      <c r="V347" s="17">
        <v>45313</v>
      </c>
      <c r="W347" s="17">
        <v>45063</v>
      </c>
      <c r="X347" s="17">
        <v>45616</v>
      </c>
      <c r="Y347">
        <v>-546</v>
      </c>
      <c r="Z347">
        <v>6</v>
      </c>
      <c r="AA347">
        <v>18.433333333333334</v>
      </c>
      <c r="AB347">
        <v>1556.9333333333334</v>
      </c>
      <c r="AC347" s="17"/>
      <c r="AD347">
        <v>45611</v>
      </c>
      <c r="AE347">
        <v>29800</v>
      </c>
      <c r="AF347">
        <v>178800</v>
      </c>
      <c r="AG347">
        <v>9699.8191999999999</v>
      </c>
      <c r="AH347">
        <v>178800</v>
      </c>
      <c r="AI347">
        <v>0</v>
      </c>
      <c r="AJ347">
        <v>0</v>
      </c>
      <c r="AW347">
        <v>0</v>
      </c>
      <c r="BJ347">
        <v>0</v>
      </c>
      <c r="BW347">
        <v>178800</v>
      </c>
      <c r="BY347">
        <v>29800</v>
      </c>
      <c r="BZ347">
        <v>29800</v>
      </c>
      <c r="CA347">
        <v>29800</v>
      </c>
      <c r="CB347">
        <v>29800</v>
      </c>
      <c r="CC347">
        <v>29800</v>
      </c>
      <c r="CD347">
        <v>29800</v>
      </c>
      <c r="CJ347">
        <v>0</v>
      </c>
      <c r="CW347">
        <v>0</v>
      </c>
      <c r="DJ347">
        <v>0</v>
      </c>
      <c r="DW347">
        <v>0</v>
      </c>
      <c r="EJ347">
        <v>0</v>
      </c>
    </row>
    <row r="348" spans="1:140" hidden="1" x14ac:dyDescent="0.35">
      <c r="A348" t="s">
        <v>3317</v>
      </c>
      <c r="B348" t="s">
        <v>249</v>
      </c>
      <c r="D348" t="s">
        <v>6304</v>
      </c>
      <c r="E348" t="s">
        <v>892</v>
      </c>
      <c r="F348" t="s">
        <v>3681</v>
      </c>
      <c r="G348" t="s">
        <v>3682</v>
      </c>
      <c r="H348" t="s">
        <v>6305</v>
      </c>
      <c r="I348" t="s">
        <v>5373</v>
      </c>
      <c r="J348" t="s">
        <v>3071</v>
      </c>
      <c r="K348" t="s">
        <v>3071</v>
      </c>
      <c r="L348" t="s">
        <v>235</v>
      </c>
      <c r="M348" t="s">
        <v>3139</v>
      </c>
      <c r="N348" t="s">
        <v>132</v>
      </c>
      <c r="O348" t="s">
        <v>3070</v>
      </c>
      <c r="P348">
        <v>0</v>
      </c>
      <c r="Q348" t="s">
        <v>3075</v>
      </c>
      <c r="R348" t="s">
        <v>1580</v>
      </c>
      <c r="S348" t="s">
        <v>5374</v>
      </c>
      <c r="T348" t="s">
        <v>5406</v>
      </c>
      <c r="U348" t="s">
        <v>6303</v>
      </c>
      <c r="V348" s="17">
        <v>45379</v>
      </c>
      <c r="W348" s="17">
        <v>45379</v>
      </c>
      <c r="X348" s="17">
        <v>45532</v>
      </c>
      <c r="Y348">
        <v>-630</v>
      </c>
      <c r="Z348">
        <v>6</v>
      </c>
      <c r="AA348">
        <v>5.0999999999999996</v>
      </c>
      <c r="AB348">
        <v>1559.7333333333333</v>
      </c>
      <c r="AC348" s="17"/>
      <c r="AD348">
        <v>45611</v>
      </c>
      <c r="AE348">
        <v>28325</v>
      </c>
      <c r="AF348">
        <v>339900</v>
      </c>
      <c r="AG348">
        <v>66647.058799999999</v>
      </c>
      <c r="AH348">
        <v>339900</v>
      </c>
      <c r="AI348">
        <v>0</v>
      </c>
      <c r="AJ348">
        <v>0</v>
      </c>
      <c r="AW348">
        <v>0</v>
      </c>
      <c r="BJ348">
        <v>0</v>
      </c>
      <c r="BW348">
        <v>339900</v>
      </c>
      <c r="BZ348">
        <v>56650</v>
      </c>
      <c r="CA348">
        <v>56650</v>
      </c>
      <c r="CB348">
        <v>56650</v>
      </c>
      <c r="CC348">
        <v>56650</v>
      </c>
      <c r="CD348">
        <v>56650</v>
      </c>
      <c r="CE348">
        <v>56650</v>
      </c>
      <c r="CJ348">
        <v>0</v>
      </c>
      <c r="CW348">
        <v>0</v>
      </c>
      <c r="DJ348">
        <v>0</v>
      </c>
      <c r="DW348">
        <v>0</v>
      </c>
      <c r="EJ348">
        <v>0</v>
      </c>
    </row>
    <row r="349" spans="1:140" hidden="1" x14ac:dyDescent="0.35">
      <c r="A349" t="s">
        <v>3317</v>
      </c>
      <c r="B349" t="s">
        <v>249</v>
      </c>
      <c r="D349" t="s">
        <v>6306</v>
      </c>
      <c r="E349" t="s">
        <v>892</v>
      </c>
      <c r="F349" t="s">
        <v>3681</v>
      </c>
      <c r="G349" t="s">
        <v>3682</v>
      </c>
      <c r="H349" t="s">
        <v>6305</v>
      </c>
      <c r="I349" t="s">
        <v>5373</v>
      </c>
      <c r="J349" t="s">
        <v>3071</v>
      </c>
      <c r="K349" t="s">
        <v>3071</v>
      </c>
      <c r="L349" t="s">
        <v>235</v>
      </c>
      <c r="M349" t="s">
        <v>3139</v>
      </c>
      <c r="N349" t="s">
        <v>132</v>
      </c>
      <c r="O349" t="s">
        <v>3070</v>
      </c>
      <c r="P349">
        <v>0</v>
      </c>
      <c r="Q349" t="s">
        <v>3075</v>
      </c>
      <c r="R349" t="s">
        <v>1580</v>
      </c>
      <c r="S349" t="s">
        <v>5374</v>
      </c>
      <c r="T349" t="s">
        <v>5485</v>
      </c>
      <c r="U349" t="s">
        <v>6303</v>
      </c>
      <c r="V349" s="17">
        <v>45562</v>
      </c>
      <c r="W349" s="17">
        <v>45491</v>
      </c>
      <c r="X349" s="17">
        <v>45596</v>
      </c>
      <c r="Y349">
        <v>-566</v>
      </c>
      <c r="Z349">
        <v>2</v>
      </c>
      <c r="AA349">
        <v>3.5</v>
      </c>
      <c r="AB349">
        <v>1557.6</v>
      </c>
      <c r="AC349" s="17"/>
      <c r="AD349">
        <v>45611</v>
      </c>
      <c r="AE349">
        <v>36491.379999999997</v>
      </c>
      <c r="AF349">
        <v>72982.759999999995</v>
      </c>
      <c r="AG349">
        <v>20852.217100000002</v>
      </c>
      <c r="AH349">
        <v>72982.759999999995</v>
      </c>
      <c r="AI349">
        <v>0</v>
      </c>
      <c r="AJ349">
        <v>0</v>
      </c>
      <c r="AW349">
        <v>0</v>
      </c>
      <c r="BJ349">
        <v>0</v>
      </c>
      <c r="BW349">
        <v>72982.759999999995</v>
      </c>
      <c r="CF349">
        <v>36491.379999999997</v>
      </c>
      <c r="CG349">
        <v>36491</v>
      </c>
      <c r="CJ349">
        <v>0</v>
      </c>
      <c r="CW349">
        <v>0</v>
      </c>
      <c r="DJ349">
        <v>0</v>
      </c>
      <c r="DW349">
        <v>0</v>
      </c>
      <c r="EJ349">
        <v>0</v>
      </c>
    </row>
    <row r="350" spans="1:140" hidden="1" x14ac:dyDescent="0.35">
      <c r="A350" t="s">
        <v>3317</v>
      </c>
      <c r="B350" t="s">
        <v>249</v>
      </c>
      <c r="D350" t="s">
        <v>6307</v>
      </c>
      <c r="E350" t="s">
        <v>4749</v>
      </c>
      <c r="F350" t="s">
        <v>4750</v>
      </c>
      <c r="G350" t="s">
        <v>4751</v>
      </c>
      <c r="H350" t="s">
        <v>6308</v>
      </c>
      <c r="I350" t="s">
        <v>5368</v>
      </c>
      <c r="J350" t="s">
        <v>3203</v>
      </c>
      <c r="K350" t="s">
        <v>3203</v>
      </c>
      <c r="L350" t="s">
        <v>153</v>
      </c>
      <c r="M350" t="s">
        <v>3917</v>
      </c>
      <c r="N350" t="s">
        <v>153</v>
      </c>
      <c r="O350" t="s">
        <v>3918</v>
      </c>
      <c r="P350">
        <v>0</v>
      </c>
      <c r="Q350" t="s">
        <v>3852</v>
      </c>
      <c r="R350" t="s">
        <v>4394</v>
      </c>
      <c r="S350" t="s">
        <v>5374</v>
      </c>
      <c r="T350" t="s">
        <v>1576</v>
      </c>
      <c r="U350" t="s">
        <v>6309</v>
      </c>
      <c r="V350" s="17">
        <v>45478</v>
      </c>
      <c r="W350" s="17">
        <v>45478</v>
      </c>
      <c r="X350" s="17">
        <v>45509</v>
      </c>
      <c r="Y350">
        <v>-653</v>
      </c>
      <c r="Z350">
        <v>1</v>
      </c>
      <c r="AA350">
        <v>1.0333333333333334</v>
      </c>
      <c r="AB350">
        <v>1560.5</v>
      </c>
      <c r="AC350" s="17"/>
      <c r="AD350">
        <v>45488</v>
      </c>
      <c r="AE350">
        <v>17463.599999999999</v>
      </c>
      <c r="AF350">
        <v>17463.599999999999</v>
      </c>
      <c r="AG350">
        <v>16900.258099999999</v>
      </c>
      <c r="AH350">
        <v>17463.599999999999</v>
      </c>
      <c r="AI350">
        <v>0</v>
      </c>
      <c r="AJ350">
        <v>0</v>
      </c>
      <c r="AW350">
        <v>0</v>
      </c>
      <c r="BJ350">
        <v>0</v>
      </c>
      <c r="BW350">
        <v>17463.599999999999</v>
      </c>
      <c r="CD350">
        <v>17463.599999999999</v>
      </c>
      <c r="CJ350">
        <v>0</v>
      </c>
      <c r="CW350">
        <v>0</v>
      </c>
      <c r="DJ350">
        <v>0</v>
      </c>
      <c r="DW350">
        <v>0</v>
      </c>
      <c r="EJ350">
        <v>0</v>
      </c>
    </row>
    <row r="351" spans="1:140" hidden="1" x14ac:dyDescent="0.35">
      <c r="A351" t="s">
        <v>3317</v>
      </c>
      <c r="B351" t="s">
        <v>249</v>
      </c>
      <c r="D351" t="s">
        <v>6310</v>
      </c>
      <c r="E351" t="s">
        <v>4754</v>
      </c>
      <c r="F351" t="s">
        <v>4755</v>
      </c>
      <c r="G351" t="s">
        <v>4756</v>
      </c>
      <c r="H351" t="s">
        <v>6311</v>
      </c>
      <c r="I351" t="s">
        <v>5368</v>
      </c>
      <c r="J351" t="s">
        <v>3203</v>
      </c>
      <c r="K351" t="s">
        <v>3203</v>
      </c>
      <c r="L351" t="s">
        <v>132</v>
      </c>
      <c r="M351" t="s">
        <v>3997</v>
      </c>
      <c r="N351" t="s">
        <v>132</v>
      </c>
      <c r="O351" t="s">
        <v>3070</v>
      </c>
      <c r="P351">
        <v>0</v>
      </c>
      <c r="Q351" t="s">
        <v>3852</v>
      </c>
      <c r="R351" t="s">
        <v>4394</v>
      </c>
      <c r="S351" t="s">
        <v>5374</v>
      </c>
      <c r="T351" t="s">
        <v>5485</v>
      </c>
      <c r="U351" t="s">
        <v>6312</v>
      </c>
      <c r="V351" s="17">
        <v>45373</v>
      </c>
      <c r="W351" s="17">
        <v>45398</v>
      </c>
      <c r="X351" s="17">
        <v>45443</v>
      </c>
      <c r="Y351">
        <v>-719</v>
      </c>
      <c r="Z351">
        <v>1</v>
      </c>
      <c r="AA351">
        <v>1.5</v>
      </c>
      <c r="AB351">
        <v>1562.7</v>
      </c>
      <c r="AC351" s="17"/>
      <c r="AD351">
        <v>45555</v>
      </c>
      <c r="AE351">
        <v>137536.70000000001</v>
      </c>
      <c r="AF351">
        <v>137536.70000000001</v>
      </c>
      <c r="AG351">
        <v>91691.133300000001</v>
      </c>
      <c r="AH351">
        <v>137536.70000000001</v>
      </c>
      <c r="AI351">
        <v>0</v>
      </c>
      <c r="AJ351">
        <v>0</v>
      </c>
      <c r="AW351">
        <v>0</v>
      </c>
      <c r="BJ351">
        <v>0</v>
      </c>
      <c r="BW351">
        <v>137536.70000000001</v>
      </c>
      <c r="CA351">
        <v>137536.70000000001</v>
      </c>
      <c r="CJ351">
        <v>0</v>
      </c>
      <c r="CW351">
        <v>0</v>
      </c>
      <c r="DJ351">
        <v>0</v>
      </c>
      <c r="DW351">
        <v>0</v>
      </c>
      <c r="EJ351">
        <v>0</v>
      </c>
    </row>
    <row r="352" spans="1:140" hidden="1" x14ac:dyDescent="0.35">
      <c r="A352" t="s">
        <v>3317</v>
      </c>
      <c r="B352" t="s">
        <v>249</v>
      </c>
      <c r="D352" t="s">
        <v>6313</v>
      </c>
      <c r="E352" t="s">
        <v>4759</v>
      </c>
      <c r="F352" t="s">
        <v>4760</v>
      </c>
      <c r="G352" t="s">
        <v>4761</v>
      </c>
      <c r="H352" t="s">
        <v>6314</v>
      </c>
      <c r="I352" t="s">
        <v>5368</v>
      </c>
      <c r="J352" t="s">
        <v>3203</v>
      </c>
      <c r="K352" t="s">
        <v>3203</v>
      </c>
      <c r="L352" t="s">
        <v>132</v>
      </c>
      <c r="M352" t="s">
        <v>3997</v>
      </c>
      <c r="N352" t="s">
        <v>132</v>
      </c>
      <c r="O352" t="s">
        <v>3070</v>
      </c>
      <c r="P352">
        <v>0</v>
      </c>
      <c r="Q352" t="s">
        <v>3852</v>
      </c>
      <c r="R352" t="s">
        <v>4394</v>
      </c>
      <c r="S352" t="s">
        <v>5374</v>
      </c>
      <c r="T352" t="s">
        <v>5485</v>
      </c>
      <c r="U352" t="s">
        <v>6315</v>
      </c>
      <c r="V352" s="17">
        <v>45432</v>
      </c>
      <c r="W352" s="17">
        <v>45432</v>
      </c>
      <c r="X352" s="17">
        <v>45493</v>
      </c>
      <c r="Y352">
        <v>-669</v>
      </c>
      <c r="Z352">
        <v>2</v>
      </c>
      <c r="AA352">
        <v>2.0333333333333332</v>
      </c>
      <c r="AB352">
        <v>1561.0333333333333</v>
      </c>
      <c r="AC352" s="17"/>
      <c r="AD352">
        <v>45555</v>
      </c>
      <c r="AE352">
        <v>109931.05</v>
      </c>
      <c r="AF352">
        <v>219862.1</v>
      </c>
      <c r="AG352">
        <v>108128.9016</v>
      </c>
      <c r="AH352">
        <v>219862.1</v>
      </c>
      <c r="AI352">
        <v>0</v>
      </c>
      <c r="AJ352">
        <v>0</v>
      </c>
      <c r="AW352">
        <v>0</v>
      </c>
      <c r="BJ352">
        <v>0</v>
      </c>
      <c r="BW352">
        <v>219862.1</v>
      </c>
      <c r="CC352">
        <v>142445.87</v>
      </c>
      <c r="CD352">
        <v>77416.23</v>
      </c>
      <c r="CJ352">
        <v>0</v>
      </c>
      <c r="CW352">
        <v>0</v>
      </c>
      <c r="DJ352">
        <v>0</v>
      </c>
      <c r="DW352">
        <v>0</v>
      </c>
      <c r="EJ352">
        <v>0</v>
      </c>
    </row>
    <row r="353" spans="1:140" hidden="1" x14ac:dyDescent="0.35">
      <c r="A353" t="s">
        <v>3317</v>
      </c>
      <c r="B353" t="s">
        <v>249</v>
      </c>
      <c r="D353" t="s">
        <v>6316</v>
      </c>
      <c r="E353" t="s">
        <v>4764</v>
      </c>
      <c r="F353" t="s">
        <v>4765</v>
      </c>
      <c r="G353" t="s">
        <v>4766</v>
      </c>
      <c r="H353" t="s">
        <v>6317</v>
      </c>
      <c r="I353" t="s">
        <v>5368</v>
      </c>
      <c r="J353" t="s">
        <v>3203</v>
      </c>
      <c r="K353" t="s">
        <v>3203</v>
      </c>
      <c r="L353" t="s">
        <v>132</v>
      </c>
      <c r="M353" t="s">
        <v>3997</v>
      </c>
      <c r="N353" t="s">
        <v>132</v>
      </c>
      <c r="O353" t="s">
        <v>3070</v>
      </c>
      <c r="P353">
        <v>0</v>
      </c>
      <c r="Q353" t="s">
        <v>3852</v>
      </c>
      <c r="R353" t="s">
        <v>4394</v>
      </c>
      <c r="S353" t="s">
        <v>5374</v>
      </c>
      <c r="T353" t="s">
        <v>5485</v>
      </c>
      <c r="U353" t="s">
        <v>6318</v>
      </c>
      <c r="V353" s="17">
        <v>45443</v>
      </c>
      <c r="W353" s="17">
        <v>45446</v>
      </c>
      <c r="X353" s="17">
        <v>45629</v>
      </c>
      <c r="Y353">
        <v>-533</v>
      </c>
      <c r="Z353">
        <v>1</v>
      </c>
      <c r="AA353">
        <v>6.1</v>
      </c>
      <c r="AB353">
        <v>1556.5</v>
      </c>
      <c r="AC353" s="17"/>
      <c r="AD353">
        <v>45524</v>
      </c>
      <c r="AE353">
        <v>110479.42</v>
      </c>
      <c r="AF353">
        <v>110479.42</v>
      </c>
      <c r="AG353">
        <v>18111.380300000001</v>
      </c>
      <c r="AH353">
        <v>110479.42</v>
      </c>
      <c r="AI353">
        <v>0</v>
      </c>
      <c r="AJ353">
        <v>0</v>
      </c>
      <c r="AW353">
        <v>0</v>
      </c>
      <c r="BJ353">
        <v>0</v>
      </c>
      <c r="BW353">
        <v>110479.42</v>
      </c>
      <c r="CC353">
        <v>55239.71</v>
      </c>
      <c r="CD353">
        <v>55239.71</v>
      </c>
      <c r="CJ353">
        <v>0</v>
      </c>
      <c r="CW353">
        <v>0</v>
      </c>
      <c r="DJ353">
        <v>0</v>
      </c>
      <c r="DW353">
        <v>0</v>
      </c>
      <c r="EJ353">
        <v>0</v>
      </c>
    </row>
    <row r="354" spans="1:140" hidden="1" x14ac:dyDescent="0.35">
      <c r="A354" t="s">
        <v>3317</v>
      </c>
      <c r="B354" t="s">
        <v>249</v>
      </c>
      <c r="D354" t="s">
        <v>6319</v>
      </c>
      <c r="E354" t="s">
        <v>4769</v>
      </c>
      <c r="F354" t="s">
        <v>4770</v>
      </c>
      <c r="G354" t="s">
        <v>4771</v>
      </c>
      <c r="H354" t="s">
        <v>6320</v>
      </c>
      <c r="I354" t="s">
        <v>5368</v>
      </c>
      <c r="J354" t="s">
        <v>3203</v>
      </c>
      <c r="K354" t="s">
        <v>3203</v>
      </c>
      <c r="L354" t="s">
        <v>4703</v>
      </c>
      <c r="M354" t="s">
        <v>3088</v>
      </c>
      <c r="N354" t="s">
        <v>447</v>
      </c>
      <c r="O354" t="s">
        <v>3088</v>
      </c>
      <c r="P354">
        <v>0</v>
      </c>
      <c r="Q354" t="s">
        <v>3075</v>
      </c>
      <c r="R354" t="s">
        <v>4394</v>
      </c>
      <c r="S354" t="s">
        <v>5374</v>
      </c>
      <c r="T354" t="s">
        <v>5485</v>
      </c>
      <c r="U354" t="s">
        <v>6321</v>
      </c>
      <c r="V354" s="17">
        <v>45433</v>
      </c>
      <c r="W354" s="17">
        <v>45427</v>
      </c>
      <c r="X354" s="17">
        <v>45486</v>
      </c>
      <c r="Y354">
        <v>-676</v>
      </c>
      <c r="Z354">
        <v>1</v>
      </c>
      <c r="AA354">
        <v>1.9666666666666666</v>
      </c>
      <c r="AB354">
        <v>1561.2666666666667</v>
      </c>
      <c r="AC354" s="17"/>
      <c r="AD354">
        <v>45520</v>
      </c>
      <c r="AE354">
        <v>47701.04</v>
      </c>
      <c r="AF354">
        <v>47701.04</v>
      </c>
      <c r="AG354">
        <v>24254.766100000001</v>
      </c>
      <c r="AH354">
        <v>47701.04</v>
      </c>
      <c r="AI354">
        <v>0</v>
      </c>
      <c r="AJ354">
        <v>0</v>
      </c>
      <c r="AW354">
        <v>0</v>
      </c>
      <c r="BJ354">
        <v>0</v>
      </c>
      <c r="BW354">
        <v>47701.04</v>
      </c>
      <c r="CC354">
        <v>23850.52</v>
      </c>
      <c r="CD354">
        <v>23850.52</v>
      </c>
      <c r="CJ354">
        <v>0</v>
      </c>
      <c r="CW354">
        <v>0</v>
      </c>
      <c r="DJ354">
        <v>0</v>
      </c>
      <c r="DW354">
        <v>0</v>
      </c>
      <c r="EJ354">
        <v>0</v>
      </c>
    </row>
    <row r="355" spans="1:140" hidden="1" x14ac:dyDescent="0.35">
      <c r="A355" t="s">
        <v>3317</v>
      </c>
      <c r="B355" t="s">
        <v>249</v>
      </c>
      <c r="D355" t="s">
        <v>6322</v>
      </c>
      <c r="E355" t="s">
        <v>3691</v>
      </c>
      <c r="F355" t="s">
        <v>3692</v>
      </c>
      <c r="G355" t="s">
        <v>3693</v>
      </c>
      <c r="H355" t="s">
        <v>6323</v>
      </c>
      <c r="I355" t="s">
        <v>5368</v>
      </c>
      <c r="J355" t="s">
        <v>3696</v>
      </c>
      <c r="K355" t="s">
        <v>3696</v>
      </c>
      <c r="L355" t="s">
        <v>226</v>
      </c>
      <c r="M355" t="s">
        <v>3694</v>
      </c>
      <c r="N355" t="s">
        <v>226</v>
      </c>
      <c r="O355" t="s">
        <v>3695</v>
      </c>
      <c r="P355">
        <v>0</v>
      </c>
      <c r="Q355" t="s">
        <v>3075</v>
      </c>
      <c r="R355" t="s">
        <v>2464</v>
      </c>
      <c r="S355" t="s">
        <v>5452</v>
      </c>
      <c r="T355" t="s">
        <v>2704</v>
      </c>
      <c r="U355" t="s">
        <v>6324</v>
      </c>
      <c r="V355" s="17">
        <v>45499</v>
      </c>
      <c r="W355" s="17">
        <v>45505</v>
      </c>
      <c r="X355" s="17">
        <v>45550</v>
      </c>
      <c r="Y355">
        <v>-612</v>
      </c>
      <c r="Z355">
        <v>1</v>
      </c>
      <c r="AA355">
        <v>1.5</v>
      </c>
      <c r="AB355">
        <v>1559.1333333333334</v>
      </c>
      <c r="AC355" s="17"/>
      <c r="AD355">
        <v>45596</v>
      </c>
      <c r="AE355">
        <v>39994.910000000003</v>
      </c>
      <c r="AF355">
        <v>39994.910000000003</v>
      </c>
      <c r="AG355">
        <v>26663.273300000001</v>
      </c>
      <c r="AH355">
        <v>39994.910000000003</v>
      </c>
      <c r="AI355">
        <v>0</v>
      </c>
      <c r="AJ355">
        <v>0</v>
      </c>
      <c r="AW355">
        <v>0</v>
      </c>
      <c r="BJ355">
        <v>0</v>
      </c>
      <c r="BW355">
        <v>39994.910000000003</v>
      </c>
      <c r="CE355">
        <v>15000</v>
      </c>
      <c r="CF355">
        <v>15000</v>
      </c>
      <c r="CG355">
        <v>9995</v>
      </c>
      <c r="CJ355">
        <v>0</v>
      </c>
      <c r="CW355">
        <v>0</v>
      </c>
      <c r="DJ355">
        <v>0</v>
      </c>
      <c r="DW355">
        <v>0</v>
      </c>
      <c r="EJ355">
        <v>0</v>
      </c>
    </row>
    <row r="356" spans="1:140" hidden="1" x14ac:dyDescent="0.35">
      <c r="A356" t="s">
        <v>3317</v>
      </c>
      <c r="B356" t="s">
        <v>249</v>
      </c>
      <c r="D356" t="s">
        <v>6325</v>
      </c>
      <c r="E356" t="s">
        <v>969</v>
      </c>
      <c r="F356" t="s">
        <v>3705</v>
      </c>
      <c r="G356" t="s">
        <v>3706</v>
      </c>
      <c r="H356" t="s">
        <v>6326</v>
      </c>
      <c r="I356" t="s">
        <v>5368</v>
      </c>
      <c r="J356" t="s">
        <v>3071</v>
      </c>
      <c r="K356" t="s">
        <v>3071</v>
      </c>
      <c r="L356" t="s">
        <v>98</v>
      </c>
      <c r="M356" t="s">
        <v>3087</v>
      </c>
      <c r="N356" t="s">
        <v>89</v>
      </c>
      <c r="O356" t="s">
        <v>3088</v>
      </c>
      <c r="P356">
        <v>0</v>
      </c>
      <c r="Q356" t="s">
        <v>3075</v>
      </c>
      <c r="R356" t="s">
        <v>2513</v>
      </c>
      <c r="S356" t="s">
        <v>5374</v>
      </c>
      <c r="T356" t="s">
        <v>2698</v>
      </c>
      <c r="U356" t="s">
        <v>6327</v>
      </c>
      <c r="V356" s="17">
        <v>45385</v>
      </c>
      <c r="W356" s="17">
        <v>45399</v>
      </c>
      <c r="X356" s="17">
        <v>45657</v>
      </c>
      <c r="Y356">
        <v>-505</v>
      </c>
      <c r="Z356">
        <v>9</v>
      </c>
      <c r="AA356">
        <v>8.6</v>
      </c>
      <c r="AB356">
        <v>1555.5666666666666</v>
      </c>
      <c r="AC356" s="17"/>
      <c r="AD356">
        <v>45639</v>
      </c>
      <c r="AE356">
        <v>27395.439999999999</v>
      </c>
      <c r="AF356">
        <v>246558.96</v>
      </c>
      <c r="AG356">
        <v>28669.646499999999</v>
      </c>
      <c r="AH356">
        <v>246558.96</v>
      </c>
      <c r="AI356">
        <v>0</v>
      </c>
      <c r="AJ356">
        <v>0</v>
      </c>
      <c r="AW356">
        <v>0</v>
      </c>
      <c r="BJ356">
        <v>0</v>
      </c>
      <c r="BW356">
        <v>246558.96</v>
      </c>
      <c r="CA356">
        <v>27395.439999999999</v>
      </c>
      <c r="CB356">
        <v>27395.439999999999</v>
      </c>
      <c r="CC356">
        <v>27395.439999999999</v>
      </c>
      <c r="CD356">
        <v>27395.439999999999</v>
      </c>
      <c r="CE356">
        <v>27395.439999999999</v>
      </c>
      <c r="CF356">
        <v>27395.439999999999</v>
      </c>
      <c r="CG356">
        <v>27395</v>
      </c>
      <c r="CH356">
        <v>27395.439999999999</v>
      </c>
      <c r="CI356">
        <v>27395.439999999999</v>
      </c>
      <c r="CJ356">
        <v>0</v>
      </c>
      <c r="CW356">
        <v>0</v>
      </c>
      <c r="DJ356">
        <v>0</v>
      </c>
      <c r="DW356">
        <v>0</v>
      </c>
      <c r="EJ356">
        <v>0</v>
      </c>
    </row>
    <row r="357" spans="1:140" hidden="1" x14ac:dyDescent="0.35">
      <c r="A357" t="s">
        <v>3317</v>
      </c>
      <c r="B357" t="s">
        <v>249</v>
      </c>
      <c r="E357" t="s">
        <v>4774</v>
      </c>
      <c r="F357" t="s">
        <v>4775</v>
      </c>
      <c r="G357" t="s">
        <v>4774</v>
      </c>
      <c r="H357" t="s">
        <v>6328</v>
      </c>
      <c r="I357" t="s">
        <v>5368</v>
      </c>
      <c r="J357" t="s">
        <v>249</v>
      </c>
      <c r="K357" t="s">
        <v>249</v>
      </c>
      <c r="L357" t="s">
        <v>249</v>
      </c>
      <c r="M357" t="s">
        <v>249</v>
      </c>
      <c r="N357" t="s">
        <v>249</v>
      </c>
      <c r="O357" t="s">
        <v>249</v>
      </c>
      <c r="P357" t="s">
        <v>249</v>
      </c>
      <c r="Q357" t="s">
        <v>249</v>
      </c>
      <c r="R357" t="s">
        <v>249</v>
      </c>
      <c r="S357" t="s">
        <v>249</v>
      </c>
      <c r="T357" t="s">
        <v>249</v>
      </c>
      <c r="U357" t="s">
        <v>249</v>
      </c>
      <c r="V357" s="17"/>
      <c r="W357" s="17"/>
      <c r="X357" s="17"/>
      <c r="Y357">
        <v>-46162</v>
      </c>
      <c r="AA357">
        <v>0</v>
      </c>
      <c r="AB357">
        <v>3077.4666666666667</v>
      </c>
      <c r="AC357" s="17"/>
      <c r="AD357">
        <v>45642</v>
      </c>
      <c r="AH357">
        <v>0</v>
      </c>
      <c r="AJ357">
        <v>0</v>
      </c>
      <c r="AW357">
        <v>0</v>
      </c>
      <c r="BJ357">
        <v>0</v>
      </c>
      <c r="BW357">
        <v>0</v>
      </c>
      <c r="CJ357">
        <v>0</v>
      </c>
      <c r="CW357">
        <v>0</v>
      </c>
      <c r="DJ357">
        <v>0</v>
      </c>
      <c r="DW357">
        <v>0</v>
      </c>
      <c r="EJ357">
        <v>0</v>
      </c>
    </row>
    <row r="358" spans="1:140" hidden="1" x14ac:dyDescent="0.35">
      <c r="A358" t="s">
        <v>3317</v>
      </c>
      <c r="B358" t="s">
        <v>249</v>
      </c>
      <c r="D358" t="s">
        <v>6329</v>
      </c>
      <c r="E358" t="s">
        <v>1258</v>
      </c>
      <c r="F358" t="s">
        <v>6330</v>
      </c>
      <c r="G358" t="s">
        <v>3700</v>
      </c>
      <c r="H358" t="s">
        <v>6331</v>
      </c>
      <c r="I358" t="s">
        <v>5368</v>
      </c>
      <c r="J358" t="s">
        <v>3071</v>
      </c>
      <c r="K358" t="s">
        <v>3071</v>
      </c>
      <c r="L358" t="s">
        <v>235</v>
      </c>
      <c r="M358" t="s">
        <v>3139</v>
      </c>
      <c r="N358" t="s">
        <v>89</v>
      </c>
      <c r="O358" t="s">
        <v>3088</v>
      </c>
      <c r="P358">
        <v>0</v>
      </c>
      <c r="Q358" t="s">
        <v>3075</v>
      </c>
      <c r="R358">
        <v>0</v>
      </c>
      <c r="S358">
        <v>0</v>
      </c>
      <c r="T358" t="s">
        <v>5369</v>
      </c>
      <c r="U358" t="s">
        <v>6332</v>
      </c>
      <c r="V358" s="17">
        <v>44979</v>
      </c>
      <c r="W358" s="17">
        <v>44973</v>
      </c>
      <c r="X358" s="17">
        <v>45489</v>
      </c>
      <c r="Y358">
        <v>-673</v>
      </c>
      <c r="Z358">
        <v>16</v>
      </c>
      <c r="AA358">
        <v>17.2</v>
      </c>
      <c r="AB358">
        <v>1561.1666666666667</v>
      </c>
      <c r="AC358" s="17"/>
      <c r="AD358">
        <v>45647</v>
      </c>
      <c r="AE358">
        <v>24122</v>
      </c>
      <c r="AF358">
        <v>2315760</v>
      </c>
      <c r="AG358">
        <v>134637.20929999999</v>
      </c>
      <c r="AH358">
        <v>2349508.42</v>
      </c>
      <c r="AI358">
        <v>33748.42</v>
      </c>
      <c r="AJ358">
        <v>0</v>
      </c>
      <c r="AW358">
        <v>0</v>
      </c>
      <c r="BJ358">
        <v>1426128.52</v>
      </c>
      <c r="BM358">
        <v>67952.070000000007</v>
      </c>
      <c r="BN358">
        <v>149180.85</v>
      </c>
      <c r="BO358">
        <v>150043.07999999999</v>
      </c>
      <c r="BP358">
        <v>130919.79</v>
      </c>
      <c r="BQ358">
        <v>158928.17000000001</v>
      </c>
      <c r="BR358">
        <v>158978.60999999999</v>
      </c>
      <c r="BS358">
        <v>148436</v>
      </c>
      <c r="BT358">
        <v>153896.65</v>
      </c>
      <c r="BU358">
        <v>153896.65</v>
      </c>
      <c r="BV358">
        <v>153896.65</v>
      </c>
      <c r="BW358">
        <v>923379.9</v>
      </c>
      <c r="BX358">
        <v>153896.65</v>
      </c>
      <c r="BY358">
        <v>153896.65</v>
      </c>
      <c r="BZ358">
        <v>153896.65</v>
      </c>
      <c r="CA358">
        <v>153896.65</v>
      </c>
      <c r="CB358">
        <v>153896.65</v>
      </c>
      <c r="CC358">
        <v>153896.65</v>
      </c>
      <c r="CJ358">
        <v>0</v>
      </c>
      <c r="CW358">
        <v>0</v>
      </c>
      <c r="DJ358">
        <v>0</v>
      </c>
      <c r="DW358">
        <v>0</v>
      </c>
      <c r="EJ358">
        <v>0</v>
      </c>
    </row>
    <row r="359" spans="1:140" hidden="1" x14ac:dyDescent="0.35">
      <c r="A359" t="s">
        <v>3317</v>
      </c>
      <c r="B359" t="s">
        <v>249</v>
      </c>
      <c r="D359" t="s">
        <v>6333</v>
      </c>
      <c r="E359" t="s">
        <v>1258</v>
      </c>
      <c r="F359" t="s">
        <v>6330</v>
      </c>
      <c r="G359" t="s">
        <v>3700</v>
      </c>
      <c r="H359" t="s">
        <v>6334</v>
      </c>
      <c r="I359" t="s">
        <v>5373</v>
      </c>
      <c r="J359" t="s">
        <v>3071</v>
      </c>
      <c r="K359" t="s">
        <v>3071</v>
      </c>
      <c r="L359" t="s">
        <v>235</v>
      </c>
      <c r="M359" t="s">
        <v>3139</v>
      </c>
      <c r="N359" t="s">
        <v>89</v>
      </c>
      <c r="O359" t="s">
        <v>3088</v>
      </c>
      <c r="P359">
        <v>0</v>
      </c>
      <c r="Q359" t="s">
        <v>3075</v>
      </c>
      <c r="R359" t="s">
        <v>1580</v>
      </c>
      <c r="S359" t="s">
        <v>5374</v>
      </c>
      <c r="T359" t="s">
        <v>5369</v>
      </c>
      <c r="U359" t="s">
        <v>6332</v>
      </c>
      <c r="V359" s="17">
        <v>45408</v>
      </c>
      <c r="W359" s="17">
        <v>45459</v>
      </c>
      <c r="X359" s="17">
        <v>45535</v>
      </c>
      <c r="Y359">
        <v>-627</v>
      </c>
      <c r="Z359">
        <v>3</v>
      </c>
      <c r="AA359">
        <v>2.5333333333333332</v>
      </c>
      <c r="AB359">
        <v>1559.6333333333334</v>
      </c>
      <c r="AC359" s="17"/>
      <c r="AD359">
        <v>45647</v>
      </c>
      <c r="AE359">
        <v>26114</v>
      </c>
      <c r="AF359">
        <v>470052</v>
      </c>
      <c r="AG359">
        <v>185546.84210000001</v>
      </c>
      <c r="AH359">
        <v>461689.95</v>
      </c>
      <c r="AI359">
        <v>-8362.0499999999993</v>
      </c>
      <c r="AJ359">
        <v>0</v>
      </c>
      <c r="AW359">
        <v>0</v>
      </c>
      <c r="BJ359">
        <v>0</v>
      </c>
      <c r="BW359">
        <v>461689.95</v>
      </c>
      <c r="CD359">
        <v>153896.65</v>
      </c>
      <c r="CE359">
        <v>153896.65</v>
      </c>
      <c r="CF359">
        <v>153896.65</v>
      </c>
      <c r="CJ359">
        <v>0</v>
      </c>
      <c r="CW359">
        <v>0</v>
      </c>
      <c r="DJ359">
        <v>0</v>
      </c>
      <c r="DW359">
        <v>0</v>
      </c>
      <c r="EJ359">
        <v>0</v>
      </c>
    </row>
    <row r="360" spans="1:140" hidden="1" x14ac:dyDescent="0.35">
      <c r="A360" t="s">
        <v>3317</v>
      </c>
      <c r="B360" t="s">
        <v>249</v>
      </c>
      <c r="D360" t="s">
        <v>6335</v>
      </c>
      <c r="E360" t="s">
        <v>1258</v>
      </c>
      <c r="F360" t="s">
        <v>6330</v>
      </c>
      <c r="G360" t="s">
        <v>3700</v>
      </c>
      <c r="H360" t="s">
        <v>6334</v>
      </c>
      <c r="I360" t="s">
        <v>5373</v>
      </c>
      <c r="J360" t="s">
        <v>3071</v>
      </c>
      <c r="K360" t="s">
        <v>3071</v>
      </c>
      <c r="L360" t="s">
        <v>235</v>
      </c>
      <c r="M360" t="s">
        <v>3139</v>
      </c>
      <c r="N360" t="s">
        <v>89</v>
      </c>
      <c r="O360" t="s">
        <v>3088</v>
      </c>
      <c r="P360">
        <v>0</v>
      </c>
      <c r="Q360" t="s">
        <v>3075</v>
      </c>
      <c r="R360" t="s">
        <v>1580</v>
      </c>
      <c r="S360" t="s">
        <v>5374</v>
      </c>
      <c r="T360" t="s">
        <v>5369</v>
      </c>
      <c r="U360" t="s">
        <v>6332</v>
      </c>
      <c r="V360" s="17">
        <v>45467</v>
      </c>
      <c r="W360" s="17">
        <v>45536</v>
      </c>
      <c r="X360" s="17">
        <v>45626</v>
      </c>
      <c r="Y360">
        <v>-536</v>
      </c>
      <c r="Z360">
        <v>3</v>
      </c>
      <c r="AA360">
        <v>3</v>
      </c>
      <c r="AB360">
        <v>1556.6</v>
      </c>
      <c r="AC360" s="17"/>
      <c r="AD360">
        <v>45647</v>
      </c>
      <c r="AE360">
        <v>24705.833299999998</v>
      </c>
      <c r="AF360">
        <v>444705</v>
      </c>
      <c r="AG360">
        <v>148235</v>
      </c>
      <c r="AH360">
        <v>444705</v>
      </c>
      <c r="AI360">
        <v>0</v>
      </c>
      <c r="AJ360">
        <v>0</v>
      </c>
      <c r="AW360">
        <v>0</v>
      </c>
      <c r="BJ360">
        <v>0</v>
      </c>
      <c r="BW360">
        <v>444705</v>
      </c>
      <c r="CF360">
        <v>148235</v>
      </c>
      <c r="CG360">
        <v>148235</v>
      </c>
      <c r="CH360">
        <v>148235</v>
      </c>
      <c r="CJ360">
        <v>0</v>
      </c>
      <c r="CW360">
        <v>0</v>
      </c>
      <c r="DJ360">
        <v>0</v>
      </c>
      <c r="DW360">
        <v>0</v>
      </c>
      <c r="EJ360">
        <v>0</v>
      </c>
    </row>
    <row r="361" spans="1:140" hidden="1" x14ac:dyDescent="0.35">
      <c r="A361" t="s">
        <v>3317</v>
      </c>
      <c r="B361" t="s">
        <v>249</v>
      </c>
      <c r="D361" t="s">
        <v>6336</v>
      </c>
      <c r="E361" t="s">
        <v>895</v>
      </c>
      <c r="F361" t="s">
        <v>4779</v>
      </c>
      <c r="G361" t="s">
        <v>6337</v>
      </c>
      <c r="H361" t="s">
        <v>6338</v>
      </c>
      <c r="I361" t="s">
        <v>5368</v>
      </c>
      <c r="J361" t="s">
        <v>3079</v>
      </c>
      <c r="K361" t="s">
        <v>3079</v>
      </c>
      <c r="L361" t="s">
        <v>98</v>
      </c>
      <c r="M361" t="s">
        <v>3087</v>
      </c>
      <c r="N361" t="s">
        <v>132</v>
      </c>
      <c r="O361" t="s">
        <v>3070</v>
      </c>
      <c r="P361">
        <v>0</v>
      </c>
      <c r="Q361" t="s">
        <v>3075</v>
      </c>
      <c r="R361">
        <v>0</v>
      </c>
      <c r="S361">
        <v>0</v>
      </c>
      <c r="T361">
        <v>0</v>
      </c>
      <c r="U361" t="s">
        <v>6339</v>
      </c>
      <c r="V361" s="17">
        <v>45083</v>
      </c>
      <c r="W361" s="17">
        <v>45083</v>
      </c>
      <c r="X361" s="17">
        <v>45657</v>
      </c>
      <c r="Y361">
        <v>-505</v>
      </c>
      <c r="Z361">
        <v>6</v>
      </c>
      <c r="AA361">
        <v>19.133333333333333</v>
      </c>
      <c r="AB361">
        <v>1555.5666666666666</v>
      </c>
      <c r="AC361" s="17"/>
      <c r="AD361">
        <v>45672</v>
      </c>
      <c r="AE361">
        <v>31625</v>
      </c>
      <c r="AF361">
        <v>180000</v>
      </c>
      <c r="AG361">
        <v>9407.6654999999992</v>
      </c>
      <c r="AH361">
        <v>569250</v>
      </c>
      <c r="AI361">
        <v>389250</v>
      </c>
      <c r="AJ361">
        <v>0</v>
      </c>
      <c r="AW361">
        <v>0</v>
      </c>
      <c r="BJ361">
        <v>569250</v>
      </c>
      <c r="BQ361">
        <v>94875</v>
      </c>
      <c r="BR361">
        <v>94875</v>
      </c>
      <c r="BS361">
        <v>94875</v>
      </c>
      <c r="BT361">
        <v>94875</v>
      </c>
      <c r="BU361">
        <v>94875</v>
      </c>
      <c r="BV361">
        <v>94875</v>
      </c>
      <c r="BW361">
        <v>0</v>
      </c>
      <c r="CJ361">
        <v>0</v>
      </c>
      <c r="CW361">
        <v>0</v>
      </c>
      <c r="DJ361">
        <v>0</v>
      </c>
      <c r="DW361">
        <v>0</v>
      </c>
      <c r="EJ361">
        <v>0</v>
      </c>
    </row>
    <row r="362" spans="1:140" hidden="1" x14ac:dyDescent="0.35">
      <c r="A362" t="s">
        <v>3317</v>
      </c>
      <c r="B362" t="s">
        <v>249</v>
      </c>
      <c r="D362" t="s">
        <v>6340</v>
      </c>
      <c r="E362" t="s">
        <v>895</v>
      </c>
      <c r="F362" t="s">
        <v>4779</v>
      </c>
      <c r="G362" t="s">
        <v>6337</v>
      </c>
      <c r="H362" t="s">
        <v>6341</v>
      </c>
      <c r="I362" t="s">
        <v>5373</v>
      </c>
      <c r="J362" t="s">
        <v>3079</v>
      </c>
      <c r="K362" t="s">
        <v>3079</v>
      </c>
      <c r="L362" t="s">
        <v>98</v>
      </c>
      <c r="M362" t="s">
        <v>3087</v>
      </c>
      <c r="N362" t="s">
        <v>132</v>
      </c>
      <c r="O362" t="s">
        <v>3070</v>
      </c>
      <c r="P362">
        <v>0</v>
      </c>
      <c r="Q362" t="s">
        <v>3075</v>
      </c>
      <c r="R362">
        <v>0</v>
      </c>
      <c r="S362">
        <v>0</v>
      </c>
      <c r="T362" t="s">
        <v>5485</v>
      </c>
      <c r="U362" t="s">
        <v>6342</v>
      </c>
      <c r="V362" s="17">
        <v>45216</v>
      </c>
      <c r="W362" s="17">
        <v>45215</v>
      </c>
      <c r="X362" s="17">
        <v>45338</v>
      </c>
      <c r="Y362">
        <v>-824</v>
      </c>
      <c r="Z362">
        <v>5</v>
      </c>
      <c r="AA362">
        <v>4.0999999999999996</v>
      </c>
      <c r="AB362">
        <v>1566.2</v>
      </c>
      <c r="AC362" s="17"/>
      <c r="AD362">
        <v>45672</v>
      </c>
      <c r="AE362">
        <v>28950.43</v>
      </c>
      <c r="AF362">
        <v>144752.15</v>
      </c>
      <c r="AG362">
        <v>35305.402399999999</v>
      </c>
      <c r="AH362">
        <v>143891.95000000001</v>
      </c>
      <c r="AI362">
        <v>-860.2</v>
      </c>
      <c r="AJ362">
        <v>0</v>
      </c>
      <c r="AW362">
        <v>0</v>
      </c>
      <c r="BJ362">
        <v>36253.56</v>
      </c>
      <c r="BS362">
        <v>9063.39</v>
      </c>
      <c r="BT362">
        <v>9063.39</v>
      </c>
      <c r="BU362">
        <v>9063.39</v>
      </c>
      <c r="BV362">
        <v>9063.39</v>
      </c>
      <c r="BW362">
        <v>107638.39</v>
      </c>
      <c r="BX362">
        <v>107638.39</v>
      </c>
      <c r="CJ362">
        <v>0</v>
      </c>
      <c r="CW362">
        <v>0</v>
      </c>
      <c r="DJ362">
        <v>0</v>
      </c>
      <c r="DW362">
        <v>0</v>
      </c>
      <c r="EJ362">
        <v>0</v>
      </c>
    </row>
    <row r="363" spans="1:140" hidden="1" x14ac:dyDescent="0.35">
      <c r="A363" t="s">
        <v>3317</v>
      </c>
      <c r="B363" t="s">
        <v>249</v>
      </c>
      <c r="D363" t="s">
        <v>6343</v>
      </c>
      <c r="E363" t="s">
        <v>895</v>
      </c>
      <c r="F363" t="s">
        <v>4779</v>
      </c>
      <c r="G363" t="s">
        <v>3716</v>
      </c>
      <c r="H363" t="s">
        <v>6341</v>
      </c>
      <c r="I363" t="s">
        <v>5373</v>
      </c>
      <c r="J363" t="s">
        <v>3071</v>
      </c>
      <c r="K363" t="s">
        <v>3071</v>
      </c>
      <c r="L363" t="s">
        <v>98</v>
      </c>
      <c r="M363" t="s">
        <v>3087</v>
      </c>
      <c r="N363" t="s">
        <v>132</v>
      </c>
      <c r="O363" t="s">
        <v>3070</v>
      </c>
      <c r="P363">
        <v>0</v>
      </c>
      <c r="Q363" t="s">
        <v>3075</v>
      </c>
      <c r="R363" t="s">
        <v>1580</v>
      </c>
      <c r="S363" t="s">
        <v>5374</v>
      </c>
      <c r="T363" t="s">
        <v>2698</v>
      </c>
      <c r="U363" t="s">
        <v>6339</v>
      </c>
      <c r="V363" s="17">
        <v>45314</v>
      </c>
      <c r="W363" s="17">
        <v>45323</v>
      </c>
      <c r="X363" s="17">
        <v>45473</v>
      </c>
      <c r="Y363">
        <v>-689</v>
      </c>
      <c r="Z363">
        <v>5</v>
      </c>
      <c r="AA363">
        <v>5</v>
      </c>
      <c r="AB363">
        <v>1561.7</v>
      </c>
      <c r="AC363" s="17"/>
      <c r="AE363">
        <v>25984.5975</v>
      </c>
      <c r="AF363">
        <v>519691.95</v>
      </c>
      <c r="AG363">
        <v>103938.39</v>
      </c>
      <c r="AH363">
        <v>519691.95</v>
      </c>
      <c r="AI363">
        <v>0</v>
      </c>
      <c r="AJ363">
        <v>0</v>
      </c>
      <c r="AW363">
        <v>0</v>
      </c>
      <c r="BJ363">
        <v>0</v>
      </c>
      <c r="BW363">
        <v>519691.95</v>
      </c>
      <c r="BY363">
        <v>103938.39</v>
      </c>
      <c r="BZ363">
        <v>103938.39</v>
      </c>
      <c r="CA363">
        <v>103938.39</v>
      </c>
      <c r="CB363">
        <v>103938.39</v>
      </c>
      <c r="CC363">
        <v>103938.39</v>
      </c>
      <c r="CJ363">
        <v>0</v>
      </c>
      <c r="CW363">
        <v>0</v>
      </c>
      <c r="DJ363">
        <v>0</v>
      </c>
      <c r="DW363">
        <v>0</v>
      </c>
      <c r="EJ363">
        <v>0</v>
      </c>
    </row>
    <row r="364" spans="1:140" hidden="1" x14ac:dyDescent="0.35">
      <c r="A364" t="s">
        <v>3317</v>
      </c>
      <c r="B364" t="s">
        <v>249</v>
      </c>
      <c r="D364" t="s">
        <v>6344</v>
      </c>
      <c r="E364" t="s">
        <v>895</v>
      </c>
      <c r="F364" t="s">
        <v>4779</v>
      </c>
      <c r="G364" t="s">
        <v>3716</v>
      </c>
      <c r="H364" t="s">
        <v>6341</v>
      </c>
      <c r="I364" t="s">
        <v>5373</v>
      </c>
      <c r="J364" t="s">
        <v>3071</v>
      </c>
      <c r="K364" t="s">
        <v>3071</v>
      </c>
      <c r="L364" t="s">
        <v>98</v>
      </c>
      <c r="M364" t="s">
        <v>3087</v>
      </c>
      <c r="N364" t="s">
        <v>132</v>
      </c>
      <c r="O364" t="s">
        <v>3070</v>
      </c>
      <c r="P364">
        <v>0</v>
      </c>
      <c r="Q364" t="s">
        <v>3075</v>
      </c>
      <c r="R364" t="s">
        <v>2513</v>
      </c>
      <c r="S364" t="s">
        <v>5374</v>
      </c>
      <c r="T364" t="s">
        <v>1576</v>
      </c>
      <c r="U364" t="s">
        <v>6342</v>
      </c>
      <c r="V364" s="17">
        <v>45499</v>
      </c>
      <c r="W364" s="17">
        <v>45474</v>
      </c>
      <c r="X364" s="17">
        <v>45716</v>
      </c>
      <c r="Y364">
        <v>-446</v>
      </c>
      <c r="Z364">
        <v>8</v>
      </c>
      <c r="AA364">
        <v>8.0666666666666664</v>
      </c>
      <c r="AB364">
        <v>1553.6</v>
      </c>
      <c r="AC364" s="17"/>
      <c r="AE364">
        <v>17984.218799999999</v>
      </c>
      <c r="AF364">
        <v>575495</v>
      </c>
      <c r="AG364">
        <v>71342.3554</v>
      </c>
      <c r="AH364">
        <v>575495</v>
      </c>
      <c r="AI364">
        <v>0</v>
      </c>
      <c r="AJ364">
        <v>0</v>
      </c>
      <c r="AW364">
        <v>0</v>
      </c>
      <c r="BJ364">
        <v>0</v>
      </c>
      <c r="BW364">
        <v>480797</v>
      </c>
      <c r="CD364">
        <v>107873</v>
      </c>
      <c r="CE364">
        <v>92742</v>
      </c>
      <c r="CF364">
        <v>77611</v>
      </c>
      <c r="CG364">
        <v>77611</v>
      </c>
      <c r="CH364">
        <v>77611</v>
      </c>
      <c r="CI364">
        <v>47349</v>
      </c>
      <c r="CJ364">
        <v>94698</v>
      </c>
      <c r="CK364">
        <v>47349</v>
      </c>
      <c r="CL364">
        <v>47349</v>
      </c>
      <c r="CW364">
        <v>0</v>
      </c>
      <c r="DJ364">
        <v>0</v>
      </c>
      <c r="DW364">
        <v>0</v>
      </c>
      <c r="EJ364">
        <v>94698</v>
      </c>
    </row>
    <row r="365" spans="1:140" hidden="1" x14ac:dyDescent="0.35">
      <c r="A365" t="s">
        <v>3067</v>
      </c>
      <c r="B365" t="s">
        <v>249</v>
      </c>
      <c r="D365" t="s">
        <v>6345</v>
      </c>
      <c r="E365" t="s">
        <v>141</v>
      </c>
      <c r="F365" t="s">
        <v>3721</v>
      </c>
      <c r="G365" t="s">
        <v>3722</v>
      </c>
      <c r="H365" t="s">
        <v>6346</v>
      </c>
      <c r="I365" t="s">
        <v>5368</v>
      </c>
      <c r="J365" t="s">
        <v>3071</v>
      </c>
      <c r="K365" t="s">
        <v>3071</v>
      </c>
      <c r="L365" t="s">
        <v>138</v>
      </c>
      <c r="M365" t="s">
        <v>3153</v>
      </c>
      <c r="N365" t="s">
        <v>139</v>
      </c>
      <c r="O365" t="s">
        <v>3659</v>
      </c>
      <c r="P365">
        <v>0</v>
      </c>
      <c r="Q365" t="s">
        <v>3075</v>
      </c>
      <c r="R365" t="s">
        <v>2513</v>
      </c>
      <c r="S365" t="s">
        <v>5374</v>
      </c>
      <c r="T365" t="s">
        <v>1576</v>
      </c>
      <c r="U365" t="s">
        <v>6347</v>
      </c>
      <c r="V365" s="17">
        <v>45626</v>
      </c>
      <c r="W365" s="17">
        <v>45626</v>
      </c>
      <c r="X365" s="17">
        <v>45807</v>
      </c>
      <c r="Y365">
        <v>-355</v>
      </c>
      <c r="Z365">
        <v>6</v>
      </c>
      <c r="AA365">
        <v>6.0333333333333332</v>
      </c>
      <c r="AB365">
        <v>1550.5666666666666</v>
      </c>
      <c r="AC365" s="17">
        <v>45674</v>
      </c>
      <c r="AE365">
        <v>31040.17</v>
      </c>
      <c r="AF365">
        <v>190741.02</v>
      </c>
      <c r="AG365">
        <v>31614.5337</v>
      </c>
      <c r="AH365">
        <v>190741.02</v>
      </c>
      <c r="AI365">
        <v>0</v>
      </c>
      <c r="AJ365">
        <v>0</v>
      </c>
      <c r="AW365">
        <v>0</v>
      </c>
      <c r="BJ365">
        <v>0</v>
      </c>
      <c r="BW365">
        <v>0</v>
      </c>
      <c r="CJ365">
        <v>190741.02</v>
      </c>
      <c r="CK365">
        <v>31040.17</v>
      </c>
      <c r="CL365">
        <v>33290.17</v>
      </c>
      <c r="CM365">
        <v>31040.17</v>
      </c>
      <c r="CN365">
        <v>31040.17</v>
      </c>
      <c r="CO365">
        <v>31040.17</v>
      </c>
      <c r="CP365">
        <v>33290.17</v>
      </c>
      <c r="CW365">
        <v>0</v>
      </c>
      <c r="DJ365">
        <v>0</v>
      </c>
      <c r="DW365">
        <v>0</v>
      </c>
      <c r="EJ365">
        <v>190741.02</v>
      </c>
    </row>
    <row r="366" spans="1:140" hidden="1" x14ac:dyDescent="0.35">
      <c r="A366" t="s">
        <v>3317</v>
      </c>
      <c r="B366" t="s">
        <v>249</v>
      </c>
      <c r="D366" t="s">
        <v>6348</v>
      </c>
      <c r="E366" t="s">
        <v>3710</v>
      </c>
      <c r="F366" t="s">
        <v>3711</v>
      </c>
      <c r="G366" t="s">
        <v>3712</v>
      </c>
      <c r="H366" t="s">
        <v>6349</v>
      </c>
      <c r="I366" t="s">
        <v>5368</v>
      </c>
      <c r="J366" t="s">
        <v>3071</v>
      </c>
      <c r="K366" t="s">
        <v>3071</v>
      </c>
      <c r="L366" t="s">
        <v>88</v>
      </c>
      <c r="M366" t="s">
        <v>3139</v>
      </c>
      <c r="N366" t="s">
        <v>89</v>
      </c>
      <c r="O366" t="s">
        <v>3088</v>
      </c>
      <c r="P366">
        <v>0</v>
      </c>
      <c r="Q366" t="s">
        <v>3075</v>
      </c>
      <c r="R366">
        <v>0</v>
      </c>
      <c r="S366">
        <v>0</v>
      </c>
      <c r="T366">
        <v>0</v>
      </c>
      <c r="U366" t="s">
        <v>6350</v>
      </c>
      <c r="V366" s="17">
        <v>45251</v>
      </c>
      <c r="W366" s="17">
        <v>45092</v>
      </c>
      <c r="X366" s="17">
        <v>45337</v>
      </c>
      <c r="Y366">
        <v>-825</v>
      </c>
      <c r="Z366">
        <v>4</v>
      </c>
      <c r="AA366">
        <v>8.1666666666666661</v>
      </c>
      <c r="AB366">
        <v>1566.2333333333333</v>
      </c>
      <c r="AC366" s="17"/>
      <c r="AD366">
        <v>45677</v>
      </c>
      <c r="AE366">
        <v>30090</v>
      </c>
      <c r="AF366">
        <v>120360</v>
      </c>
      <c r="AG366">
        <v>14737.959199999999</v>
      </c>
      <c r="AH366">
        <v>120360</v>
      </c>
      <c r="AI366">
        <v>0</v>
      </c>
      <c r="AJ366">
        <v>0</v>
      </c>
      <c r="AW366">
        <v>0</v>
      </c>
      <c r="BJ366">
        <v>60180</v>
      </c>
      <c r="BU366">
        <v>30090</v>
      </c>
      <c r="BV366">
        <v>30090</v>
      </c>
      <c r="BW366">
        <v>60180</v>
      </c>
      <c r="BX366">
        <v>30090</v>
      </c>
      <c r="BY366">
        <v>30090</v>
      </c>
      <c r="CJ366">
        <v>0</v>
      </c>
      <c r="CW366">
        <v>0</v>
      </c>
      <c r="DJ366">
        <v>0</v>
      </c>
      <c r="DW366">
        <v>0</v>
      </c>
      <c r="EJ366">
        <v>0</v>
      </c>
    </row>
    <row r="367" spans="1:140" hidden="1" x14ac:dyDescent="0.35">
      <c r="A367" t="s">
        <v>3317</v>
      </c>
      <c r="B367" t="s">
        <v>249</v>
      </c>
      <c r="D367" t="s">
        <v>6351</v>
      </c>
      <c r="E367" t="s">
        <v>3710</v>
      </c>
      <c r="F367" t="s">
        <v>3711</v>
      </c>
      <c r="G367" t="s">
        <v>3712</v>
      </c>
      <c r="H367" t="s">
        <v>6352</v>
      </c>
      <c r="I367" t="s">
        <v>5373</v>
      </c>
      <c r="J367" t="s">
        <v>3071</v>
      </c>
      <c r="K367" t="s">
        <v>3071</v>
      </c>
      <c r="L367" t="s">
        <v>88</v>
      </c>
      <c r="M367" t="s">
        <v>3139</v>
      </c>
      <c r="N367" t="s">
        <v>6353</v>
      </c>
      <c r="O367" t="s">
        <v>3070</v>
      </c>
      <c r="P367">
        <v>0</v>
      </c>
      <c r="Q367" t="s">
        <v>3075</v>
      </c>
      <c r="R367" t="s">
        <v>1580</v>
      </c>
      <c r="S367" t="s">
        <v>5374</v>
      </c>
      <c r="T367">
        <v>0</v>
      </c>
      <c r="U367" t="s">
        <v>6354</v>
      </c>
      <c r="V367" s="17">
        <v>45348</v>
      </c>
      <c r="W367" s="17">
        <v>45352</v>
      </c>
      <c r="X367" s="17">
        <v>45443</v>
      </c>
      <c r="Y367">
        <v>-719</v>
      </c>
      <c r="Z367">
        <v>3</v>
      </c>
      <c r="AA367">
        <v>3.0333333333333332</v>
      </c>
      <c r="AB367">
        <v>1562.7</v>
      </c>
      <c r="AC367" s="17"/>
      <c r="AD367">
        <v>45677</v>
      </c>
      <c r="AE367">
        <v>45645</v>
      </c>
      <c r="AF367">
        <v>273870</v>
      </c>
      <c r="AG367">
        <v>90286.813200000004</v>
      </c>
      <c r="AH367">
        <v>273870</v>
      </c>
      <c r="AI367">
        <v>0</v>
      </c>
      <c r="AJ367">
        <v>0</v>
      </c>
      <c r="AW367">
        <v>0</v>
      </c>
      <c r="BJ367">
        <v>0</v>
      </c>
      <c r="BW367">
        <v>273870</v>
      </c>
      <c r="BZ367">
        <v>91290</v>
      </c>
      <c r="CA367">
        <v>91290</v>
      </c>
      <c r="CB367">
        <v>91290</v>
      </c>
      <c r="CJ367">
        <v>0</v>
      </c>
      <c r="CW367">
        <v>0</v>
      </c>
      <c r="DJ367">
        <v>0</v>
      </c>
      <c r="DW367">
        <v>0</v>
      </c>
      <c r="EJ367">
        <v>0</v>
      </c>
    </row>
    <row r="368" spans="1:140" hidden="1" x14ac:dyDescent="0.35">
      <c r="A368" t="s">
        <v>3317</v>
      </c>
      <c r="B368" t="s">
        <v>249</v>
      </c>
      <c r="D368" t="s">
        <v>6355</v>
      </c>
      <c r="E368" t="s">
        <v>3710</v>
      </c>
      <c r="F368" t="s">
        <v>3711</v>
      </c>
      <c r="G368" t="s">
        <v>3712</v>
      </c>
      <c r="H368" t="s">
        <v>6352</v>
      </c>
      <c r="I368" t="s">
        <v>5373</v>
      </c>
      <c r="J368" t="s">
        <v>3071</v>
      </c>
      <c r="K368" t="s">
        <v>3071</v>
      </c>
      <c r="L368" t="s">
        <v>88</v>
      </c>
      <c r="M368" t="s">
        <v>3139</v>
      </c>
      <c r="N368" t="s">
        <v>6353</v>
      </c>
      <c r="O368" t="s">
        <v>3070</v>
      </c>
      <c r="P368">
        <v>0</v>
      </c>
      <c r="Q368" t="s">
        <v>3075</v>
      </c>
      <c r="R368" t="s">
        <v>1580</v>
      </c>
      <c r="S368" t="s">
        <v>5374</v>
      </c>
      <c r="T368" t="s">
        <v>1576</v>
      </c>
      <c r="U368" t="s">
        <v>6356</v>
      </c>
      <c r="V368" s="17">
        <v>45485</v>
      </c>
      <c r="W368" s="17">
        <v>45444</v>
      </c>
      <c r="X368" s="17">
        <v>45535</v>
      </c>
      <c r="Y368">
        <v>-627</v>
      </c>
      <c r="Z368">
        <v>3</v>
      </c>
      <c r="AA368">
        <v>3.0333333333333332</v>
      </c>
      <c r="AB368">
        <v>1559.6333333333334</v>
      </c>
      <c r="AC368" s="17"/>
      <c r="AD368">
        <v>45677</v>
      </c>
      <c r="AE368">
        <v>32520</v>
      </c>
      <c r="AF368">
        <v>195120</v>
      </c>
      <c r="AG368">
        <v>64325.274700000002</v>
      </c>
      <c r="AH368">
        <v>195120</v>
      </c>
      <c r="AI368">
        <v>0</v>
      </c>
      <c r="AJ368">
        <v>0</v>
      </c>
      <c r="AW368">
        <v>0</v>
      </c>
      <c r="BJ368">
        <v>0</v>
      </c>
      <c r="BW368">
        <v>195120</v>
      </c>
      <c r="CC368">
        <v>65040</v>
      </c>
      <c r="CD368">
        <v>65040</v>
      </c>
      <c r="CE368">
        <v>65040</v>
      </c>
      <c r="CJ368">
        <v>0</v>
      </c>
      <c r="CW368">
        <v>0</v>
      </c>
      <c r="DJ368">
        <v>0</v>
      </c>
      <c r="DW368">
        <v>0</v>
      </c>
      <c r="EJ368">
        <v>0</v>
      </c>
    </row>
    <row r="369" spans="1:140" hidden="1" x14ac:dyDescent="0.35">
      <c r="A369" t="s">
        <v>3317</v>
      </c>
      <c r="B369" t="s">
        <v>249</v>
      </c>
      <c r="D369" t="s">
        <v>6357</v>
      </c>
      <c r="E369" t="s">
        <v>3710</v>
      </c>
      <c r="F369" t="s">
        <v>3711</v>
      </c>
      <c r="G369" t="s">
        <v>3712</v>
      </c>
      <c r="H369" t="s">
        <v>6352</v>
      </c>
      <c r="I369" t="s">
        <v>5373</v>
      </c>
      <c r="J369" t="s">
        <v>3071</v>
      </c>
      <c r="K369" t="s">
        <v>3071</v>
      </c>
      <c r="L369" t="s">
        <v>88</v>
      </c>
      <c r="M369" t="s">
        <v>3139</v>
      </c>
      <c r="N369" t="s">
        <v>6353</v>
      </c>
      <c r="O369" t="s">
        <v>3070</v>
      </c>
      <c r="P369">
        <v>0</v>
      </c>
      <c r="Q369" t="s">
        <v>3075</v>
      </c>
      <c r="R369" t="s">
        <v>1580</v>
      </c>
      <c r="S369" t="s">
        <v>5374</v>
      </c>
      <c r="T369" t="s">
        <v>2363</v>
      </c>
      <c r="U369" t="s">
        <v>6358</v>
      </c>
      <c r="V369" s="17">
        <v>45574</v>
      </c>
      <c r="W369" s="17">
        <v>45444</v>
      </c>
      <c r="X369" s="17">
        <v>45535</v>
      </c>
      <c r="Y369">
        <v>-627</v>
      </c>
      <c r="Z369">
        <v>2</v>
      </c>
      <c r="AA369">
        <v>3.0333333333333332</v>
      </c>
      <c r="AB369">
        <v>1559.6333333333334</v>
      </c>
      <c r="AC369" s="17"/>
      <c r="AD369">
        <v>45677</v>
      </c>
      <c r="AE369">
        <v>22545.43</v>
      </c>
      <c r="AF369">
        <v>45090.86</v>
      </c>
      <c r="AG369">
        <v>14865.118700000001</v>
      </c>
      <c r="AH369">
        <v>45090.86</v>
      </c>
      <c r="AI369">
        <v>0</v>
      </c>
      <c r="AJ369">
        <v>0</v>
      </c>
      <c r="AW369">
        <v>0</v>
      </c>
      <c r="BJ369">
        <v>0</v>
      </c>
      <c r="BW369">
        <v>45090.86</v>
      </c>
      <c r="CF369">
        <v>22545.43</v>
      </c>
      <c r="CG369">
        <v>22545</v>
      </c>
      <c r="CJ369">
        <v>0</v>
      </c>
      <c r="CW369">
        <v>0</v>
      </c>
      <c r="DJ369">
        <v>0</v>
      </c>
      <c r="DW369">
        <v>0</v>
      </c>
      <c r="EJ369">
        <v>0</v>
      </c>
    </row>
    <row r="370" spans="1:140" hidden="1" x14ac:dyDescent="0.35">
      <c r="A370" t="s">
        <v>3067</v>
      </c>
      <c r="B370" t="s">
        <v>249</v>
      </c>
      <c r="D370" t="s">
        <v>6359</v>
      </c>
      <c r="E370" t="s">
        <v>1065</v>
      </c>
      <c r="F370" t="s">
        <v>3726</v>
      </c>
      <c r="G370" t="s">
        <v>3727</v>
      </c>
      <c r="H370" t="s">
        <v>6360</v>
      </c>
      <c r="I370" t="s">
        <v>5368</v>
      </c>
      <c r="J370" t="s">
        <v>3071</v>
      </c>
      <c r="K370" t="s">
        <v>3071</v>
      </c>
      <c r="L370" t="s">
        <v>1063</v>
      </c>
      <c r="M370" t="s">
        <v>3728</v>
      </c>
      <c r="N370" t="s">
        <v>89</v>
      </c>
      <c r="O370" t="s">
        <v>3088</v>
      </c>
      <c r="P370" t="s">
        <v>3088</v>
      </c>
      <c r="Q370" t="s">
        <v>3075</v>
      </c>
      <c r="R370" t="s">
        <v>2513</v>
      </c>
      <c r="S370" t="s">
        <v>5452</v>
      </c>
      <c r="T370" t="s">
        <v>2363</v>
      </c>
      <c r="U370" t="s">
        <v>6361</v>
      </c>
      <c r="V370" s="17">
        <v>45667</v>
      </c>
      <c r="W370" s="17">
        <v>45689</v>
      </c>
      <c r="X370" s="17">
        <v>45869</v>
      </c>
      <c r="Y370">
        <v>-293</v>
      </c>
      <c r="Z370">
        <v>5</v>
      </c>
      <c r="AA370">
        <v>6</v>
      </c>
      <c r="AB370">
        <v>1548.5</v>
      </c>
      <c r="AC370" s="17">
        <v>45685</v>
      </c>
      <c r="AE370">
        <v>42594.983999999997</v>
      </c>
      <c r="AF370">
        <v>212974.92</v>
      </c>
      <c r="AG370">
        <v>35495.82</v>
      </c>
      <c r="AH370">
        <v>212974.92</v>
      </c>
      <c r="AI370">
        <v>0</v>
      </c>
      <c r="AJ370">
        <v>0</v>
      </c>
      <c r="AW370">
        <v>0</v>
      </c>
      <c r="BJ370">
        <v>0</v>
      </c>
      <c r="BW370">
        <v>0</v>
      </c>
      <c r="CJ370">
        <v>212974.92</v>
      </c>
      <c r="CM370">
        <v>72980.92</v>
      </c>
      <c r="CO370">
        <v>34998.5</v>
      </c>
      <c r="CP370">
        <v>34998.5</v>
      </c>
      <c r="CQ370">
        <v>34998.5</v>
      </c>
      <c r="CR370">
        <v>34998.5</v>
      </c>
      <c r="CW370">
        <v>0</v>
      </c>
      <c r="DJ370">
        <v>0</v>
      </c>
      <c r="DW370">
        <v>0</v>
      </c>
      <c r="EJ370">
        <v>212974.92</v>
      </c>
    </row>
    <row r="371" spans="1:140" hidden="1" x14ac:dyDescent="0.35">
      <c r="A371" t="s">
        <v>3067</v>
      </c>
      <c r="B371" t="s">
        <v>249</v>
      </c>
      <c r="D371" t="s">
        <v>6362</v>
      </c>
      <c r="E371" t="s">
        <v>3729</v>
      </c>
      <c r="F371" t="s">
        <v>3730</v>
      </c>
      <c r="G371" t="s">
        <v>3731</v>
      </c>
      <c r="H371" t="s">
        <v>6363</v>
      </c>
      <c r="I371" t="s">
        <v>5368</v>
      </c>
      <c r="J371" t="s">
        <v>3071</v>
      </c>
      <c r="K371" t="s">
        <v>3071</v>
      </c>
      <c r="L371" t="s">
        <v>125</v>
      </c>
      <c r="M371" t="s">
        <v>3087</v>
      </c>
      <c r="N371" t="s">
        <v>3732</v>
      </c>
      <c r="O371" t="s">
        <v>3088</v>
      </c>
      <c r="P371">
        <v>0</v>
      </c>
      <c r="Q371" t="s">
        <v>3075</v>
      </c>
      <c r="R371" t="s">
        <v>1580</v>
      </c>
      <c r="S371" t="s">
        <v>5374</v>
      </c>
      <c r="T371" t="s">
        <v>2698</v>
      </c>
      <c r="U371" t="s">
        <v>6364</v>
      </c>
      <c r="V371" s="17">
        <v>45595</v>
      </c>
      <c r="W371" s="17">
        <v>45624</v>
      </c>
      <c r="X371" s="17">
        <v>45989</v>
      </c>
      <c r="Y371">
        <v>-173</v>
      </c>
      <c r="Z371">
        <v>12</v>
      </c>
      <c r="AA371">
        <v>12.166666666666666</v>
      </c>
      <c r="AB371">
        <v>1544.5</v>
      </c>
      <c r="AC371" s="17">
        <v>45641</v>
      </c>
      <c r="AE371">
        <v>38460.230000000003</v>
      </c>
      <c r="AF371">
        <v>461522.76</v>
      </c>
      <c r="AG371">
        <v>37933.377500000002</v>
      </c>
      <c r="AH371">
        <v>461882.76</v>
      </c>
      <c r="AI371">
        <v>360</v>
      </c>
      <c r="AJ371">
        <v>0</v>
      </c>
      <c r="AW371">
        <v>0</v>
      </c>
      <c r="BJ371">
        <v>0</v>
      </c>
      <c r="BW371">
        <v>76980.460000000006</v>
      </c>
      <c r="CH371">
        <v>38490.230000000003</v>
      </c>
      <c r="CI371">
        <v>38490.230000000003</v>
      </c>
      <c r="CJ371">
        <v>384902.3</v>
      </c>
      <c r="CK371">
        <v>38490.230000000003</v>
      </c>
      <c r="CL371">
        <v>38490.230000000003</v>
      </c>
      <c r="CM371">
        <v>38490.230000000003</v>
      </c>
      <c r="CN371">
        <v>38490.230000000003</v>
      </c>
      <c r="CO371">
        <v>38490.230000000003</v>
      </c>
      <c r="CP371">
        <v>38490.230000000003</v>
      </c>
      <c r="CQ371">
        <v>38490.230000000003</v>
      </c>
      <c r="CR371">
        <v>38490.230000000003</v>
      </c>
      <c r="CS371">
        <v>38490.230000000003</v>
      </c>
      <c r="CT371">
        <v>38490.230000000003</v>
      </c>
      <c r="CW371">
        <v>0</v>
      </c>
      <c r="DJ371">
        <v>0</v>
      </c>
      <c r="DW371">
        <v>0</v>
      </c>
      <c r="EJ371">
        <v>384902.3</v>
      </c>
    </row>
    <row r="372" spans="1:140" hidden="1" x14ac:dyDescent="0.35">
      <c r="A372" t="s">
        <v>3317</v>
      </c>
      <c r="B372" t="s">
        <v>249</v>
      </c>
      <c r="D372" t="s">
        <v>6365</v>
      </c>
      <c r="E372" t="s">
        <v>3736</v>
      </c>
      <c r="F372" t="s">
        <v>3737</v>
      </c>
      <c r="G372" t="s">
        <v>3738</v>
      </c>
      <c r="H372" t="s">
        <v>6366</v>
      </c>
      <c r="I372" t="s">
        <v>5368</v>
      </c>
      <c r="J372" t="s">
        <v>3696</v>
      </c>
      <c r="K372" t="s">
        <v>3696</v>
      </c>
      <c r="L372" t="s">
        <v>3739</v>
      </c>
      <c r="M372" t="s">
        <v>249</v>
      </c>
      <c r="N372" t="s">
        <v>3740</v>
      </c>
      <c r="O372" t="s">
        <v>3153</v>
      </c>
      <c r="P372">
        <v>0</v>
      </c>
      <c r="Q372" t="s">
        <v>3075</v>
      </c>
      <c r="R372" t="s">
        <v>2464</v>
      </c>
      <c r="S372" t="s">
        <v>5452</v>
      </c>
      <c r="T372">
        <v>0</v>
      </c>
      <c r="U372" t="s">
        <v>6367</v>
      </c>
      <c r="V372" s="17">
        <v>45385</v>
      </c>
      <c r="W372" s="17">
        <v>45397</v>
      </c>
      <c r="X372" s="17">
        <v>45580</v>
      </c>
      <c r="Y372">
        <v>-582</v>
      </c>
      <c r="Z372">
        <v>6</v>
      </c>
      <c r="AA372">
        <v>6.1</v>
      </c>
      <c r="AB372">
        <v>1558.1333333333334</v>
      </c>
      <c r="AC372" s="17"/>
      <c r="AD372">
        <v>45641</v>
      </c>
      <c r="AE372">
        <v>9250</v>
      </c>
      <c r="AF372">
        <v>55500</v>
      </c>
      <c r="AG372">
        <v>9098.3606999999993</v>
      </c>
      <c r="AH372">
        <v>55500</v>
      </c>
      <c r="AI372">
        <v>0</v>
      </c>
      <c r="AJ372">
        <v>0</v>
      </c>
      <c r="AW372">
        <v>0</v>
      </c>
      <c r="BJ372">
        <v>0</v>
      </c>
      <c r="BW372">
        <v>55500</v>
      </c>
      <c r="CA372">
        <v>19425</v>
      </c>
      <c r="CB372">
        <v>19425</v>
      </c>
      <c r="CC372">
        <v>4162.5</v>
      </c>
      <c r="CD372">
        <v>4162.5</v>
      </c>
      <c r="CE372">
        <v>4162.5</v>
      </c>
      <c r="CF372">
        <v>4162.5</v>
      </c>
      <c r="CJ372">
        <v>0</v>
      </c>
      <c r="CW372">
        <v>0</v>
      </c>
      <c r="DJ372">
        <v>0</v>
      </c>
      <c r="DW372">
        <v>0</v>
      </c>
      <c r="EJ372">
        <v>0</v>
      </c>
    </row>
    <row r="373" spans="1:140" hidden="1" x14ac:dyDescent="0.35">
      <c r="A373" t="s">
        <v>3317</v>
      </c>
      <c r="B373" t="s">
        <v>249</v>
      </c>
      <c r="D373" t="s">
        <v>6368</v>
      </c>
      <c r="E373" t="s">
        <v>3744</v>
      </c>
      <c r="F373" t="s">
        <v>3745</v>
      </c>
      <c r="G373" t="s">
        <v>3746</v>
      </c>
      <c r="H373" t="s">
        <v>6369</v>
      </c>
      <c r="I373" t="s">
        <v>5368</v>
      </c>
      <c r="J373" t="s">
        <v>3079</v>
      </c>
      <c r="K373" t="s">
        <v>3079</v>
      </c>
      <c r="L373" t="s">
        <v>309</v>
      </c>
      <c r="M373" t="s">
        <v>3747</v>
      </c>
      <c r="N373" t="s">
        <v>89</v>
      </c>
      <c r="O373" t="s">
        <v>3088</v>
      </c>
      <c r="P373">
        <v>0</v>
      </c>
      <c r="Q373" t="s">
        <v>3075</v>
      </c>
      <c r="R373" t="s">
        <v>2464</v>
      </c>
      <c r="S373" t="s">
        <v>5452</v>
      </c>
      <c r="T373" t="s">
        <v>5485</v>
      </c>
      <c r="U373" t="s">
        <v>6370</v>
      </c>
      <c r="V373" s="17">
        <v>45527</v>
      </c>
      <c r="W373" s="17">
        <v>45537</v>
      </c>
      <c r="X373" s="17">
        <v>45717</v>
      </c>
      <c r="Y373">
        <v>-445</v>
      </c>
      <c r="Z373">
        <v>6</v>
      </c>
      <c r="AA373">
        <v>6</v>
      </c>
      <c r="AB373">
        <v>1553.5666666666666</v>
      </c>
      <c r="AC373" s="17"/>
      <c r="AE373">
        <v>27976.13</v>
      </c>
      <c r="AF373">
        <v>167856.78</v>
      </c>
      <c r="AG373">
        <v>27976.13</v>
      </c>
      <c r="AH373">
        <v>167856.76</v>
      </c>
      <c r="AI373">
        <v>-0.02</v>
      </c>
      <c r="AJ373">
        <v>0</v>
      </c>
      <c r="AW373">
        <v>0</v>
      </c>
      <c r="BJ373">
        <v>0</v>
      </c>
      <c r="BW373">
        <v>157132.98000000001</v>
      </c>
      <c r="CF373">
        <v>57118.92</v>
      </c>
      <c r="CG373">
        <v>42895</v>
      </c>
      <c r="CH373">
        <v>46395.14</v>
      </c>
      <c r="CI373">
        <v>10723.78</v>
      </c>
      <c r="CJ373">
        <v>10723.78</v>
      </c>
      <c r="CK373">
        <v>10723.78</v>
      </c>
      <c r="CW373">
        <v>0</v>
      </c>
      <c r="DJ373">
        <v>0</v>
      </c>
      <c r="DW373">
        <v>0</v>
      </c>
      <c r="EJ373">
        <v>10723.78</v>
      </c>
    </row>
    <row r="374" spans="1:140" hidden="1" x14ac:dyDescent="0.35">
      <c r="A374" t="s">
        <v>3317</v>
      </c>
      <c r="B374" t="s">
        <v>249</v>
      </c>
      <c r="D374" t="s">
        <v>6371</v>
      </c>
      <c r="E374" t="s">
        <v>4811</v>
      </c>
      <c r="F374" t="s">
        <v>4812</v>
      </c>
      <c r="G374" t="s">
        <v>4813</v>
      </c>
      <c r="H374" t="s">
        <v>6372</v>
      </c>
      <c r="I374" t="s">
        <v>5368</v>
      </c>
      <c r="J374" t="s">
        <v>3203</v>
      </c>
      <c r="K374" t="s">
        <v>3203</v>
      </c>
      <c r="L374" t="s">
        <v>153</v>
      </c>
      <c r="M374" t="s">
        <v>3917</v>
      </c>
      <c r="N374" t="s">
        <v>153</v>
      </c>
      <c r="O374" t="s">
        <v>3918</v>
      </c>
      <c r="P374">
        <v>0</v>
      </c>
      <c r="Q374" t="s">
        <v>3852</v>
      </c>
      <c r="R374" t="s">
        <v>4394</v>
      </c>
      <c r="S374" t="s">
        <v>5374</v>
      </c>
      <c r="T374" t="s">
        <v>5485</v>
      </c>
      <c r="U374" t="s">
        <v>6373</v>
      </c>
      <c r="V374" s="17">
        <v>45462</v>
      </c>
      <c r="W374" s="17">
        <v>45462</v>
      </c>
      <c r="X374" s="17">
        <v>45497</v>
      </c>
      <c r="Y374">
        <v>-665</v>
      </c>
      <c r="Z374">
        <v>1</v>
      </c>
      <c r="AA374">
        <v>1.1666666666666667</v>
      </c>
      <c r="AB374">
        <v>1560.9</v>
      </c>
      <c r="AC374" s="17"/>
      <c r="AD374">
        <v>45646</v>
      </c>
      <c r="AE374">
        <v>73125.05</v>
      </c>
      <c r="AF374">
        <v>73125.05</v>
      </c>
      <c r="AG374">
        <v>62678.614300000001</v>
      </c>
      <c r="AH374">
        <v>73125.05</v>
      </c>
      <c r="AI374">
        <v>0</v>
      </c>
      <c r="AJ374">
        <v>0</v>
      </c>
      <c r="AW374">
        <v>0</v>
      </c>
      <c r="BJ374">
        <v>0</v>
      </c>
      <c r="BW374">
        <v>73125.05</v>
      </c>
      <c r="CD374">
        <v>73125.05</v>
      </c>
      <c r="CJ374">
        <v>0</v>
      </c>
      <c r="CW374">
        <v>0</v>
      </c>
      <c r="DJ374">
        <v>0</v>
      </c>
      <c r="DW374">
        <v>0</v>
      </c>
      <c r="EJ374">
        <v>0</v>
      </c>
    </row>
    <row r="375" spans="1:140" hidden="1" x14ac:dyDescent="0.35">
      <c r="A375" t="s">
        <v>3317</v>
      </c>
      <c r="B375" t="s">
        <v>249</v>
      </c>
      <c r="D375" t="s">
        <v>6374</v>
      </c>
      <c r="E375" t="s">
        <v>4811</v>
      </c>
      <c r="F375" t="s">
        <v>4812</v>
      </c>
      <c r="G375" t="s">
        <v>4813</v>
      </c>
      <c r="H375" t="s">
        <v>6375</v>
      </c>
      <c r="I375" t="s">
        <v>5373</v>
      </c>
      <c r="J375" t="s">
        <v>3203</v>
      </c>
      <c r="K375" t="s">
        <v>3203</v>
      </c>
      <c r="L375" t="s">
        <v>153</v>
      </c>
      <c r="M375" t="s">
        <v>3917</v>
      </c>
      <c r="N375" t="s">
        <v>153</v>
      </c>
      <c r="O375" t="s">
        <v>3918</v>
      </c>
      <c r="P375">
        <v>0</v>
      </c>
      <c r="Q375" t="s">
        <v>3852</v>
      </c>
      <c r="R375" t="s">
        <v>4394</v>
      </c>
      <c r="S375" t="s">
        <v>5374</v>
      </c>
      <c r="T375" t="s">
        <v>1576</v>
      </c>
      <c r="U375" t="s">
        <v>6373</v>
      </c>
      <c r="V375" s="17">
        <v>45614</v>
      </c>
      <c r="W375" s="17">
        <v>45614</v>
      </c>
      <c r="X375" s="17">
        <v>45644</v>
      </c>
      <c r="Y375">
        <v>-518</v>
      </c>
      <c r="Z375">
        <v>1</v>
      </c>
      <c r="AA375">
        <v>1</v>
      </c>
      <c r="AB375">
        <v>1556</v>
      </c>
      <c r="AC375" s="17"/>
      <c r="AD375">
        <v>45646</v>
      </c>
      <c r="AE375">
        <v>16000</v>
      </c>
      <c r="AF375">
        <v>16000</v>
      </c>
      <c r="AG375">
        <v>16000</v>
      </c>
      <c r="AH375">
        <v>16000</v>
      </c>
      <c r="AI375">
        <v>0</v>
      </c>
      <c r="AJ375">
        <v>0</v>
      </c>
      <c r="AW375">
        <v>0</v>
      </c>
      <c r="BJ375">
        <v>0</v>
      </c>
      <c r="BW375">
        <v>16000</v>
      </c>
      <c r="CI375">
        <v>16000</v>
      </c>
      <c r="CJ375">
        <v>0</v>
      </c>
      <c r="CW375">
        <v>0</v>
      </c>
      <c r="DJ375">
        <v>0</v>
      </c>
      <c r="DW375">
        <v>0</v>
      </c>
      <c r="EJ375">
        <v>0</v>
      </c>
    </row>
    <row r="376" spans="1:140" hidden="1" x14ac:dyDescent="0.35">
      <c r="A376" t="s">
        <v>3317</v>
      </c>
      <c r="B376" t="s">
        <v>249</v>
      </c>
      <c r="D376" t="s">
        <v>6376</v>
      </c>
      <c r="E376" t="s">
        <v>4783</v>
      </c>
      <c r="F376" t="s">
        <v>4784</v>
      </c>
      <c r="G376" t="s">
        <v>4785</v>
      </c>
      <c r="H376" t="s">
        <v>6377</v>
      </c>
      <c r="I376" t="s">
        <v>5477</v>
      </c>
      <c r="J376" t="s">
        <v>3203</v>
      </c>
      <c r="K376" t="s">
        <v>3203</v>
      </c>
      <c r="L376" t="s">
        <v>4633</v>
      </c>
      <c r="M376" t="s">
        <v>249</v>
      </c>
      <c r="N376" t="s">
        <v>4634</v>
      </c>
      <c r="O376" t="s">
        <v>3107</v>
      </c>
      <c r="P376">
        <v>0</v>
      </c>
      <c r="Q376" t="s">
        <v>3075</v>
      </c>
      <c r="R376" t="s">
        <v>4394</v>
      </c>
      <c r="S376" t="s">
        <v>5374</v>
      </c>
      <c r="T376" t="s">
        <v>1576</v>
      </c>
      <c r="U376" t="s">
        <v>6378</v>
      </c>
      <c r="V376" s="17">
        <v>45450</v>
      </c>
      <c r="W376" s="17">
        <v>45467</v>
      </c>
      <c r="X376" s="17">
        <v>45832</v>
      </c>
      <c r="Y376">
        <v>-330</v>
      </c>
      <c r="Z376">
        <v>3</v>
      </c>
      <c r="AA376">
        <v>12.166666666666666</v>
      </c>
      <c r="AB376">
        <v>1549.7333333333333</v>
      </c>
      <c r="AC376" s="17"/>
      <c r="AD376">
        <v>45656</v>
      </c>
      <c r="AE376">
        <v>0</v>
      </c>
      <c r="AF376">
        <v>0</v>
      </c>
      <c r="AG376">
        <v>0</v>
      </c>
      <c r="AH376">
        <v>12201.3</v>
      </c>
      <c r="AI376">
        <v>12201.3</v>
      </c>
      <c r="AJ376">
        <v>0</v>
      </c>
      <c r="AW376">
        <v>0</v>
      </c>
      <c r="BJ376">
        <v>0</v>
      </c>
      <c r="BW376">
        <v>12201.3</v>
      </c>
      <c r="CD376">
        <v>12201.3</v>
      </c>
      <c r="CJ376">
        <v>0</v>
      </c>
      <c r="CW376">
        <v>0</v>
      </c>
      <c r="DJ376">
        <v>0</v>
      </c>
      <c r="DW376">
        <v>0</v>
      </c>
      <c r="EJ376">
        <v>0</v>
      </c>
    </row>
    <row r="377" spans="1:140" hidden="1" x14ac:dyDescent="0.35">
      <c r="A377" t="s">
        <v>3317</v>
      </c>
      <c r="B377" t="s">
        <v>249</v>
      </c>
      <c r="D377" t="s">
        <v>6379</v>
      </c>
      <c r="E377" t="s">
        <v>4788</v>
      </c>
      <c r="F377" t="s">
        <v>4789</v>
      </c>
      <c r="G377" t="s">
        <v>4790</v>
      </c>
      <c r="H377" t="s">
        <v>6380</v>
      </c>
      <c r="I377" t="s">
        <v>5368</v>
      </c>
      <c r="J377" t="s">
        <v>3203</v>
      </c>
      <c r="K377" t="s">
        <v>3203</v>
      </c>
      <c r="L377" t="s">
        <v>132</v>
      </c>
      <c r="M377" t="s">
        <v>3997</v>
      </c>
      <c r="N377" t="s">
        <v>132</v>
      </c>
      <c r="O377" t="s">
        <v>3070</v>
      </c>
      <c r="P377">
        <v>0</v>
      </c>
      <c r="Q377" t="s">
        <v>3852</v>
      </c>
      <c r="R377" t="s">
        <v>4394</v>
      </c>
      <c r="S377" t="s">
        <v>5374</v>
      </c>
      <c r="T377" t="s">
        <v>2363</v>
      </c>
      <c r="U377" t="s">
        <v>6381</v>
      </c>
      <c r="V377" s="17">
        <v>45573</v>
      </c>
      <c r="W377" s="17">
        <v>45573</v>
      </c>
      <c r="X377" s="17">
        <v>45618</v>
      </c>
      <c r="Y377">
        <v>-544</v>
      </c>
      <c r="Z377">
        <v>1</v>
      </c>
      <c r="AA377">
        <v>1.5</v>
      </c>
      <c r="AB377">
        <v>1556.8666666666666</v>
      </c>
      <c r="AC377" s="17"/>
      <c r="AD377">
        <v>45672</v>
      </c>
      <c r="AE377">
        <v>92334.69</v>
      </c>
      <c r="AF377">
        <v>92334.69</v>
      </c>
      <c r="AG377">
        <v>61556.46</v>
      </c>
      <c r="AH377">
        <v>92334.69</v>
      </c>
      <c r="AI377">
        <v>0</v>
      </c>
      <c r="AJ377">
        <v>0</v>
      </c>
      <c r="AW377">
        <v>0</v>
      </c>
      <c r="BJ377">
        <v>0</v>
      </c>
      <c r="BW377">
        <v>92334.69</v>
      </c>
      <c r="CH377">
        <v>64634.28</v>
      </c>
      <c r="CI377">
        <v>27700.41</v>
      </c>
      <c r="CJ377">
        <v>0</v>
      </c>
      <c r="CW377">
        <v>0</v>
      </c>
      <c r="DJ377">
        <v>0</v>
      </c>
      <c r="DW377">
        <v>0</v>
      </c>
      <c r="EJ377">
        <v>0</v>
      </c>
    </row>
    <row r="378" spans="1:140" hidden="1" x14ac:dyDescent="0.35">
      <c r="A378" t="s">
        <v>3317</v>
      </c>
      <c r="B378" t="s">
        <v>249</v>
      </c>
      <c r="D378" t="s">
        <v>6382</v>
      </c>
      <c r="E378" t="s">
        <v>4793</v>
      </c>
      <c r="F378" t="s">
        <v>4794</v>
      </c>
      <c r="G378" t="s">
        <v>4795</v>
      </c>
      <c r="H378" t="s">
        <v>6383</v>
      </c>
      <c r="I378" t="s">
        <v>5368</v>
      </c>
      <c r="J378" t="s">
        <v>3203</v>
      </c>
      <c r="K378" t="s">
        <v>3203</v>
      </c>
      <c r="L378" t="s">
        <v>4410</v>
      </c>
      <c r="M378" t="s">
        <v>3139</v>
      </c>
      <c r="N378" t="s">
        <v>89</v>
      </c>
      <c r="O378" t="s">
        <v>3088</v>
      </c>
      <c r="P378">
        <v>0</v>
      </c>
      <c r="Q378" t="s">
        <v>3075</v>
      </c>
      <c r="R378" t="s">
        <v>4394</v>
      </c>
      <c r="S378" t="s">
        <v>5374</v>
      </c>
      <c r="T378">
        <v>0</v>
      </c>
      <c r="U378" t="s">
        <v>6384</v>
      </c>
      <c r="V378" s="17">
        <v>45391</v>
      </c>
      <c r="W378" s="17">
        <v>45358</v>
      </c>
      <c r="X378" s="17">
        <v>46088</v>
      </c>
      <c r="Y378">
        <v>-74</v>
      </c>
      <c r="Z378">
        <v>1</v>
      </c>
      <c r="AA378">
        <v>24.333333333333332</v>
      </c>
      <c r="AB378">
        <v>1541.2</v>
      </c>
      <c r="AC378" s="17"/>
      <c r="AD378">
        <v>45524</v>
      </c>
      <c r="AE378">
        <v>43380.23</v>
      </c>
      <c r="AF378">
        <v>43380.23</v>
      </c>
      <c r="AG378">
        <v>1782.7492</v>
      </c>
      <c r="AH378">
        <v>43380.22</v>
      </c>
      <c r="AI378">
        <v>-0.01</v>
      </c>
      <c r="AJ378">
        <v>0</v>
      </c>
      <c r="AW378">
        <v>0</v>
      </c>
      <c r="BJ378">
        <v>0</v>
      </c>
      <c r="BW378">
        <v>43380.22</v>
      </c>
      <c r="CB378">
        <v>34704.18</v>
      </c>
      <c r="CC378">
        <v>8676.0400000000009</v>
      </c>
      <c r="CJ378">
        <v>0</v>
      </c>
      <c r="CW378">
        <v>0</v>
      </c>
      <c r="DJ378">
        <v>0</v>
      </c>
      <c r="DW378">
        <v>0</v>
      </c>
      <c r="EJ378">
        <v>0</v>
      </c>
    </row>
    <row r="379" spans="1:140" hidden="1" x14ac:dyDescent="0.35">
      <c r="A379" t="s">
        <v>3317</v>
      </c>
      <c r="B379" t="s">
        <v>249</v>
      </c>
      <c r="D379" t="s">
        <v>6385</v>
      </c>
      <c r="E379" t="s">
        <v>4798</v>
      </c>
      <c r="F379" t="s">
        <v>4799</v>
      </c>
      <c r="G379" t="s">
        <v>4800</v>
      </c>
      <c r="H379" t="s">
        <v>6386</v>
      </c>
      <c r="I379" t="s">
        <v>5368</v>
      </c>
      <c r="J379" t="s">
        <v>3203</v>
      </c>
      <c r="K379" t="s">
        <v>3203</v>
      </c>
      <c r="L379" t="s">
        <v>4410</v>
      </c>
      <c r="M379" t="s">
        <v>3139</v>
      </c>
      <c r="N379" t="s">
        <v>89</v>
      </c>
      <c r="O379" t="s">
        <v>3088</v>
      </c>
      <c r="P379">
        <v>0</v>
      </c>
      <c r="Q379" t="s">
        <v>3075</v>
      </c>
      <c r="R379" t="s">
        <v>4394</v>
      </c>
      <c r="S379" t="s">
        <v>5374</v>
      </c>
      <c r="T379" t="s">
        <v>5485</v>
      </c>
      <c r="U379" t="s">
        <v>6387</v>
      </c>
      <c r="V379" s="17">
        <v>45463</v>
      </c>
      <c r="W379" s="17">
        <v>45560</v>
      </c>
      <c r="X379" s="17">
        <v>45600</v>
      </c>
      <c r="Y379">
        <v>-562</v>
      </c>
      <c r="Z379">
        <v>1</v>
      </c>
      <c r="AA379">
        <v>1.3333333333333333</v>
      </c>
      <c r="AB379">
        <v>1557.4666666666667</v>
      </c>
      <c r="AC379" s="17"/>
      <c r="AD379">
        <v>45667</v>
      </c>
      <c r="AE379">
        <v>60253.94</v>
      </c>
      <c r="AF379">
        <v>60253.94</v>
      </c>
      <c r="AG379">
        <v>45190.455000000002</v>
      </c>
      <c r="AH379">
        <v>60253.94</v>
      </c>
      <c r="AI379">
        <v>0</v>
      </c>
      <c r="AJ379">
        <v>0</v>
      </c>
      <c r="AW379">
        <v>0</v>
      </c>
      <c r="BJ379">
        <v>0</v>
      </c>
      <c r="BW379">
        <v>60253.94</v>
      </c>
      <c r="CD379">
        <v>36152.36</v>
      </c>
      <c r="CE379">
        <v>24101.58</v>
      </c>
      <c r="CJ379">
        <v>0</v>
      </c>
      <c r="CW379">
        <v>0</v>
      </c>
      <c r="DJ379">
        <v>0</v>
      </c>
      <c r="DW379">
        <v>0</v>
      </c>
      <c r="EJ379">
        <v>0</v>
      </c>
    </row>
    <row r="380" spans="1:140" hidden="1" x14ac:dyDescent="0.35">
      <c r="A380" t="s">
        <v>3317</v>
      </c>
      <c r="B380" t="s">
        <v>249</v>
      </c>
      <c r="D380" t="s">
        <v>6388</v>
      </c>
      <c r="E380" t="s">
        <v>4806</v>
      </c>
      <c r="F380" t="s">
        <v>4807</v>
      </c>
      <c r="G380" t="s">
        <v>4808</v>
      </c>
      <c r="H380" t="s">
        <v>6389</v>
      </c>
      <c r="I380" t="s">
        <v>5368</v>
      </c>
      <c r="J380" t="s">
        <v>3203</v>
      </c>
      <c r="K380" t="s">
        <v>3203</v>
      </c>
      <c r="L380" t="s">
        <v>4410</v>
      </c>
      <c r="M380" t="s">
        <v>3139</v>
      </c>
      <c r="N380" t="s">
        <v>89</v>
      </c>
      <c r="O380" t="s">
        <v>3088</v>
      </c>
      <c r="P380">
        <v>0</v>
      </c>
      <c r="Q380" t="s">
        <v>3075</v>
      </c>
      <c r="R380" t="s">
        <v>4394</v>
      </c>
      <c r="S380" t="s">
        <v>5374</v>
      </c>
      <c r="T380" t="s">
        <v>2363</v>
      </c>
      <c r="U380" t="s">
        <v>6390</v>
      </c>
      <c r="V380" s="17">
        <v>45582</v>
      </c>
      <c r="W380" s="17">
        <v>45582</v>
      </c>
      <c r="X380" s="17">
        <v>45613</v>
      </c>
      <c r="Y380">
        <v>-549</v>
      </c>
      <c r="Z380">
        <v>1</v>
      </c>
      <c r="AA380">
        <v>1.0333333333333334</v>
      </c>
      <c r="AB380">
        <v>1557.0333333333333</v>
      </c>
      <c r="AC380" s="17"/>
      <c r="AD380">
        <v>45667</v>
      </c>
      <c r="AE380">
        <v>50000</v>
      </c>
      <c r="AF380">
        <v>50000</v>
      </c>
      <c r="AG380">
        <v>48387.096799999999</v>
      </c>
      <c r="AH380">
        <v>50000</v>
      </c>
      <c r="AI380">
        <v>0</v>
      </c>
      <c r="AJ380">
        <v>0</v>
      </c>
      <c r="AW380">
        <v>0</v>
      </c>
      <c r="BJ380">
        <v>0</v>
      </c>
      <c r="BW380">
        <v>50000</v>
      </c>
      <c r="CH380">
        <v>30000</v>
      </c>
      <c r="CI380">
        <v>20000</v>
      </c>
      <c r="CJ380">
        <v>0</v>
      </c>
      <c r="CW380">
        <v>0</v>
      </c>
      <c r="DJ380">
        <v>0</v>
      </c>
      <c r="DW380">
        <v>0</v>
      </c>
      <c r="EJ380">
        <v>0</v>
      </c>
    </row>
    <row r="381" spans="1:140" hidden="1" x14ac:dyDescent="0.35">
      <c r="A381" t="s">
        <v>3317</v>
      </c>
      <c r="B381" t="s">
        <v>249</v>
      </c>
      <c r="D381" t="s">
        <v>6391</v>
      </c>
      <c r="E381" t="s">
        <v>197</v>
      </c>
      <c r="F381" t="s">
        <v>3750</v>
      </c>
      <c r="G381" t="s">
        <v>3751</v>
      </c>
      <c r="H381" t="s">
        <v>6392</v>
      </c>
      <c r="I381" t="s">
        <v>5368</v>
      </c>
      <c r="J381" t="s">
        <v>3071</v>
      </c>
      <c r="K381" t="s">
        <v>3071</v>
      </c>
      <c r="L381" t="s">
        <v>196</v>
      </c>
      <c r="M381" t="s">
        <v>3180</v>
      </c>
      <c r="N381" t="s">
        <v>89</v>
      </c>
      <c r="O381" t="s">
        <v>3088</v>
      </c>
      <c r="P381">
        <v>0</v>
      </c>
      <c r="Q381" t="s">
        <v>3075</v>
      </c>
      <c r="R381" t="s">
        <v>1580</v>
      </c>
      <c r="S381" t="s">
        <v>5374</v>
      </c>
      <c r="T381" t="s">
        <v>1576</v>
      </c>
      <c r="U381" t="s">
        <v>6393</v>
      </c>
      <c r="V381" s="17">
        <v>45407</v>
      </c>
      <c r="W381" s="17">
        <v>45415</v>
      </c>
      <c r="X381" s="17">
        <v>45750</v>
      </c>
      <c r="Y381">
        <v>-412</v>
      </c>
      <c r="Z381">
        <v>11</v>
      </c>
      <c r="AA381">
        <v>11.166666666666666</v>
      </c>
      <c r="AB381">
        <v>1552.4666666666667</v>
      </c>
      <c r="AC381" s="17"/>
      <c r="AD381">
        <v>45688</v>
      </c>
      <c r="AE381">
        <v>30762.341799999998</v>
      </c>
      <c r="AF381">
        <v>676771.52</v>
      </c>
      <c r="AG381">
        <v>60606.404799999997</v>
      </c>
      <c r="AH381">
        <v>676772.69</v>
      </c>
      <c r="AI381">
        <v>1.17</v>
      </c>
      <c r="AJ381">
        <v>0</v>
      </c>
      <c r="AW381">
        <v>0</v>
      </c>
      <c r="BJ381">
        <v>0</v>
      </c>
      <c r="BW381">
        <v>482159.32</v>
      </c>
      <c r="CB381">
        <v>35394.79</v>
      </c>
      <c r="CC381">
        <v>68537.789999999994</v>
      </c>
      <c r="CD381">
        <v>63037.79</v>
      </c>
      <c r="CE381">
        <v>63037.79</v>
      </c>
      <c r="CF381">
        <v>63037.79</v>
      </c>
      <c r="CG381">
        <v>63038</v>
      </c>
      <c r="CH381">
        <v>63037.79</v>
      </c>
      <c r="CI381">
        <v>63037.79</v>
      </c>
      <c r="CJ381">
        <v>194613.37</v>
      </c>
      <c r="CK381">
        <v>63037.79</v>
      </c>
      <c r="CL381">
        <v>63037.79</v>
      </c>
      <c r="CM381">
        <v>68537.789999999994</v>
      </c>
      <c r="CW381">
        <v>0</v>
      </c>
      <c r="DJ381">
        <v>0</v>
      </c>
      <c r="DW381">
        <v>0</v>
      </c>
      <c r="EJ381">
        <v>194613.37</v>
      </c>
    </row>
    <row r="382" spans="1:140" hidden="1" x14ac:dyDescent="0.35">
      <c r="A382" t="s">
        <v>3317</v>
      </c>
      <c r="B382" t="s">
        <v>249</v>
      </c>
      <c r="D382" t="s">
        <v>6394</v>
      </c>
      <c r="E382" t="s">
        <v>956</v>
      </c>
      <c r="F382" t="s">
        <v>3754</v>
      </c>
      <c r="G382" t="s">
        <v>3755</v>
      </c>
      <c r="H382" t="s">
        <v>6395</v>
      </c>
      <c r="I382" t="s">
        <v>5368</v>
      </c>
      <c r="J382" t="s">
        <v>3071</v>
      </c>
      <c r="K382" t="s">
        <v>3071</v>
      </c>
      <c r="L382" t="s">
        <v>795</v>
      </c>
      <c r="M382" t="s">
        <v>249</v>
      </c>
      <c r="N382" t="s">
        <v>132</v>
      </c>
      <c r="O382" t="s">
        <v>3070</v>
      </c>
      <c r="P382">
        <v>0</v>
      </c>
      <c r="Q382" t="s">
        <v>3075</v>
      </c>
      <c r="R382" t="s">
        <v>2513</v>
      </c>
      <c r="S382" t="s">
        <v>5452</v>
      </c>
      <c r="T382" t="s">
        <v>5485</v>
      </c>
      <c r="U382" t="s">
        <v>6396</v>
      </c>
      <c r="V382" s="17">
        <v>45359</v>
      </c>
      <c r="W382" s="17">
        <v>45363</v>
      </c>
      <c r="X382" s="17">
        <v>45728</v>
      </c>
      <c r="Y382">
        <v>-434</v>
      </c>
      <c r="Z382">
        <v>12</v>
      </c>
      <c r="AA382">
        <v>12.166666666666666</v>
      </c>
      <c r="AB382">
        <v>1553.2</v>
      </c>
      <c r="AC382" s="17"/>
      <c r="AD382">
        <v>45702</v>
      </c>
      <c r="AE382">
        <v>22000</v>
      </c>
      <c r="AF382">
        <v>269500</v>
      </c>
      <c r="AG382">
        <v>22150.6849</v>
      </c>
      <c r="AH382">
        <v>264000</v>
      </c>
      <c r="AI382">
        <v>-5500</v>
      </c>
      <c r="AJ382">
        <v>0</v>
      </c>
      <c r="AW382">
        <v>0</v>
      </c>
      <c r="BJ382">
        <v>0</v>
      </c>
      <c r="BW382">
        <v>209000</v>
      </c>
      <c r="BZ382">
        <v>11000</v>
      </c>
      <c r="CA382">
        <v>22000</v>
      </c>
      <c r="CB382">
        <v>22000</v>
      </c>
      <c r="CC382">
        <v>22000</v>
      </c>
      <c r="CD382">
        <v>22000</v>
      </c>
      <c r="CE382">
        <v>22000</v>
      </c>
      <c r="CF382">
        <v>22000</v>
      </c>
      <c r="CG382">
        <v>22000</v>
      </c>
      <c r="CH382">
        <v>22000</v>
      </c>
      <c r="CI382">
        <v>22000</v>
      </c>
      <c r="CJ382">
        <v>55000</v>
      </c>
      <c r="CK382">
        <v>22000</v>
      </c>
      <c r="CL382">
        <v>22000</v>
      </c>
      <c r="CM382">
        <v>11000</v>
      </c>
      <c r="CW382">
        <v>0</v>
      </c>
      <c r="DJ382">
        <v>0</v>
      </c>
      <c r="DW382">
        <v>0</v>
      </c>
      <c r="EJ382">
        <v>55000</v>
      </c>
    </row>
    <row r="383" spans="1:140" hidden="1" x14ac:dyDescent="0.35">
      <c r="A383" t="s">
        <v>3317</v>
      </c>
      <c r="B383" t="s">
        <v>249</v>
      </c>
      <c r="D383" t="s">
        <v>6397</v>
      </c>
      <c r="E383" t="s">
        <v>956</v>
      </c>
      <c r="F383" t="s">
        <v>3754</v>
      </c>
      <c r="G383" t="s">
        <v>3755</v>
      </c>
      <c r="H383" t="s">
        <v>6398</v>
      </c>
      <c r="I383" t="s">
        <v>5373</v>
      </c>
      <c r="J383" t="s">
        <v>3071</v>
      </c>
      <c r="K383" t="s">
        <v>3071</v>
      </c>
      <c r="L383" t="s">
        <v>795</v>
      </c>
      <c r="M383" t="s">
        <v>249</v>
      </c>
      <c r="N383" t="s">
        <v>132</v>
      </c>
      <c r="O383" t="s">
        <v>3070</v>
      </c>
      <c r="P383">
        <v>0</v>
      </c>
      <c r="Q383" t="s">
        <v>3075</v>
      </c>
      <c r="R383" t="s">
        <v>2513</v>
      </c>
      <c r="S383" t="s">
        <v>5452</v>
      </c>
      <c r="T383" t="s">
        <v>1576</v>
      </c>
      <c r="U383" t="s">
        <v>6396</v>
      </c>
      <c r="V383" s="17">
        <v>45653</v>
      </c>
      <c r="W383" s="17">
        <v>45363</v>
      </c>
      <c r="X383" s="17">
        <v>45728</v>
      </c>
      <c r="Y383">
        <v>-434</v>
      </c>
      <c r="Z383">
        <v>12</v>
      </c>
      <c r="AA383">
        <v>12.166666666666666</v>
      </c>
      <c r="AB383">
        <v>1553.2</v>
      </c>
      <c r="AC383" s="17"/>
      <c r="AD383">
        <v>45702</v>
      </c>
      <c r="AE383">
        <v>4521.7299999999996</v>
      </c>
      <c r="AF383">
        <v>54260.76</v>
      </c>
      <c r="AG383">
        <v>4459.7884999999997</v>
      </c>
      <c r="AH383">
        <v>54260.76</v>
      </c>
      <c r="AI383">
        <v>0</v>
      </c>
      <c r="AJ383">
        <v>0</v>
      </c>
      <c r="AW383">
        <v>0</v>
      </c>
      <c r="BJ383">
        <v>0</v>
      </c>
      <c r="BW383">
        <v>0</v>
      </c>
      <c r="CJ383">
        <v>54260.76</v>
      </c>
      <c r="CK383">
        <v>45217.3</v>
      </c>
      <c r="CL383">
        <v>4521.7299999999996</v>
      </c>
      <c r="CM383">
        <v>4521.7299999999996</v>
      </c>
      <c r="CW383">
        <v>0</v>
      </c>
      <c r="DJ383">
        <v>0</v>
      </c>
      <c r="DW383">
        <v>0</v>
      </c>
      <c r="EJ383">
        <v>54260.76</v>
      </c>
    </row>
    <row r="384" spans="1:140" x14ac:dyDescent="0.35">
      <c r="A384" t="s">
        <v>3067</v>
      </c>
      <c r="B384" t="s">
        <v>249</v>
      </c>
      <c r="D384" t="s">
        <v>6399</v>
      </c>
      <c r="E384" t="s">
        <v>248</v>
      </c>
      <c r="F384" t="s">
        <v>3758</v>
      </c>
      <c r="G384" t="s">
        <v>3759</v>
      </c>
      <c r="H384" t="s">
        <v>6400</v>
      </c>
      <c r="I384" t="s">
        <v>5368</v>
      </c>
      <c r="J384" t="s">
        <v>3071</v>
      </c>
      <c r="K384" t="s">
        <v>3071</v>
      </c>
      <c r="L384" t="s">
        <v>245</v>
      </c>
      <c r="M384" t="s">
        <v>3153</v>
      </c>
      <c r="N384" t="s">
        <v>246</v>
      </c>
      <c r="O384" t="s">
        <v>3760</v>
      </c>
      <c r="P384" t="s">
        <v>3694</v>
      </c>
      <c r="Q384" t="s">
        <v>3075</v>
      </c>
      <c r="R384" t="s">
        <v>2513</v>
      </c>
      <c r="S384" t="s">
        <v>5452</v>
      </c>
      <c r="T384" t="s">
        <v>1576</v>
      </c>
      <c r="U384" t="s">
        <v>6401</v>
      </c>
      <c r="V384" s="17">
        <v>45677</v>
      </c>
      <c r="W384" s="17"/>
      <c r="X384" s="17"/>
      <c r="Y384">
        <v>-46162</v>
      </c>
      <c r="Z384">
        <v>14</v>
      </c>
      <c r="AA384">
        <v>0</v>
      </c>
      <c r="AB384">
        <v>3077.4666666666667</v>
      </c>
      <c r="AC384" s="17">
        <v>45707</v>
      </c>
      <c r="AE384">
        <v>8000</v>
      </c>
      <c r="AF384">
        <v>112000</v>
      </c>
      <c r="AH384">
        <v>112000</v>
      </c>
      <c r="AI384">
        <v>0</v>
      </c>
      <c r="AJ384">
        <v>0</v>
      </c>
      <c r="AW384">
        <v>0</v>
      </c>
      <c r="BJ384">
        <v>0</v>
      </c>
      <c r="BW384">
        <v>0</v>
      </c>
      <c r="CJ384">
        <v>91000</v>
      </c>
      <c r="CK384">
        <v>21000</v>
      </c>
      <c r="CL384">
        <v>7000</v>
      </c>
      <c r="CM384">
        <v>7000</v>
      </c>
      <c r="CN384">
        <v>7000</v>
      </c>
      <c r="CO384">
        <v>7000</v>
      </c>
      <c r="CP384">
        <v>7000</v>
      </c>
      <c r="CQ384">
        <v>7000</v>
      </c>
      <c r="CR384">
        <v>7000</v>
      </c>
      <c r="CS384">
        <v>7000</v>
      </c>
      <c r="CT384">
        <v>7000</v>
      </c>
      <c r="CU384">
        <v>7000</v>
      </c>
      <c r="CW384">
        <v>21000</v>
      </c>
      <c r="CX384">
        <v>7000</v>
      </c>
      <c r="CY384">
        <v>7000</v>
      </c>
      <c r="CZ384">
        <v>7000</v>
      </c>
      <c r="DJ384">
        <v>0</v>
      </c>
      <c r="DW384">
        <v>0</v>
      </c>
      <c r="EJ384">
        <v>112000</v>
      </c>
    </row>
    <row r="385" spans="1:140" hidden="1" x14ac:dyDescent="0.35">
      <c r="A385" t="s">
        <v>3067</v>
      </c>
      <c r="B385" t="s">
        <v>249</v>
      </c>
      <c r="D385" t="s">
        <v>6402</v>
      </c>
      <c r="E385" t="s">
        <v>3763</v>
      </c>
      <c r="F385" t="s">
        <v>3764</v>
      </c>
      <c r="G385" t="s">
        <v>3765</v>
      </c>
      <c r="H385" t="s">
        <v>6403</v>
      </c>
      <c r="I385" t="s">
        <v>6123</v>
      </c>
      <c r="J385" t="s">
        <v>3079</v>
      </c>
      <c r="K385" t="s">
        <v>3079</v>
      </c>
      <c r="L385" t="s">
        <v>3766</v>
      </c>
      <c r="M385" t="s">
        <v>3139</v>
      </c>
      <c r="N385" t="s">
        <v>184</v>
      </c>
      <c r="O385" t="s">
        <v>3088</v>
      </c>
      <c r="P385">
        <v>0</v>
      </c>
      <c r="Q385" t="s">
        <v>3075</v>
      </c>
      <c r="R385" t="s">
        <v>2464</v>
      </c>
      <c r="S385" t="s">
        <v>5374</v>
      </c>
      <c r="T385" t="s">
        <v>1576</v>
      </c>
      <c r="U385" t="s">
        <v>6404</v>
      </c>
      <c r="V385" s="17">
        <v>45645</v>
      </c>
      <c r="W385" s="17">
        <v>45646</v>
      </c>
      <c r="X385" s="17">
        <v>45828</v>
      </c>
      <c r="Y385">
        <v>-334</v>
      </c>
      <c r="Z385">
        <v>6</v>
      </c>
      <c r="AA385">
        <v>6.0666666666666664</v>
      </c>
      <c r="AB385">
        <v>1549.8666666666666</v>
      </c>
      <c r="AC385" s="17">
        <v>45716</v>
      </c>
      <c r="AE385">
        <v>28153.84</v>
      </c>
      <c r="AF385">
        <v>337846.08</v>
      </c>
      <c r="AG385">
        <v>55688.914299999997</v>
      </c>
      <c r="AH385">
        <v>337846.08</v>
      </c>
      <c r="AI385">
        <v>0</v>
      </c>
      <c r="AJ385">
        <v>0</v>
      </c>
      <c r="AW385">
        <v>0</v>
      </c>
      <c r="BJ385">
        <v>0</v>
      </c>
      <c r="BW385">
        <v>0</v>
      </c>
      <c r="CJ385">
        <v>337846.08</v>
      </c>
      <c r="CL385">
        <v>56307.68</v>
      </c>
      <c r="CM385">
        <v>56307.68</v>
      </c>
      <c r="CN385">
        <v>56307.68</v>
      </c>
      <c r="CO385">
        <v>56307.68</v>
      </c>
      <c r="CP385">
        <v>56307.68</v>
      </c>
      <c r="CQ385">
        <v>56307.68</v>
      </c>
      <c r="CW385">
        <v>0</v>
      </c>
      <c r="DJ385">
        <v>0</v>
      </c>
      <c r="DW385">
        <v>0</v>
      </c>
      <c r="EJ385">
        <v>337846.08</v>
      </c>
    </row>
    <row r="386" spans="1:140" hidden="1" x14ac:dyDescent="0.35">
      <c r="A386" t="s">
        <v>3317</v>
      </c>
      <c r="B386" t="s">
        <v>249</v>
      </c>
      <c r="D386" t="s">
        <v>6405</v>
      </c>
      <c r="E386" t="s">
        <v>962</v>
      </c>
      <c r="F386" t="s">
        <v>3774</v>
      </c>
      <c r="G386" t="s">
        <v>3775</v>
      </c>
      <c r="H386" t="s">
        <v>6406</v>
      </c>
      <c r="I386" t="s">
        <v>5368</v>
      </c>
      <c r="J386" t="s">
        <v>3079</v>
      </c>
      <c r="K386" t="s">
        <v>3079</v>
      </c>
      <c r="L386" t="s">
        <v>179</v>
      </c>
      <c r="M386" t="s">
        <v>3069</v>
      </c>
      <c r="N386" t="s">
        <v>455</v>
      </c>
      <c r="O386" t="s">
        <v>3088</v>
      </c>
      <c r="P386">
        <v>0</v>
      </c>
      <c r="Q386" t="s">
        <v>3075</v>
      </c>
      <c r="R386" t="s">
        <v>2464</v>
      </c>
      <c r="S386" t="s">
        <v>5374</v>
      </c>
      <c r="T386" t="s">
        <v>1576</v>
      </c>
      <c r="U386" t="s">
        <v>6407</v>
      </c>
      <c r="V386" s="17">
        <v>45364</v>
      </c>
      <c r="W386" s="17">
        <v>45384</v>
      </c>
      <c r="X386" s="17">
        <v>45536</v>
      </c>
      <c r="Y386">
        <v>-626</v>
      </c>
      <c r="Z386">
        <v>5</v>
      </c>
      <c r="AA386">
        <v>5.0666666666666664</v>
      </c>
      <c r="AB386">
        <v>1559.6</v>
      </c>
      <c r="AC386" s="17"/>
      <c r="AD386">
        <v>45706</v>
      </c>
      <c r="AE386">
        <v>41944</v>
      </c>
      <c r="AF386">
        <v>209720</v>
      </c>
      <c r="AG386">
        <v>41392.105300000003</v>
      </c>
      <c r="AH386">
        <v>209720</v>
      </c>
      <c r="AI386">
        <v>0</v>
      </c>
      <c r="AJ386">
        <v>0</v>
      </c>
      <c r="AW386">
        <v>0</v>
      </c>
      <c r="BJ386">
        <v>0</v>
      </c>
      <c r="BW386">
        <v>209720</v>
      </c>
      <c r="CA386">
        <v>41944</v>
      </c>
      <c r="CB386">
        <v>41944</v>
      </c>
      <c r="CC386">
        <v>41944</v>
      </c>
      <c r="CD386">
        <v>41944</v>
      </c>
      <c r="CE386">
        <v>41944</v>
      </c>
      <c r="CJ386">
        <v>0</v>
      </c>
      <c r="CW386">
        <v>0</v>
      </c>
      <c r="DJ386">
        <v>0</v>
      </c>
      <c r="DW386">
        <v>0</v>
      </c>
      <c r="EJ386">
        <v>0</v>
      </c>
    </row>
    <row r="387" spans="1:140" hidden="1" x14ac:dyDescent="0.35">
      <c r="A387" t="s">
        <v>3317</v>
      </c>
      <c r="B387" t="s">
        <v>249</v>
      </c>
      <c r="D387" t="s">
        <v>6408</v>
      </c>
      <c r="E387" t="s">
        <v>962</v>
      </c>
      <c r="F387" t="s">
        <v>3774</v>
      </c>
      <c r="G387" t="s">
        <v>3775</v>
      </c>
      <c r="H387" t="s">
        <v>6409</v>
      </c>
      <c r="I387" t="s">
        <v>5373</v>
      </c>
      <c r="J387" t="s">
        <v>3079</v>
      </c>
      <c r="K387" t="s">
        <v>3079</v>
      </c>
      <c r="L387" t="s">
        <v>179</v>
      </c>
      <c r="M387" t="s">
        <v>3069</v>
      </c>
      <c r="N387" t="s">
        <v>455</v>
      </c>
      <c r="O387" t="s">
        <v>3088</v>
      </c>
      <c r="P387">
        <v>0</v>
      </c>
      <c r="Q387" t="s">
        <v>3075</v>
      </c>
      <c r="R387" t="s">
        <v>2464</v>
      </c>
      <c r="S387" t="s">
        <v>5374</v>
      </c>
      <c r="T387" t="s">
        <v>1576</v>
      </c>
      <c r="U387" t="s">
        <v>6407</v>
      </c>
      <c r="V387" s="17">
        <v>45562</v>
      </c>
      <c r="W387" s="17">
        <v>45537</v>
      </c>
      <c r="X387" s="17">
        <v>45657</v>
      </c>
      <c r="Y387">
        <v>-505</v>
      </c>
      <c r="Z387">
        <v>4</v>
      </c>
      <c r="AA387">
        <v>4</v>
      </c>
      <c r="AB387">
        <v>1555.5666666666666</v>
      </c>
      <c r="AC387" s="17"/>
      <c r="AD387">
        <v>45706</v>
      </c>
      <c r="AE387">
        <v>41944</v>
      </c>
      <c r="AF387">
        <v>167776</v>
      </c>
      <c r="AG387">
        <v>41944</v>
      </c>
      <c r="AH387">
        <v>167776</v>
      </c>
      <c r="AI387">
        <v>0</v>
      </c>
      <c r="AJ387">
        <v>0</v>
      </c>
      <c r="AW387">
        <v>0</v>
      </c>
      <c r="BJ387">
        <v>0</v>
      </c>
      <c r="BW387">
        <v>167776</v>
      </c>
      <c r="CF387">
        <v>41944</v>
      </c>
      <c r="CG387">
        <v>41944</v>
      </c>
      <c r="CH387">
        <v>41944</v>
      </c>
      <c r="CI387">
        <v>41944</v>
      </c>
      <c r="CJ387">
        <v>0</v>
      </c>
      <c r="CW387">
        <v>0</v>
      </c>
      <c r="DJ387">
        <v>0</v>
      </c>
      <c r="DW387">
        <v>0</v>
      </c>
      <c r="EJ387">
        <v>0</v>
      </c>
    </row>
    <row r="388" spans="1:140" hidden="1" x14ac:dyDescent="0.35">
      <c r="A388" t="s">
        <v>3317</v>
      </c>
      <c r="B388" t="s">
        <v>249</v>
      </c>
      <c r="D388" t="s">
        <v>6410</v>
      </c>
      <c r="E388" t="s">
        <v>962</v>
      </c>
      <c r="F388" t="s">
        <v>3774</v>
      </c>
      <c r="G388" t="s">
        <v>3775</v>
      </c>
      <c r="H388" t="s">
        <v>6409</v>
      </c>
      <c r="I388" t="s">
        <v>5373</v>
      </c>
      <c r="J388" t="s">
        <v>3079</v>
      </c>
      <c r="K388" t="s">
        <v>3079</v>
      </c>
      <c r="L388" t="s">
        <v>179</v>
      </c>
      <c r="M388" t="s">
        <v>3069</v>
      </c>
      <c r="N388" t="s">
        <v>455</v>
      </c>
      <c r="O388" t="s">
        <v>3088</v>
      </c>
      <c r="P388">
        <v>0</v>
      </c>
      <c r="Q388" t="s">
        <v>3075</v>
      </c>
      <c r="R388" t="s">
        <v>2464</v>
      </c>
      <c r="S388" t="s">
        <v>5374</v>
      </c>
      <c r="T388" t="s">
        <v>1576</v>
      </c>
      <c r="U388" t="s">
        <v>6407</v>
      </c>
      <c r="V388" s="17">
        <v>45644</v>
      </c>
      <c r="W388" s="17">
        <v>45658</v>
      </c>
      <c r="X388" s="17">
        <v>45689</v>
      </c>
      <c r="Y388">
        <v>-473</v>
      </c>
      <c r="Z388">
        <v>1</v>
      </c>
      <c r="AA388">
        <v>1.0333333333333334</v>
      </c>
      <c r="AB388">
        <v>1554.5</v>
      </c>
      <c r="AC388" s="17"/>
      <c r="AD388">
        <v>45706</v>
      </c>
      <c r="AE388">
        <v>41944</v>
      </c>
      <c r="AF388">
        <v>41944</v>
      </c>
      <c r="AG388">
        <v>40590.967700000001</v>
      </c>
      <c r="AH388">
        <v>41944</v>
      </c>
      <c r="AI388">
        <v>0</v>
      </c>
      <c r="AJ388">
        <v>0</v>
      </c>
      <c r="AW388">
        <v>0</v>
      </c>
      <c r="BJ388">
        <v>0</v>
      </c>
      <c r="BW388">
        <v>0</v>
      </c>
      <c r="CJ388">
        <v>41944</v>
      </c>
      <c r="CK388">
        <v>41944</v>
      </c>
      <c r="CW388">
        <v>0</v>
      </c>
      <c r="DJ388">
        <v>0</v>
      </c>
      <c r="DW388">
        <v>0</v>
      </c>
      <c r="EJ388">
        <v>41944</v>
      </c>
    </row>
    <row r="389" spans="1:140" hidden="1" x14ac:dyDescent="0.35">
      <c r="A389" t="s">
        <v>3317</v>
      </c>
      <c r="B389" t="s">
        <v>249</v>
      </c>
      <c r="D389" t="s">
        <v>6411</v>
      </c>
      <c r="E389" t="s">
        <v>962</v>
      </c>
      <c r="F389" t="s">
        <v>3774</v>
      </c>
      <c r="G389" t="s">
        <v>3775</v>
      </c>
      <c r="H389" t="s">
        <v>6409</v>
      </c>
      <c r="I389" t="s">
        <v>5373</v>
      </c>
      <c r="J389" t="s">
        <v>3079</v>
      </c>
      <c r="K389" t="s">
        <v>3079</v>
      </c>
      <c r="L389" t="s">
        <v>179</v>
      </c>
      <c r="M389" t="s">
        <v>3069</v>
      </c>
      <c r="N389" t="s">
        <v>455</v>
      </c>
      <c r="O389" t="s">
        <v>3088</v>
      </c>
      <c r="P389" t="s">
        <v>3088</v>
      </c>
      <c r="Q389" t="s">
        <v>3075</v>
      </c>
      <c r="R389" t="s">
        <v>2464</v>
      </c>
      <c r="S389" t="s">
        <v>5374</v>
      </c>
      <c r="T389" t="s">
        <v>1576</v>
      </c>
      <c r="U389" t="s">
        <v>6407</v>
      </c>
      <c r="V389" s="17">
        <v>45672</v>
      </c>
      <c r="W389" s="17">
        <v>45689</v>
      </c>
      <c r="X389" s="17">
        <v>45716</v>
      </c>
      <c r="Y389">
        <v>-446</v>
      </c>
      <c r="Z389">
        <v>1</v>
      </c>
      <c r="AA389">
        <v>0.9</v>
      </c>
      <c r="AB389">
        <v>1553.6</v>
      </c>
      <c r="AC389" s="17"/>
      <c r="AD389">
        <v>45706</v>
      </c>
      <c r="AE389">
        <v>41944</v>
      </c>
      <c r="AF389">
        <v>41944</v>
      </c>
      <c r="AG389">
        <v>46604.4444</v>
      </c>
      <c r="AH389">
        <v>41944</v>
      </c>
      <c r="AI389">
        <v>0</v>
      </c>
      <c r="AJ389">
        <v>0</v>
      </c>
      <c r="AW389">
        <v>0</v>
      </c>
      <c r="BJ389">
        <v>0</v>
      </c>
      <c r="BW389">
        <v>0</v>
      </c>
      <c r="CJ389">
        <v>41944</v>
      </c>
      <c r="CL389">
        <v>41944</v>
      </c>
      <c r="CW389">
        <v>0</v>
      </c>
      <c r="DJ389">
        <v>0</v>
      </c>
      <c r="DW389">
        <v>0</v>
      </c>
      <c r="EJ389">
        <v>41944</v>
      </c>
    </row>
    <row r="390" spans="1:140" hidden="1" x14ac:dyDescent="0.35">
      <c r="A390" t="s">
        <v>3317</v>
      </c>
      <c r="B390" t="s">
        <v>249</v>
      </c>
      <c r="D390" t="s">
        <v>6412</v>
      </c>
      <c r="E390" t="s">
        <v>4830</v>
      </c>
      <c r="F390" t="s">
        <v>4831</v>
      </c>
      <c r="G390" t="s">
        <v>4832</v>
      </c>
      <c r="H390" t="s">
        <v>6413</v>
      </c>
      <c r="I390" t="s">
        <v>5368</v>
      </c>
      <c r="J390" t="s">
        <v>3203</v>
      </c>
      <c r="K390" t="s">
        <v>3203</v>
      </c>
      <c r="L390" t="s">
        <v>153</v>
      </c>
      <c r="M390" t="s">
        <v>3917</v>
      </c>
      <c r="N390" t="s">
        <v>153</v>
      </c>
      <c r="O390" t="s">
        <v>3918</v>
      </c>
      <c r="P390">
        <v>0</v>
      </c>
      <c r="Q390" t="s">
        <v>3852</v>
      </c>
      <c r="R390" t="s">
        <v>4394</v>
      </c>
      <c r="S390" t="s">
        <v>5374</v>
      </c>
      <c r="T390" t="s">
        <v>2363</v>
      </c>
      <c r="U390" t="s">
        <v>6414</v>
      </c>
      <c r="V390" s="17">
        <v>45597</v>
      </c>
      <c r="W390" s="17">
        <v>45600</v>
      </c>
      <c r="X390" s="17">
        <v>45663</v>
      </c>
      <c r="Y390">
        <v>-499</v>
      </c>
      <c r="Z390">
        <v>2</v>
      </c>
      <c r="AA390">
        <v>2.1</v>
      </c>
      <c r="AB390">
        <v>1555.3666666666666</v>
      </c>
      <c r="AC390" s="17"/>
      <c r="AD390">
        <v>45709</v>
      </c>
      <c r="AE390">
        <v>53053.81</v>
      </c>
      <c r="AF390">
        <v>106107.62</v>
      </c>
      <c r="AG390">
        <v>50527.438099999999</v>
      </c>
      <c r="AH390">
        <v>106170.62</v>
      </c>
      <c r="AI390">
        <v>63</v>
      </c>
      <c r="AJ390">
        <v>0</v>
      </c>
      <c r="AW390">
        <v>0</v>
      </c>
      <c r="BJ390">
        <v>0</v>
      </c>
      <c r="BW390">
        <v>106170.62</v>
      </c>
      <c r="CH390">
        <v>63702.37</v>
      </c>
      <c r="CI390">
        <v>42468.25</v>
      </c>
      <c r="CJ390">
        <v>0</v>
      </c>
      <c r="CW390">
        <v>0</v>
      </c>
      <c r="DJ390">
        <v>0</v>
      </c>
      <c r="DW390">
        <v>0</v>
      </c>
      <c r="EJ390">
        <v>0</v>
      </c>
    </row>
    <row r="391" spans="1:140" hidden="1" x14ac:dyDescent="0.35">
      <c r="A391" t="s">
        <v>3317</v>
      </c>
      <c r="B391" t="s">
        <v>249</v>
      </c>
      <c r="D391" t="s">
        <v>6415</v>
      </c>
      <c r="E391" t="s">
        <v>4830</v>
      </c>
      <c r="F391" t="s">
        <v>4831</v>
      </c>
      <c r="G391" t="s">
        <v>4832</v>
      </c>
      <c r="H391" t="s">
        <v>6416</v>
      </c>
      <c r="I391" t="s">
        <v>5373</v>
      </c>
      <c r="J391" t="s">
        <v>3203</v>
      </c>
      <c r="K391" t="s">
        <v>3203</v>
      </c>
      <c r="L391" t="s">
        <v>153</v>
      </c>
      <c r="M391" t="s">
        <v>3917</v>
      </c>
      <c r="N391" t="s">
        <v>153</v>
      </c>
      <c r="O391" t="s">
        <v>3918</v>
      </c>
      <c r="P391" t="s">
        <v>3856</v>
      </c>
      <c r="Q391" t="s">
        <v>3852</v>
      </c>
      <c r="R391" t="s">
        <v>4394</v>
      </c>
      <c r="S391" t="s">
        <v>5374</v>
      </c>
      <c r="T391" t="s">
        <v>1576</v>
      </c>
      <c r="U391" t="s">
        <v>6414</v>
      </c>
      <c r="V391" s="17">
        <v>45664</v>
      </c>
      <c r="W391" s="17">
        <v>45663</v>
      </c>
      <c r="X391" s="17">
        <v>45694</v>
      </c>
      <c r="Y391">
        <v>-468</v>
      </c>
      <c r="Z391">
        <v>1</v>
      </c>
      <c r="AA391">
        <v>1.0333333333333334</v>
      </c>
      <c r="AB391">
        <v>1554.3333333333333</v>
      </c>
      <c r="AC391" s="17"/>
      <c r="AD391">
        <v>45709</v>
      </c>
      <c r="AE391">
        <v>10560</v>
      </c>
      <c r="AF391">
        <v>10560</v>
      </c>
      <c r="AG391">
        <v>10219.354799999999</v>
      </c>
      <c r="AH391">
        <v>10560</v>
      </c>
      <c r="AI391">
        <v>0</v>
      </c>
      <c r="AJ391">
        <v>0</v>
      </c>
      <c r="AW391">
        <v>0</v>
      </c>
      <c r="BJ391">
        <v>0</v>
      </c>
      <c r="BW391">
        <v>6336</v>
      </c>
      <c r="CI391">
        <v>6336</v>
      </c>
      <c r="CJ391">
        <v>4224</v>
      </c>
      <c r="CK391">
        <v>4224</v>
      </c>
      <c r="CW391">
        <v>0</v>
      </c>
      <c r="DJ391">
        <v>0</v>
      </c>
      <c r="DW391">
        <v>0</v>
      </c>
      <c r="EJ391">
        <v>4224</v>
      </c>
    </row>
    <row r="392" spans="1:140" hidden="1" x14ac:dyDescent="0.35">
      <c r="A392" t="s">
        <v>3317</v>
      </c>
      <c r="B392" t="s">
        <v>249</v>
      </c>
      <c r="D392" t="s">
        <v>6417</v>
      </c>
      <c r="E392" t="s">
        <v>4825</v>
      </c>
      <c r="F392" t="s">
        <v>4826</v>
      </c>
      <c r="G392" t="s">
        <v>4827</v>
      </c>
      <c r="H392" t="s">
        <v>6418</v>
      </c>
      <c r="I392" t="s">
        <v>5368</v>
      </c>
      <c r="J392" t="s">
        <v>3203</v>
      </c>
      <c r="K392" t="s">
        <v>3203</v>
      </c>
      <c r="L392" t="s">
        <v>400</v>
      </c>
      <c r="M392" t="s">
        <v>3153</v>
      </c>
      <c r="N392" t="s">
        <v>89</v>
      </c>
      <c r="O392" t="s">
        <v>3088</v>
      </c>
      <c r="P392">
        <v>0</v>
      </c>
      <c r="Q392" t="s">
        <v>3075</v>
      </c>
      <c r="R392" t="s">
        <v>4394</v>
      </c>
      <c r="S392" t="s">
        <v>5452</v>
      </c>
      <c r="T392" t="s">
        <v>1576</v>
      </c>
      <c r="U392" t="s">
        <v>6419</v>
      </c>
      <c r="V392" s="17">
        <v>45653</v>
      </c>
      <c r="W392" s="17">
        <v>45653</v>
      </c>
      <c r="X392" s="17">
        <v>45684</v>
      </c>
      <c r="Y392">
        <v>-478</v>
      </c>
      <c r="Z392">
        <v>1</v>
      </c>
      <c r="AA392">
        <v>1.0333333333333334</v>
      </c>
      <c r="AB392">
        <v>1554.6666666666667</v>
      </c>
      <c r="AC392" s="17"/>
      <c r="AD392">
        <v>45709</v>
      </c>
      <c r="AE392">
        <v>39494.400000000001</v>
      </c>
      <c r="AF392">
        <v>39494.400000000001</v>
      </c>
      <c r="AG392">
        <v>38220.3871</v>
      </c>
      <c r="AH392">
        <v>39494.400000000001</v>
      </c>
      <c r="AI392">
        <v>0</v>
      </c>
      <c r="AJ392">
        <v>0</v>
      </c>
      <c r="AW392">
        <v>0</v>
      </c>
      <c r="BJ392">
        <v>0</v>
      </c>
      <c r="BW392">
        <v>0</v>
      </c>
      <c r="CJ392">
        <v>39494.400000000001</v>
      </c>
      <c r="CL392">
        <v>27646.080000000002</v>
      </c>
      <c r="CM392">
        <v>11848.32</v>
      </c>
      <c r="CW392">
        <v>0</v>
      </c>
      <c r="DJ392">
        <v>0</v>
      </c>
      <c r="DW392">
        <v>0</v>
      </c>
      <c r="EJ392">
        <v>39494.400000000001</v>
      </c>
    </row>
    <row r="393" spans="1:140" hidden="1" x14ac:dyDescent="0.35">
      <c r="A393" t="s">
        <v>3317</v>
      </c>
      <c r="B393" t="s">
        <v>249</v>
      </c>
      <c r="D393" t="s">
        <v>6420</v>
      </c>
      <c r="E393" t="s">
        <v>1051</v>
      </c>
      <c r="F393" t="s">
        <v>4816</v>
      </c>
      <c r="G393" t="s">
        <v>4817</v>
      </c>
      <c r="H393" t="s">
        <v>6421</v>
      </c>
      <c r="I393" t="s">
        <v>5368</v>
      </c>
      <c r="J393" t="s">
        <v>3203</v>
      </c>
      <c r="K393" t="s">
        <v>3203</v>
      </c>
      <c r="L393" t="s">
        <v>132</v>
      </c>
      <c r="M393" t="s">
        <v>3997</v>
      </c>
      <c r="N393" t="s">
        <v>132</v>
      </c>
      <c r="O393" t="s">
        <v>3070</v>
      </c>
      <c r="P393">
        <v>0</v>
      </c>
      <c r="Q393" t="s">
        <v>3852</v>
      </c>
      <c r="R393" t="s">
        <v>4394</v>
      </c>
      <c r="S393" t="s">
        <v>5374</v>
      </c>
      <c r="T393" t="s">
        <v>2363</v>
      </c>
      <c r="U393" t="s">
        <v>6422</v>
      </c>
      <c r="V393" s="17">
        <v>45624</v>
      </c>
      <c r="W393" s="17">
        <v>45624</v>
      </c>
      <c r="X393" s="17">
        <v>45701</v>
      </c>
      <c r="Y393">
        <v>-461</v>
      </c>
      <c r="Z393">
        <v>2</v>
      </c>
      <c r="AA393">
        <v>2.5666666666666669</v>
      </c>
      <c r="AB393">
        <v>1554.1</v>
      </c>
      <c r="AC393" s="17"/>
      <c r="AD393">
        <v>45702</v>
      </c>
      <c r="AE393">
        <v>109136.96000000001</v>
      </c>
      <c r="AF393">
        <v>218273.92000000001</v>
      </c>
      <c r="AG393">
        <v>85041.786999999997</v>
      </c>
      <c r="AH393">
        <v>168773.92</v>
      </c>
      <c r="AI393">
        <v>-49500</v>
      </c>
      <c r="AJ393">
        <v>0</v>
      </c>
      <c r="AW393">
        <v>0</v>
      </c>
      <c r="BJ393">
        <v>0</v>
      </c>
      <c r="BW393">
        <v>0</v>
      </c>
      <c r="CJ393">
        <v>168773.92</v>
      </c>
      <c r="CK393">
        <v>80346.911999999997</v>
      </c>
      <c r="CL393">
        <v>74482.047999999995</v>
      </c>
      <c r="CM393">
        <v>13944.96</v>
      </c>
      <c r="CW393">
        <v>0</v>
      </c>
      <c r="DJ393">
        <v>0</v>
      </c>
      <c r="DW393">
        <v>0</v>
      </c>
      <c r="EJ393">
        <v>168773.92</v>
      </c>
    </row>
    <row r="394" spans="1:140" hidden="1" x14ac:dyDescent="0.35">
      <c r="A394" t="s">
        <v>3317</v>
      </c>
      <c r="B394" t="s">
        <v>249</v>
      </c>
      <c r="D394" t="s">
        <v>6420</v>
      </c>
      <c r="E394" t="s">
        <v>1051</v>
      </c>
      <c r="F394" t="s">
        <v>4816</v>
      </c>
      <c r="G394" t="s">
        <v>5115</v>
      </c>
      <c r="H394" t="s">
        <v>6421</v>
      </c>
      <c r="I394" t="s">
        <v>5368</v>
      </c>
      <c r="J394" t="s">
        <v>5102</v>
      </c>
      <c r="K394" t="s">
        <v>5102</v>
      </c>
      <c r="L394" t="s">
        <v>132</v>
      </c>
      <c r="M394" t="s">
        <v>3997</v>
      </c>
      <c r="N394" t="s">
        <v>132</v>
      </c>
      <c r="O394" t="s">
        <v>3070</v>
      </c>
      <c r="P394">
        <v>0</v>
      </c>
      <c r="Q394" t="s">
        <v>3075</v>
      </c>
      <c r="R394" t="s">
        <v>4394</v>
      </c>
      <c r="S394" t="s">
        <v>5374</v>
      </c>
      <c r="T394" t="s">
        <v>2363</v>
      </c>
      <c r="U394" t="s">
        <v>6422</v>
      </c>
      <c r="V394" s="17">
        <v>45624</v>
      </c>
      <c r="W394" s="17">
        <v>45624</v>
      </c>
      <c r="X394" s="17">
        <v>45701</v>
      </c>
      <c r="Y394">
        <v>-461</v>
      </c>
      <c r="Z394">
        <v>2</v>
      </c>
      <c r="AA394">
        <v>2.5666666666666669</v>
      </c>
      <c r="AB394">
        <v>1554.1</v>
      </c>
      <c r="AC394" s="17"/>
      <c r="AD394">
        <v>45702</v>
      </c>
      <c r="AE394">
        <v>109136.96000000001</v>
      </c>
      <c r="AF394">
        <v>218273.92000000001</v>
      </c>
      <c r="AG394">
        <v>85041.786999999997</v>
      </c>
      <c r="AH394">
        <v>49500</v>
      </c>
      <c r="AI394">
        <v>-168773.92</v>
      </c>
      <c r="AJ394">
        <v>0</v>
      </c>
      <c r="AW394">
        <v>0</v>
      </c>
      <c r="BJ394">
        <v>0</v>
      </c>
      <c r="BW394">
        <v>49500</v>
      </c>
      <c r="CI394">
        <v>49500</v>
      </c>
      <c r="CJ394">
        <v>0</v>
      </c>
      <c r="CW394">
        <v>0</v>
      </c>
      <c r="DJ394">
        <v>0</v>
      </c>
      <c r="DW394">
        <v>0</v>
      </c>
      <c r="EJ394">
        <v>0</v>
      </c>
    </row>
    <row r="395" spans="1:140" hidden="1" x14ac:dyDescent="0.35">
      <c r="A395" t="s">
        <v>3317</v>
      </c>
      <c r="B395" t="s">
        <v>249</v>
      </c>
      <c r="D395" t="s">
        <v>6423</v>
      </c>
      <c r="E395" t="s">
        <v>4820</v>
      </c>
      <c r="F395" t="s">
        <v>4821</v>
      </c>
      <c r="G395" t="s">
        <v>4822</v>
      </c>
      <c r="H395" t="s">
        <v>6424</v>
      </c>
      <c r="I395" t="s">
        <v>5368</v>
      </c>
      <c r="J395" t="s">
        <v>3203</v>
      </c>
      <c r="K395" t="s">
        <v>3203</v>
      </c>
      <c r="L395" t="s">
        <v>4112</v>
      </c>
      <c r="M395" t="s">
        <v>3088</v>
      </c>
      <c r="N395" t="s">
        <v>4112</v>
      </c>
      <c r="O395" t="s">
        <v>3088</v>
      </c>
      <c r="P395">
        <v>0</v>
      </c>
      <c r="Q395" t="s">
        <v>3852</v>
      </c>
      <c r="R395" t="s">
        <v>4394</v>
      </c>
      <c r="S395" t="s">
        <v>5452</v>
      </c>
      <c r="T395" t="s">
        <v>2698</v>
      </c>
      <c r="U395" t="s">
        <v>6425</v>
      </c>
      <c r="V395" s="17">
        <v>45601</v>
      </c>
      <c r="W395" s="17">
        <v>45600</v>
      </c>
      <c r="X395" s="17">
        <v>45670</v>
      </c>
      <c r="Y395">
        <v>-492</v>
      </c>
      <c r="Z395">
        <v>2</v>
      </c>
      <c r="AA395">
        <v>2.3333333333333335</v>
      </c>
      <c r="AB395">
        <v>1555.1333333333334</v>
      </c>
      <c r="AC395" s="17"/>
      <c r="AD395">
        <v>45709</v>
      </c>
      <c r="AE395">
        <v>79274.399999999994</v>
      </c>
      <c r="AF395">
        <v>158548.79999999999</v>
      </c>
      <c r="AG395">
        <v>67949.485700000005</v>
      </c>
      <c r="AH395">
        <v>158548.79999999999</v>
      </c>
      <c r="AI395">
        <v>0</v>
      </c>
      <c r="AJ395">
        <v>0</v>
      </c>
      <c r="AW395">
        <v>0</v>
      </c>
      <c r="BJ395">
        <v>0</v>
      </c>
      <c r="BW395">
        <v>95129.279999999999</v>
      </c>
      <c r="CI395">
        <v>95129.279999999999</v>
      </c>
      <c r="CJ395">
        <v>63419.519999999997</v>
      </c>
      <c r="CK395">
        <v>63419.519999999997</v>
      </c>
      <c r="CW395">
        <v>0</v>
      </c>
      <c r="DJ395">
        <v>0</v>
      </c>
      <c r="DW395">
        <v>0</v>
      </c>
      <c r="EJ395">
        <v>63419.519999999997</v>
      </c>
    </row>
    <row r="396" spans="1:140" hidden="1" x14ac:dyDescent="0.35">
      <c r="A396" t="s">
        <v>3317</v>
      </c>
      <c r="B396" t="s">
        <v>249</v>
      </c>
      <c r="D396" t="s">
        <v>6426</v>
      </c>
      <c r="E396" t="s">
        <v>4820</v>
      </c>
      <c r="F396" t="s">
        <v>4821</v>
      </c>
      <c r="G396" t="s">
        <v>4822</v>
      </c>
      <c r="H396" t="s">
        <v>6427</v>
      </c>
      <c r="I396" t="s">
        <v>5373</v>
      </c>
      <c r="J396" t="s">
        <v>3203</v>
      </c>
      <c r="K396" t="s">
        <v>3203</v>
      </c>
      <c r="L396" t="s">
        <v>4112</v>
      </c>
      <c r="M396" t="s">
        <v>3088</v>
      </c>
      <c r="N396" t="s">
        <v>4112</v>
      </c>
      <c r="O396" t="s">
        <v>3088</v>
      </c>
      <c r="P396">
        <v>0</v>
      </c>
      <c r="Q396" t="s">
        <v>3852</v>
      </c>
      <c r="R396" t="s">
        <v>4394</v>
      </c>
      <c r="S396" t="s">
        <v>5374</v>
      </c>
      <c r="T396" t="s">
        <v>1576</v>
      </c>
      <c r="U396" t="s">
        <v>6428</v>
      </c>
      <c r="V396" s="17">
        <v>45644</v>
      </c>
      <c r="W396" s="17">
        <v>45658</v>
      </c>
      <c r="X396" s="17">
        <v>45689</v>
      </c>
      <c r="Y396">
        <v>-473</v>
      </c>
      <c r="Z396">
        <v>1</v>
      </c>
      <c r="AA396">
        <v>1.0333333333333334</v>
      </c>
      <c r="AB396">
        <v>1554.5</v>
      </c>
      <c r="AC396" s="17"/>
      <c r="AD396">
        <v>45709</v>
      </c>
      <c r="AE396">
        <v>30289.919999999998</v>
      </c>
      <c r="AF396">
        <v>30289.919999999998</v>
      </c>
      <c r="AG396">
        <v>29312.825799999999</v>
      </c>
      <c r="AH396">
        <v>30289.919999999998</v>
      </c>
      <c r="AI396">
        <v>0</v>
      </c>
      <c r="AJ396">
        <v>0</v>
      </c>
      <c r="AW396">
        <v>0</v>
      </c>
      <c r="BJ396">
        <v>0</v>
      </c>
      <c r="BW396">
        <v>0</v>
      </c>
      <c r="CJ396">
        <v>30289.919999999998</v>
      </c>
      <c r="CK396">
        <v>11358.72</v>
      </c>
      <c r="CL396">
        <v>18931.2</v>
      </c>
      <c r="CW396">
        <v>0</v>
      </c>
      <c r="DJ396">
        <v>0</v>
      </c>
      <c r="DW396">
        <v>0</v>
      </c>
      <c r="EJ396">
        <v>30289.919999999998</v>
      </c>
    </row>
    <row r="397" spans="1:140" hidden="1" x14ac:dyDescent="0.35">
      <c r="A397" t="s">
        <v>3196</v>
      </c>
      <c r="B397" t="s">
        <v>249</v>
      </c>
      <c r="D397" t="s">
        <v>6429</v>
      </c>
      <c r="E397" t="s">
        <v>965</v>
      </c>
      <c r="F397" t="s">
        <v>3780</v>
      </c>
      <c r="G397" t="s">
        <v>3781</v>
      </c>
      <c r="H397" t="s">
        <v>6430</v>
      </c>
      <c r="I397" t="s">
        <v>5368</v>
      </c>
      <c r="J397" t="s">
        <v>3071</v>
      </c>
      <c r="K397" t="s">
        <v>3071</v>
      </c>
      <c r="L397" t="s">
        <v>897</v>
      </c>
      <c r="M397" t="s">
        <v>3180</v>
      </c>
      <c r="N397" t="s">
        <v>89</v>
      </c>
      <c r="O397" t="s">
        <v>3088</v>
      </c>
      <c r="P397">
        <v>0</v>
      </c>
      <c r="Q397" t="s">
        <v>3075</v>
      </c>
      <c r="R397" t="s">
        <v>2513</v>
      </c>
      <c r="S397" t="s">
        <v>5374</v>
      </c>
      <c r="T397" t="s">
        <v>1576</v>
      </c>
      <c r="U397" t="s">
        <v>6431</v>
      </c>
      <c r="V397" s="17">
        <v>45378</v>
      </c>
      <c r="W397" s="17">
        <v>45432</v>
      </c>
      <c r="X397" s="17">
        <v>45797</v>
      </c>
      <c r="Y397">
        <v>-365</v>
      </c>
      <c r="Z397">
        <v>13</v>
      </c>
      <c r="AA397">
        <v>12.166666666666666</v>
      </c>
      <c r="AB397">
        <v>1550.9</v>
      </c>
      <c r="AC397" s="17"/>
      <c r="AD397">
        <v>45710</v>
      </c>
      <c r="AE397">
        <v>24693.88</v>
      </c>
      <c r="AF397">
        <v>321020.44</v>
      </c>
      <c r="AG397">
        <v>26385.241600000001</v>
      </c>
      <c r="AH397">
        <v>321020.44</v>
      </c>
      <c r="AI397">
        <v>0</v>
      </c>
      <c r="AJ397">
        <v>0</v>
      </c>
      <c r="AW397">
        <v>0</v>
      </c>
      <c r="BJ397">
        <v>0</v>
      </c>
      <c r="BW397">
        <v>222244.92</v>
      </c>
      <c r="CA397">
        <v>24693.88</v>
      </c>
      <c r="CB397">
        <v>24693.88</v>
      </c>
      <c r="CC397">
        <v>24693.88</v>
      </c>
      <c r="CD397">
        <v>24693.88</v>
      </c>
      <c r="CE397">
        <v>24693.88</v>
      </c>
      <c r="CF397">
        <v>24693.88</v>
      </c>
      <c r="CG397">
        <v>24694</v>
      </c>
      <c r="CH397">
        <v>24693.88</v>
      </c>
      <c r="CI397">
        <v>24693.88</v>
      </c>
      <c r="CJ397">
        <v>98775.52</v>
      </c>
      <c r="CK397">
        <v>24693.88</v>
      </c>
      <c r="CL397">
        <v>24693.88</v>
      </c>
      <c r="CM397">
        <v>24693.88</v>
      </c>
      <c r="CN397">
        <v>24693.88</v>
      </c>
      <c r="CW397">
        <v>0</v>
      </c>
      <c r="DJ397">
        <v>0</v>
      </c>
      <c r="DW397">
        <v>0</v>
      </c>
      <c r="EJ397">
        <v>98775.52</v>
      </c>
    </row>
    <row r="398" spans="1:140" hidden="1" x14ac:dyDescent="0.35">
      <c r="A398" t="s">
        <v>3196</v>
      </c>
      <c r="B398" t="s">
        <v>249</v>
      </c>
      <c r="D398" t="s">
        <v>6432</v>
      </c>
      <c r="E398" t="s">
        <v>965</v>
      </c>
      <c r="F398" t="s">
        <v>3780</v>
      </c>
      <c r="G398" t="s">
        <v>3781</v>
      </c>
      <c r="H398" t="s">
        <v>6433</v>
      </c>
      <c r="I398" t="s">
        <v>5373</v>
      </c>
      <c r="J398" t="s">
        <v>3071</v>
      </c>
      <c r="K398" t="s">
        <v>3071</v>
      </c>
      <c r="L398" t="s">
        <v>897</v>
      </c>
      <c r="M398" t="s">
        <v>3180</v>
      </c>
      <c r="N398" t="s">
        <v>89</v>
      </c>
      <c r="O398" t="s">
        <v>3088</v>
      </c>
      <c r="P398">
        <v>0</v>
      </c>
      <c r="Q398" t="s">
        <v>3075</v>
      </c>
      <c r="R398" t="s">
        <v>2513</v>
      </c>
      <c r="S398" t="s">
        <v>5374</v>
      </c>
      <c r="T398" t="s">
        <v>1576</v>
      </c>
      <c r="U398" t="s">
        <v>6431</v>
      </c>
      <c r="V398" s="17">
        <v>45499</v>
      </c>
      <c r="W398" s="17">
        <v>45524</v>
      </c>
      <c r="X398" s="17">
        <v>45797</v>
      </c>
      <c r="Y398">
        <v>-365</v>
      </c>
      <c r="Z398">
        <v>10</v>
      </c>
      <c r="AA398">
        <v>9.1</v>
      </c>
      <c r="AB398">
        <v>1550.9</v>
      </c>
      <c r="AC398" s="17"/>
      <c r="AD398">
        <v>45710</v>
      </c>
      <c r="AE398">
        <v>5451.17</v>
      </c>
      <c r="AF398">
        <v>54511.7</v>
      </c>
      <c r="AG398">
        <v>5990.2966999999999</v>
      </c>
      <c r="AH398">
        <v>54511.65</v>
      </c>
      <c r="AI398">
        <v>-0.05</v>
      </c>
      <c r="AJ398">
        <v>0</v>
      </c>
      <c r="AW398">
        <v>0</v>
      </c>
      <c r="BJ398">
        <v>0</v>
      </c>
      <c r="BW398">
        <v>15033.6</v>
      </c>
      <c r="CE398">
        <v>3006.72</v>
      </c>
      <c r="CF398">
        <v>3006.72</v>
      </c>
      <c r="CG398">
        <v>3007</v>
      </c>
      <c r="CH398">
        <v>3006.72</v>
      </c>
      <c r="CI398">
        <v>3006.72</v>
      </c>
      <c r="CJ398">
        <v>39478.050000000003</v>
      </c>
      <c r="CK398">
        <v>3006.72</v>
      </c>
      <c r="CL398">
        <v>3006.72</v>
      </c>
      <c r="CM398">
        <v>3006.72</v>
      </c>
      <c r="CN398">
        <v>3006.72</v>
      </c>
      <c r="CO398">
        <v>27451.17</v>
      </c>
      <c r="CW398">
        <v>0</v>
      </c>
      <c r="DJ398">
        <v>0</v>
      </c>
      <c r="DW398">
        <v>0</v>
      </c>
      <c r="EJ398">
        <v>39478.050000000003</v>
      </c>
    </row>
    <row r="399" spans="1:140" hidden="1" x14ac:dyDescent="0.35">
      <c r="A399" t="s">
        <v>3067</v>
      </c>
      <c r="B399" t="s">
        <v>249</v>
      </c>
      <c r="D399" t="s">
        <v>6434</v>
      </c>
      <c r="E399" t="s">
        <v>242</v>
      </c>
      <c r="F399" t="s">
        <v>3784</v>
      </c>
      <c r="G399" t="s">
        <v>3785</v>
      </c>
      <c r="H399" t="s">
        <v>6435</v>
      </c>
      <c r="I399" t="s">
        <v>5368</v>
      </c>
      <c r="J399" t="s">
        <v>3071</v>
      </c>
      <c r="K399" t="s">
        <v>3071</v>
      </c>
      <c r="L399" t="s">
        <v>235</v>
      </c>
      <c r="M399" t="s">
        <v>3139</v>
      </c>
      <c r="N399" t="s">
        <v>240</v>
      </c>
      <c r="O399" t="s">
        <v>3786</v>
      </c>
      <c r="P399" t="s">
        <v>3787</v>
      </c>
      <c r="Q399" t="s">
        <v>3075</v>
      </c>
      <c r="R399" t="s">
        <v>2513</v>
      </c>
      <c r="S399" t="s">
        <v>5374</v>
      </c>
      <c r="T399" t="s">
        <v>1576</v>
      </c>
      <c r="U399" t="s">
        <v>6436</v>
      </c>
      <c r="V399" s="17">
        <v>45672</v>
      </c>
      <c r="W399" s="17">
        <v>45677</v>
      </c>
      <c r="X399" s="17">
        <v>45767</v>
      </c>
      <c r="Y399">
        <v>-395</v>
      </c>
      <c r="Z399">
        <v>4</v>
      </c>
      <c r="AA399">
        <v>3</v>
      </c>
      <c r="AB399">
        <v>1551.9</v>
      </c>
      <c r="AC399" s="17">
        <v>45730</v>
      </c>
      <c r="AE399">
        <v>29900</v>
      </c>
      <c r="AF399">
        <v>119600</v>
      </c>
      <c r="AG399">
        <v>39866.666700000002</v>
      </c>
      <c r="AH399">
        <v>119600</v>
      </c>
      <c r="AI399">
        <v>0</v>
      </c>
      <c r="AJ399">
        <v>0</v>
      </c>
      <c r="AW399">
        <v>0</v>
      </c>
      <c r="BJ399">
        <v>0</v>
      </c>
      <c r="BW399">
        <v>0</v>
      </c>
      <c r="CJ399">
        <v>119600</v>
      </c>
      <c r="CK399">
        <v>29900</v>
      </c>
      <c r="CL399">
        <v>29900</v>
      </c>
      <c r="CM399">
        <v>29900</v>
      </c>
      <c r="CN399">
        <v>29900</v>
      </c>
      <c r="CW399">
        <v>0</v>
      </c>
      <c r="DJ399">
        <v>0</v>
      </c>
      <c r="DW399">
        <v>0</v>
      </c>
      <c r="EJ399">
        <v>119600</v>
      </c>
    </row>
    <row r="400" spans="1:140" hidden="1" x14ac:dyDescent="0.35">
      <c r="A400" t="s">
        <v>3317</v>
      </c>
      <c r="B400" t="s">
        <v>249</v>
      </c>
      <c r="D400" t="s">
        <v>6437</v>
      </c>
      <c r="E400" t="s">
        <v>191</v>
      </c>
      <c r="F400" t="s">
        <v>6438</v>
      </c>
      <c r="G400" t="s">
        <v>4999</v>
      </c>
      <c r="H400" t="s">
        <v>6439</v>
      </c>
      <c r="I400" t="s">
        <v>5448</v>
      </c>
      <c r="J400" t="s">
        <v>3203</v>
      </c>
      <c r="K400" t="s">
        <v>3203</v>
      </c>
      <c r="L400" t="s">
        <v>189</v>
      </c>
      <c r="M400" t="s">
        <v>3139</v>
      </c>
      <c r="N400" t="s">
        <v>89</v>
      </c>
      <c r="O400" t="s">
        <v>3088</v>
      </c>
      <c r="P400">
        <v>0</v>
      </c>
      <c r="Q400" t="s">
        <v>3075</v>
      </c>
      <c r="R400">
        <v>0</v>
      </c>
      <c r="S400">
        <v>0</v>
      </c>
      <c r="T400" t="s">
        <v>5485</v>
      </c>
      <c r="U400" t="s">
        <v>6440</v>
      </c>
      <c r="V400" s="17">
        <v>45131</v>
      </c>
      <c r="W400" s="17">
        <v>45134</v>
      </c>
      <c r="X400" s="17">
        <v>45226</v>
      </c>
      <c r="Y400">
        <v>-936</v>
      </c>
      <c r="Z400">
        <v>3</v>
      </c>
      <c r="AA400">
        <v>3.0666666666666669</v>
      </c>
      <c r="AB400">
        <v>1569.9333333333334</v>
      </c>
      <c r="AC400" s="17"/>
      <c r="AD400">
        <v>45224</v>
      </c>
      <c r="AE400">
        <v>0</v>
      </c>
      <c r="AF400">
        <v>77563.199999999997</v>
      </c>
      <c r="AG400">
        <v>25292.3478</v>
      </c>
      <c r="AH400">
        <v>77563.199999999997</v>
      </c>
      <c r="AI400">
        <v>0</v>
      </c>
      <c r="AJ400">
        <v>0</v>
      </c>
      <c r="AW400">
        <v>0</v>
      </c>
      <c r="BJ400">
        <v>77563.199999999997</v>
      </c>
      <c r="BR400">
        <v>26233.401999999998</v>
      </c>
      <c r="BS400">
        <v>30117.437999999998</v>
      </c>
      <c r="BT400">
        <v>21212.36</v>
      </c>
      <c r="BW400">
        <v>0</v>
      </c>
      <c r="CJ400">
        <v>0</v>
      </c>
      <c r="CW400">
        <v>0</v>
      </c>
      <c r="DJ400">
        <v>0</v>
      </c>
      <c r="DW400">
        <v>0</v>
      </c>
      <c r="EJ400">
        <v>0</v>
      </c>
    </row>
    <row r="401" spans="1:140" hidden="1" x14ac:dyDescent="0.35">
      <c r="A401" t="s">
        <v>3317</v>
      </c>
      <c r="B401" t="s">
        <v>249</v>
      </c>
      <c r="D401" t="s">
        <v>6441</v>
      </c>
      <c r="E401" t="s">
        <v>191</v>
      </c>
      <c r="F401" t="s">
        <v>6442</v>
      </c>
      <c r="G401" t="s">
        <v>4999</v>
      </c>
      <c r="H401" t="s">
        <v>6439</v>
      </c>
      <c r="I401" t="s">
        <v>5448</v>
      </c>
      <c r="J401" t="s">
        <v>3203</v>
      </c>
      <c r="K401" t="s">
        <v>3203</v>
      </c>
      <c r="L401" t="s">
        <v>189</v>
      </c>
      <c r="M401" t="s">
        <v>3139</v>
      </c>
      <c r="N401" t="s">
        <v>6443</v>
      </c>
      <c r="O401" t="s">
        <v>3088</v>
      </c>
      <c r="P401">
        <v>0</v>
      </c>
      <c r="Q401" t="s">
        <v>3075</v>
      </c>
      <c r="R401">
        <v>0</v>
      </c>
      <c r="S401">
        <v>0</v>
      </c>
      <c r="T401" t="s">
        <v>5485</v>
      </c>
      <c r="U401" t="s">
        <v>6444</v>
      </c>
      <c r="V401" s="17">
        <v>45142</v>
      </c>
      <c r="W401" s="17">
        <v>45142</v>
      </c>
      <c r="X401" s="17">
        <v>45173</v>
      </c>
      <c r="Y401">
        <v>-989</v>
      </c>
      <c r="Z401">
        <v>1</v>
      </c>
      <c r="AA401">
        <v>1.0333333333333334</v>
      </c>
      <c r="AB401">
        <v>1571.7</v>
      </c>
      <c r="AC401" s="17"/>
      <c r="AD401">
        <v>45158</v>
      </c>
      <c r="AE401">
        <v>0</v>
      </c>
      <c r="AF401">
        <v>28059.599999999999</v>
      </c>
      <c r="AG401">
        <v>27154.4516</v>
      </c>
      <c r="AH401">
        <v>28059.599999999999</v>
      </c>
      <c r="AI401">
        <v>0</v>
      </c>
      <c r="AJ401">
        <v>0</v>
      </c>
      <c r="AW401">
        <v>0</v>
      </c>
      <c r="BJ401">
        <v>28059.599999999999</v>
      </c>
      <c r="BR401">
        <v>28059.599999999999</v>
      </c>
      <c r="BW401">
        <v>0</v>
      </c>
      <c r="CJ401">
        <v>0</v>
      </c>
      <c r="CW401">
        <v>0</v>
      </c>
      <c r="DJ401">
        <v>0</v>
      </c>
      <c r="DW401">
        <v>0</v>
      </c>
      <c r="EJ401">
        <v>0</v>
      </c>
    </row>
    <row r="402" spans="1:140" hidden="1" x14ac:dyDescent="0.35">
      <c r="A402" t="s">
        <v>3317</v>
      </c>
      <c r="B402" t="s">
        <v>249</v>
      </c>
      <c r="D402" t="s">
        <v>6445</v>
      </c>
      <c r="E402" t="s">
        <v>191</v>
      </c>
      <c r="F402" t="s">
        <v>6446</v>
      </c>
      <c r="G402" t="s">
        <v>4999</v>
      </c>
      <c r="H402" t="s">
        <v>6439</v>
      </c>
      <c r="I402" t="s">
        <v>5448</v>
      </c>
      <c r="J402" t="s">
        <v>3203</v>
      </c>
      <c r="K402" t="s">
        <v>3203</v>
      </c>
      <c r="L402" t="s">
        <v>189</v>
      </c>
      <c r="M402" t="s">
        <v>3139</v>
      </c>
      <c r="N402" t="s">
        <v>6443</v>
      </c>
      <c r="O402" t="s">
        <v>3088</v>
      </c>
      <c r="P402">
        <v>0</v>
      </c>
      <c r="Q402" t="s">
        <v>3075</v>
      </c>
      <c r="R402">
        <v>0</v>
      </c>
      <c r="S402">
        <v>0</v>
      </c>
      <c r="T402">
        <v>0</v>
      </c>
      <c r="U402" t="s">
        <v>6447</v>
      </c>
      <c r="V402" s="17">
        <v>45174</v>
      </c>
      <c r="W402" s="17">
        <v>45174</v>
      </c>
      <c r="X402" s="17">
        <v>45327</v>
      </c>
      <c r="Y402">
        <v>-835</v>
      </c>
      <c r="Z402">
        <v>5</v>
      </c>
      <c r="AA402">
        <v>5.0999999999999996</v>
      </c>
      <c r="AB402">
        <v>1566.5666666666666</v>
      </c>
      <c r="AC402" s="17"/>
      <c r="AD402">
        <v>45244</v>
      </c>
      <c r="AE402">
        <v>0</v>
      </c>
      <c r="AF402">
        <v>33002.5</v>
      </c>
      <c r="AG402">
        <v>6471.0784000000003</v>
      </c>
      <c r="AH402">
        <v>33002.5</v>
      </c>
      <c r="AI402">
        <v>0</v>
      </c>
      <c r="AJ402">
        <v>0</v>
      </c>
      <c r="AW402">
        <v>0</v>
      </c>
      <c r="BJ402">
        <v>33002.5</v>
      </c>
      <c r="BR402">
        <v>2743.5610000000001</v>
      </c>
      <c r="BS402">
        <v>6986.3159999999998</v>
      </c>
      <c r="BT402">
        <v>4696.2690000000002</v>
      </c>
      <c r="BU402">
        <v>18576.353999999999</v>
      </c>
      <c r="BW402">
        <v>0</v>
      </c>
      <c r="CJ402">
        <v>0</v>
      </c>
      <c r="CW402">
        <v>0</v>
      </c>
      <c r="DJ402">
        <v>0</v>
      </c>
      <c r="DW402">
        <v>0</v>
      </c>
      <c r="EJ402">
        <v>0</v>
      </c>
    </row>
    <row r="403" spans="1:140" hidden="1" x14ac:dyDescent="0.35">
      <c r="A403" t="s">
        <v>3317</v>
      </c>
      <c r="B403" t="s">
        <v>249</v>
      </c>
      <c r="D403" t="s">
        <v>6448</v>
      </c>
      <c r="E403" t="s">
        <v>191</v>
      </c>
      <c r="F403" t="s">
        <v>6449</v>
      </c>
      <c r="G403" t="s">
        <v>4999</v>
      </c>
      <c r="H403" t="s">
        <v>6439</v>
      </c>
      <c r="I403" t="s">
        <v>5448</v>
      </c>
      <c r="J403" t="s">
        <v>3203</v>
      </c>
      <c r="K403" t="s">
        <v>3203</v>
      </c>
      <c r="L403" t="s">
        <v>189</v>
      </c>
      <c r="M403" t="s">
        <v>3139</v>
      </c>
      <c r="N403" t="s">
        <v>184</v>
      </c>
      <c r="O403" t="s">
        <v>3088</v>
      </c>
      <c r="P403">
        <v>0</v>
      </c>
      <c r="Q403" t="s">
        <v>3075</v>
      </c>
      <c r="R403">
        <v>0</v>
      </c>
      <c r="S403">
        <v>0</v>
      </c>
      <c r="T403" t="s">
        <v>5485</v>
      </c>
      <c r="U403" t="s">
        <v>6450</v>
      </c>
      <c r="V403" s="17">
        <v>45181</v>
      </c>
      <c r="W403" s="17">
        <v>45181</v>
      </c>
      <c r="X403" s="17">
        <v>45242</v>
      </c>
      <c r="Y403">
        <v>-920</v>
      </c>
      <c r="Z403">
        <v>2</v>
      </c>
      <c r="AA403">
        <v>2.0333333333333332</v>
      </c>
      <c r="AB403">
        <v>1569.4</v>
      </c>
      <c r="AC403" s="17"/>
      <c r="AD403">
        <v>45235</v>
      </c>
      <c r="AE403">
        <v>0</v>
      </c>
      <c r="AF403">
        <v>51708.800000000003</v>
      </c>
      <c r="AG403">
        <v>25430.557400000002</v>
      </c>
      <c r="AH403">
        <v>51708.800000000003</v>
      </c>
      <c r="AI403">
        <v>0</v>
      </c>
      <c r="AJ403">
        <v>0</v>
      </c>
      <c r="AW403">
        <v>0</v>
      </c>
      <c r="BJ403">
        <v>51708.800000000003</v>
      </c>
      <c r="BS403">
        <v>22936.966</v>
      </c>
      <c r="BT403">
        <v>27078.077000000001</v>
      </c>
      <c r="BU403">
        <v>1693.7570000000001</v>
      </c>
      <c r="BW403">
        <v>0</v>
      </c>
      <c r="CJ403">
        <v>0</v>
      </c>
      <c r="CW403">
        <v>0</v>
      </c>
      <c r="DJ403">
        <v>0</v>
      </c>
      <c r="DW403">
        <v>0</v>
      </c>
      <c r="EJ403">
        <v>0</v>
      </c>
    </row>
    <row r="404" spans="1:140" hidden="1" x14ac:dyDescent="0.35">
      <c r="A404" t="s">
        <v>3317</v>
      </c>
      <c r="B404" t="s">
        <v>249</v>
      </c>
      <c r="D404" t="s">
        <v>6451</v>
      </c>
      <c r="E404" t="s">
        <v>191</v>
      </c>
      <c r="F404" t="s">
        <v>6452</v>
      </c>
      <c r="G404" t="s">
        <v>4999</v>
      </c>
      <c r="H404" t="s">
        <v>6439</v>
      </c>
      <c r="I404" t="s">
        <v>5448</v>
      </c>
      <c r="J404" t="s">
        <v>3203</v>
      </c>
      <c r="K404" t="s">
        <v>3203</v>
      </c>
      <c r="L404" t="s">
        <v>189</v>
      </c>
      <c r="M404" t="s">
        <v>3139</v>
      </c>
      <c r="N404" t="s">
        <v>184</v>
      </c>
      <c r="O404" t="s">
        <v>3088</v>
      </c>
      <c r="P404">
        <v>0</v>
      </c>
      <c r="Q404" t="s">
        <v>3075</v>
      </c>
      <c r="R404">
        <v>0</v>
      </c>
      <c r="S404">
        <v>0</v>
      </c>
      <c r="T404">
        <v>0</v>
      </c>
      <c r="U404" t="s">
        <v>6453</v>
      </c>
      <c r="V404" s="17">
        <v>45219</v>
      </c>
      <c r="W404" s="17">
        <v>45219</v>
      </c>
      <c r="X404" s="17">
        <v>45251</v>
      </c>
      <c r="Y404">
        <v>-911</v>
      </c>
      <c r="Z404">
        <v>1</v>
      </c>
      <c r="AA404">
        <v>1.0666666666666667</v>
      </c>
      <c r="AB404">
        <v>1569.1</v>
      </c>
      <c r="AC404" s="17"/>
      <c r="AD404">
        <v>45275</v>
      </c>
      <c r="AE404">
        <v>0</v>
      </c>
      <c r="AF404">
        <v>17628</v>
      </c>
      <c r="AG404">
        <v>16526.25</v>
      </c>
      <c r="AH404">
        <v>17628</v>
      </c>
      <c r="AI404">
        <v>0</v>
      </c>
      <c r="AJ404">
        <v>0</v>
      </c>
      <c r="AW404">
        <v>0</v>
      </c>
      <c r="BJ404">
        <v>17628</v>
      </c>
      <c r="BU404">
        <v>17628</v>
      </c>
      <c r="BW404">
        <v>0</v>
      </c>
      <c r="CJ404">
        <v>0</v>
      </c>
      <c r="CW404">
        <v>0</v>
      </c>
      <c r="DJ404">
        <v>0</v>
      </c>
      <c r="DW404">
        <v>0</v>
      </c>
      <c r="EJ404">
        <v>0</v>
      </c>
    </row>
    <row r="405" spans="1:140" hidden="1" x14ac:dyDescent="0.35">
      <c r="A405" t="s">
        <v>3317</v>
      </c>
      <c r="B405" t="s">
        <v>249</v>
      </c>
      <c r="D405" t="s">
        <v>6454</v>
      </c>
      <c r="E405" t="s">
        <v>191</v>
      </c>
      <c r="F405" t="s">
        <v>6455</v>
      </c>
      <c r="G405" t="s">
        <v>4999</v>
      </c>
      <c r="H405" t="s">
        <v>6439</v>
      </c>
      <c r="I405" t="s">
        <v>5448</v>
      </c>
      <c r="J405" t="s">
        <v>3203</v>
      </c>
      <c r="K405" t="s">
        <v>3203</v>
      </c>
      <c r="L405" t="s">
        <v>189</v>
      </c>
      <c r="M405" t="s">
        <v>3139</v>
      </c>
      <c r="N405" t="s">
        <v>89</v>
      </c>
      <c r="O405" t="s">
        <v>3088</v>
      </c>
      <c r="P405">
        <v>0</v>
      </c>
      <c r="Q405" t="s">
        <v>3075</v>
      </c>
      <c r="R405">
        <v>0</v>
      </c>
      <c r="S405">
        <v>0</v>
      </c>
      <c r="T405" t="s">
        <v>5485</v>
      </c>
      <c r="U405" t="s">
        <v>6456</v>
      </c>
      <c r="V405" s="17">
        <v>45218</v>
      </c>
      <c r="W405" s="17">
        <v>45218</v>
      </c>
      <c r="X405" s="17">
        <v>45249</v>
      </c>
      <c r="Y405">
        <v>-913</v>
      </c>
      <c r="Z405">
        <v>1</v>
      </c>
      <c r="AA405">
        <v>1.0333333333333334</v>
      </c>
      <c r="AB405">
        <v>1569.1666666666667</v>
      </c>
      <c r="AC405" s="17"/>
      <c r="AD405">
        <v>45257</v>
      </c>
      <c r="AE405">
        <v>0</v>
      </c>
      <c r="AF405">
        <v>15965.63</v>
      </c>
      <c r="AG405">
        <v>15450.609700000001</v>
      </c>
      <c r="AH405">
        <v>15965.63</v>
      </c>
      <c r="AI405">
        <v>0</v>
      </c>
      <c r="AJ405">
        <v>0</v>
      </c>
      <c r="AW405">
        <v>0</v>
      </c>
      <c r="BJ405">
        <v>15965.63</v>
      </c>
      <c r="BT405">
        <v>11974.2225</v>
      </c>
      <c r="BU405">
        <v>3991.4074999999998</v>
      </c>
      <c r="BW405">
        <v>0</v>
      </c>
      <c r="CJ405">
        <v>0</v>
      </c>
      <c r="CW405">
        <v>0</v>
      </c>
      <c r="DJ405">
        <v>0</v>
      </c>
      <c r="DW405">
        <v>0</v>
      </c>
      <c r="EJ405">
        <v>0</v>
      </c>
    </row>
    <row r="406" spans="1:140" hidden="1" x14ac:dyDescent="0.35">
      <c r="A406" t="s">
        <v>3317</v>
      </c>
      <c r="B406" t="s">
        <v>249</v>
      </c>
      <c r="D406" t="s">
        <v>6457</v>
      </c>
      <c r="E406" t="s">
        <v>191</v>
      </c>
      <c r="F406" t="s">
        <v>6458</v>
      </c>
      <c r="G406" t="s">
        <v>4999</v>
      </c>
      <c r="H406" t="s">
        <v>6439</v>
      </c>
      <c r="I406" t="s">
        <v>5448</v>
      </c>
      <c r="J406" t="s">
        <v>3203</v>
      </c>
      <c r="K406" t="s">
        <v>3203</v>
      </c>
      <c r="L406" t="s">
        <v>189</v>
      </c>
      <c r="M406" t="s">
        <v>3139</v>
      </c>
      <c r="N406" t="s">
        <v>184</v>
      </c>
      <c r="O406" t="s">
        <v>3088</v>
      </c>
      <c r="P406">
        <v>0</v>
      </c>
      <c r="Q406" t="s">
        <v>3075</v>
      </c>
      <c r="R406">
        <v>0</v>
      </c>
      <c r="S406">
        <v>0</v>
      </c>
      <c r="T406" t="s">
        <v>5485</v>
      </c>
      <c r="U406" t="s">
        <v>6459</v>
      </c>
      <c r="V406" s="17">
        <v>45222</v>
      </c>
      <c r="W406" s="17">
        <v>45222</v>
      </c>
      <c r="X406" s="17">
        <v>45405</v>
      </c>
      <c r="Y406">
        <v>-757</v>
      </c>
      <c r="Z406">
        <v>6</v>
      </c>
      <c r="AA406">
        <v>6.1</v>
      </c>
      <c r="AB406">
        <v>1563.9666666666667</v>
      </c>
      <c r="AC406" s="17"/>
      <c r="AD406">
        <v>45422</v>
      </c>
      <c r="AE406">
        <v>0</v>
      </c>
      <c r="AF406">
        <v>172920</v>
      </c>
      <c r="AG406">
        <v>28347.541000000001</v>
      </c>
      <c r="AH406">
        <v>172920</v>
      </c>
      <c r="AI406">
        <v>0</v>
      </c>
      <c r="AJ406">
        <v>0</v>
      </c>
      <c r="AW406">
        <v>0</v>
      </c>
      <c r="BJ406">
        <v>52187.125</v>
      </c>
      <c r="BT406">
        <v>6826.7375000000002</v>
      </c>
      <c r="BU406">
        <v>25414</v>
      </c>
      <c r="BV406">
        <v>19946.387500000001</v>
      </c>
      <c r="BW406">
        <v>120732.875</v>
      </c>
      <c r="BX406">
        <v>32019.674999999999</v>
      </c>
      <c r="BY406">
        <v>28374.6</v>
      </c>
      <c r="BZ406">
        <v>27596.787499999999</v>
      </c>
      <c r="CA406">
        <v>27182.5</v>
      </c>
      <c r="CB406">
        <v>5559.3125</v>
      </c>
      <c r="CJ406">
        <v>0</v>
      </c>
      <c r="CW406">
        <v>0</v>
      </c>
      <c r="DJ406">
        <v>0</v>
      </c>
      <c r="DW406">
        <v>0</v>
      </c>
      <c r="EJ406">
        <v>0</v>
      </c>
    </row>
    <row r="407" spans="1:140" hidden="1" x14ac:dyDescent="0.35">
      <c r="A407" t="s">
        <v>3317</v>
      </c>
      <c r="B407" t="s">
        <v>249</v>
      </c>
      <c r="D407" t="s">
        <v>6460</v>
      </c>
      <c r="E407" t="s">
        <v>191</v>
      </c>
      <c r="F407" t="s">
        <v>6461</v>
      </c>
      <c r="G407" t="s">
        <v>3798</v>
      </c>
      <c r="H407" t="s">
        <v>6439</v>
      </c>
      <c r="I407" t="s">
        <v>5448</v>
      </c>
      <c r="J407" t="s">
        <v>3071</v>
      </c>
      <c r="K407" t="s">
        <v>3071</v>
      </c>
      <c r="L407" t="s">
        <v>189</v>
      </c>
      <c r="M407" t="s">
        <v>3139</v>
      </c>
      <c r="N407" t="s">
        <v>184</v>
      </c>
      <c r="O407" t="s">
        <v>3088</v>
      </c>
      <c r="P407">
        <v>0</v>
      </c>
      <c r="Q407" t="s">
        <v>3075</v>
      </c>
      <c r="R407">
        <v>0</v>
      </c>
      <c r="S407">
        <v>0</v>
      </c>
      <c r="T407" t="s">
        <v>5485</v>
      </c>
      <c r="U407" t="s">
        <v>6462</v>
      </c>
      <c r="V407" s="17">
        <v>45230</v>
      </c>
      <c r="W407" s="17">
        <v>45230</v>
      </c>
      <c r="X407" s="17">
        <v>45350</v>
      </c>
      <c r="Y407">
        <v>-812</v>
      </c>
      <c r="Z407">
        <v>4</v>
      </c>
      <c r="AA407">
        <v>4</v>
      </c>
      <c r="AB407">
        <v>1565.8</v>
      </c>
      <c r="AC407" s="17"/>
      <c r="AD407">
        <v>45374</v>
      </c>
      <c r="AE407">
        <v>0</v>
      </c>
      <c r="AF407">
        <v>115280</v>
      </c>
      <c r="AG407">
        <v>28820</v>
      </c>
      <c r="AH407">
        <v>115280</v>
      </c>
      <c r="AI407">
        <v>0</v>
      </c>
      <c r="AJ407">
        <v>0</v>
      </c>
      <c r="AW407">
        <v>0</v>
      </c>
      <c r="BJ407">
        <v>42524.237500000003</v>
      </c>
      <c r="BU407">
        <v>23918.962500000001</v>
      </c>
      <c r="BV407">
        <v>18605.275000000001</v>
      </c>
      <c r="BW407">
        <v>72755.762499999997</v>
      </c>
      <c r="BX407">
        <v>26954.887500000001</v>
      </c>
      <c r="BY407">
        <v>27437.95</v>
      </c>
      <c r="BZ407">
        <v>18362.924999999999</v>
      </c>
      <c r="CJ407">
        <v>0</v>
      </c>
      <c r="CW407">
        <v>0</v>
      </c>
      <c r="DJ407">
        <v>0</v>
      </c>
      <c r="DW407">
        <v>0</v>
      </c>
      <c r="EJ407">
        <v>0</v>
      </c>
    </row>
    <row r="408" spans="1:140" hidden="1" x14ac:dyDescent="0.35">
      <c r="A408" t="s">
        <v>3317</v>
      </c>
      <c r="B408" t="s">
        <v>249</v>
      </c>
      <c r="D408" t="s">
        <v>6463</v>
      </c>
      <c r="E408" t="s">
        <v>191</v>
      </c>
      <c r="F408" t="s">
        <v>6464</v>
      </c>
      <c r="G408" t="s">
        <v>4999</v>
      </c>
      <c r="H408" t="s">
        <v>6439</v>
      </c>
      <c r="I408" t="s">
        <v>5448</v>
      </c>
      <c r="J408" t="s">
        <v>3203</v>
      </c>
      <c r="K408" t="s">
        <v>3203</v>
      </c>
      <c r="L408" t="s">
        <v>189</v>
      </c>
      <c r="M408" t="s">
        <v>3139</v>
      </c>
      <c r="N408" t="s">
        <v>6443</v>
      </c>
      <c r="O408" t="s">
        <v>3088</v>
      </c>
      <c r="P408">
        <v>0</v>
      </c>
      <c r="Q408" t="s">
        <v>3075</v>
      </c>
      <c r="R408">
        <v>0</v>
      </c>
      <c r="S408">
        <v>0</v>
      </c>
      <c r="T408">
        <v>0</v>
      </c>
      <c r="U408" t="s">
        <v>6447</v>
      </c>
      <c r="V408" s="17">
        <v>45257</v>
      </c>
      <c r="W408" s="17">
        <v>45257</v>
      </c>
      <c r="X408" s="17">
        <v>45287</v>
      </c>
      <c r="Y408">
        <v>-875</v>
      </c>
      <c r="Z408">
        <v>1</v>
      </c>
      <c r="AA408">
        <v>1</v>
      </c>
      <c r="AB408">
        <v>1567.9</v>
      </c>
      <c r="AC408" s="17"/>
      <c r="AD408">
        <v>45300</v>
      </c>
      <c r="AE408">
        <v>2745.5318000000002</v>
      </c>
      <c r="AF408">
        <v>30200.85</v>
      </c>
      <c r="AG408">
        <v>30200.85</v>
      </c>
      <c r="AH408">
        <v>30200.85</v>
      </c>
      <c r="AI408">
        <v>0</v>
      </c>
      <c r="AJ408">
        <v>0</v>
      </c>
      <c r="AW408">
        <v>0</v>
      </c>
      <c r="BJ408">
        <v>30200.85</v>
      </c>
      <c r="BU408">
        <v>20940.349999999999</v>
      </c>
      <c r="BV408">
        <v>9260.5</v>
      </c>
      <c r="BW408">
        <v>0</v>
      </c>
      <c r="CJ408">
        <v>0</v>
      </c>
      <c r="CW408">
        <v>0</v>
      </c>
      <c r="DJ408">
        <v>0</v>
      </c>
      <c r="DW408">
        <v>0</v>
      </c>
      <c r="EJ408">
        <v>0</v>
      </c>
    </row>
    <row r="409" spans="1:140" hidden="1" x14ac:dyDescent="0.35">
      <c r="A409" t="s">
        <v>3317</v>
      </c>
      <c r="B409" t="s">
        <v>249</v>
      </c>
      <c r="D409" t="s">
        <v>6465</v>
      </c>
      <c r="E409" t="s">
        <v>191</v>
      </c>
      <c r="F409" t="s">
        <v>6466</v>
      </c>
      <c r="G409" t="s">
        <v>4999</v>
      </c>
      <c r="H409" t="s">
        <v>6439</v>
      </c>
      <c r="I409" t="s">
        <v>5448</v>
      </c>
      <c r="J409" t="s">
        <v>3203</v>
      </c>
      <c r="K409" t="s">
        <v>3203</v>
      </c>
      <c r="L409" t="s">
        <v>189</v>
      </c>
      <c r="M409" t="s">
        <v>3139</v>
      </c>
      <c r="N409" t="s">
        <v>6443</v>
      </c>
      <c r="O409" t="s">
        <v>3088</v>
      </c>
      <c r="P409">
        <v>0</v>
      </c>
      <c r="Q409" t="s">
        <v>3075</v>
      </c>
      <c r="R409" t="s">
        <v>4394</v>
      </c>
      <c r="S409" t="s">
        <v>5374</v>
      </c>
      <c r="T409" t="s">
        <v>1576</v>
      </c>
      <c r="U409" t="s">
        <v>6467</v>
      </c>
      <c r="V409" s="17">
        <v>45301</v>
      </c>
      <c r="W409" s="17">
        <v>45290</v>
      </c>
      <c r="X409" s="17">
        <v>45321</v>
      </c>
      <c r="Y409">
        <v>-841</v>
      </c>
      <c r="Z409">
        <v>1</v>
      </c>
      <c r="AA409">
        <v>1.0333333333333334</v>
      </c>
      <c r="AB409">
        <v>1566.7666666666667</v>
      </c>
      <c r="AC409" s="17"/>
      <c r="AD409">
        <v>45300</v>
      </c>
      <c r="AE409">
        <v>28820</v>
      </c>
      <c r="AF409">
        <v>28820</v>
      </c>
      <c r="AG409">
        <v>27890.3226</v>
      </c>
      <c r="AH409">
        <v>28820</v>
      </c>
      <c r="AI409">
        <v>0</v>
      </c>
      <c r="AJ409">
        <v>0</v>
      </c>
      <c r="AW409">
        <v>0</v>
      </c>
      <c r="BJ409">
        <v>28820</v>
      </c>
      <c r="BV409">
        <v>28820</v>
      </c>
      <c r="BW409">
        <v>0</v>
      </c>
      <c r="CJ409">
        <v>0</v>
      </c>
      <c r="CW409">
        <v>0</v>
      </c>
      <c r="DJ409">
        <v>0</v>
      </c>
      <c r="DW409">
        <v>0</v>
      </c>
      <c r="EJ409">
        <v>0</v>
      </c>
    </row>
    <row r="410" spans="1:140" hidden="1" x14ac:dyDescent="0.35">
      <c r="A410" t="s">
        <v>3317</v>
      </c>
      <c r="B410" t="s">
        <v>249</v>
      </c>
      <c r="D410" t="s">
        <v>6468</v>
      </c>
      <c r="E410" t="s">
        <v>191</v>
      </c>
      <c r="F410" t="s">
        <v>6469</v>
      </c>
      <c r="G410" t="s">
        <v>4999</v>
      </c>
      <c r="H410" t="s">
        <v>6439</v>
      </c>
      <c r="I410" t="s">
        <v>5448</v>
      </c>
      <c r="J410" t="s">
        <v>3203</v>
      </c>
      <c r="K410" t="s">
        <v>3203</v>
      </c>
      <c r="L410" t="s">
        <v>189</v>
      </c>
      <c r="M410" t="s">
        <v>3139</v>
      </c>
      <c r="N410" t="s">
        <v>6443</v>
      </c>
      <c r="O410" t="s">
        <v>3088</v>
      </c>
      <c r="P410">
        <v>0</v>
      </c>
      <c r="Q410" t="s">
        <v>3075</v>
      </c>
      <c r="R410" t="s">
        <v>4394</v>
      </c>
      <c r="S410" t="s">
        <v>5374</v>
      </c>
      <c r="T410">
        <v>0</v>
      </c>
      <c r="U410" t="s">
        <v>6467</v>
      </c>
      <c r="V410" s="17">
        <v>45341</v>
      </c>
      <c r="W410" s="17">
        <v>45301</v>
      </c>
      <c r="X410" s="17">
        <v>45351</v>
      </c>
      <c r="Y410">
        <v>-811</v>
      </c>
      <c r="Z410">
        <v>2</v>
      </c>
      <c r="AA410">
        <v>1.6666666666666667</v>
      </c>
      <c r="AB410">
        <v>1565.7666666666667</v>
      </c>
      <c r="AC410" s="17"/>
      <c r="AD410">
        <v>45351</v>
      </c>
      <c r="AE410">
        <v>57640</v>
      </c>
      <c r="AF410">
        <v>115280</v>
      </c>
      <c r="AG410">
        <v>69168</v>
      </c>
      <c r="AH410">
        <v>115280</v>
      </c>
      <c r="AI410">
        <v>0</v>
      </c>
      <c r="AJ410">
        <v>0</v>
      </c>
      <c r="AW410">
        <v>0</v>
      </c>
      <c r="BJ410">
        <v>0</v>
      </c>
      <c r="BW410">
        <v>115280</v>
      </c>
      <c r="BX410">
        <v>57640</v>
      </c>
      <c r="BY410">
        <v>57640</v>
      </c>
      <c r="CJ410">
        <v>0</v>
      </c>
      <c r="CW410">
        <v>0</v>
      </c>
      <c r="DJ410">
        <v>0</v>
      </c>
      <c r="DW410">
        <v>0</v>
      </c>
      <c r="EJ410">
        <v>0</v>
      </c>
    </row>
    <row r="411" spans="1:140" hidden="1" x14ac:dyDescent="0.35">
      <c r="A411" t="s">
        <v>3317</v>
      </c>
      <c r="B411" t="s">
        <v>249</v>
      </c>
      <c r="D411" t="s">
        <v>6470</v>
      </c>
      <c r="E411" t="s">
        <v>191</v>
      </c>
      <c r="F411" t="s">
        <v>6471</v>
      </c>
      <c r="G411" t="s">
        <v>4999</v>
      </c>
      <c r="H411" t="s">
        <v>6439</v>
      </c>
      <c r="I411" t="s">
        <v>5448</v>
      </c>
      <c r="J411" t="s">
        <v>3203</v>
      </c>
      <c r="K411" t="s">
        <v>3203</v>
      </c>
      <c r="L411" t="s">
        <v>189</v>
      </c>
      <c r="M411" t="s">
        <v>3139</v>
      </c>
      <c r="N411" t="s">
        <v>89</v>
      </c>
      <c r="O411" t="s">
        <v>3088</v>
      </c>
      <c r="P411">
        <v>0</v>
      </c>
      <c r="Q411" t="s">
        <v>3075</v>
      </c>
      <c r="R411" t="s">
        <v>4394</v>
      </c>
      <c r="S411" t="s">
        <v>5374</v>
      </c>
      <c r="T411" t="s">
        <v>1576</v>
      </c>
      <c r="U411" t="s">
        <v>6472</v>
      </c>
      <c r="V411" s="17">
        <v>45369</v>
      </c>
      <c r="W411" s="17">
        <v>45369</v>
      </c>
      <c r="X411" s="17">
        <v>45400</v>
      </c>
      <c r="Y411">
        <v>-762</v>
      </c>
      <c r="Z411">
        <v>1</v>
      </c>
      <c r="AA411">
        <v>1.0333333333333334</v>
      </c>
      <c r="AB411">
        <v>1564.1333333333334</v>
      </c>
      <c r="AC411" s="17"/>
      <c r="AD411">
        <v>45412</v>
      </c>
      <c r="AE411">
        <v>36680</v>
      </c>
      <c r="AF411">
        <v>36680</v>
      </c>
      <c r="AG411">
        <v>35496.7742</v>
      </c>
      <c r="AH411">
        <v>36680</v>
      </c>
      <c r="AI411">
        <v>0</v>
      </c>
      <c r="AJ411">
        <v>0</v>
      </c>
      <c r="AW411">
        <v>0</v>
      </c>
      <c r="BJ411">
        <v>0</v>
      </c>
      <c r="BW411">
        <v>36680</v>
      </c>
      <c r="BZ411">
        <v>8752.4375</v>
      </c>
      <c r="CA411">
        <v>27927.5625</v>
      </c>
      <c r="CJ411">
        <v>0</v>
      </c>
      <c r="CW411">
        <v>0</v>
      </c>
      <c r="DJ411">
        <v>0</v>
      </c>
      <c r="DW411">
        <v>0</v>
      </c>
      <c r="EJ411">
        <v>0</v>
      </c>
    </row>
    <row r="412" spans="1:140" hidden="1" x14ac:dyDescent="0.35">
      <c r="A412" t="s">
        <v>3317</v>
      </c>
      <c r="B412" t="s">
        <v>249</v>
      </c>
      <c r="D412" t="s">
        <v>6473</v>
      </c>
      <c r="E412" t="s">
        <v>191</v>
      </c>
      <c r="F412" t="s">
        <v>6474</v>
      </c>
      <c r="G412" t="s">
        <v>4999</v>
      </c>
      <c r="H412" t="s">
        <v>6439</v>
      </c>
      <c r="I412" t="s">
        <v>5448</v>
      </c>
      <c r="J412" t="s">
        <v>3203</v>
      </c>
      <c r="K412" t="s">
        <v>3203</v>
      </c>
      <c r="L412" t="s">
        <v>189</v>
      </c>
      <c r="M412" t="s">
        <v>3139</v>
      </c>
      <c r="N412" t="s">
        <v>6443</v>
      </c>
      <c r="O412" t="s">
        <v>3088</v>
      </c>
      <c r="P412">
        <v>0</v>
      </c>
      <c r="Q412" t="s">
        <v>3075</v>
      </c>
      <c r="R412" t="s">
        <v>4394</v>
      </c>
      <c r="S412" t="s">
        <v>5374</v>
      </c>
      <c r="T412" t="s">
        <v>1576</v>
      </c>
      <c r="U412" t="s">
        <v>6475</v>
      </c>
      <c r="V412" s="17">
        <v>45359</v>
      </c>
      <c r="W412" s="17">
        <v>45359</v>
      </c>
      <c r="X412" s="17">
        <v>45420</v>
      </c>
      <c r="Y412">
        <v>-742</v>
      </c>
      <c r="Z412">
        <v>2</v>
      </c>
      <c r="AA412">
        <v>2.0333333333333332</v>
      </c>
      <c r="AB412">
        <v>1563.4666666666667</v>
      </c>
      <c r="AC412" s="17"/>
      <c r="AD412">
        <v>45392</v>
      </c>
      <c r="AE412">
        <v>58294.78</v>
      </c>
      <c r="AF412">
        <v>116589.56</v>
      </c>
      <c r="AG412">
        <v>57339.127899999999</v>
      </c>
      <c r="AH412">
        <v>89515.376000000004</v>
      </c>
      <c r="AI412">
        <v>-27074.184000000001</v>
      </c>
      <c r="AJ412">
        <v>0</v>
      </c>
      <c r="AW412">
        <v>0</v>
      </c>
      <c r="BJ412">
        <v>0</v>
      </c>
      <c r="BW412">
        <v>89515.376000000004</v>
      </c>
      <c r="BZ412">
        <v>83179.888500000001</v>
      </c>
      <c r="CA412">
        <v>6335.4875000000002</v>
      </c>
      <c r="CJ412">
        <v>0</v>
      </c>
      <c r="CW412">
        <v>0</v>
      </c>
      <c r="DJ412">
        <v>0</v>
      </c>
      <c r="DW412">
        <v>0</v>
      </c>
      <c r="EJ412">
        <v>0</v>
      </c>
    </row>
    <row r="413" spans="1:140" hidden="1" x14ac:dyDescent="0.35">
      <c r="A413" t="s">
        <v>3317</v>
      </c>
      <c r="B413" t="s">
        <v>249</v>
      </c>
      <c r="D413" t="s">
        <v>6476</v>
      </c>
      <c r="E413" t="s">
        <v>191</v>
      </c>
      <c r="F413" t="s">
        <v>6477</v>
      </c>
      <c r="G413" t="s">
        <v>4999</v>
      </c>
      <c r="H413" t="s">
        <v>6439</v>
      </c>
      <c r="I413" t="s">
        <v>5448</v>
      </c>
      <c r="J413" t="s">
        <v>3203</v>
      </c>
      <c r="K413" t="s">
        <v>3203</v>
      </c>
      <c r="L413" t="s">
        <v>189</v>
      </c>
      <c r="M413" t="s">
        <v>3139</v>
      </c>
      <c r="N413" t="s">
        <v>184</v>
      </c>
      <c r="O413" t="s">
        <v>3088</v>
      </c>
      <c r="P413">
        <v>0</v>
      </c>
      <c r="Q413" t="s">
        <v>3075</v>
      </c>
      <c r="R413" t="s">
        <v>4394</v>
      </c>
      <c r="S413" t="s">
        <v>5374</v>
      </c>
      <c r="T413" t="s">
        <v>5485</v>
      </c>
      <c r="U413" t="s">
        <v>6478</v>
      </c>
      <c r="V413" s="17">
        <v>45419</v>
      </c>
      <c r="W413" s="17">
        <v>45419</v>
      </c>
      <c r="X413" s="17">
        <v>45450</v>
      </c>
      <c r="Y413">
        <v>-712</v>
      </c>
      <c r="Z413">
        <v>1</v>
      </c>
      <c r="AA413">
        <v>1.0333333333333334</v>
      </c>
      <c r="AB413">
        <v>1562.4666666666667</v>
      </c>
      <c r="AC413" s="17"/>
      <c r="AD413">
        <v>45453</v>
      </c>
      <c r="AE413">
        <v>28820</v>
      </c>
      <c r="AF413">
        <v>28820</v>
      </c>
      <c r="AG413">
        <v>27890.3226</v>
      </c>
      <c r="AH413">
        <v>28820</v>
      </c>
      <c r="AI413">
        <v>0</v>
      </c>
      <c r="AJ413">
        <v>0</v>
      </c>
      <c r="AW413">
        <v>0</v>
      </c>
      <c r="BJ413">
        <v>0</v>
      </c>
      <c r="BW413">
        <v>28820</v>
      </c>
      <c r="CB413">
        <v>28820</v>
      </c>
      <c r="CJ413">
        <v>0</v>
      </c>
      <c r="CW413">
        <v>0</v>
      </c>
      <c r="DJ413">
        <v>0</v>
      </c>
      <c r="DW413">
        <v>0</v>
      </c>
      <c r="EJ413">
        <v>0</v>
      </c>
    </row>
    <row r="414" spans="1:140" hidden="1" x14ac:dyDescent="0.35">
      <c r="A414" t="s">
        <v>3317</v>
      </c>
      <c r="B414" t="s">
        <v>249</v>
      </c>
      <c r="D414" t="s">
        <v>6479</v>
      </c>
      <c r="E414" t="s">
        <v>191</v>
      </c>
      <c r="F414" t="s">
        <v>6480</v>
      </c>
      <c r="G414" t="s">
        <v>4999</v>
      </c>
      <c r="H414" t="s">
        <v>6439</v>
      </c>
      <c r="I414" t="s">
        <v>5448</v>
      </c>
      <c r="J414" t="s">
        <v>3203</v>
      </c>
      <c r="K414" t="s">
        <v>3203</v>
      </c>
      <c r="L414" t="s">
        <v>189</v>
      </c>
      <c r="M414" t="s">
        <v>3139</v>
      </c>
      <c r="N414" t="s">
        <v>184</v>
      </c>
      <c r="O414" t="s">
        <v>3088</v>
      </c>
      <c r="P414">
        <v>0</v>
      </c>
      <c r="Q414" t="s">
        <v>3075</v>
      </c>
      <c r="R414" t="s">
        <v>4394</v>
      </c>
      <c r="S414" t="s">
        <v>5374</v>
      </c>
      <c r="T414" t="s">
        <v>5485</v>
      </c>
      <c r="U414" t="s">
        <v>6478</v>
      </c>
      <c r="V414" s="17">
        <v>45419</v>
      </c>
      <c r="W414" s="17">
        <v>45419</v>
      </c>
      <c r="X414" s="17">
        <v>45450</v>
      </c>
      <c r="Y414">
        <v>-712</v>
      </c>
      <c r="Z414">
        <v>1</v>
      </c>
      <c r="AA414">
        <v>1.0333333333333334</v>
      </c>
      <c r="AB414">
        <v>1562.4666666666667</v>
      </c>
      <c r="AC414" s="17"/>
      <c r="AD414">
        <v>45453</v>
      </c>
      <c r="AE414">
        <v>28820</v>
      </c>
      <c r="AF414">
        <v>28820</v>
      </c>
      <c r="AG414">
        <v>27890.3226</v>
      </c>
      <c r="AH414">
        <v>28820</v>
      </c>
      <c r="AI414">
        <v>0</v>
      </c>
      <c r="AJ414">
        <v>0</v>
      </c>
      <c r="AW414">
        <v>0</v>
      </c>
      <c r="BJ414">
        <v>0</v>
      </c>
      <c r="BW414">
        <v>28820</v>
      </c>
      <c r="CB414">
        <v>22965.9375</v>
      </c>
      <c r="CC414">
        <v>5854.0625</v>
      </c>
      <c r="CJ414">
        <v>0</v>
      </c>
      <c r="CW414">
        <v>0</v>
      </c>
      <c r="DJ414">
        <v>0</v>
      </c>
      <c r="DW414">
        <v>0</v>
      </c>
      <c r="EJ414">
        <v>0</v>
      </c>
    </row>
    <row r="415" spans="1:140" hidden="1" x14ac:dyDescent="0.35">
      <c r="A415" t="s">
        <v>3317</v>
      </c>
      <c r="B415" t="s">
        <v>249</v>
      </c>
      <c r="D415" t="s">
        <v>6481</v>
      </c>
      <c r="E415" t="s">
        <v>191</v>
      </c>
      <c r="F415" t="s">
        <v>6482</v>
      </c>
      <c r="G415" t="s">
        <v>4999</v>
      </c>
      <c r="H415" t="s">
        <v>6439</v>
      </c>
      <c r="I415" t="s">
        <v>5448</v>
      </c>
      <c r="J415" t="s">
        <v>3203</v>
      </c>
      <c r="K415" t="s">
        <v>3203</v>
      </c>
      <c r="L415" t="s">
        <v>189</v>
      </c>
      <c r="M415" t="s">
        <v>3139</v>
      </c>
      <c r="N415" t="s">
        <v>184</v>
      </c>
      <c r="O415" t="s">
        <v>3088</v>
      </c>
      <c r="P415">
        <v>0</v>
      </c>
      <c r="Q415" t="s">
        <v>3075</v>
      </c>
      <c r="R415" t="s">
        <v>4394</v>
      </c>
      <c r="S415" t="s">
        <v>5374</v>
      </c>
      <c r="T415" t="s">
        <v>5485</v>
      </c>
      <c r="U415" t="s">
        <v>6478</v>
      </c>
      <c r="V415" s="17">
        <v>45450</v>
      </c>
      <c r="W415" s="17">
        <v>45450</v>
      </c>
      <c r="X415" s="17">
        <v>45480</v>
      </c>
      <c r="Y415">
        <v>-682</v>
      </c>
      <c r="Z415">
        <v>1</v>
      </c>
      <c r="AA415">
        <v>1</v>
      </c>
      <c r="AB415">
        <v>1561.4666666666667</v>
      </c>
      <c r="AC415" s="17"/>
      <c r="AD415">
        <v>45473</v>
      </c>
      <c r="AE415">
        <v>28820</v>
      </c>
      <c r="AF415">
        <v>28820</v>
      </c>
      <c r="AG415">
        <v>28820</v>
      </c>
      <c r="AH415">
        <v>28820</v>
      </c>
      <c r="AI415">
        <v>0</v>
      </c>
      <c r="AJ415">
        <v>0</v>
      </c>
      <c r="AW415">
        <v>0</v>
      </c>
      <c r="BJ415">
        <v>0</v>
      </c>
      <c r="BW415">
        <v>28820</v>
      </c>
      <c r="CC415">
        <v>28820</v>
      </c>
      <c r="CJ415">
        <v>0</v>
      </c>
      <c r="CW415">
        <v>0</v>
      </c>
      <c r="DJ415">
        <v>0</v>
      </c>
      <c r="DW415">
        <v>0</v>
      </c>
      <c r="EJ415">
        <v>0</v>
      </c>
    </row>
    <row r="416" spans="1:140" hidden="1" x14ac:dyDescent="0.35">
      <c r="A416" t="s">
        <v>3317</v>
      </c>
      <c r="B416" t="s">
        <v>249</v>
      </c>
      <c r="D416" t="s">
        <v>6483</v>
      </c>
      <c r="E416" t="s">
        <v>191</v>
      </c>
      <c r="F416" t="s">
        <v>6484</v>
      </c>
      <c r="G416" t="s">
        <v>4999</v>
      </c>
      <c r="H416" t="s">
        <v>6439</v>
      </c>
      <c r="I416" t="s">
        <v>5448</v>
      </c>
      <c r="J416" t="s">
        <v>3203</v>
      </c>
      <c r="K416" t="s">
        <v>3203</v>
      </c>
      <c r="L416" t="s">
        <v>189</v>
      </c>
      <c r="M416" t="s">
        <v>3139</v>
      </c>
      <c r="N416" t="s">
        <v>184</v>
      </c>
      <c r="O416" t="s">
        <v>3088</v>
      </c>
      <c r="P416">
        <v>0</v>
      </c>
      <c r="Q416" t="s">
        <v>3075</v>
      </c>
      <c r="R416" t="s">
        <v>4394</v>
      </c>
      <c r="S416" t="s">
        <v>5374</v>
      </c>
      <c r="T416" t="s">
        <v>5485</v>
      </c>
      <c r="U416" t="s">
        <v>6478</v>
      </c>
      <c r="V416" s="17">
        <v>45450</v>
      </c>
      <c r="W416" s="17">
        <v>45450</v>
      </c>
      <c r="X416" s="17">
        <v>45480</v>
      </c>
      <c r="Y416">
        <v>-682</v>
      </c>
      <c r="Z416">
        <v>1</v>
      </c>
      <c r="AA416">
        <v>1</v>
      </c>
      <c r="AB416">
        <v>1561.4666666666667</v>
      </c>
      <c r="AC416" s="17"/>
      <c r="AD416">
        <v>45493</v>
      </c>
      <c r="AE416">
        <v>28820</v>
      </c>
      <c r="AF416">
        <v>28820</v>
      </c>
      <c r="AG416">
        <v>28820</v>
      </c>
      <c r="AH416">
        <v>28820</v>
      </c>
      <c r="AI416">
        <v>0</v>
      </c>
      <c r="AJ416">
        <v>0</v>
      </c>
      <c r="AW416">
        <v>0</v>
      </c>
      <c r="BJ416">
        <v>0</v>
      </c>
      <c r="BW416">
        <v>28820</v>
      </c>
      <c r="CC416">
        <v>21194.162499999999</v>
      </c>
      <c r="CD416">
        <v>7625.8374999999996</v>
      </c>
      <c r="CJ416">
        <v>0</v>
      </c>
      <c r="CW416">
        <v>0</v>
      </c>
      <c r="DJ416">
        <v>0</v>
      </c>
      <c r="DW416">
        <v>0</v>
      </c>
      <c r="EJ416">
        <v>0</v>
      </c>
    </row>
    <row r="417" spans="1:140" hidden="1" x14ac:dyDescent="0.35">
      <c r="A417" t="s">
        <v>3317</v>
      </c>
      <c r="B417" t="s">
        <v>249</v>
      </c>
      <c r="D417" t="s">
        <v>6485</v>
      </c>
      <c r="E417" t="s">
        <v>191</v>
      </c>
      <c r="F417" t="s">
        <v>6486</v>
      </c>
      <c r="G417" t="s">
        <v>4999</v>
      </c>
      <c r="H417" t="s">
        <v>6439</v>
      </c>
      <c r="I417" t="s">
        <v>5448</v>
      </c>
      <c r="J417" t="s">
        <v>3203</v>
      </c>
      <c r="K417" t="s">
        <v>3203</v>
      </c>
      <c r="L417" t="s">
        <v>189</v>
      </c>
      <c r="M417" t="s">
        <v>3139</v>
      </c>
      <c r="N417" t="s">
        <v>184</v>
      </c>
      <c r="O417" t="s">
        <v>3088</v>
      </c>
      <c r="P417">
        <v>0</v>
      </c>
      <c r="Q417" t="s">
        <v>3075</v>
      </c>
      <c r="R417" t="s">
        <v>4394</v>
      </c>
      <c r="S417" t="s">
        <v>5374</v>
      </c>
      <c r="T417" t="s">
        <v>5485</v>
      </c>
      <c r="U417" t="s">
        <v>6478</v>
      </c>
      <c r="V417" s="17">
        <v>45478</v>
      </c>
      <c r="W417" s="17">
        <v>45478</v>
      </c>
      <c r="X417" s="17">
        <v>45509</v>
      </c>
      <c r="Y417">
        <v>-653</v>
      </c>
      <c r="Z417">
        <v>1</v>
      </c>
      <c r="AA417">
        <v>1.0333333333333334</v>
      </c>
      <c r="AB417">
        <v>1560.5</v>
      </c>
      <c r="AC417" s="17"/>
      <c r="AD417">
        <v>45524</v>
      </c>
      <c r="AE417">
        <v>28820</v>
      </c>
      <c r="AF417">
        <v>28820</v>
      </c>
      <c r="AG417">
        <v>27890.3226</v>
      </c>
      <c r="AH417">
        <v>28820</v>
      </c>
      <c r="AI417">
        <v>0</v>
      </c>
      <c r="AJ417">
        <v>0</v>
      </c>
      <c r="AW417">
        <v>0</v>
      </c>
      <c r="BJ417">
        <v>0</v>
      </c>
      <c r="BW417">
        <v>28820</v>
      </c>
      <c r="CD417">
        <v>16630.45</v>
      </c>
      <c r="CE417">
        <v>12189.55</v>
      </c>
      <c r="CJ417">
        <v>0</v>
      </c>
      <c r="CW417">
        <v>0</v>
      </c>
      <c r="DJ417">
        <v>0</v>
      </c>
      <c r="DW417">
        <v>0</v>
      </c>
      <c r="EJ417">
        <v>0</v>
      </c>
    </row>
    <row r="418" spans="1:140" hidden="1" x14ac:dyDescent="0.35">
      <c r="A418" t="s">
        <v>3317</v>
      </c>
      <c r="B418" t="s">
        <v>249</v>
      </c>
      <c r="D418" t="s">
        <v>6487</v>
      </c>
      <c r="E418" t="s">
        <v>191</v>
      </c>
      <c r="F418" t="s">
        <v>6488</v>
      </c>
      <c r="G418" t="s">
        <v>4999</v>
      </c>
      <c r="H418" t="s">
        <v>6439</v>
      </c>
      <c r="I418" t="s">
        <v>5448</v>
      </c>
      <c r="J418" t="s">
        <v>3203</v>
      </c>
      <c r="K418" t="s">
        <v>3203</v>
      </c>
      <c r="L418" t="s">
        <v>189</v>
      </c>
      <c r="M418" t="s">
        <v>3139</v>
      </c>
      <c r="N418" t="s">
        <v>184</v>
      </c>
      <c r="O418" t="s">
        <v>3088</v>
      </c>
      <c r="P418">
        <v>0</v>
      </c>
      <c r="Q418" t="s">
        <v>3075</v>
      </c>
      <c r="R418" t="s">
        <v>4394</v>
      </c>
      <c r="S418" t="s">
        <v>5374</v>
      </c>
      <c r="T418" t="s">
        <v>5485</v>
      </c>
      <c r="U418" t="s">
        <v>6478</v>
      </c>
      <c r="V418" s="17">
        <v>45530</v>
      </c>
      <c r="W418" s="17">
        <v>45530</v>
      </c>
      <c r="X418" s="17">
        <v>45561</v>
      </c>
      <c r="Y418">
        <v>-601</v>
      </c>
      <c r="Z418">
        <v>1</v>
      </c>
      <c r="AA418">
        <v>1.0333333333333334</v>
      </c>
      <c r="AB418">
        <v>1558.7666666666667</v>
      </c>
      <c r="AC418" s="17"/>
      <c r="AD418">
        <v>45544</v>
      </c>
      <c r="AE418">
        <v>28820</v>
      </c>
      <c r="AF418">
        <v>28820</v>
      </c>
      <c r="AG418">
        <v>27890.3226</v>
      </c>
      <c r="AH418">
        <v>28820</v>
      </c>
      <c r="AI418">
        <v>0</v>
      </c>
      <c r="AJ418">
        <v>0</v>
      </c>
      <c r="AW418">
        <v>0</v>
      </c>
      <c r="BJ418">
        <v>0</v>
      </c>
      <c r="BW418">
        <v>28820</v>
      </c>
      <c r="CE418">
        <v>16063.875</v>
      </c>
      <c r="CF418">
        <v>12756.125</v>
      </c>
      <c r="CJ418">
        <v>0</v>
      </c>
      <c r="CW418">
        <v>0</v>
      </c>
      <c r="DJ418">
        <v>0</v>
      </c>
      <c r="DW418">
        <v>0</v>
      </c>
      <c r="EJ418">
        <v>0</v>
      </c>
    </row>
    <row r="419" spans="1:140" hidden="1" x14ac:dyDescent="0.35">
      <c r="A419" t="s">
        <v>3317</v>
      </c>
      <c r="B419" t="s">
        <v>249</v>
      </c>
      <c r="D419" t="s">
        <v>6489</v>
      </c>
      <c r="E419" t="s">
        <v>191</v>
      </c>
      <c r="F419" t="s">
        <v>6490</v>
      </c>
      <c r="G419" t="s">
        <v>4999</v>
      </c>
      <c r="H419" t="s">
        <v>6439</v>
      </c>
      <c r="I419" t="s">
        <v>5448</v>
      </c>
      <c r="J419" t="s">
        <v>3203</v>
      </c>
      <c r="K419" t="s">
        <v>3203</v>
      </c>
      <c r="L419" t="s">
        <v>3766</v>
      </c>
      <c r="M419" t="s">
        <v>3139</v>
      </c>
      <c r="N419" t="s">
        <v>184</v>
      </c>
      <c r="O419" t="s">
        <v>3088</v>
      </c>
      <c r="P419">
        <v>0</v>
      </c>
      <c r="Q419" t="s">
        <v>3075</v>
      </c>
      <c r="R419" t="s">
        <v>4394</v>
      </c>
      <c r="S419" t="s">
        <v>5374</v>
      </c>
      <c r="T419" t="s">
        <v>2319</v>
      </c>
      <c r="U419" t="s">
        <v>6491</v>
      </c>
      <c r="V419" s="17">
        <v>45567</v>
      </c>
      <c r="W419" s="17">
        <v>45567</v>
      </c>
      <c r="X419" s="17">
        <v>45628</v>
      </c>
      <c r="Y419">
        <v>-534</v>
      </c>
      <c r="Z419">
        <v>2</v>
      </c>
      <c r="AA419">
        <v>2.0333333333333332</v>
      </c>
      <c r="AB419">
        <v>1556.5333333333333</v>
      </c>
      <c r="AC419" s="17"/>
      <c r="AD419">
        <v>45667</v>
      </c>
      <c r="AE419">
        <v>32750</v>
      </c>
      <c r="AF419">
        <v>131000</v>
      </c>
      <c r="AG419">
        <v>64426.229500000001</v>
      </c>
      <c r="AH419">
        <v>131000</v>
      </c>
      <c r="AI419">
        <v>0</v>
      </c>
      <c r="AJ419">
        <v>0</v>
      </c>
      <c r="AW419">
        <v>0</v>
      </c>
      <c r="BJ419">
        <v>0</v>
      </c>
      <c r="BW419">
        <v>131000</v>
      </c>
      <c r="CH419">
        <v>65500</v>
      </c>
      <c r="CI419">
        <v>65500</v>
      </c>
      <c r="CJ419">
        <v>0</v>
      </c>
      <c r="CW419">
        <v>0</v>
      </c>
      <c r="DJ419">
        <v>0</v>
      </c>
      <c r="DW419">
        <v>0</v>
      </c>
      <c r="EJ419">
        <v>0</v>
      </c>
    </row>
    <row r="420" spans="1:140" hidden="1" x14ac:dyDescent="0.35">
      <c r="A420" t="s">
        <v>3317</v>
      </c>
      <c r="B420" t="s">
        <v>249</v>
      </c>
      <c r="D420" t="s">
        <v>6492</v>
      </c>
      <c r="E420" t="s">
        <v>191</v>
      </c>
      <c r="F420" t="s">
        <v>6493</v>
      </c>
      <c r="G420" t="s">
        <v>4999</v>
      </c>
      <c r="H420" t="s">
        <v>6439</v>
      </c>
      <c r="I420" t="s">
        <v>5448</v>
      </c>
      <c r="J420" t="s">
        <v>3203</v>
      </c>
      <c r="K420" t="s">
        <v>3203</v>
      </c>
      <c r="L420" t="s">
        <v>3766</v>
      </c>
      <c r="M420" t="s">
        <v>3139</v>
      </c>
      <c r="N420" t="s">
        <v>184</v>
      </c>
      <c r="O420" t="s">
        <v>3088</v>
      </c>
      <c r="P420">
        <v>0</v>
      </c>
      <c r="Q420" t="s">
        <v>3075</v>
      </c>
      <c r="R420" t="s">
        <v>4394</v>
      </c>
      <c r="S420" t="s">
        <v>5374</v>
      </c>
      <c r="T420" t="s">
        <v>1576</v>
      </c>
      <c r="U420" t="s">
        <v>6478</v>
      </c>
      <c r="V420" s="17">
        <v>45554</v>
      </c>
      <c r="W420" s="17">
        <v>45554</v>
      </c>
      <c r="X420" s="17">
        <v>45645</v>
      </c>
      <c r="Y420">
        <v>-517</v>
      </c>
      <c r="Z420">
        <v>3</v>
      </c>
      <c r="AA420">
        <v>3.0333333333333332</v>
      </c>
      <c r="AB420">
        <v>1555.9666666666667</v>
      </c>
      <c r="AC420" s="17"/>
      <c r="AD420">
        <v>45646</v>
      </c>
      <c r="AE420">
        <v>28820</v>
      </c>
      <c r="AF420">
        <v>86460</v>
      </c>
      <c r="AG420">
        <v>28503.296699999999</v>
      </c>
      <c r="AH420">
        <v>86400</v>
      </c>
      <c r="AI420">
        <v>-60</v>
      </c>
      <c r="AJ420">
        <v>0</v>
      </c>
      <c r="AW420">
        <v>0</v>
      </c>
      <c r="BJ420">
        <v>0</v>
      </c>
      <c r="BW420">
        <v>86400</v>
      </c>
      <c r="CF420">
        <v>21048.424999999999</v>
      </c>
      <c r="CG420">
        <v>26902</v>
      </c>
      <c r="CH420">
        <v>26232.75</v>
      </c>
      <c r="CI420">
        <v>12216.3375</v>
      </c>
      <c r="CJ420">
        <v>0</v>
      </c>
      <c r="CW420">
        <v>0</v>
      </c>
      <c r="DJ420">
        <v>0</v>
      </c>
      <c r="DW420">
        <v>0</v>
      </c>
      <c r="EJ420">
        <v>0</v>
      </c>
    </row>
    <row r="421" spans="1:140" hidden="1" x14ac:dyDescent="0.35">
      <c r="A421" t="s">
        <v>3317</v>
      </c>
      <c r="B421" t="s">
        <v>249</v>
      </c>
      <c r="D421" t="s">
        <v>6494</v>
      </c>
      <c r="E421" t="s">
        <v>191</v>
      </c>
      <c r="F421" t="s">
        <v>6495</v>
      </c>
      <c r="G421" t="s">
        <v>4999</v>
      </c>
      <c r="H421" t="s">
        <v>6439</v>
      </c>
      <c r="I421" t="s">
        <v>5448</v>
      </c>
      <c r="J421" t="s">
        <v>3203</v>
      </c>
      <c r="K421" t="s">
        <v>3203</v>
      </c>
      <c r="L421" t="s">
        <v>3766</v>
      </c>
      <c r="M421" t="s">
        <v>3139</v>
      </c>
      <c r="N421" t="s">
        <v>184</v>
      </c>
      <c r="O421" t="s">
        <v>3088</v>
      </c>
      <c r="P421">
        <v>0</v>
      </c>
      <c r="Q421" t="s">
        <v>3075</v>
      </c>
      <c r="R421" t="s">
        <v>4394</v>
      </c>
      <c r="S421" t="s">
        <v>5374</v>
      </c>
      <c r="T421" t="s">
        <v>1576</v>
      </c>
      <c r="U421" t="s">
        <v>6478</v>
      </c>
      <c r="V421" s="17">
        <v>45638</v>
      </c>
      <c r="W421" s="17">
        <v>45638</v>
      </c>
      <c r="X421" s="17">
        <v>45759</v>
      </c>
      <c r="Y421">
        <v>-403</v>
      </c>
      <c r="Z421">
        <v>4</v>
      </c>
      <c r="AA421">
        <v>4.0333333333333332</v>
      </c>
      <c r="AB421">
        <v>1552.1666666666667</v>
      </c>
      <c r="AC421" s="17"/>
      <c r="AD421">
        <v>45702</v>
      </c>
      <c r="AE421">
        <v>28820</v>
      </c>
      <c r="AF421">
        <v>115280</v>
      </c>
      <c r="AG421">
        <v>28581.818200000002</v>
      </c>
      <c r="AH421">
        <v>115280</v>
      </c>
      <c r="AI421">
        <v>0</v>
      </c>
      <c r="AJ421">
        <v>0</v>
      </c>
      <c r="AW421">
        <v>0</v>
      </c>
      <c r="BJ421">
        <v>0</v>
      </c>
      <c r="BW421">
        <v>8772.09</v>
      </c>
      <c r="CI421">
        <v>8772.09</v>
      </c>
      <c r="CJ421">
        <v>106507.91</v>
      </c>
      <c r="CK421">
        <v>28820</v>
      </c>
      <c r="CL421">
        <v>28820</v>
      </c>
      <c r="CM421">
        <v>28820</v>
      </c>
      <c r="CN421">
        <v>20047.91</v>
      </c>
      <c r="CW421">
        <v>0</v>
      </c>
      <c r="DJ421">
        <v>0</v>
      </c>
      <c r="DW421">
        <v>0</v>
      </c>
      <c r="EJ421">
        <v>106507.91</v>
      </c>
    </row>
    <row r="422" spans="1:140" hidden="1" x14ac:dyDescent="0.35">
      <c r="A422" t="s">
        <v>3317</v>
      </c>
      <c r="B422" t="s">
        <v>249</v>
      </c>
      <c r="D422" t="s">
        <v>6496</v>
      </c>
      <c r="E422" t="s">
        <v>191</v>
      </c>
      <c r="F422" t="s">
        <v>3797</v>
      </c>
      <c r="G422" t="s">
        <v>3798</v>
      </c>
      <c r="H422" t="s">
        <v>6497</v>
      </c>
      <c r="I422" t="s">
        <v>6498</v>
      </c>
      <c r="J422" t="s">
        <v>3071</v>
      </c>
      <c r="K422" t="s">
        <v>3071</v>
      </c>
      <c r="L422" t="s">
        <v>3766</v>
      </c>
      <c r="M422" t="s">
        <v>3139</v>
      </c>
      <c r="N422" t="s">
        <v>184</v>
      </c>
      <c r="O422" t="s">
        <v>3088</v>
      </c>
      <c r="P422">
        <v>0</v>
      </c>
      <c r="Q422" t="s">
        <v>3075</v>
      </c>
      <c r="R422" t="s">
        <v>2739</v>
      </c>
      <c r="S422" t="s">
        <v>5374</v>
      </c>
      <c r="T422" t="s">
        <v>1576</v>
      </c>
      <c r="U422" t="s">
        <v>6499</v>
      </c>
      <c r="V422" s="17">
        <v>45639</v>
      </c>
      <c r="W422" s="17">
        <v>45639</v>
      </c>
      <c r="X422" s="17">
        <v>45670</v>
      </c>
      <c r="Y422">
        <v>-492</v>
      </c>
      <c r="Z422">
        <v>1</v>
      </c>
      <c r="AA422">
        <v>1.0333333333333334</v>
      </c>
      <c r="AB422">
        <v>1555.1333333333334</v>
      </c>
      <c r="AC422" s="17"/>
      <c r="AD422">
        <v>45670</v>
      </c>
      <c r="AE422">
        <v>24322.400000000001</v>
      </c>
      <c r="AF422">
        <v>24322.400000000001</v>
      </c>
      <c r="AG422">
        <v>23537.806499999999</v>
      </c>
      <c r="AH422">
        <v>24322.400000000001</v>
      </c>
      <c r="AI422">
        <v>0</v>
      </c>
      <c r="AJ422">
        <v>0</v>
      </c>
      <c r="AW422">
        <v>0</v>
      </c>
      <c r="BJ422">
        <v>0</v>
      </c>
      <c r="BW422">
        <v>0</v>
      </c>
      <c r="CJ422">
        <v>24322.400000000001</v>
      </c>
      <c r="CK422">
        <v>24322.400000000001</v>
      </c>
      <c r="CW422">
        <v>0</v>
      </c>
      <c r="DJ422">
        <v>0</v>
      </c>
      <c r="DW422">
        <v>0</v>
      </c>
      <c r="EJ422">
        <v>24322.400000000001</v>
      </c>
    </row>
    <row r="423" spans="1:140" hidden="1" x14ac:dyDescent="0.35">
      <c r="A423" t="s">
        <v>3317</v>
      </c>
      <c r="B423" t="s">
        <v>249</v>
      </c>
      <c r="D423" t="s">
        <v>6500</v>
      </c>
      <c r="E423" t="s">
        <v>939</v>
      </c>
      <c r="F423" t="s">
        <v>3792</v>
      </c>
      <c r="G423" t="s">
        <v>3793</v>
      </c>
      <c r="H423" t="s">
        <v>6501</v>
      </c>
      <c r="I423" t="s">
        <v>5368</v>
      </c>
      <c r="J423" t="s">
        <v>3079</v>
      </c>
      <c r="K423" t="s">
        <v>3079</v>
      </c>
      <c r="L423" t="s">
        <v>179</v>
      </c>
      <c r="M423" t="s">
        <v>3069</v>
      </c>
      <c r="N423" t="s">
        <v>89</v>
      </c>
      <c r="O423" t="s">
        <v>3088</v>
      </c>
      <c r="P423">
        <v>0</v>
      </c>
      <c r="Q423" t="s">
        <v>3075</v>
      </c>
      <c r="R423" t="s">
        <v>2464</v>
      </c>
      <c r="S423">
        <v>0</v>
      </c>
      <c r="T423">
        <v>0</v>
      </c>
      <c r="U423" t="s">
        <v>6502</v>
      </c>
      <c r="V423" s="17">
        <v>45254</v>
      </c>
      <c r="W423" s="17">
        <v>45293</v>
      </c>
      <c r="X423" s="17">
        <v>45444</v>
      </c>
      <c r="Y423">
        <v>-718</v>
      </c>
      <c r="Z423">
        <v>5</v>
      </c>
      <c r="AA423">
        <v>5.0333333333333332</v>
      </c>
      <c r="AB423">
        <v>1562.6666666666667</v>
      </c>
      <c r="AC423" s="17"/>
      <c r="AD423">
        <v>45735</v>
      </c>
      <c r="AE423">
        <v>39327.49</v>
      </c>
      <c r="AF423">
        <v>196637.45</v>
      </c>
      <c r="AG423">
        <v>39067.042999999998</v>
      </c>
      <c r="AH423">
        <v>196637.45</v>
      </c>
      <c r="AI423">
        <v>0</v>
      </c>
      <c r="AJ423">
        <v>0</v>
      </c>
      <c r="AW423">
        <v>0</v>
      </c>
      <c r="BJ423">
        <v>0</v>
      </c>
      <c r="BW423">
        <v>196637.45</v>
      </c>
      <c r="BX423">
        <v>39327.49</v>
      </c>
      <c r="BY423">
        <v>39327.49</v>
      </c>
      <c r="BZ423">
        <v>39327.49</v>
      </c>
      <c r="CA423">
        <v>39327.49</v>
      </c>
      <c r="CB423">
        <v>39327.49</v>
      </c>
      <c r="CJ423">
        <v>0</v>
      </c>
      <c r="CW423">
        <v>0</v>
      </c>
      <c r="DJ423">
        <v>0</v>
      </c>
      <c r="DW423">
        <v>0</v>
      </c>
      <c r="EJ423">
        <v>0</v>
      </c>
    </row>
    <row r="424" spans="1:140" hidden="1" x14ac:dyDescent="0.35">
      <c r="A424" t="s">
        <v>3317</v>
      </c>
      <c r="B424" t="s">
        <v>249</v>
      </c>
      <c r="D424" t="s">
        <v>6503</v>
      </c>
      <c r="E424" t="s">
        <v>939</v>
      </c>
      <c r="F424" t="s">
        <v>3792</v>
      </c>
      <c r="G424" t="s">
        <v>3793</v>
      </c>
      <c r="H424" t="s">
        <v>6504</v>
      </c>
      <c r="I424" t="s">
        <v>5373</v>
      </c>
      <c r="J424" t="s">
        <v>3079</v>
      </c>
      <c r="K424" t="s">
        <v>3079</v>
      </c>
      <c r="L424" t="s">
        <v>179</v>
      </c>
      <c r="M424" t="s">
        <v>3069</v>
      </c>
      <c r="N424" t="s">
        <v>89</v>
      </c>
      <c r="O424" t="s">
        <v>3088</v>
      </c>
      <c r="P424">
        <v>0</v>
      </c>
      <c r="Q424" t="s">
        <v>3075</v>
      </c>
      <c r="R424" t="s">
        <v>1580</v>
      </c>
      <c r="S424" t="s">
        <v>5374</v>
      </c>
      <c r="T424" t="s">
        <v>5485</v>
      </c>
      <c r="U424" t="s">
        <v>6502</v>
      </c>
      <c r="V424" s="17">
        <v>45436</v>
      </c>
      <c r="W424" s="17">
        <v>45444</v>
      </c>
      <c r="X424" s="17">
        <v>45566</v>
      </c>
      <c r="Y424">
        <v>-596</v>
      </c>
      <c r="Z424">
        <v>4</v>
      </c>
      <c r="AA424">
        <v>4.0666666666666664</v>
      </c>
      <c r="AB424">
        <v>1558.6</v>
      </c>
      <c r="AC424" s="17"/>
      <c r="AD424">
        <v>45735</v>
      </c>
      <c r="AE424">
        <v>39327.49</v>
      </c>
      <c r="AF424">
        <v>157309.96</v>
      </c>
      <c r="AG424">
        <v>38682.777000000002</v>
      </c>
      <c r="AH424">
        <v>157309.96</v>
      </c>
      <c r="AI424">
        <v>0</v>
      </c>
      <c r="AJ424">
        <v>0</v>
      </c>
      <c r="AW424">
        <v>0</v>
      </c>
      <c r="BJ424">
        <v>0</v>
      </c>
      <c r="BW424">
        <v>157309.96</v>
      </c>
      <c r="CC424">
        <v>39327.49</v>
      </c>
      <c r="CD424">
        <v>39327.49</v>
      </c>
      <c r="CE424">
        <v>39327.49</v>
      </c>
      <c r="CF424">
        <v>39327.49</v>
      </c>
      <c r="CJ424">
        <v>0</v>
      </c>
      <c r="CW424">
        <v>0</v>
      </c>
      <c r="DJ424">
        <v>0</v>
      </c>
      <c r="DW424">
        <v>0</v>
      </c>
      <c r="EJ424">
        <v>0</v>
      </c>
    </row>
    <row r="425" spans="1:140" hidden="1" x14ac:dyDescent="0.35">
      <c r="A425" t="s">
        <v>3317</v>
      </c>
      <c r="B425" t="s">
        <v>249</v>
      </c>
      <c r="D425" t="s">
        <v>6505</v>
      </c>
      <c r="E425" t="s">
        <v>939</v>
      </c>
      <c r="F425" t="s">
        <v>3792</v>
      </c>
      <c r="G425" t="s">
        <v>3793</v>
      </c>
      <c r="H425" t="s">
        <v>6504</v>
      </c>
      <c r="I425" t="s">
        <v>5373</v>
      </c>
      <c r="J425" t="s">
        <v>3079</v>
      </c>
      <c r="K425" t="s">
        <v>3079</v>
      </c>
      <c r="L425" t="s">
        <v>179</v>
      </c>
      <c r="M425" t="s">
        <v>3069</v>
      </c>
      <c r="N425" t="s">
        <v>89</v>
      </c>
      <c r="O425" t="s">
        <v>3088</v>
      </c>
      <c r="P425">
        <v>0</v>
      </c>
      <c r="Q425" t="s">
        <v>3075</v>
      </c>
      <c r="R425" t="s">
        <v>2464</v>
      </c>
      <c r="S425" t="s">
        <v>5374</v>
      </c>
      <c r="T425" t="s">
        <v>1576</v>
      </c>
      <c r="U425" t="s">
        <v>6506</v>
      </c>
      <c r="V425" s="17">
        <v>45562</v>
      </c>
      <c r="W425" s="17">
        <v>45567</v>
      </c>
      <c r="X425" s="17">
        <v>45657</v>
      </c>
      <c r="Y425">
        <v>-505</v>
      </c>
      <c r="Z425">
        <v>3</v>
      </c>
      <c r="AA425">
        <v>3</v>
      </c>
      <c r="AB425">
        <v>1555.5666666666666</v>
      </c>
      <c r="AC425" s="17"/>
      <c r="AD425">
        <v>45735</v>
      </c>
      <c r="AE425">
        <v>39327.49</v>
      </c>
      <c r="AF425">
        <v>117982.47</v>
      </c>
      <c r="AG425">
        <v>39327.49</v>
      </c>
      <c r="AH425">
        <v>117982.47</v>
      </c>
      <c r="AI425">
        <v>0</v>
      </c>
      <c r="AJ425">
        <v>0</v>
      </c>
      <c r="AW425">
        <v>0</v>
      </c>
      <c r="BJ425">
        <v>0</v>
      </c>
      <c r="BW425">
        <v>117982.47</v>
      </c>
      <c r="CG425">
        <v>39327</v>
      </c>
      <c r="CH425">
        <v>39327.49</v>
      </c>
      <c r="CI425">
        <v>39327.49</v>
      </c>
      <c r="CJ425">
        <v>0</v>
      </c>
      <c r="CW425">
        <v>0</v>
      </c>
      <c r="DJ425">
        <v>0</v>
      </c>
      <c r="DW425">
        <v>0</v>
      </c>
      <c r="EJ425">
        <v>0</v>
      </c>
    </row>
    <row r="426" spans="1:140" hidden="1" x14ac:dyDescent="0.35">
      <c r="A426" t="s">
        <v>3317</v>
      </c>
      <c r="B426" t="s">
        <v>249</v>
      </c>
      <c r="D426" t="s">
        <v>6507</v>
      </c>
      <c r="E426" t="s">
        <v>939</v>
      </c>
      <c r="F426" t="s">
        <v>3792</v>
      </c>
      <c r="G426" t="s">
        <v>3793</v>
      </c>
      <c r="H426" t="s">
        <v>6504</v>
      </c>
      <c r="I426" t="s">
        <v>5373</v>
      </c>
      <c r="J426" t="s">
        <v>3079</v>
      </c>
      <c r="K426" t="s">
        <v>3079</v>
      </c>
      <c r="L426" t="s">
        <v>179</v>
      </c>
      <c r="M426" t="s">
        <v>3069</v>
      </c>
      <c r="N426" t="s">
        <v>89</v>
      </c>
      <c r="O426" t="s">
        <v>3088</v>
      </c>
      <c r="P426">
        <v>0</v>
      </c>
      <c r="Q426" t="s">
        <v>3075</v>
      </c>
      <c r="R426" t="s">
        <v>2464</v>
      </c>
      <c r="S426" t="s">
        <v>5374</v>
      </c>
      <c r="T426" t="s">
        <v>1576</v>
      </c>
      <c r="U426" t="s">
        <v>6506</v>
      </c>
      <c r="V426" s="17">
        <v>45644</v>
      </c>
      <c r="W426" s="17">
        <v>45658</v>
      </c>
      <c r="X426" s="17">
        <v>45688</v>
      </c>
      <c r="Y426">
        <v>-474</v>
      </c>
      <c r="Z426">
        <v>1</v>
      </c>
      <c r="AA426">
        <v>1</v>
      </c>
      <c r="AB426">
        <v>1554.5333333333333</v>
      </c>
      <c r="AC426" s="17"/>
      <c r="AD426">
        <v>45735</v>
      </c>
      <c r="AE426">
        <v>39327.49</v>
      </c>
      <c r="AF426">
        <v>39327.49</v>
      </c>
      <c r="AG426">
        <v>39327.49</v>
      </c>
      <c r="AH426">
        <v>39327.49</v>
      </c>
      <c r="AI426">
        <v>0</v>
      </c>
      <c r="AJ426">
        <v>0</v>
      </c>
      <c r="AW426">
        <v>0</v>
      </c>
      <c r="BJ426">
        <v>0</v>
      </c>
      <c r="BW426">
        <v>0</v>
      </c>
      <c r="CJ426">
        <v>39327.49</v>
      </c>
      <c r="CK426">
        <v>39327.49</v>
      </c>
      <c r="CW426">
        <v>0</v>
      </c>
      <c r="DJ426">
        <v>0</v>
      </c>
      <c r="DW426">
        <v>0</v>
      </c>
      <c r="EJ426">
        <v>39327.49</v>
      </c>
    </row>
    <row r="427" spans="1:140" hidden="1" x14ac:dyDescent="0.35">
      <c r="A427" t="s">
        <v>3317</v>
      </c>
      <c r="B427" t="s">
        <v>249</v>
      </c>
      <c r="D427" t="s">
        <v>6508</v>
      </c>
      <c r="E427" t="s">
        <v>939</v>
      </c>
      <c r="F427" t="s">
        <v>3792</v>
      </c>
      <c r="G427" t="s">
        <v>3793</v>
      </c>
      <c r="H427" t="s">
        <v>6504</v>
      </c>
      <c r="I427" t="s">
        <v>5373</v>
      </c>
      <c r="J427" t="s">
        <v>3079</v>
      </c>
      <c r="K427" t="s">
        <v>3079</v>
      </c>
      <c r="L427" t="s">
        <v>179</v>
      </c>
      <c r="M427" t="s">
        <v>3069</v>
      </c>
      <c r="N427" t="s">
        <v>89</v>
      </c>
      <c r="O427" t="s">
        <v>3088</v>
      </c>
      <c r="P427" t="s">
        <v>3088</v>
      </c>
      <c r="Q427" t="s">
        <v>3075</v>
      </c>
      <c r="R427" t="s">
        <v>2464</v>
      </c>
      <c r="S427" t="s">
        <v>5374</v>
      </c>
      <c r="T427" t="s">
        <v>1576</v>
      </c>
      <c r="U427" t="s">
        <v>6506</v>
      </c>
      <c r="V427" s="17">
        <v>45672</v>
      </c>
      <c r="W427" s="17">
        <v>45688</v>
      </c>
      <c r="X427" s="17">
        <v>45716</v>
      </c>
      <c r="Y427">
        <v>-446</v>
      </c>
      <c r="Z427">
        <v>1</v>
      </c>
      <c r="AA427">
        <v>0.93333333333333335</v>
      </c>
      <c r="AB427">
        <v>1553.6</v>
      </c>
      <c r="AC427" s="17"/>
      <c r="AD427">
        <v>45735</v>
      </c>
      <c r="AE427">
        <v>39327.49</v>
      </c>
      <c r="AF427">
        <v>39327.49</v>
      </c>
      <c r="AG427">
        <v>42136.596400000002</v>
      </c>
      <c r="AH427">
        <v>39327.49</v>
      </c>
      <c r="AI427">
        <v>0</v>
      </c>
      <c r="AJ427">
        <v>0</v>
      </c>
      <c r="AW427">
        <v>0</v>
      </c>
      <c r="BJ427">
        <v>0</v>
      </c>
      <c r="BW427">
        <v>0</v>
      </c>
      <c r="CJ427">
        <v>39327.49</v>
      </c>
      <c r="CL427">
        <v>39327.49</v>
      </c>
      <c r="CW427">
        <v>0</v>
      </c>
      <c r="DJ427">
        <v>0</v>
      </c>
      <c r="DW427">
        <v>0</v>
      </c>
      <c r="EJ427">
        <v>39327.49</v>
      </c>
    </row>
    <row r="428" spans="1:140" hidden="1" x14ac:dyDescent="0.35">
      <c r="A428" t="s">
        <v>3317</v>
      </c>
      <c r="B428" t="s">
        <v>249</v>
      </c>
      <c r="D428" t="s">
        <v>6509</v>
      </c>
      <c r="E428" t="s">
        <v>939</v>
      </c>
      <c r="F428" t="s">
        <v>3792</v>
      </c>
      <c r="G428" t="s">
        <v>3793</v>
      </c>
      <c r="H428" t="s">
        <v>6504</v>
      </c>
      <c r="I428" t="s">
        <v>5373</v>
      </c>
      <c r="J428" t="s">
        <v>3079</v>
      </c>
      <c r="K428" t="s">
        <v>3079</v>
      </c>
      <c r="L428" t="s">
        <v>179</v>
      </c>
      <c r="M428" t="s">
        <v>3069</v>
      </c>
      <c r="N428" t="s">
        <v>89</v>
      </c>
      <c r="O428" t="s">
        <v>3088</v>
      </c>
      <c r="P428" t="s">
        <v>3088</v>
      </c>
      <c r="Q428" t="s">
        <v>3075</v>
      </c>
      <c r="R428" t="s">
        <v>2464</v>
      </c>
      <c r="S428" t="s">
        <v>5374</v>
      </c>
      <c r="T428" t="s">
        <v>1576</v>
      </c>
      <c r="U428" t="s">
        <v>6506</v>
      </c>
      <c r="V428" s="17">
        <v>45728</v>
      </c>
      <c r="W428" s="17">
        <v>45717</v>
      </c>
      <c r="X428" s="17">
        <v>45747</v>
      </c>
      <c r="Y428">
        <v>-415</v>
      </c>
      <c r="Z428">
        <v>1</v>
      </c>
      <c r="AA428">
        <v>1</v>
      </c>
      <c r="AB428">
        <v>1552.5666666666666</v>
      </c>
      <c r="AC428" s="17"/>
      <c r="AD428">
        <v>45735</v>
      </c>
      <c r="AE428">
        <v>19663.744999999999</v>
      </c>
      <c r="AF428">
        <v>19663.744999999999</v>
      </c>
      <c r="AG428">
        <v>19663.744999999999</v>
      </c>
      <c r="AH428">
        <v>19663.744999999999</v>
      </c>
      <c r="AI428">
        <v>0</v>
      </c>
      <c r="AJ428">
        <v>0</v>
      </c>
      <c r="AW428">
        <v>0</v>
      </c>
      <c r="BJ428">
        <v>0</v>
      </c>
      <c r="BW428">
        <v>0</v>
      </c>
      <c r="CJ428">
        <v>19663.744999999999</v>
      </c>
      <c r="CM428">
        <v>19663.744999999999</v>
      </c>
      <c r="CW428">
        <v>0</v>
      </c>
      <c r="DJ428">
        <v>0</v>
      </c>
      <c r="DW428">
        <v>0</v>
      </c>
      <c r="EJ428">
        <v>19663.744999999999</v>
      </c>
    </row>
    <row r="429" spans="1:140" hidden="1" x14ac:dyDescent="0.35">
      <c r="A429" t="s">
        <v>3317</v>
      </c>
      <c r="B429" t="s">
        <v>249</v>
      </c>
      <c r="D429" t="s">
        <v>6510</v>
      </c>
      <c r="E429" t="s">
        <v>1004</v>
      </c>
      <c r="F429" t="s">
        <v>3799</v>
      </c>
      <c r="G429" t="s">
        <v>3800</v>
      </c>
      <c r="H429" t="s">
        <v>6511</v>
      </c>
      <c r="I429" t="s">
        <v>5368</v>
      </c>
      <c r="J429" t="s">
        <v>3071</v>
      </c>
      <c r="K429" t="s">
        <v>3071</v>
      </c>
      <c r="L429" t="s">
        <v>3584</v>
      </c>
      <c r="M429" t="s">
        <v>3069</v>
      </c>
      <c r="N429" t="s">
        <v>89</v>
      </c>
      <c r="O429" t="s">
        <v>3088</v>
      </c>
      <c r="P429">
        <v>0</v>
      </c>
      <c r="Q429" t="s">
        <v>3075</v>
      </c>
      <c r="R429" t="s">
        <v>2513</v>
      </c>
      <c r="S429" t="s">
        <v>5374</v>
      </c>
      <c r="T429" t="s">
        <v>1576</v>
      </c>
      <c r="U429" t="s">
        <v>6512</v>
      </c>
      <c r="V429" s="17">
        <v>45447</v>
      </c>
      <c r="W429" s="17">
        <v>45467</v>
      </c>
      <c r="X429" s="17">
        <v>45558</v>
      </c>
      <c r="Y429">
        <v>-604</v>
      </c>
      <c r="Z429">
        <v>3</v>
      </c>
      <c r="AA429">
        <v>3.0333333333333332</v>
      </c>
      <c r="AB429">
        <v>1558.8666666666666</v>
      </c>
      <c r="AC429" s="17"/>
      <c r="AD429">
        <v>45737</v>
      </c>
      <c r="AE429">
        <v>32753.75</v>
      </c>
      <c r="AF429">
        <v>98261.25</v>
      </c>
      <c r="AG429">
        <v>32393.8187</v>
      </c>
      <c r="AH429">
        <v>98261.25</v>
      </c>
      <c r="AI429">
        <v>0</v>
      </c>
      <c r="AJ429">
        <v>0</v>
      </c>
      <c r="AW429">
        <v>0</v>
      </c>
      <c r="BJ429">
        <v>0</v>
      </c>
      <c r="BW429">
        <v>98261.25</v>
      </c>
      <c r="CC429">
        <v>33653.75</v>
      </c>
      <c r="CD429">
        <v>30953.75</v>
      </c>
      <c r="CE429">
        <v>33653.75</v>
      </c>
      <c r="CJ429">
        <v>0</v>
      </c>
      <c r="CW429">
        <v>0</v>
      </c>
      <c r="DJ429">
        <v>0</v>
      </c>
      <c r="DW429">
        <v>0</v>
      </c>
      <c r="EJ429">
        <v>0</v>
      </c>
    </row>
    <row r="430" spans="1:140" hidden="1" x14ac:dyDescent="0.35">
      <c r="A430" t="s">
        <v>3317</v>
      </c>
      <c r="B430" t="s">
        <v>249</v>
      </c>
      <c r="D430" t="s">
        <v>6513</v>
      </c>
      <c r="E430" t="s">
        <v>1004</v>
      </c>
      <c r="F430" t="s">
        <v>3799</v>
      </c>
      <c r="G430" t="s">
        <v>3800</v>
      </c>
      <c r="H430" t="s">
        <v>6514</v>
      </c>
      <c r="I430" t="s">
        <v>5373</v>
      </c>
      <c r="J430" t="s">
        <v>3071</v>
      </c>
      <c r="K430" t="s">
        <v>3071</v>
      </c>
      <c r="L430" t="s">
        <v>3584</v>
      </c>
      <c r="M430" t="s">
        <v>3069</v>
      </c>
      <c r="N430" t="s">
        <v>89</v>
      </c>
      <c r="O430" t="s">
        <v>3088</v>
      </c>
      <c r="P430">
        <v>0</v>
      </c>
      <c r="Q430" t="s">
        <v>3075</v>
      </c>
      <c r="R430" t="s">
        <v>2513</v>
      </c>
      <c r="S430" t="s">
        <v>5374</v>
      </c>
      <c r="T430" t="s">
        <v>1576</v>
      </c>
      <c r="U430" t="s">
        <v>6512</v>
      </c>
      <c r="V430" s="17">
        <v>45559</v>
      </c>
      <c r="W430" s="17">
        <v>45559</v>
      </c>
      <c r="X430" s="17">
        <v>45649</v>
      </c>
      <c r="Y430">
        <v>-513</v>
      </c>
      <c r="Z430">
        <v>3</v>
      </c>
      <c r="AA430">
        <v>3</v>
      </c>
      <c r="AB430">
        <v>1555.8333333333333</v>
      </c>
      <c r="AC430" s="17"/>
      <c r="AD430">
        <v>45737</v>
      </c>
      <c r="AE430">
        <v>31853.75</v>
      </c>
      <c r="AF430">
        <v>95561.25</v>
      </c>
      <c r="AG430">
        <v>31853.75</v>
      </c>
      <c r="AH430">
        <v>95561.25</v>
      </c>
      <c r="AI430">
        <v>0</v>
      </c>
      <c r="AJ430">
        <v>0</v>
      </c>
      <c r="AW430">
        <v>0</v>
      </c>
      <c r="BJ430">
        <v>0</v>
      </c>
      <c r="BW430">
        <v>95561.25</v>
      </c>
      <c r="CF430">
        <v>30953.75</v>
      </c>
      <c r="CG430">
        <v>30954</v>
      </c>
      <c r="CH430">
        <v>33653.75</v>
      </c>
      <c r="CJ430">
        <v>0</v>
      </c>
      <c r="CW430">
        <v>0</v>
      </c>
      <c r="DJ430">
        <v>0</v>
      </c>
      <c r="DW430">
        <v>0</v>
      </c>
      <c r="EJ430">
        <v>0</v>
      </c>
    </row>
    <row r="431" spans="1:140" hidden="1" x14ac:dyDescent="0.35">
      <c r="A431" t="s">
        <v>3317</v>
      </c>
      <c r="B431" t="s">
        <v>249</v>
      </c>
      <c r="D431" t="s">
        <v>6515</v>
      </c>
      <c r="E431" t="s">
        <v>1004</v>
      </c>
      <c r="F431" t="s">
        <v>3799</v>
      </c>
      <c r="G431" t="s">
        <v>3800</v>
      </c>
      <c r="H431" t="s">
        <v>6514</v>
      </c>
      <c r="I431" t="s">
        <v>5373</v>
      </c>
      <c r="J431" t="s">
        <v>3071</v>
      </c>
      <c r="K431" t="s">
        <v>3071</v>
      </c>
      <c r="L431" t="s">
        <v>3584</v>
      </c>
      <c r="M431" t="s">
        <v>3069</v>
      </c>
      <c r="N431" t="s">
        <v>89</v>
      </c>
      <c r="O431" t="s">
        <v>3088</v>
      </c>
      <c r="P431">
        <v>0</v>
      </c>
      <c r="Q431" t="s">
        <v>3075</v>
      </c>
      <c r="R431" t="s">
        <v>2513</v>
      </c>
      <c r="S431" t="s">
        <v>5374</v>
      </c>
      <c r="T431" t="s">
        <v>1576</v>
      </c>
      <c r="U431" t="s">
        <v>6512</v>
      </c>
      <c r="V431" s="17">
        <v>45643</v>
      </c>
      <c r="W431" s="17">
        <v>45650</v>
      </c>
      <c r="X431" s="17">
        <v>45740</v>
      </c>
      <c r="Y431">
        <v>-422</v>
      </c>
      <c r="Z431">
        <v>3</v>
      </c>
      <c r="AA431">
        <v>3</v>
      </c>
      <c r="AB431">
        <v>1552.8</v>
      </c>
      <c r="AC431" s="17"/>
      <c r="AD431">
        <v>45737</v>
      </c>
      <c r="AE431">
        <v>30953.75</v>
      </c>
      <c r="AF431">
        <v>92861.25</v>
      </c>
      <c r="AG431">
        <v>30953.75</v>
      </c>
      <c r="AH431">
        <v>92861.25</v>
      </c>
      <c r="AI431">
        <v>0</v>
      </c>
      <c r="AJ431">
        <v>0</v>
      </c>
      <c r="AW431">
        <v>0</v>
      </c>
      <c r="BJ431">
        <v>0</v>
      </c>
      <c r="BW431">
        <v>30953.75</v>
      </c>
      <c r="CI431">
        <v>30953.75</v>
      </c>
      <c r="CJ431">
        <v>61907.5</v>
      </c>
      <c r="CK431">
        <v>30953.75</v>
      </c>
      <c r="CL431">
        <v>30953.75</v>
      </c>
      <c r="CW431">
        <v>0</v>
      </c>
      <c r="DJ431">
        <v>0</v>
      </c>
      <c r="DW431">
        <v>0</v>
      </c>
      <c r="EJ431">
        <v>61907.5</v>
      </c>
    </row>
    <row r="432" spans="1:140" hidden="1" x14ac:dyDescent="0.35">
      <c r="A432" t="s">
        <v>3196</v>
      </c>
      <c r="B432" t="s">
        <v>249</v>
      </c>
      <c r="D432" t="s">
        <v>6516</v>
      </c>
      <c r="E432" t="s">
        <v>215</v>
      </c>
      <c r="F432" t="s">
        <v>3803</v>
      </c>
      <c r="G432" t="s">
        <v>3804</v>
      </c>
      <c r="H432" t="s">
        <v>6517</v>
      </c>
      <c r="I432" t="s">
        <v>5368</v>
      </c>
      <c r="J432" t="s">
        <v>3071</v>
      </c>
      <c r="K432" t="s">
        <v>3071</v>
      </c>
      <c r="L432" t="s">
        <v>212</v>
      </c>
      <c r="M432" t="s">
        <v>3087</v>
      </c>
      <c r="N432" t="s">
        <v>213</v>
      </c>
      <c r="O432" t="s">
        <v>3806</v>
      </c>
      <c r="P432">
        <v>0</v>
      </c>
      <c r="Q432" t="s">
        <v>3075</v>
      </c>
      <c r="R432" t="s">
        <v>1580</v>
      </c>
      <c r="S432" t="s">
        <v>5374</v>
      </c>
      <c r="T432" t="s">
        <v>1576</v>
      </c>
      <c r="U432" t="s">
        <v>6518</v>
      </c>
      <c r="V432" s="17">
        <v>45471</v>
      </c>
      <c r="W432" s="17">
        <v>45489</v>
      </c>
      <c r="X432" s="17">
        <v>45673</v>
      </c>
      <c r="Y432">
        <v>-489</v>
      </c>
      <c r="Z432">
        <v>12</v>
      </c>
      <c r="AA432">
        <v>6.1333333333333337</v>
      </c>
      <c r="AB432">
        <v>1555.0333333333333</v>
      </c>
      <c r="AC432" s="17"/>
      <c r="AD432">
        <v>45747</v>
      </c>
      <c r="AE432">
        <v>28260.91</v>
      </c>
      <c r="AF432">
        <v>339130.92</v>
      </c>
      <c r="AG432">
        <v>55293.084799999997</v>
      </c>
      <c r="AH432">
        <v>339010.96</v>
      </c>
      <c r="AI432">
        <v>-119.96</v>
      </c>
      <c r="AJ432">
        <v>0</v>
      </c>
      <c r="AW432">
        <v>0</v>
      </c>
      <c r="BJ432">
        <v>0</v>
      </c>
      <c r="BW432">
        <v>169505.48</v>
      </c>
      <c r="CD432">
        <v>31167.58</v>
      </c>
      <c r="CE432">
        <v>27667.58</v>
      </c>
      <c r="CF432">
        <v>27667.58</v>
      </c>
      <c r="CG432">
        <v>27668</v>
      </c>
      <c r="CH432">
        <v>27667.58</v>
      </c>
      <c r="CI432">
        <v>27667.58</v>
      </c>
      <c r="CJ432">
        <v>169505.48</v>
      </c>
      <c r="CK432">
        <v>27667.58</v>
      </c>
      <c r="CL432">
        <v>27667.58</v>
      </c>
      <c r="CM432">
        <v>27667.58</v>
      </c>
      <c r="CN432">
        <v>27667.58</v>
      </c>
      <c r="CO432">
        <v>27667.58</v>
      </c>
      <c r="CP432">
        <v>31167.58</v>
      </c>
      <c r="CW432">
        <v>0</v>
      </c>
      <c r="DJ432">
        <v>0</v>
      </c>
      <c r="DW432">
        <v>0</v>
      </c>
      <c r="EJ432">
        <v>169505.48</v>
      </c>
    </row>
    <row r="433" spans="1:140" hidden="1" x14ac:dyDescent="0.35">
      <c r="A433" t="s">
        <v>3196</v>
      </c>
      <c r="B433" t="s">
        <v>249</v>
      </c>
      <c r="D433" t="s">
        <v>6519</v>
      </c>
      <c r="E433" t="s">
        <v>215</v>
      </c>
      <c r="F433" t="s">
        <v>3803</v>
      </c>
      <c r="G433" t="s">
        <v>3804</v>
      </c>
      <c r="H433" t="s">
        <v>6520</v>
      </c>
      <c r="I433" t="s">
        <v>5373</v>
      </c>
      <c r="J433" t="s">
        <v>3071</v>
      </c>
      <c r="K433" t="s">
        <v>3071</v>
      </c>
      <c r="L433" t="s">
        <v>212</v>
      </c>
      <c r="M433" t="s">
        <v>3087</v>
      </c>
      <c r="N433" t="s">
        <v>213</v>
      </c>
      <c r="O433" t="s">
        <v>3806</v>
      </c>
      <c r="P433">
        <v>0</v>
      </c>
      <c r="Q433" t="s">
        <v>3075</v>
      </c>
      <c r="R433" t="s">
        <v>1580</v>
      </c>
      <c r="S433" t="s">
        <v>5374</v>
      </c>
      <c r="T433" t="s">
        <v>1576</v>
      </c>
      <c r="U433" t="s">
        <v>6518</v>
      </c>
      <c r="V433" s="17">
        <v>45504</v>
      </c>
      <c r="W433" s="17">
        <v>45505</v>
      </c>
      <c r="X433" s="17">
        <v>45809</v>
      </c>
      <c r="Y433">
        <v>-353</v>
      </c>
      <c r="Z433">
        <v>11</v>
      </c>
      <c r="AA433">
        <v>10.133333333333333</v>
      </c>
      <c r="AB433">
        <v>1550.5</v>
      </c>
      <c r="AC433" s="17"/>
      <c r="AD433">
        <v>45747</v>
      </c>
      <c r="AE433">
        <v>28063.735000000001</v>
      </c>
      <c r="AF433">
        <v>617402.17000000004</v>
      </c>
      <c r="AG433">
        <v>60927.845699999998</v>
      </c>
      <c r="AH433">
        <v>617402.15</v>
      </c>
      <c r="AI433">
        <v>-0.02</v>
      </c>
      <c r="AJ433">
        <v>0</v>
      </c>
      <c r="AW433">
        <v>0</v>
      </c>
      <c r="BJ433">
        <v>0</v>
      </c>
      <c r="BW433">
        <v>373035.8</v>
      </c>
      <c r="CE433">
        <v>72765</v>
      </c>
      <c r="CF433">
        <v>80317.7</v>
      </c>
      <c r="CG433">
        <v>73318</v>
      </c>
      <c r="CH433">
        <v>73317.7</v>
      </c>
      <c r="CI433">
        <v>73317.7</v>
      </c>
      <c r="CJ433">
        <v>244366.35</v>
      </c>
      <c r="CK433">
        <v>76817.7</v>
      </c>
      <c r="CL433">
        <v>32809.730000000003</v>
      </c>
      <c r="CM433">
        <v>32809.730000000003</v>
      </c>
      <c r="CN433">
        <v>32809.730000000003</v>
      </c>
      <c r="CO433">
        <v>32809.730000000003</v>
      </c>
      <c r="CP433">
        <v>36309.730000000003</v>
      </c>
      <c r="CW433">
        <v>0</v>
      </c>
      <c r="DJ433">
        <v>0</v>
      </c>
      <c r="DW433">
        <v>0</v>
      </c>
      <c r="EJ433">
        <v>244366.35</v>
      </c>
    </row>
    <row r="434" spans="1:140" hidden="1" x14ac:dyDescent="0.35">
      <c r="A434" t="s">
        <v>3196</v>
      </c>
      <c r="B434" t="s">
        <v>249</v>
      </c>
      <c r="D434" t="s">
        <v>6521</v>
      </c>
      <c r="E434" t="s">
        <v>215</v>
      </c>
      <c r="F434" t="s">
        <v>3803</v>
      </c>
      <c r="G434" t="s">
        <v>3804</v>
      </c>
      <c r="H434" t="s">
        <v>6520</v>
      </c>
      <c r="I434" t="s">
        <v>5373</v>
      </c>
      <c r="J434" t="s">
        <v>3071</v>
      </c>
      <c r="K434" t="s">
        <v>3071</v>
      </c>
      <c r="L434" t="s">
        <v>212</v>
      </c>
      <c r="M434" t="s">
        <v>3087</v>
      </c>
      <c r="N434" t="s">
        <v>213</v>
      </c>
      <c r="O434" t="s">
        <v>3806</v>
      </c>
      <c r="P434">
        <v>0</v>
      </c>
      <c r="Q434" t="s">
        <v>3075</v>
      </c>
      <c r="R434" t="s">
        <v>1580</v>
      </c>
      <c r="S434" t="s">
        <v>5374</v>
      </c>
      <c r="T434" t="s">
        <v>1576</v>
      </c>
      <c r="U434" t="s">
        <v>6522</v>
      </c>
      <c r="V434" s="17">
        <v>45548</v>
      </c>
      <c r="W434" s="17">
        <v>45536</v>
      </c>
      <c r="X434" s="17">
        <v>45870</v>
      </c>
      <c r="Y434">
        <v>-292</v>
      </c>
      <c r="Z434">
        <v>12</v>
      </c>
      <c r="AA434">
        <v>11.133333333333333</v>
      </c>
      <c r="AB434">
        <v>1548.4666666666667</v>
      </c>
      <c r="AC434" s="17"/>
      <c r="AD434">
        <v>45747</v>
      </c>
      <c r="AE434">
        <v>4166.6666999999998</v>
      </c>
      <c r="AF434">
        <v>50000.000399999997</v>
      </c>
      <c r="AG434">
        <v>4491.018</v>
      </c>
      <c r="AH434">
        <v>50000</v>
      </c>
      <c r="AI434">
        <v>-4.0000000000000002E-4</v>
      </c>
      <c r="AJ434">
        <v>0</v>
      </c>
      <c r="AW434">
        <v>0</v>
      </c>
      <c r="BJ434">
        <v>0</v>
      </c>
      <c r="BW434">
        <v>26000</v>
      </c>
      <c r="CF434">
        <v>5000</v>
      </c>
      <c r="CG434">
        <v>5000</v>
      </c>
      <c r="CH434">
        <v>8000</v>
      </c>
      <c r="CI434">
        <v>8000</v>
      </c>
      <c r="CJ434">
        <v>24000</v>
      </c>
      <c r="CK434">
        <v>3000</v>
      </c>
      <c r="CL434">
        <v>3000</v>
      </c>
      <c r="CM434">
        <v>3000</v>
      </c>
      <c r="CN434">
        <v>3000</v>
      </c>
      <c r="CO434">
        <v>3000</v>
      </c>
      <c r="CP434">
        <v>3000</v>
      </c>
      <c r="CQ434">
        <v>3000</v>
      </c>
      <c r="CR434">
        <v>3000</v>
      </c>
      <c r="CW434">
        <v>0</v>
      </c>
      <c r="DJ434">
        <v>0</v>
      </c>
      <c r="DW434">
        <v>0</v>
      </c>
      <c r="EJ434">
        <v>24000</v>
      </c>
    </row>
    <row r="435" spans="1:140" hidden="1" x14ac:dyDescent="0.35">
      <c r="A435" t="s">
        <v>3196</v>
      </c>
      <c r="B435" t="s">
        <v>249</v>
      </c>
      <c r="D435" t="s">
        <v>6523</v>
      </c>
      <c r="E435" t="s">
        <v>169</v>
      </c>
      <c r="F435" t="s">
        <v>3809</v>
      </c>
      <c r="G435" t="s">
        <v>3810</v>
      </c>
      <c r="H435" t="s">
        <v>6524</v>
      </c>
      <c r="I435" t="s">
        <v>5368</v>
      </c>
      <c r="J435" t="s">
        <v>3079</v>
      </c>
      <c r="K435" t="s">
        <v>3079</v>
      </c>
      <c r="L435" t="s">
        <v>166</v>
      </c>
      <c r="M435" t="s">
        <v>3153</v>
      </c>
      <c r="N435" t="s">
        <v>167</v>
      </c>
      <c r="O435" t="s">
        <v>3070</v>
      </c>
      <c r="P435">
        <v>0</v>
      </c>
      <c r="Q435" t="s">
        <v>3075</v>
      </c>
      <c r="R435" t="s">
        <v>2464</v>
      </c>
      <c r="S435" t="s">
        <v>5452</v>
      </c>
      <c r="T435" t="s">
        <v>1576</v>
      </c>
      <c r="U435" t="s">
        <v>6525</v>
      </c>
      <c r="V435" s="17">
        <v>45504</v>
      </c>
      <c r="W435" s="17">
        <v>45524</v>
      </c>
      <c r="X435" s="17">
        <v>45828</v>
      </c>
      <c r="Y435">
        <v>-334</v>
      </c>
      <c r="Z435">
        <v>10</v>
      </c>
      <c r="AA435">
        <v>10.133333333333333</v>
      </c>
      <c r="AB435">
        <v>1549.8666666666666</v>
      </c>
      <c r="AC435" s="17"/>
      <c r="AD435">
        <v>45747</v>
      </c>
      <c r="AE435">
        <v>40550</v>
      </c>
      <c r="AF435">
        <v>405500</v>
      </c>
      <c r="AG435">
        <v>40016.447399999997</v>
      </c>
      <c r="AH435">
        <v>405500</v>
      </c>
      <c r="AI435">
        <v>0</v>
      </c>
      <c r="AJ435">
        <v>0</v>
      </c>
      <c r="AW435">
        <v>0</v>
      </c>
      <c r="BJ435">
        <v>0</v>
      </c>
      <c r="BW435">
        <v>202750</v>
      </c>
      <c r="CE435">
        <v>42750</v>
      </c>
      <c r="CF435">
        <v>40000</v>
      </c>
      <c r="CG435">
        <v>40000</v>
      </c>
      <c r="CH435">
        <v>40000</v>
      </c>
      <c r="CI435">
        <v>40000</v>
      </c>
      <c r="CJ435">
        <v>202750</v>
      </c>
      <c r="CK435">
        <v>40000</v>
      </c>
      <c r="CL435">
        <v>40000</v>
      </c>
      <c r="CM435">
        <v>40000</v>
      </c>
      <c r="CN435">
        <v>40000</v>
      </c>
      <c r="CO435">
        <v>42750</v>
      </c>
      <c r="CW435">
        <v>0</v>
      </c>
      <c r="DJ435">
        <v>0</v>
      </c>
      <c r="DW435">
        <v>0</v>
      </c>
      <c r="EJ435">
        <v>202750</v>
      </c>
    </row>
    <row r="436" spans="1:140" hidden="1" x14ac:dyDescent="0.35">
      <c r="A436" t="s">
        <v>3317</v>
      </c>
      <c r="B436" t="s">
        <v>249</v>
      </c>
      <c r="D436" t="s">
        <v>6526</v>
      </c>
      <c r="E436" t="s">
        <v>254</v>
      </c>
      <c r="F436" t="s">
        <v>3814</v>
      </c>
      <c r="G436" t="s">
        <v>3815</v>
      </c>
      <c r="H436" t="s">
        <v>6527</v>
      </c>
      <c r="I436" t="s">
        <v>5368</v>
      </c>
      <c r="J436" t="s">
        <v>3079</v>
      </c>
      <c r="K436" t="s">
        <v>3079</v>
      </c>
      <c r="L436" t="s">
        <v>252</v>
      </c>
      <c r="M436" t="s">
        <v>3087</v>
      </c>
      <c r="N436" t="s">
        <v>89</v>
      </c>
      <c r="O436" t="s">
        <v>3088</v>
      </c>
      <c r="P436">
        <v>0</v>
      </c>
      <c r="Q436" t="s">
        <v>3075</v>
      </c>
      <c r="R436">
        <v>0</v>
      </c>
      <c r="S436">
        <v>0</v>
      </c>
      <c r="T436">
        <v>0</v>
      </c>
      <c r="U436" t="s">
        <v>6528</v>
      </c>
      <c r="V436" s="17">
        <v>45272</v>
      </c>
      <c r="W436" s="17">
        <v>45278</v>
      </c>
      <c r="X436" s="17">
        <v>45461</v>
      </c>
      <c r="Y436">
        <v>-701</v>
      </c>
      <c r="Z436">
        <v>6</v>
      </c>
      <c r="AA436">
        <v>6.1</v>
      </c>
      <c r="AB436">
        <v>1562.1</v>
      </c>
      <c r="AC436" s="17"/>
      <c r="AD436">
        <v>45747</v>
      </c>
      <c r="AE436">
        <v>40767.050000000003</v>
      </c>
      <c r="AF436">
        <v>489204.6</v>
      </c>
      <c r="AG436">
        <v>80197.475399999996</v>
      </c>
      <c r="AH436">
        <v>489204.6</v>
      </c>
      <c r="AI436">
        <v>0</v>
      </c>
      <c r="AJ436">
        <v>0</v>
      </c>
      <c r="AW436">
        <v>0</v>
      </c>
      <c r="BJ436">
        <v>0</v>
      </c>
      <c r="BW436">
        <v>489204.6</v>
      </c>
      <c r="BX436">
        <v>81534.100000000006</v>
      </c>
      <c r="BY436">
        <v>81534.100000000006</v>
      </c>
      <c r="BZ436">
        <v>81534.100000000006</v>
      </c>
      <c r="CA436">
        <v>81534.100000000006</v>
      </c>
      <c r="CB436">
        <v>81534.100000000006</v>
      </c>
      <c r="CC436">
        <v>81534.100000000006</v>
      </c>
      <c r="CJ436">
        <v>0</v>
      </c>
      <c r="CW436">
        <v>0</v>
      </c>
      <c r="DJ436">
        <v>0</v>
      </c>
      <c r="DW436">
        <v>0</v>
      </c>
      <c r="EJ436">
        <v>0</v>
      </c>
    </row>
    <row r="437" spans="1:140" hidden="1" x14ac:dyDescent="0.35">
      <c r="A437" t="s">
        <v>3317</v>
      </c>
      <c r="B437" t="s">
        <v>249</v>
      </c>
      <c r="D437" t="s">
        <v>6529</v>
      </c>
      <c r="E437" t="s">
        <v>254</v>
      </c>
      <c r="F437" t="s">
        <v>3814</v>
      </c>
      <c r="G437" t="s">
        <v>3815</v>
      </c>
      <c r="H437" t="s">
        <v>6530</v>
      </c>
      <c r="I437" t="s">
        <v>5373</v>
      </c>
      <c r="J437" t="s">
        <v>3079</v>
      </c>
      <c r="K437" t="s">
        <v>3079</v>
      </c>
      <c r="L437" t="s">
        <v>252</v>
      </c>
      <c r="M437" t="s">
        <v>3087</v>
      </c>
      <c r="N437" t="s">
        <v>89</v>
      </c>
      <c r="O437" t="s">
        <v>3088</v>
      </c>
      <c r="P437">
        <v>0</v>
      </c>
      <c r="Q437" t="s">
        <v>3075</v>
      </c>
      <c r="R437" t="s">
        <v>1580</v>
      </c>
      <c r="S437" t="s">
        <v>5374</v>
      </c>
      <c r="T437" t="s">
        <v>1576</v>
      </c>
      <c r="U437" t="s">
        <v>6528</v>
      </c>
      <c r="V437" s="17">
        <v>45484</v>
      </c>
      <c r="W437" s="17">
        <v>45460</v>
      </c>
      <c r="X437" s="17">
        <v>45565</v>
      </c>
      <c r="Y437">
        <v>-597</v>
      </c>
      <c r="Z437">
        <v>3</v>
      </c>
      <c r="AA437">
        <v>3.5</v>
      </c>
      <c r="AB437">
        <v>1558.6333333333334</v>
      </c>
      <c r="AC437" s="17"/>
      <c r="AD437">
        <v>45747</v>
      </c>
      <c r="AE437">
        <v>40767.050000000003</v>
      </c>
      <c r="AF437">
        <v>244602.3</v>
      </c>
      <c r="AG437">
        <v>69886.371400000004</v>
      </c>
      <c r="AH437">
        <v>244602.3</v>
      </c>
      <c r="AI437">
        <v>0</v>
      </c>
      <c r="AJ437">
        <v>0</v>
      </c>
      <c r="AW437">
        <v>0</v>
      </c>
      <c r="BJ437">
        <v>0</v>
      </c>
      <c r="BW437">
        <v>244602.3</v>
      </c>
      <c r="CD437">
        <v>81534.100000000006</v>
      </c>
      <c r="CE437">
        <v>81534.100000000006</v>
      </c>
      <c r="CF437">
        <v>81534.100000000006</v>
      </c>
      <c r="CJ437">
        <v>0</v>
      </c>
      <c r="CW437">
        <v>0</v>
      </c>
      <c r="DJ437">
        <v>0</v>
      </c>
      <c r="DW437">
        <v>0</v>
      </c>
      <c r="EJ437">
        <v>0</v>
      </c>
    </row>
    <row r="438" spans="1:140" hidden="1" x14ac:dyDescent="0.35">
      <c r="A438" t="s">
        <v>3317</v>
      </c>
      <c r="B438" t="s">
        <v>249</v>
      </c>
      <c r="D438" t="s">
        <v>6531</v>
      </c>
      <c r="E438" t="s">
        <v>254</v>
      </c>
      <c r="F438" t="s">
        <v>3814</v>
      </c>
      <c r="G438" t="s">
        <v>3815</v>
      </c>
      <c r="H438" t="s">
        <v>6530</v>
      </c>
      <c r="I438" t="s">
        <v>5373</v>
      </c>
      <c r="J438" t="s">
        <v>3079</v>
      </c>
      <c r="K438" t="s">
        <v>3079</v>
      </c>
      <c r="L438" t="s">
        <v>252</v>
      </c>
      <c r="M438" t="s">
        <v>3087</v>
      </c>
      <c r="N438" t="s">
        <v>89</v>
      </c>
      <c r="O438" t="s">
        <v>3088</v>
      </c>
      <c r="P438">
        <v>0</v>
      </c>
      <c r="Q438" t="s">
        <v>3075</v>
      </c>
      <c r="R438" t="s">
        <v>2464</v>
      </c>
      <c r="S438" t="s">
        <v>5374</v>
      </c>
      <c r="T438" t="s">
        <v>1576</v>
      </c>
      <c r="U438" t="s">
        <v>6528</v>
      </c>
      <c r="V438" s="17">
        <v>45562</v>
      </c>
      <c r="W438" s="17">
        <v>45566</v>
      </c>
      <c r="X438" s="17">
        <v>45657</v>
      </c>
      <c r="Y438">
        <v>-505</v>
      </c>
      <c r="Z438">
        <v>3</v>
      </c>
      <c r="AA438">
        <v>3.0333333333333332</v>
      </c>
      <c r="AB438">
        <v>1555.5666666666666</v>
      </c>
      <c r="AC438" s="17"/>
      <c r="AD438">
        <v>45747</v>
      </c>
      <c r="AE438">
        <v>40767.050000000003</v>
      </c>
      <c r="AF438">
        <v>244602.3</v>
      </c>
      <c r="AG438">
        <v>80638.120899999994</v>
      </c>
      <c r="AH438">
        <v>244602.3</v>
      </c>
      <c r="AI438">
        <v>0</v>
      </c>
      <c r="AJ438">
        <v>0</v>
      </c>
      <c r="AW438">
        <v>0</v>
      </c>
      <c r="BJ438">
        <v>0</v>
      </c>
      <c r="BW438">
        <v>244602.3</v>
      </c>
      <c r="CG438">
        <v>81534</v>
      </c>
      <c r="CH438">
        <v>81534.100000000006</v>
      </c>
      <c r="CI438">
        <v>81534.100000000006</v>
      </c>
      <c r="CJ438">
        <v>0</v>
      </c>
      <c r="CW438">
        <v>0</v>
      </c>
      <c r="DJ438">
        <v>0</v>
      </c>
      <c r="DW438">
        <v>0</v>
      </c>
      <c r="EJ438">
        <v>0</v>
      </c>
    </row>
    <row r="439" spans="1:140" hidden="1" x14ac:dyDescent="0.35">
      <c r="A439" t="s">
        <v>3317</v>
      </c>
      <c r="B439" t="s">
        <v>249</v>
      </c>
      <c r="D439" t="s">
        <v>6532</v>
      </c>
      <c r="E439" t="s">
        <v>254</v>
      </c>
      <c r="F439" t="s">
        <v>3814</v>
      </c>
      <c r="G439" t="s">
        <v>3815</v>
      </c>
      <c r="H439" t="s">
        <v>6530</v>
      </c>
      <c r="I439" t="s">
        <v>5373</v>
      </c>
      <c r="J439" t="s">
        <v>3079</v>
      </c>
      <c r="K439" t="s">
        <v>3079</v>
      </c>
      <c r="L439" t="s">
        <v>252</v>
      </c>
      <c r="M439" t="s">
        <v>3087</v>
      </c>
      <c r="N439" t="s">
        <v>89</v>
      </c>
      <c r="O439" t="s">
        <v>3088</v>
      </c>
      <c r="P439">
        <v>0</v>
      </c>
      <c r="Q439" t="s">
        <v>3075</v>
      </c>
      <c r="R439" t="s">
        <v>2464</v>
      </c>
      <c r="S439" t="s">
        <v>5374</v>
      </c>
      <c r="T439" t="s">
        <v>1576</v>
      </c>
      <c r="U439" t="s">
        <v>6528</v>
      </c>
      <c r="V439" s="17">
        <v>45646</v>
      </c>
      <c r="W439" s="17">
        <v>45656</v>
      </c>
      <c r="X439" s="17">
        <v>45687</v>
      </c>
      <c r="Y439">
        <v>-475</v>
      </c>
      <c r="Z439">
        <v>1</v>
      </c>
      <c r="AA439">
        <v>1.0333333333333334</v>
      </c>
      <c r="AB439">
        <v>1554.5666666666666</v>
      </c>
      <c r="AC439" s="17"/>
      <c r="AD439">
        <v>45747</v>
      </c>
      <c r="AE439">
        <v>40767.050000000003</v>
      </c>
      <c r="AF439">
        <v>81534.100000000006</v>
      </c>
      <c r="AG439">
        <v>78903.967699999994</v>
      </c>
      <c r="AH439">
        <v>81534.100000000006</v>
      </c>
      <c r="AI439">
        <v>0</v>
      </c>
      <c r="AJ439">
        <v>0</v>
      </c>
      <c r="AW439">
        <v>0</v>
      </c>
      <c r="BJ439">
        <v>0</v>
      </c>
      <c r="BW439">
        <v>0</v>
      </c>
      <c r="CJ439">
        <v>81534.100000000006</v>
      </c>
      <c r="CK439">
        <v>81534.100000000006</v>
      </c>
      <c r="CW439">
        <v>0</v>
      </c>
      <c r="DJ439">
        <v>0</v>
      </c>
      <c r="DW439">
        <v>0</v>
      </c>
      <c r="EJ439">
        <v>81534.100000000006</v>
      </c>
    </row>
    <row r="440" spans="1:140" hidden="1" x14ac:dyDescent="0.35">
      <c r="A440" t="s">
        <v>3317</v>
      </c>
      <c r="B440" t="s">
        <v>249</v>
      </c>
      <c r="D440" t="s">
        <v>6533</v>
      </c>
      <c r="E440" t="s">
        <v>254</v>
      </c>
      <c r="F440" t="s">
        <v>3814</v>
      </c>
      <c r="G440" t="s">
        <v>3815</v>
      </c>
      <c r="H440" t="s">
        <v>6530</v>
      </c>
      <c r="I440" t="s">
        <v>5373</v>
      </c>
      <c r="J440" t="s">
        <v>3079</v>
      </c>
      <c r="K440" t="s">
        <v>3079</v>
      </c>
      <c r="L440" t="s">
        <v>252</v>
      </c>
      <c r="M440" t="s">
        <v>3087</v>
      </c>
      <c r="N440" t="s">
        <v>89</v>
      </c>
      <c r="O440" t="s">
        <v>3088</v>
      </c>
      <c r="P440" t="s">
        <v>3088</v>
      </c>
      <c r="Q440" t="s">
        <v>3075</v>
      </c>
      <c r="R440" t="s">
        <v>2464</v>
      </c>
      <c r="S440" t="s">
        <v>5374</v>
      </c>
      <c r="T440" t="s">
        <v>1576</v>
      </c>
      <c r="U440" t="s">
        <v>6528</v>
      </c>
      <c r="V440" s="17">
        <v>45672</v>
      </c>
      <c r="W440" s="17">
        <v>45688</v>
      </c>
      <c r="X440" s="17">
        <v>45716</v>
      </c>
      <c r="Y440">
        <v>-446</v>
      </c>
      <c r="Z440">
        <v>1</v>
      </c>
      <c r="AA440">
        <v>0.93333333333333335</v>
      </c>
      <c r="AB440">
        <v>1553.6</v>
      </c>
      <c r="AC440" s="17"/>
      <c r="AD440">
        <v>45747</v>
      </c>
      <c r="AE440">
        <v>40767.050000000003</v>
      </c>
      <c r="AF440">
        <v>81534.100000000006</v>
      </c>
      <c r="AG440">
        <v>87357.964300000007</v>
      </c>
      <c r="AH440">
        <v>81534.100000000006</v>
      </c>
      <c r="AI440">
        <v>0</v>
      </c>
      <c r="AJ440">
        <v>0</v>
      </c>
      <c r="AW440">
        <v>0</v>
      </c>
      <c r="BJ440">
        <v>0</v>
      </c>
      <c r="BW440">
        <v>0</v>
      </c>
      <c r="CJ440">
        <v>81534.100000000006</v>
      </c>
      <c r="CL440">
        <v>81534.100000000006</v>
      </c>
      <c r="CW440">
        <v>0</v>
      </c>
      <c r="DJ440">
        <v>0</v>
      </c>
      <c r="DW440">
        <v>0</v>
      </c>
      <c r="EJ440">
        <v>81534.100000000006</v>
      </c>
    </row>
    <row r="441" spans="1:140" hidden="1" x14ac:dyDescent="0.35">
      <c r="A441" t="s">
        <v>3317</v>
      </c>
      <c r="B441" t="s">
        <v>249</v>
      </c>
      <c r="D441" t="s">
        <v>6534</v>
      </c>
      <c r="E441" t="s">
        <v>254</v>
      </c>
      <c r="F441" t="s">
        <v>3814</v>
      </c>
      <c r="G441" t="s">
        <v>3815</v>
      </c>
      <c r="H441" t="s">
        <v>6530</v>
      </c>
      <c r="I441" t="s">
        <v>5373</v>
      </c>
      <c r="J441" t="s">
        <v>3079</v>
      </c>
      <c r="K441" t="s">
        <v>3079</v>
      </c>
      <c r="L441" t="s">
        <v>252</v>
      </c>
      <c r="M441" t="s">
        <v>3087</v>
      </c>
      <c r="N441" t="s">
        <v>89</v>
      </c>
      <c r="O441" t="s">
        <v>3088</v>
      </c>
      <c r="P441" t="s">
        <v>3088</v>
      </c>
      <c r="Q441" t="s">
        <v>3075</v>
      </c>
      <c r="R441" t="s">
        <v>2464</v>
      </c>
      <c r="S441" t="s">
        <v>5374</v>
      </c>
      <c r="T441" t="s">
        <v>1576</v>
      </c>
      <c r="U441" t="s">
        <v>6528</v>
      </c>
      <c r="V441" s="17">
        <v>45729</v>
      </c>
      <c r="W441" s="17">
        <v>45717</v>
      </c>
      <c r="X441" s="17">
        <v>45746</v>
      </c>
      <c r="Y441">
        <v>-416</v>
      </c>
      <c r="Z441">
        <v>1</v>
      </c>
      <c r="AA441">
        <v>0.96666666666666667</v>
      </c>
      <c r="AB441">
        <v>1552.6</v>
      </c>
      <c r="AC441" s="17"/>
      <c r="AD441">
        <v>45747</v>
      </c>
      <c r="AE441">
        <v>40767.050000000003</v>
      </c>
      <c r="AF441">
        <v>81534.100000000006</v>
      </c>
      <c r="AG441">
        <v>84345.620699999999</v>
      </c>
      <c r="AH441">
        <v>81534.100000000006</v>
      </c>
      <c r="AI441">
        <v>0</v>
      </c>
      <c r="AJ441">
        <v>0</v>
      </c>
      <c r="AW441">
        <v>0</v>
      </c>
      <c r="BJ441">
        <v>0</v>
      </c>
      <c r="BW441">
        <v>0</v>
      </c>
      <c r="CJ441">
        <v>81534.100000000006</v>
      </c>
      <c r="CM441">
        <v>81534.100000000006</v>
      </c>
      <c r="CW441">
        <v>0</v>
      </c>
      <c r="DJ441">
        <v>0</v>
      </c>
      <c r="DW441">
        <v>0</v>
      </c>
      <c r="EJ441">
        <v>81534.100000000006</v>
      </c>
    </row>
    <row r="442" spans="1:140" hidden="1" x14ac:dyDescent="0.35">
      <c r="A442" t="s">
        <v>3317</v>
      </c>
      <c r="B442" t="s">
        <v>249</v>
      </c>
      <c r="D442" t="s">
        <v>6535</v>
      </c>
      <c r="E442" t="s">
        <v>914</v>
      </c>
      <c r="F442" t="s">
        <v>3818</v>
      </c>
      <c r="G442" t="s">
        <v>3819</v>
      </c>
      <c r="H442" t="s">
        <v>6536</v>
      </c>
      <c r="I442" t="s">
        <v>5368</v>
      </c>
      <c r="J442" t="s">
        <v>3079</v>
      </c>
      <c r="K442" t="s">
        <v>3079</v>
      </c>
      <c r="L442" t="s">
        <v>911</v>
      </c>
      <c r="M442" t="s">
        <v>3139</v>
      </c>
      <c r="N442" t="s">
        <v>1082</v>
      </c>
      <c r="O442" t="s">
        <v>3070</v>
      </c>
      <c r="P442">
        <v>0</v>
      </c>
      <c r="Q442" t="s">
        <v>3075</v>
      </c>
      <c r="R442">
        <v>0</v>
      </c>
      <c r="S442">
        <v>0</v>
      </c>
      <c r="T442">
        <v>0</v>
      </c>
      <c r="U442" t="s">
        <v>6537</v>
      </c>
      <c r="V442" s="17">
        <v>45184</v>
      </c>
      <c r="W442" s="17">
        <v>45195</v>
      </c>
      <c r="X442" s="17">
        <v>45317</v>
      </c>
      <c r="Y442">
        <v>-845</v>
      </c>
      <c r="Z442">
        <v>4</v>
      </c>
      <c r="AA442">
        <v>4.0666666666666664</v>
      </c>
      <c r="AB442">
        <v>1566.9</v>
      </c>
      <c r="AC442" s="17"/>
      <c r="AD442">
        <v>45747</v>
      </c>
      <c r="AE442">
        <v>41497.24</v>
      </c>
      <c r="AF442">
        <v>165988.96</v>
      </c>
      <c r="AG442">
        <v>40816.957399999999</v>
      </c>
      <c r="AH442">
        <v>165988.96</v>
      </c>
      <c r="AI442">
        <v>0</v>
      </c>
      <c r="AJ442">
        <v>0</v>
      </c>
      <c r="AW442">
        <v>0</v>
      </c>
      <c r="BJ442">
        <v>124491.72</v>
      </c>
      <c r="BT442">
        <v>41497.24</v>
      </c>
      <c r="BU442">
        <v>41497.24</v>
      </c>
      <c r="BV442">
        <v>41497.24</v>
      </c>
      <c r="BW442">
        <v>41497.24</v>
      </c>
      <c r="BX442">
        <v>41497.24</v>
      </c>
      <c r="CJ442">
        <v>0</v>
      </c>
      <c r="CW442">
        <v>0</v>
      </c>
      <c r="DJ442">
        <v>0</v>
      </c>
      <c r="DW442">
        <v>0</v>
      </c>
      <c r="EJ442">
        <v>0</v>
      </c>
    </row>
    <row r="443" spans="1:140" hidden="1" x14ac:dyDescent="0.35">
      <c r="A443" t="s">
        <v>3317</v>
      </c>
      <c r="B443" t="s">
        <v>249</v>
      </c>
      <c r="D443" t="s">
        <v>6538</v>
      </c>
      <c r="E443" t="s">
        <v>914</v>
      </c>
      <c r="F443" t="s">
        <v>3818</v>
      </c>
      <c r="G443" t="s">
        <v>3819</v>
      </c>
      <c r="H443" t="s">
        <v>6539</v>
      </c>
      <c r="I443" t="s">
        <v>5373</v>
      </c>
      <c r="J443" t="s">
        <v>3079</v>
      </c>
      <c r="K443" t="s">
        <v>3079</v>
      </c>
      <c r="L443" t="s">
        <v>911</v>
      </c>
      <c r="M443" t="s">
        <v>3139</v>
      </c>
      <c r="N443" t="s">
        <v>1082</v>
      </c>
      <c r="O443" t="s">
        <v>3070</v>
      </c>
      <c r="P443" t="s">
        <v>3747</v>
      </c>
      <c r="Q443" t="s">
        <v>3075</v>
      </c>
      <c r="R443" t="s">
        <v>1580</v>
      </c>
      <c r="S443" t="s">
        <v>5374</v>
      </c>
      <c r="T443">
        <v>0</v>
      </c>
      <c r="U443" t="s">
        <v>6540</v>
      </c>
      <c r="V443" s="17">
        <v>45320</v>
      </c>
      <c r="W443" s="17">
        <v>45317</v>
      </c>
      <c r="X443" s="17">
        <v>45377</v>
      </c>
      <c r="Y443">
        <v>-785</v>
      </c>
      <c r="Z443">
        <v>2</v>
      </c>
      <c r="AA443">
        <v>2</v>
      </c>
      <c r="AB443">
        <v>1564.9</v>
      </c>
      <c r="AC443" s="17"/>
      <c r="AD443">
        <v>45747</v>
      </c>
      <c r="AE443">
        <v>41497.24</v>
      </c>
      <c r="AF443">
        <v>82994.48</v>
      </c>
      <c r="AG443">
        <v>41497.24</v>
      </c>
      <c r="AH443">
        <v>82994.48</v>
      </c>
      <c r="AI443">
        <v>0</v>
      </c>
      <c r="AJ443">
        <v>0</v>
      </c>
      <c r="AW443">
        <v>0</v>
      </c>
      <c r="BJ443">
        <v>0</v>
      </c>
      <c r="BW443">
        <v>82994.48</v>
      </c>
      <c r="BY443">
        <v>41497.24</v>
      </c>
      <c r="BZ443">
        <v>41497.24</v>
      </c>
      <c r="CJ443">
        <v>0</v>
      </c>
      <c r="CW443">
        <v>0</v>
      </c>
      <c r="DJ443">
        <v>0</v>
      </c>
      <c r="DW443">
        <v>0</v>
      </c>
      <c r="EJ443">
        <v>0</v>
      </c>
    </row>
    <row r="444" spans="1:140" hidden="1" x14ac:dyDescent="0.35">
      <c r="A444" t="s">
        <v>3317</v>
      </c>
      <c r="B444" t="s">
        <v>249</v>
      </c>
      <c r="D444" t="s">
        <v>6541</v>
      </c>
      <c r="E444" t="s">
        <v>914</v>
      </c>
      <c r="F444" t="s">
        <v>3818</v>
      </c>
      <c r="G444" t="s">
        <v>3819</v>
      </c>
      <c r="H444" t="s">
        <v>6539</v>
      </c>
      <c r="I444" t="s">
        <v>5373</v>
      </c>
      <c r="J444" t="s">
        <v>3079</v>
      </c>
      <c r="K444" t="s">
        <v>3079</v>
      </c>
      <c r="L444" t="s">
        <v>911</v>
      </c>
      <c r="M444" t="s">
        <v>3139</v>
      </c>
      <c r="N444" t="s">
        <v>167</v>
      </c>
      <c r="O444" t="s">
        <v>3070</v>
      </c>
      <c r="P444" t="s">
        <v>3747</v>
      </c>
      <c r="Q444" t="s">
        <v>3075</v>
      </c>
      <c r="R444" t="s">
        <v>2464</v>
      </c>
      <c r="S444" t="s">
        <v>5374</v>
      </c>
      <c r="T444" t="s">
        <v>5406</v>
      </c>
      <c r="U444" t="s">
        <v>6540</v>
      </c>
      <c r="V444" s="17">
        <v>45378</v>
      </c>
      <c r="W444" s="17">
        <v>45377</v>
      </c>
      <c r="X444" s="17">
        <v>45499</v>
      </c>
      <c r="Y444">
        <v>-663</v>
      </c>
      <c r="Z444">
        <v>4</v>
      </c>
      <c r="AA444">
        <v>4.0666666666666664</v>
      </c>
      <c r="AB444">
        <v>1560.8333333333333</v>
      </c>
      <c r="AC444" s="17"/>
      <c r="AD444">
        <v>45747</v>
      </c>
      <c r="AE444">
        <v>37353.39</v>
      </c>
      <c r="AF444">
        <v>149413.56</v>
      </c>
      <c r="AG444">
        <v>36741.039299999997</v>
      </c>
      <c r="AH444">
        <v>149413.56</v>
      </c>
      <c r="AI444">
        <v>0</v>
      </c>
      <c r="AJ444">
        <v>0</v>
      </c>
      <c r="AW444">
        <v>0</v>
      </c>
      <c r="BJ444">
        <v>0</v>
      </c>
      <c r="BW444">
        <v>149413.56</v>
      </c>
      <c r="CA444">
        <v>37353.39</v>
      </c>
      <c r="CB444">
        <v>37353.39</v>
      </c>
      <c r="CC444">
        <v>37353.39</v>
      </c>
      <c r="CD444">
        <v>37353.39</v>
      </c>
      <c r="CJ444">
        <v>0</v>
      </c>
      <c r="CW444">
        <v>0</v>
      </c>
      <c r="DJ444">
        <v>0</v>
      </c>
      <c r="DW444">
        <v>0</v>
      </c>
      <c r="EJ444">
        <v>0</v>
      </c>
    </row>
    <row r="445" spans="1:140" hidden="1" x14ac:dyDescent="0.35">
      <c r="A445" t="s">
        <v>3317</v>
      </c>
      <c r="B445" t="s">
        <v>249</v>
      </c>
      <c r="D445" t="s">
        <v>6542</v>
      </c>
      <c r="E445" t="s">
        <v>914</v>
      </c>
      <c r="F445" t="s">
        <v>3818</v>
      </c>
      <c r="G445" t="s">
        <v>3819</v>
      </c>
      <c r="H445" t="s">
        <v>6539</v>
      </c>
      <c r="I445" t="s">
        <v>5373</v>
      </c>
      <c r="J445" t="s">
        <v>3079</v>
      </c>
      <c r="K445" t="s">
        <v>3079</v>
      </c>
      <c r="L445" t="s">
        <v>911</v>
      </c>
      <c r="M445" t="s">
        <v>3139</v>
      </c>
      <c r="N445" t="s">
        <v>167</v>
      </c>
      <c r="O445" t="s">
        <v>3070</v>
      </c>
      <c r="P445" t="s">
        <v>3747</v>
      </c>
      <c r="Q445" t="s">
        <v>3075</v>
      </c>
      <c r="R445" t="s">
        <v>2464</v>
      </c>
      <c r="S445" t="s">
        <v>5374</v>
      </c>
      <c r="T445" t="s">
        <v>1576</v>
      </c>
      <c r="U445" t="s">
        <v>6543</v>
      </c>
      <c r="V445" s="17">
        <v>45504</v>
      </c>
      <c r="W445" s="17">
        <v>45499</v>
      </c>
      <c r="X445" s="17">
        <v>45591</v>
      </c>
      <c r="Y445">
        <v>-571</v>
      </c>
      <c r="Z445">
        <v>3</v>
      </c>
      <c r="AA445">
        <v>3.0666666666666669</v>
      </c>
      <c r="AB445">
        <v>1557.7666666666667</v>
      </c>
      <c r="AC445" s="17"/>
      <c r="AD445">
        <v>45747</v>
      </c>
      <c r="AE445">
        <v>9597</v>
      </c>
      <c r="AF445">
        <v>28791</v>
      </c>
      <c r="AG445">
        <v>9388.3696</v>
      </c>
      <c r="AH445">
        <v>28791</v>
      </c>
      <c r="AI445">
        <v>0</v>
      </c>
      <c r="AJ445">
        <v>0</v>
      </c>
      <c r="AW445">
        <v>0</v>
      </c>
      <c r="BJ445">
        <v>0</v>
      </c>
      <c r="BW445">
        <v>28791</v>
      </c>
      <c r="CE445">
        <v>9597</v>
      </c>
      <c r="CF445">
        <v>9597</v>
      </c>
      <c r="CG445">
        <v>9597</v>
      </c>
      <c r="CJ445">
        <v>0</v>
      </c>
      <c r="CW445">
        <v>0</v>
      </c>
      <c r="DJ445">
        <v>0</v>
      </c>
      <c r="DW445">
        <v>0</v>
      </c>
      <c r="EJ445">
        <v>0</v>
      </c>
    </row>
    <row r="446" spans="1:140" hidden="1" x14ac:dyDescent="0.35">
      <c r="A446" t="s">
        <v>3317</v>
      </c>
      <c r="B446" t="s">
        <v>249</v>
      </c>
      <c r="D446" t="s">
        <v>6544</v>
      </c>
      <c r="E446" t="s">
        <v>914</v>
      </c>
      <c r="F446" t="s">
        <v>3818</v>
      </c>
      <c r="G446" t="s">
        <v>3819</v>
      </c>
      <c r="H446" t="s">
        <v>6539</v>
      </c>
      <c r="I446" t="s">
        <v>5373</v>
      </c>
      <c r="J446" t="s">
        <v>3079</v>
      </c>
      <c r="K446" t="s">
        <v>3079</v>
      </c>
      <c r="L446" t="s">
        <v>911</v>
      </c>
      <c r="M446" t="s">
        <v>3139</v>
      </c>
      <c r="N446" t="s">
        <v>167</v>
      </c>
      <c r="O446" t="s">
        <v>3070</v>
      </c>
      <c r="P446" t="s">
        <v>3747</v>
      </c>
      <c r="Q446" t="s">
        <v>3075</v>
      </c>
      <c r="R446" t="s">
        <v>2464</v>
      </c>
      <c r="S446" t="s">
        <v>5374</v>
      </c>
      <c r="T446" t="s">
        <v>1576</v>
      </c>
      <c r="U446" t="s">
        <v>6545</v>
      </c>
      <c r="V446" s="17">
        <v>45554</v>
      </c>
      <c r="W446" s="17">
        <v>45592</v>
      </c>
      <c r="X446" s="17">
        <v>45653</v>
      </c>
      <c r="Y446">
        <v>-509</v>
      </c>
      <c r="Z446">
        <v>2</v>
      </c>
      <c r="AA446">
        <v>2.0333333333333332</v>
      </c>
      <c r="AB446">
        <v>1555.7</v>
      </c>
      <c r="AC446" s="17"/>
      <c r="AD446">
        <v>45747</v>
      </c>
      <c r="AE446">
        <v>9597</v>
      </c>
      <c r="AF446">
        <v>19194</v>
      </c>
      <c r="AG446">
        <v>9439.6720999999998</v>
      </c>
      <c r="AH446">
        <v>19194</v>
      </c>
      <c r="AI446">
        <v>0</v>
      </c>
      <c r="AJ446">
        <v>0</v>
      </c>
      <c r="AW446">
        <v>0</v>
      </c>
      <c r="BJ446">
        <v>0</v>
      </c>
      <c r="BW446">
        <v>19194</v>
      </c>
      <c r="CH446">
        <v>9597</v>
      </c>
      <c r="CI446">
        <v>9597</v>
      </c>
      <c r="CJ446">
        <v>0</v>
      </c>
      <c r="CW446">
        <v>0</v>
      </c>
      <c r="DJ446">
        <v>0</v>
      </c>
      <c r="DW446">
        <v>0</v>
      </c>
      <c r="EJ446">
        <v>0</v>
      </c>
    </row>
    <row r="447" spans="1:140" hidden="1" x14ac:dyDescent="0.35">
      <c r="A447" t="s">
        <v>3317</v>
      </c>
      <c r="B447" t="s">
        <v>249</v>
      </c>
      <c r="D447" t="s">
        <v>6546</v>
      </c>
      <c r="E447" t="s">
        <v>4838</v>
      </c>
      <c r="F447" t="s">
        <v>4839</v>
      </c>
      <c r="G447" t="s">
        <v>4840</v>
      </c>
      <c r="H447" t="s">
        <v>6547</v>
      </c>
      <c r="I447" t="s">
        <v>5368</v>
      </c>
      <c r="J447" t="s">
        <v>3203</v>
      </c>
      <c r="K447" t="s">
        <v>3203</v>
      </c>
      <c r="L447" t="s">
        <v>4410</v>
      </c>
      <c r="M447" t="s">
        <v>3139</v>
      </c>
      <c r="N447" t="s">
        <v>89</v>
      </c>
      <c r="O447" t="s">
        <v>3088</v>
      </c>
      <c r="P447">
        <v>0</v>
      </c>
      <c r="Q447" t="s">
        <v>3075</v>
      </c>
      <c r="R447" t="s">
        <v>4394</v>
      </c>
      <c r="S447" t="s">
        <v>5374</v>
      </c>
      <c r="T447" t="s">
        <v>5485</v>
      </c>
      <c r="U447" t="s">
        <v>6548</v>
      </c>
      <c r="V447" s="17">
        <v>45476</v>
      </c>
      <c r="W447" s="17">
        <v>45560</v>
      </c>
      <c r="X447" s="17">
        <v>45620</v>
      </c>
      <c r="Y447">
        <v>-542</v>
      </c>
      <c r="Z447">
        <v>2</v>
      </c>
      <c r="AA447">
        <v>2</v>
      </c>
      <c r="AB447">
        <v>1556.8</v>
      </c>
      <c r="AC447" s="17"/>
      <c r="AD447">
        <v>45736</v>
      </c>
      <c r="AE447">
        <v>47500</v>
      </c>
      <c r="AF447">
        <v>95000</v>
      </c>
      <c r="AG447">
        <v>47500</v>
      </c>
      <c r="AH447">
        <v>95000</v>
      </c>
      <c r="AI447">
        <v>0</v>
      </c>
      <c r="AJ447">
        <v>0</v>
      </c>
      <c r="AW447">
        <v>0</v>
      </c>
      <c r="BJ447">
        <v>0</v>
      </c>
      <c r="BW447">
        <v>95000</v>
      </c>
      <c r="CD447">
        <v>57000</v>
      </c>
      <c r="CE447">
        <v>38000</v>
      </c>
      <c r="CJ447">
        <v>0</v>
      </c>
      <c r="CW447">
        <v>0</v>
      </c>
      <c r="DJ447">
        <v>0</v>
      </c>
      <c r="DW447">
        <v>0</v>
      </c>
      <c r="EJ447">
        <v>0</v>
      </c>
    </row>
    <row r="448" spans="1:140" hidden="1" x14ac:dyDescent="0.35">
      <c r="A448" t="s">
        <v>3317</v>
      </c>
      <c r="B448" t="s">
        <v>249</v>
      </c>
      <c r="E448" t="s">
        <v>3822</v>
      </c>
      <c r="F448" t="s">
        <v>3823</v>
      </c>
      <c r="G448" t="s">
        <v>3822</v>
      </c>
      <c r="H448" t="s">
        <v>6549</v>
      </c>
      <c r="I448" t="s">
        <v>5368</v>
      </c>
      <c r="J448" t="s">
        <v>249</v>
      </c>
      <c r="L448" t="s">
        <v>249</v>
      </c>
      <c r="M448" t="s">
        <v>249</v>
      </c>
      <c r="N448" t="s">
        <v>249</v>
      </c>
      <c r="O448" t="s">
        <v>249</v>
      </c>
      <c r="P448" t="s">
        <v>249</v>
      </c>
      <c r="Q448" t="s">
        <v>249</v>
      </c>
      <c r="R448" t="s">
        <v>249</v>
      </c>
      <c r="S448" t="s">
        <v>249</v>
      </c>
      <c r="T448" t="s">
        <v>249</v>
      </c>
      <c r="U448" t="s">
        <v>249</v>
      </c>
      <c r="V448" s="17"/>
      <c r="W448" s="17"/>
      <c r="X448" s="17"/>
      <c r="Y448">
        <v>-46162</v>
      </c>
      <c r="AA448">
        <v>0</v>
      </c>
      <c r="AB448">
        <v>3077.4666666666667</v>
      </c>
      <c r="AC448" s="17"/>
      <c r="AH448">
        <v>0</v>
      </c>
      <c r="AJ448">
        <v>0</v>
      </c>
      <c r="AW448">
        <v>0</v>
      </c>
      <c r="BJ448">
        <v>0</v>
      </c>
      <c r="BW448">
        <v>0</v>
      </c>
      <c r="CJ448">
        <v>0</v>
      </c>
      <c r="CW448">
        <v>0</v>
      </c>
      <c r="DJ448">
        <v>0</v>
      </c>
      <c r="DW448">
        <v>0</v>
      </c>
      <c r="EJ448">
        <v>0</v>
      </c>
    </row>
    <row r="449" spans="1:140" hidden="1" x14ac:dyDescent="0.35">
      <c r="A449" t="s">
        <v>3317</v>
      </c>
      <c r="B449" t="s">
        <v>249</v>
      </c>
      <c r="D449" t="s">
        <v>6550</v>
      </c>
      <c r="E449" t="s">
        <v>4843</v>
      </c>
      <c r="F449" t="s">
        <v>4844</v>
      </c>
      <c r="G449" t="s">
        <v>4845</v>
      </c>
      <c r="H449" t="s">
        <v>6551</v>
      </c>
      <c r="I449" t="s">
        <v>5368</v>
      </c>
      <c r="J449" t="s">
        <v>3203</v>
      </c>
      <c r="K449" t="s">
        <v>3203</v>
      </c>
      <c r="L449" t="s">
        <v>357</v>
      </c>
      <c r="M449" t="s">
        <v>3088</v>
      </c>
      <c r="N449" t="s">
        <v>357</v>
      </c>
      <c r="O449" t="s">
        <v>3088</v>
      </c>
      <c r="P449">
        <v>0</v>
      </c>
      <c r="Q449" t="s">
        <v>3852</v>
      </c>
      <c r="R449" t="s">
        <v>4394</v>
      </c>
      <c r="S449" t="s">
        <v>5452</v>
      </c>
      <c r="T449" t="s">
        <v>5485</v>
      </c>
      <c r="U449" t="s">
        <v>6552</v>
      </c>
      <c r="V449" s="17">
        <v>45475</v>
      </c>
      <c r="W449" s="17">
        <v>45481</v>
      </c>
      <c r="X449" s="17">
        <v>46150</v>
      </c>
      <c r="Y449">
        <v>-12</v>
      </c>
      <c r="Z449">
        <v>17</v>
      </c>
      <c r="AA449">
        <v>22.3</v>
      </c>
      <c r="AB449">
        <v>1539.1333333333334</v>
      </c>
      <c r="AC449" s="17"/>
      <c r="AD449">
        <v>45767</v>
      </c>
      <c r="AE449">
        <v>36113.949999999997</v>
      </c>
      <c r="AF449">
        <v>613937.15</v>
      </c>
      <c r="AG449">
        <v>27530.813900000001</v>
      </c>
      <c r="AH449">
        <v>613937.1</v>
      </c>
      <c r="AI449">
        <v>-0.05</v>
      </c>
      <c r="AJ449">
        <v>0</v>
      </c>
      <c r="AW449">
        <v>0</v>
      </c>
      <c r="BJ449">
        <v>0</v>
      </c>
      <c r="BW449">
        <v>165699.6</v>
      </c>
      <c r="CE449">
        <v>80339.199999999997</v>
      </c>
      <c r="CF449">
        <v>85360.4</v>
      </c>
      <c r="CJ449">
        <v>298825</v>
      </c>
      <c r="CM449">
        <v>29882.5</v>
      </c>
      <c r="CN449">
        <v>29882.5</v>
      </c>
      <c r="CO449">
        <v>29882.5</v>
      </c>
      <c r="CP449">
        <v>29882.5</v>
      </c>
      <c r="CQ449">
        <v>29882.5</v>
      </c>
      <c r="CR449">
        <v>29882.5</v>
      </c>
      <c r="CS449">
        <v>29882.5</v>
      </c>
      <c r="CT449">
        <v>29882.5</v>
      </c>
      <c r="CU449">
        <v>29882.5</v>
      </c>
      <c r="CV449">
        <v>29882.5</v>
      </c>
      <c r="CW449">
        <v>149412</v>
      </c>
      <c r="CX449">
        <v>29882.5</v>
      </c>
      <c r="CY449">
        <v>29882.5</v>
      </c>
      <c r="CZ449">
        <v>29882.5</v>
      </c>
      <c r="DA449">
        <v>29882.5</v>
      </c>
      <c r="DB449">
        <v>29882.5</v>
      </c>
      <c r="DJ449">
        <v>0</v>
      </c>
      <c r="DW449">
        <v>0</v>
      </c>
      <c r="EJ449">
        <v>448237</v>
      </c>
    </row>
    <row r="450" spans="1:140" hidden="1" x14ac:dyDescent="0.35">
      <c r="A450" t="s">
        <v>3317</v>
      </c>
      <c r="B450" t="s">
        <v>249</v>
      </c>
      <c r="D450" t="s">
        <v>6553</v>
      </c>
      <c r="E450" t="s">
        <v>4848</v>
      </c>
      <c r="F450" t="s">
        <v>4849</v>
      </c>
      <c r="G450" t="s">
        <v>4850</v>
      </c>
      <c r="H450" t="s">
        <v>6554</v>
      </c>
      <c r="I450" t="s">
        <v>5368</v>
      </c>
      <c r="J450" t="s">
        <v>3203</v>
      </c>
      <c r="K450" t="s">
        <v>3203</v>
      </c>
      <c r="L450" t="s">
        <v>4478</v>
      </c>
      <c r="M450" t="s">
        <v>3139</v>
      </c>
      <c r="N450" t="s">
        <v>89</v>
      </c>
      <c r="O450" t="s">
        <v>3088</v>
      </c>
      <c r="P450">
        <v>0</v>
      </c>
      <c r="Q450" t="s">
        <v>3075</v>
      </c>
      <c r="R450" t="s">
        <v>4394</v>
      </c>
      <c r="S450" t="s">
        <v>5374</v>
      </c>
      <c r="T450" t="s">
        <v>5485</v>
      </c>
      <c r="U450" t="s">
        <v>6555</v>
      </c>
      <c r="V450" s="17">
        <v>45538</v>
      </c>
      <c r="W450" s="17">
        <v>45580</v>
      </c>
      <c r="X450" s="17">
        <v>45615</v>
      </c>
      <c r="Y450">
        <v>-547</v>
      </c>
      <c r="Z450">
        <v>1</v>
      </c>
      <c r="AA450">
        <v>1.1666666666666667</v>
      </c>
      <c r="AB450">
        <v>1556.9666666666667</v>
      </c>
      <c r="AC450" s="17"/>
      <c r="AD450">
        <v>45767</v>
      </c>
      <c r="AE450">
        <v>63478</v>
      </c>
      <c r="AF450">
        <v>63478</v>
      </c>
      <c r="AG450">
        <v>54409.7143</v>
      </c>
      <c r="AH450">
        <v>63478</v>
      </c>
      <c r="AI450">
        <v>0</v>
      </c>
      <c r="AJ450">
        <v>0</v>
      </c>
      <c r="AW450">
        <v>0</v>
      </c>
      <c r="BJ450">
        <v>0</v>
      </c>
      <c r="BW450">
        <v>63478</v>
      </c>
      <c r="CF450">
        <v>44434.6</v>
      </c>
      <c r="CG450">
        <v>19043</v>
      </c>
      <c r="CJ450">
        <v>0</v>
      </c>
      <c r="CW450">
        <v>0</v>
      </c>
      <c r="DJ450">
        <v>0</v>
      </c>
      <c r="DW450">
        <v>0</v>
      </c>
      <c r="EJ450">
        <v>0</v>
      </c>
    </row>
    <row r="451" spans="1:140" hidden="1" x14ac:dyDescent="0.35">
      <c r="A451" t="s">
        <v>3317</v>
      </c>
      <c r="B451" t="s">
        <v>249</v>
      </c>
      <c r="D451" t="s">
        <v>6556</v>
      </c>
      <c r="E451" t="s">
        <v>4848</v>
      </c>
      <c r="F451" t="s">
        <v>4849</v>
      </c>
      <c r="G451" t="s">
        <v>4850</v>
      </c>
      <c r="H451" t="s">
        <v>6557</v>
      </c>
      <c r="I451" t="s">
        <v>5373</v>
      </c>
      <c r="J451" t="s">
        <v>3203</v>
      </c>
      <c r="K451" t="s">
        <v>3203</v>
      </c>
      <c r="L451" t="s">
        <v>4478</v>
      </c>
      <c r="M451" t="s">
        <v>3139</v>
      </c>
      <c r="N451" t="s">
        <v>89</v>
      </c>
      <c r="O451" t="s">
        <v>3088</v>
      </c>
      <c r="P451" t="s">
        <v>3088</v>
      </c>
      <c r="Q451" t="s">
        <v>3075</v>
      </c>
      <c r="R451" t="s">
        <v>4394</v>
      </c>
      <c r="S451" t="s">
        <v>5374</v>
      </c>
      <c r="T451" t="s">
        <v>1576</v>
      </c>
      <c r="U451" t="s">
        <v>6555</v>
      </c>
      <c r="V451" s="17">
        <v>45702</v>
      </c>
      <c r="W451" s="17">
        <v>45702</v>
      </c>
      <c r="X451" s="17">
        <v>45733</v>
      </c>
      <c r="Y451">
        <v>-429</v>
      </c>
      <c r="Z451">
        <v>1</v>
      </c>
      <c r="AA451">
        <v>1.0333333333333334</v>
      </c>
      <c r="AB451">
        <v>1553.0333333333333</v>
      </c>
      <c r="AC451" s="17"/>
      <c r="AD451">
        <v>45767</v>
      </c>
      <c r="AE451">
        <v>45619.199999999997</v>
      </c>
      <c r="AF451">
        <v>45619.199999999997</v>
      </c>
      <c r="AG451">
        <v>44147.6129</v>
      </c>
      <c r="AH451">
        <v>45619.199999999997</v>
      </c>
      <c r="AI451">
        <v>0</v>
      </c>
      <c r="AJ451">
        <v>0</v>
      </c>
      <c r="AW451">
        <v>0</v>
      </c>
      <c r="BJ451">
        <v>0</v>
      </c>
      <c r="BW451">
        <v>0</v>
      </c>
      <c r="CJ451">
        <v>45619.199999999997</v>
      </c>
      <c r="CM451">
        <v>45619.199999999997</v>
      </c>
      <c r="CW451">
        <v>0</v>
      </c>
      <c r="DJ451">
        <v>0</v>
      </c>
      <c r="DW451">
        <v>0</v>
      </c>
      <c r="EJ451">
        <v>45619.199999999997</v>
      </c>
    </row>
    <row r="452" spans="1:140" hidden="1" x14ac:dyDescent="0.35">
      <c r="A452" t="s">
        <v>3317</v>
      </c>
      <c r="B452" t="s">
        <v>249</v>
      </c>
      <c r="D452" t="s">
        <v>6558</v>
      </c>
      <c r="E452" t="s">
        <v>4853</v>
      </c>
      <c r="F452" t="s">
        <v>4854</v>
      </c>
      <c r="G452" t="s">
        <v>4855</v>
      </c>
      <c r="H452" t="s">
        <v>6559</v>
      </c>
      <c r="I452" t="s">
        <v>5368</v>
      </c>
      <c r="J452" t="s">
        <v>3203</v>
      </c>
      <c r="K452" t="s">
        <v>3203</v>
      </c>
      <c r="L452" t="s">
        <v>132</v>
      </c>
      <c r="M452" t="s">
        <v>3997</v>
      </c>
      <c r="N452" t="s">
        <v>132</v>
      </c>
      <c r="O452" t="s">
        <v>3070</v>
      </c>
      <c r="P452">
        <v>0</v>
      </c>
      <c r="Q452" t="s">
        <v>3852</v>
      </c>
      <c r="R452" t="s">
        <v>4394</v>
      </c>
      <c r="S452" t="s">
        <v>5374</v>
      </c>
      <c r="T452" t="s">
        <v>1576</v>
      </c>
      <c r="U452" t="s">
        <v>6560</v>
      </c>
      <c r="V452" s="17">
        <v>45604</v>
      </c>
      <c r="W452" s="17">
        <v>45604</v>
      </c>
      <c r="X452" s="17">
        <v>45681</v>
      </c>
      <c r="Y452">
        <v>-481</v>
      </c>
      <c r="Z452">
        <v>2</v>
      </c>
      <c r="AA452">
        <v>2.5666666666666669</v>
      </c>
      <c r="AB452">
        <v>1554.7666666666667</v>
      </c>
      <c r="AC452" s="17"/>
      <c r="AD452">
        <v>45767</v>
      </c>
      <c r="AE452">
        <v>125513.86</v>
      </c>
      <c r="AF452">
        <v>251027.72</v>
      </c>
      <c r="AG452">
        <v>97803.007800000007</v>
      </c>
      <c r="AH452">
        <v>251027.71</v>
      </c>
      <c r="AI452">
        <v>-0.01</v>
      </c>
      <c r="AJ452">
        <v>0</v>
      </c>
      <c r="AW452">
        <v>0</v>
      </c>
      <c r="BJ452">
        <v>0</v>
      </c>
      <c r="BW452">
        <v>150616.63</v>
      </c>
      <c r="CI452">
        <v>150616.63</v>
      </c>
      <c r="CJ452">
        <v>100411.08</v>
      </c>
      <c r="CK452">
        <v>100411.08</v>
      </c>
      <c r="CW452">
        <v>0</v>
      </c>
      <c r="DJ452">
        <v>0</v>
      </c>
      <c r="DW452">
        <v>0</v>
      </c>
      <c r="EJ452">
        <v>100411.08</v>
      </c>
    </row>
    <row r="453" spans="1:140" hidden="1" x14ac:dyDescent="0.35">
      <c r="A453" t="s">
        <v>3317</v>
      </c>
      <c r="B453" t="s">
        <v>249</v>
      </c>
      <c r="D453" t="s">
        <v>6561</v>
      </c>
      <c r="E453" t="s">
        <v>4858</v>
      </c>
      <c r="F453" t="s">
        <v>4859</v>
      </c>
      <c r="G453" t="s">
        <v>4860</v>
      </c>
      <c r="H453" t="s">
        <v>6562</v>
      </c>
      <c r="I453" t="s">
        <v>5368</v>
      </c>
      <c r="J453" t="s">
        <v>3203</v>
      </c>
      <c r="K453" t="s">
        <v>3203</v>
      </c>
      <c r="L453" t="s">
        <v>132</v>
      </c>
      <c r="M453" t="s">
        <v>3997</v>
      </c>
      <c r="N453" t="s">
        <v>132</v>
      </c>
      <c r="O453" t="s">
        <v>3070</v>
      </c>
      <c r="P453" t="s">
        <v>3879</v>
      </c>
      <c r="Q453" t="s">
        <v>3852</v>
      </c>
      <c r="R453" t="s">
        <v>4394</v>
      </c>
      <c r="S453" t="s">
        <v>5374</v>
      </c>
      <c r="T453" t="s">
        <v>1576</v>
      </c>
      <c r="U453" t="s">
        <v>6563</v>
      </c>
      <c r="V453" s="17">
        <v>45666</v>
      </c>
      <c r="W453" s="17">
        <v>45666</v>
      </c>
      <c r="X453" s="17">
        <v>45756</v>
      </c>
      <c r="Y453">
        <v>-406</v>
      </c>
      <c r="Z453">
        <v>3</v>
      </c>
      <c r="AA453">
        <v>3</v>
      </c>
      <c r="AB453">
        <v>1552.2666666666667</v>
      </c>
      <c r="AC453" s="17"/>
      <c r="AD453">
        <v>45767</v>
      </c>
      <c r="AE453">
        <v>130000</v>
      </c>
      <c r="AF453">
        <v>390000</v>
      </c>
      <c r="AG453">
        <v>130000</v>
      </c>
      <c r="AH453">
        <v>390000</v>
      </c>
      <c r="AI453">
        <v>0</v>
      </c>
      <c r="AJ453">
        <v>0</v>
      </c>
      <c r="AW453">
        <v>0</v>
      </c>
      <c r="BJ453">
        <v>0</v>
      </c>
      <c r="BW453">
        <v>0</v>
      </c>
      <c r="CJ453">
        <v>390000</v>
      </c>
      <c r="CM453">
        <v>196800</v>
      </c>
      <c r="CN453">
        <v>168400</v>
      </c>
      <c r="CO453">
        <v>24800</v>
      </c>
      <c r="CW453">
        <v>0</v>
      </c>
      <c r="DJ453">
        <v>0</v>
      </c>
      <c r="DW453">
        <v>0</v>
      </c>
      <c r="EJ453">
        <v>390000</v>
      </c>
    </row>
    <row r="454" spans="1:140" hidden="1" x14ac:dyDescent="0.35">
      <c r="A454" t="s">
        <v>3317</v>
      </c>
      <c r="B454" t="s">
        <v>249</v>
      </c>
      <c r="D454" t="s">
        <v>6564</v>
      </c>
      <c r="E454" t="s">
        <v>4863</v>
      </c>
      <c r="F454" t="s">
        <v>4864</v>
      </c>
      <c r="G454" t="s">
        <v>4865</v>
      </c>
      <c r="H454" t="s">
        <v>6565</v>
      </c>
      <c r="I454" t="s">
        <v>5368</v>
      </c>
      <c r="J454" t="s">
        <v>3203</v>
      </c>
      <c r="K454" t="s">
        <v>3203</v>
      </c>
      <c r="L454" t="s">
        <v>4703</v>
      </c>
      <c r="M454" t="s">
        <v>3088</v>
      </c>
      <c r="N454" t="s">
        <v>89</v>
      </c>
      <c r="O454" t="s">
        <v>3088</v>
      </c>
      <c r="P454" t="s">
        <v>3088</v>
      </c>
      <c r="Q454" t="s">
        <v>3075</v>
      </c>
      <c r="R454" t="s">
        <v>4394</v>
      </c>
      <c r="S454" t="s">
        <v>5374</v>
      </c>
      <c r="T454" t="s">
        <v>1576</v>
      </c>
      <c r="U454" t="s">
        <v>6566</v>
      </c>
      <c r="V454" s="17">
        <v>45678</v>
      </c>
      <c r="W454" s="17">
        <v>45762</v>
      </c>
      <c r="X454" s="17">
        <v>45823</v>
      </c>
      <c r="Y454">
        <v>-339</v>
      </c>
      <c r="Z454">
        <v>2</v>
      </c>
      <c r="AA454">
        <v>2.0333333333333332</v>
      </c>
      <c r="AB454">
        <v>1550.0333333333333</v>
      </c>
      <c r="AC454" s="17"/>
      <c r="AD454">
        <v>45767</v>
      </c>
      <c r="AE454">
        <v>60192</v>
      </c>
      <c r="AF454">
        <v>120384</v>
      </c>
      <c r="AG454">
        <v>59205.245900000002</v>
      </c>
      <c r="AH454">
        <v>120384</v>
      </c>
      <c r="AI454">
        <v>0</v>
      </c>
      <c r="AJ454">
        <v>0</v>
      </c>
      <c r="AW454">
        <v>0</v>
      </c>
      <c r="BJ454">
        <v>0</v>
      </c>
      <c r="BW454">
        <v>0</v>
      </c>
      <c r="CJ454">
        <v>120384</v>
      </c>
      <c r="CL454">
        <v>5913.6</v>
      </c>
      <c r="CM454">
        <v>80889.600000000006</v>
      </c>
      <c r="CN454">
        <v>33580.800000000003</v>
      </c>
      <c r="CW454">
        <v>0</v>
      </c>
      <c r="DJ454">
        <v>0</v>
      </c>
      <c r="DW454">
        <v>0</v>
      </c>
      <c r="EJ454">
        <v>120384</v>
      </c>
    </row>
    <row r="455" spans="1:140" hidden="1" x14ac:dyDescent="0.35">
      <c r="A455" t="s">
        <v>3317</v>
      </c>
      <c r="B455" t="s">
        <v>249</v>
      </c>
      <c r="D455" t="s">
        <v>6567</v>
      </c>
      <c r="E455" t="s">
        <v>236</v>
      </c>
      <c r="F455" t="s">
        <v>3835</v>
      </c>
      <c r="G455" t="s">
        <v>3836</v>
      </c>
      <c r="H455" t="s">
        <v>6568</v>
      </c>
      <c r="I455" t="s">
        <v>5368</v>
      </c>
      <c r="J455" t="s">
        <v>3079</v>
      </c>
      <c r="K455" t="s">
        <v>3079</v>
      </c>
      <c r="L455" t="s">
        <v>235</v>
      </c>
      <c r="M455" t="s">
        <v>3139</v>
      </c>
      <c r="N455" t="s">
        <v>227</v>
      </c>
      <c r="O455" t="s">
        <v>3366</v>
      </c>
      <c r="P455" t="s">
        <v>3249</v>
      </c>
      <c r="Q455" t="s">
        <v>3075</v>
      </c>
      <c r="R455" t="s">
        <v>2464</v>
      </c>
      <c r="S455" t="s">
        <v>5374</v>
      </c>
      <c r="T455" t="s">
        <v>1576</v>
      </c>
      <c r="U455" t="s">
        <v>6569</v>
      </c>
      <c r="V455" s="17">
        <v>45678</v>
      </c>
      <c r="W455" s="17">
        <v>45700</v>
      </c>
      <c r="X455" s="17">
        <v>45788</v>
      </c>
      <c r="Y455">
        <v>-374</v>
      </c>
      <c r="Z455">
        <v>3</v>
      </c>
      <c r="AA455">
        <v>2.9333333333333331</v>
      </c>
      <c r="AB455">
        <v>1551.2</v>
      </c>
      <c r="AC455" s="17"/>
      <c r="AD455">
        <v>45800</v>
      </c>
      <c r="AE455">
        <v>41106.35</v>
      </c>
      <c r="AF455">
        <v>179719.05</v>
      </c>
      <c r="AG455">
        <v>61267.858</v>
      </c>
      <c r="AH455">
        <v>179719.04000000001</v>
      </c>
      <c r="AI455">
        <v>-0.01</v>
      </c>
      <c r="AJ455">
        <v>0</v>
      </c>
      <c r="AW455">
        <v>0</v>
      </c>
      <c r="BJ455">
        <v>0</v>
      </c>
      <c r="BW455">
        <v>0</v>
      </c>
      <c r="CJ455">
        <v>179719.04000000001</v>
      </c>
      <c r="CL455">
        <v>44929.760000000002</v>
      </c>
      <c r="CM455">
        <v>44929.760000000002</v>
      </c>
      <c r="CN455">
        <v>44929.760000000002</v>
      </c>
      <c r="CO455">
        <v>44929.760000000002</v>
      </c>
      <c r="CW455">
        <v>0</v>
      </c>
      <c r="DJ455">
        <v>0</v>
      </c>
      <c r="DW455">
        <v>0</v>
      </c>
      <c r="EJ455">
        <v>179719.04000000001</v>
      </c>
    </row>
    <row r="456" spans="1:140" hidden="1" x14ac:dyDescent="0.35">
      <c r="A456" t="s">
        <v>3317</v>
      </c>
      <c r="B456" t="s">
        <v>249</v>
      </c>
      <c r="D456" t="s">
        <v>6570</v>
      </c>
      <c r="E456" t="s">
        <v>3828</v>
      </c>
      <c r="F456" t="s">
        <v>3829</v>
      </c>
      <c r="G456" t="s">
        <v>3830</v>
      </c>
      <c r="H456" t="s">
        <v>6571</v>
      </c>
      <c r="I456" t="s">
        <v>5368</v>
      </c>
      <c r="J456" t="s">
        <v>3696</v>
      </c>
      <c r="K456" t="s">
        <v>3696</v>
      </c>
      <c r="L456" t="s">
        <v>3831</v>
      </c>
      <c r="M456" t="s">
        <v>3832</v>
      </c>
      <c r="N456" t="s">
        <v>3831</v>
      </c>
      <c r="O456" t="s">
        <v>3832</v>
      </c>
      <c r="P456">
        <v>0</v>
      </c>
      <c r="Q456" t="s">
        <v>3075</v>
      </c>
      <c r="R456" t="s">
        <v>2464</v>
      </c>
      <c r="S456" t="s">
        <v>5452</v>
      </c>
      <c r="T456" t="s">
        <v>1576</v>
      </c>
      <c r="U456" t="s">
        <v>6572</v>
      </c>
      <c r="V456" s="17">
        <v>45607</v>
      </c>
      <c r="W456" s="17">
        <v>45625</v>
      </c>
      <c r="X456" s="17">
        <v>45686</v>
      </c>
      <c r="Y456">
        <v>-476</v>
      </c>
      <c r="Z456">
        <v>2</v>
      </c>
      <c r="AA456">
        <v>2.0333333333333332</v>
      </c>
      <c r="AB456">
        <v>1554.6</v>
      </c>
      <c r="AC456" s="17"/>
      <c r="AD456">
        <v>45777</v>
      </c>
      <c r="AE456">
        <v>30986.43</v>
      </c>
      <c r="AF456">
        <v>61972.86</v>
      </c>
      <c r="AG456">
        <v>30478.455699999999</v>
      </c>
      <c r="AH456">
        <v>61972.85</v>
      </c>
      <c r="AI456">
        <v>-0.01</v>
      </c>
      <c r="AJ456">
        <v>0</v>
      </c>
      <c r="AW456">
        <v>0</v>
      </c>
      <c r="BJ456">
        <v>0</v>
      </c>
      <c r="BW456">
        <v>12394.57</v>
      </c>
      <c r="CI456">
        <v>12394.57</v>
      </c>
      <c r="CJ456">
        <v>49578.28</v>
      </c>
      <c r="CK456">
        <v>12394.57</v>
      </c>
      <c r="CL456">
        <v>12394.57</v>
      </c>
      <c r="CM456">
        <v>12394.57</v>
      </c>
      <c r="CN456">
        <v>12394.57</v>
      </c>
      <c r="CW456">
        <v>0</v>
      </c>
      <c r="DJ456">
        <v>0</v>
      </c>
      <c r="DW456">
        <v>0</v>
      </c>
      <c r="EJ456">
        <v>49578.28</v>
      </c>
    </row>
    <row r="457" spans="1:140" hidden="1" x14ac:dyDescent="0.35">
      <c r="A457" t="s">
        <v>3317</v>
      </c>
      <c r="B457" t="s">
        <v>249</v>
      </c>
      <c r="D457" t="s">
        <v>6573</v>
      </c>
      <c r="E457" t="s">
        <v>274</v>
      </c>
      <c r="F457" t="s">
        <v>4868</v>
      </c>
      <c r="G457" t="s">
        <v>4869</v>
      </c>
      <c r="H457" t="s">
        <v>6574</v>
      </c>
      <c r="I457" t="s">
        <v>6123</v>
      </c>
      <c r="J457" t="s">
        <v>3203</v>
      </c>
      <c r="K457" t="s">
        <v>3203</v>
      </c>
      <c r="L457" t="s">
        <v>132</v>
      </c>
      <c r="M457" t="s">
        <v>3997</v>
      </c>
      <c r="N457" t="s">
        <v>132</v>
      </c>
      <c r="O457" t="s">
        <v>3070</v>
      </c>
      <c r="P457" t="s">
        <v>3879</v>
      </c>
      <c r="Q457" t="s">
        <v>3852</v>
      </c>
      <c r="R457" t="s">
        <v>4394</v>
      </c>
      <c r="S457" t="s">
        <v>5374</v>
      </c>
      <c r="T457" t="s">
        <v>1576</v>
      </c>
      <c r="U457" t="s">
        <v>6575</v>
      </c>
      <c r="V457" s="17">
        <v>45705</v>
      </c>
      <c r="W457" s="17">
        <v>45705</v>
      </c>
      <c r="X457" s="17">
        <v>45794</v>
      </c>
      <c r="Y457">
        <v>-368</v>
      </c>
      <c r="Z457">
        <v>3</v>
      </c>
      <c r="AA457">
        <v>2.9666666666666668</v>
      </c>
      <c r="AB457">
        <v>1551</v>
      </c>
      <c r="AC457" s="17"/>
      <c r="AD457">
        <v>45797</v>
      </c>
      <c r="AE457">
        <v>119626.64</v>
      </c>
      <c r="AF457">
        <v>358879.92</v>
      </c>
      <c r="AG457">
        <v>120970.7596</v>
      </c>
      <c r="AH457">
        <v>358879.91</v>
      </c>
      <c r="AI457">
        <v>-0.01</v>
      </c>
      <c r="AJ457">
        <v>0</v>
      </c>
      <c r="AW457">
        <v>0</v>
      </c>
      <c r="BJ457">
        <v>0</v>
      </c>
      <c r="BW457">
        <v>0</v>
      </c>
      <c r="CJ457">
        <v>358879.91</v>
      </c>
      <c r="CM457">
        <v>198085.302</v>
      </c>
      <c r="CN457">
        <v>130625.408</v>
      </c>
      <c r="CO457">
        <v>30169.200000000001</v>
      </c>
      <c r="CW457">
        <v>0</v>
      </c>
      <c r="DJ457">
        <v>0</v>
      </c>
      <c r="DW457">
        <v>0</v>
      </c>
      <c r="EJ457">
        <v>358879.91</v>
      </c>
    </row>
    <row r="458" spans="1:140" hidden="1" x14ac:dyDescent="0.35">
      <c r="A458" t="s">
        <v>3317</v>
      </c>
      <c r="B458" t="s">
        <v>249</v>
      </c>
      <c r="D458" t="s">
        <v>6576</v>
      </c>
      <c r="E458" t="s">
        <v>352</v>
      </c>
      <c r="F458" t="s">
        <v>3839</v>
      </c>
      <c r="G458" t="s">
        <v>3840</v>
      </c>
      <c r="H458" t="s">
        <v>6577</v>
      </c>
      <c r="I458" t="s">
        <v>5373</v>
      </c>
      <c r="J458" t="s">
        <v>3071</v>
      </c>
      <c r="K458" t="s">
        <v>3071</v>
      </c>
      <c r="L458" t="s">
        <v>98</v>
      </c>
      <c r="M458" t="s">
        <v>3087</v>
      </c>
      <c r="N458" t="s">
        <v>89</v>
      </c>
      <c r="O458" t="s">
        <v>3088</v>
      </c>
      <c r="P458">
        <v>0</v>
      </c>
      <c r="Q458" t="s">
        <v>3075</v>
      </c>
      <c r="R458" t="s">
        <v>1580</v>
      </c>
      <c r="S458" t="s">
        <v>5374</v>
      </c>
      <c r="T458">
        <v>0</v>
      </c>
      <c r="U458" t="s">
        <v>6578</v>
      </c>
      <c r="V458" s="17">
        <v>45260</v>
      </c>
      <c r="W458" s="17">
        <v>45275</v>
      </c>
      <c r="X458" s="17">
        <v>45818</v>
      </c>
      <c r="Y458">
        <v>-344</v>
      </c>
      <c r="Z458">
        <v>18</v>
      </c>
      <c r="AA458">
        <v>18.100000000000001</v>
      </c>
      <c r="AB458">
        <v>1550.2</v>
      </c>
      <c r="AC458" s="17"/>
      <c r="AD458">
        <v>45793</v>
      </c>
      <c r="AE458">
        <v>36222.125</v>
      </c>
      <c r="AF458">
        <v>1303996.5</v>
      </c>
      <c r="AG458">
        <v>72044.005499999999</v>
      </c>
      <c r="AH458">
        <v>1303996.5</v>
      </c>
      <c r="AI458">
        <v>0</v>
      </c>
      <c r="AJ458">
        <v>0</v>
      </c>
      <c r="AW458">
        <v>0</v>
      </c>
      <c r="BJ458">
        <v>0</v>
      </c>
      <c r="BW458">
        <v>869331</v>
      </c>
      <c r="BX458">
        <v>72444.25</v>
      </c>
      <c r="BY458">
        <v>72444.25</v>
      </c>
      <c r="BZ458">
        <v>72444.25</v>
      </c>
      <c r="CA458">
        <v>72444.25</v>
      </c>
      <c r="CB458">
        <v>72444.25</v>
      </c>
      <c r="CC458">
        <v>72444.25</v>
      </c>
      <c r="CD458">
        <v>72444.25</v>
      </c>
      <c r="CE458">
        <v>72444.25</v>
      </c>
      <c r="CF458">
        <v>72444.25</v>
      </c>
      <c r="CG458">
        <v>72444</v>
      </c>
      <c r="CH458">
        <v>72444.25</v>
      </c>
      <c r="CI458">
        <v>72444.25</v>
      </c>
      <c r="CJ458">
        <v>434665.5</v>
      </c>
      <c r="CK458">
        <v>72444.25</v>
      </c>
      <c r="CL458">
        <v>72444.25</v>
      </c>
      <c r="CM458">
        <v>72444.25</v>
      </c>
      <c r="CN458">
        <v>72444.25</v>
      </c>
      <c r="CO458">
        <v>72444.25</v>
      </c>
      <c r="CP458">
        <v>72444.25</v>
      </c>
      <c r="CW458">
        <v>0</v>
      </c>
      <c r="DJ458">
        <v>0</v>
      </c>
      <c r="DW458">
        <v>0</v>
      </c>
      <c r="EJ458">
        <v>434665.5</v>
      </c>
    </row>
    <row r="459" spans="1:140" hidden="1" x14ac:dyDescent="0.35">
      <c r="A459" t="s">
        <v>3317</v>
      </c>
      <c r="B459" t="s">
        <v>249</v>
      </c>
      <c r="D459" t="s">
        <v>6579</v>
      </c>
      <c r="E459" t="s">
        <v>987</v>
      </c>
      <c r="F459" t="s">
        <v>3843</v>
      </c>
      <c r="G459" t="s">
        <v>3844</v>
      </c>
      <c r="H459" t="s">
        <v>6580</v>
      </c>
      <c r="I459" t="s">
        <v>5368</v>
      </c>
      <c r="J459" t="s">
        <v>3071</v>
      </c>
      <c r="K459" t="s">
        <v>3071</v>
      </c>
      <c r="L459" t="s">
        <v>897</v>
      </c>
      <c r="M459" t="s">
        <v>3180</v>
      </c>
      <c r="N459" t="s">
        <v>89</v>
      </c>
      <c r="O459" t="s">
        <v>3088</v>
      </c>
      <c r="P459">
        <v>0</v>
      </c>
      <c r="Q459" t="s">
        <v>3075</v>
      </c>
      <c r="R459" t="s">
        <v>2513</v>
      </c>
      <c r="S459" t="s">
        <v>5374</v>
      </c>
      <c r="T459">
        <v>0</v>
      </c>
      <c r="U459" t="s">
        <v>6581</v>
      </c>
      <c r="V459" s="17">
        <v>45412</v>
      </c>
      <c r="W459" s="17">
        <v>45432</v>
      </c>
      <c r="X459" s="17">
        <v>45616</v>
      </c>
      <c r="Y459">
        <v>-546</v>
      </c>
      <c r="Z459">
        <v>6</v>
      </c>
      <c r="AA459">
        <v>6.1333333333333337</v>
      </c>
      <c r="AB459">
        <v>1556.9333333333334</v>
      </c>
      <c r="AC459" s="17"/>
      <c r="AD459">
        <v>45800</v>
      </c>
      <c r="AE459">
        <v>27416.67</v>
      </c>
      <c r="AF459">
        <v>164500.01999999999</v>
      </c>
      <c r="AG459">
        <v>26820.6554</v>
      </c>
      <c r="AH459">
        <v>164500</v>
      </c>
      <c r="AI459">
        <v>-0.02</v>
      </c>
      <c r="AJ459">
        <v>0</v>
      </c>
      <c r="AW459">
        <v>0</v>
      </c>
      <c r="BJ459">
        <v>0</v>
      </c>
      <c r="BW459">
        <v>164500</v>
      </c>
      <c r="CB459">
        <v>29250</v>
      </c>
      <c r="CC459">
        <v>26500</v>
      </c>
      <c r="CD459">
        <v>26500</v>
      </c>
      <c r="CE459">
        <v>26500</v>
      </c>
      <c r="CF459">
        <v>26500</v>
      </c>
      <c r="CG459">
        <v>29250</v>
      </c>
      <c r="CJ459">
        <v>0</v>
      </c>
      <c r="CW459">
        <v>0</v>
      </c>
      <c r="DJ459">
        <v>0</v>
      </c>
      <c r="DW459">
        <v>0</v>
      </c>
      <c r="EJ459">
        <v>0</v>
      </c>
    </row>
    <row r="460" spans="1:140" hidden="1" x14ac:dyDescent="0.35">
      <c r="A460" t="s">
        <v>3317</v>
      </c>
      <c r="B460" t="s">
        <v>249</v>
      </c>
      <c r="D460" t="s">
        <v>6582</v>
      </c>
      <c r="E460" t="s">
        <v>987</v>
      </c>
      <c r="F460" t="s">
        <v>3843</v>
      </c>
      <c r="G460" t="s">
        <v>3844</v>
      </c>
      <c r="H460" t="s">
        <v>6583</v>
      </c>
      <c r="I460" t="s">
        <v>5373</v>
      </c>
      <c r="J460" t="s">
        <v>3071</v>
      </c>
      <c r="K460" t="s">
        <v>3071</v>
      </c>
      <c r="L460" t="s">
        <v>897</v>
      </c>
      <c r="M460" t="s">
        <v>3180</v>
      </c>
      <c r="N460" t="s">
        <v>89</v>
      </c>
      <c r="O460" t="s">
        <v>3088</v>
      </c>
      <c r="P460">
        <v>0</v>
      </c>
      <c r="Q460" t="s">
        <v>3075</v>
      </c>
      <c r="R460" t="s">
        <v>2513</v>
      </c>
      <c r="S460" t="s">
        <v>5374</v>
      </c>
      <c r="T460" t="s">
        <v>1576</v>
      </c>
      <c r="U460" t="s">
        <v>6581</v>
      </c>
      <c r="V460" s="17">
        <v>45608</v>
      </c>
      <c r="W460" s="17">
        <v>45613</v>
      </c>
      <c r="X460" s="17">
        <v>45698</v>
      </c>
      <c r="Y460">
        <v>-464</v>
      </c>
      <c r="Z460">
        <v>3</v>
      </c>
      <c r="AA460">
        <v>2.8333333333333335</v>
      </c>
      <c r="AB460">
        <v>1554.2</v>
      </c>
      <c r="AC460" s="17"/>
      <c r="AD460">
        <v>45800</v>
      </c>
      <c r="AE460">
        <v>26500</v>
      </c>
      <c r="AF460">
        <v>79500</v>
      </c>
      <c r="AG460">
        <v>28058.823499999999</v>
      </c>
      <c r="AH460">
        <v>79500</v>
      </c>
      <c r="AI460">
        <v>0</v>
      </c>
      <c r="AJ460">
        <v>0</v>
      </c>
      <c r="AW460">
        <v>0</v>
      </c>
      <c r="BJ460">
        <v>0</v>
      </c>
      <c r="BW460">
        <v>53000</v>
      </c>
      <c r="CH460">
        <v>26500</v>
      </c>
      <c r="CI460">
        <v>26500</v>
      </c>
      <c r="CJ460">
        <v>26500</v>
      </c>
      <c r="CK460">
        <v>26500</v>
      </c>
      <c r="CW460">
        <v>0</v>
      </c>
      <c r="DJ460">
        <v>0</v>
      </c>
      <c r="DW460">
        <v>0</v>
      </c>
      <c r="EJ460">
        <v>26500</v>
      </c>
    </row>
    <row r="461" spans="1:140" hidden="1" x14ac:dyDescent="0.35">
      <c r="A461" t="s">
        <v>3317</v>
      </c>
      <c r="B461" t="s">
        <v>249</v>
      </c>
      <c r="D461" t="s">
        <v>6584</v>
      </c>
      <c r="E461" t="s">
        <v>987</v>
      </c>
      <c r="F461" t="s">
        <v>3843</v>
      </c>
      <c r="G461" t="s">
        <v>3844</v>
      </c>
      <c r="H461" t="s">
        <v>6583</v>
      </c>
      <c r="I461" t="s">
        <v>5373</v>
      </c>
      <c r="J461" t="s">
        <v>3071</v>
      </c>
      <c r="K461" t="s">
        <v>3071</v>
      </c>
      <c r="L461" t="s">
        <v>897</v>
      </c>
      <c r="M461" t="s">
        <v>3180</v>
      </c>
      <c r="N461" t="s">
        <v>89</v>
      </c>
      <c r="O461" t="s">
        <v>3088</v>
      </c>
      <c r="P461" t="s">
        <v>3088</v>
      </c>
      <c r="Q461" t="s">
        <v>3075</v>
      </c>
      <c r="R461" t="s">
        <v>2513</v>
      </c>
      <c r="S461" t="s">
        <v>5374</v>
      </c>
      <c r="T461" t="s">
        <v>1576</v>
      </c>
      <c r="U461" t="s">
        <v>6581</v>
      </c>
      <c r="V461" s="17">
        <v>45722</v>
      </c>
      <c r="W461" s="17">
        <v>45699</v>
      </c>
      <c r="X461" s="17">
        <v>45788</v>
      </c>
      <c r="Y461">
        <v>-374</v>
      </c>
      <c r="Z461">
        <v>3</v>
      </c>
      <c r="AA461">
        <v>2.9666666666666668</v>
      </c>
      <c r="AB461">
        <v>1551.2</v>
      </c>
      <c r="AC461" s="17"/>
      <c r="AD461">
        <v>45800</v>
      </c>
      <c r="AE461">
        <v>26500</v>
      </c>
      <c r="AF461">
        <v>79500</v>
      </c>
      <c r="AG461">
        <v>26797.752799999998</v>
      </c>
      <c r="AH461">
        <v>79500</v>
      </c>
      <c r="AI461">
        <v>0</v>
      </c>
      <c r="AJ461">
        <v>0</v>
      </c>
      <c r="AW461">
        <v>0</v>
      </c>
      <c r="BJ461">
        <v>0</v>
      </c>
      <c r="BW461">
        <v>0</v>
      </c>
      <c r="CJ461">
        <v>79500</v>
      </c>
      <c r="CL461">
        <v>26500</v>
      </c>
      <c r="CM461">
        <v>26500</v>
      </c>
      <c r="CN461">
        <v>26500</v>
      </c>
      <c r="CW461">
        <v>0</v>
      </c>
      <c r="DJ461">
        <v>0</v>
      </c>
      <c r="DW461">
        <v>0</v>
      </c>
      <c r="EJ461">
        <v>79500</v>
      </c>
    </row>
    <row r="462" spans="1:140" hidden="1" x14ac:dyDescent="0.35">
      <c r="A462" t="s">
        <v>3317</v>
      </c>
      <c r="B462" t="s">
        <v>249</v>
      </c>
      <c r="D462" t="s">
        <v>6585</v>
      </c>
      <c r="E462" t="s">
        <v>4310</v>
      </c>
      <c r="F462" t="s">
        <v>4311</v>
      </c>
      <c r="G462" t="s">
        <v>4312</v>
      </c>
      <c r="H462" t="s">
        <v>6586</v>
      </c>
      <c r="I462" t="s">
        <v>5368</v>
      </c>
      <c r="J462" t="s">
        <v>3696</v>
      </c>
      <c r="K462" t="s">
        <v>4313</v>
      </c>
      <c r="L462" t="s">
        <v>446</v>
      </c>
      <c r="M462" t="s">
        <v>3967</v>
      </c>
      <c r="N462" t="s">
        <v>446</v>
      </c>
      <c r="O462" t="s">
        <v>3967</v>
      </c>
      <c r="P462" t="s">
        <v>3694</v>
      </c>
      <c r="Q462" t="s">
        <v>3075</v>
      </c>
      <c r="R462" t="s">
        <v>2739</v>
      </c>
      <c r="S462" t="s">
        <v>5452</v>
      </c>
      <c r="T462" t="s">
        <v>1576</v>
      </c>
      <c r="U462" t="s">
        <v>6587</v>
      </c>
      <c r="V462" s="17">
        <v>45728</v>
      </c>
      <c r="W462" s="17">
        <v>45770</v>
      </c>
      <c r="X462" s="17">
        <v>45800</v>
      </c>
      <c r="Y462">
        <v>-362</v>
      </c>
      <c r="Z462">
        <v>1</v>
      </c>
      <c r="AA462">
        <v>1</v>
      </c>
      <c r="AB462">
        <v>1550.8</v>
      </c>
      <c r="AC462" s="17"/>
      <c r="AD462">
        <v>45789</v>
      </c>
      <c r="AE462">
        <v>30409.02</v>
      </c>
      <c r="AF462">
        <v>30409.02</v>
      </c>
      <c r="AG462">
        <v>30409.02</v>
      </c>
      <c r="AH462">
        <v>30409.02</v>
      </c>
      <c r="AI462">
        <v>0</v>
      </c>
      <c r="AJ462">
        <v>0</v>
      </c>
      <c r="AW462">
        <v>0</v>
      </c>
      <c r="BJ462">
        <v>0</v>
      </c>
      <c r="BW462">
        <v>0</v>
      </c>
      <c r="CJ462">
        <v>30409.02</v>
      </c>
      <c r="CN462">
        <v>30409.02</v>
      </c>
      <c r="CW462">
        <v>0</v>
      </c>
      <c r="DJ462">
        <v>0</v>
      </c>
      <c r="DW462">
        <v>0</v>
      </c>
      <c r="EJ462">
        <v>30409.02</v>
      </c>
    </row>
    <row r="463" spans="1:140" hidden="1" x14ac:dyDescent="0.35">
      <c r="A463" t="s">
        <v>3317</v>
      </c>
      <c r="B463" t="s">
        <v>249</v>
      </c>
      <c r="D463" t="s">
        <v>6588</v>
      </c>
      <c r="E463" t="s">
        <v>176</v>
      </c>
      <c r="F463" t="s">
        <v>3847</v>
      </c>
      <c r="G463" t="s">
        <v>3848</v>
      </c>
      <c r="H463" t="s">
        <v>6589</v>
      </c>
      <c r="I463" t="s">
        <v>5368</v>
      </c>
      <c r="J463" t="s">
        <v>3849</v>
      </c>
      <c r="K463" t="s">
        <v>3849</v>
      </c>
      <c r="L463" t="s">
        <v>174</v>
      </c>
      <c r="M463" t="s">
        <v>3653</v>
      </c>
      <c r="N463" t="s">
        <v>174</v>
      </c>
      <c r="O463" t="s">
        <v>3070</v>
      </c>
      <c r="P463">
        <v>0</v>
      </c>
      <c r="Q463" t="s">
        <v>3852</v>
      </c>
      <c r="R463" t="s">
        <v>1580</v>
      </c>
      <c r="S463" t="s">
        <v>5374</v>
      </c>
      <c r="T463" t="s">
        <v>1576</v>
      </c>
      <c r="U463" t="s">
        <v>6590</v>
      </c>
      <c r="V463" s="17">
        <v>45617</v>
      </c>
      <c r="W463" s="17">
        <v>45644</v>
      </c>
      <c r="X463" s="17">
        <v>45826</v>
      </c>
      <c r="Y463">
        <v>-336</v>
      </c>
      <c r="Z463">
        <v>6</v>
      </c>
      <c r="AA463">
        <v>6.0666666666666664</v>
      </c>
      <c r="AB463">
        <v>1549.9333333333334</v>
      </c>
      <c r="AC463" s="17"/>
      <c r="AD463">
        <v>45820</v>
      </c>
      <c r="AE463">
        <v>63720.91</v>
      </c>
      <c r="AF463">
        <v>1326976.3799999999</v>
      </c>
      <c r="AG463">
        <v>218732.37030000001</v>
      </c>
      <c r="AH463">
        <v>1326976.3799999999</v>
      </c>
      <c r="AI463">
        <v>0</v>
      </c>
      <c r="AJ463">
        <v>0</v>
      </c>
      <c r="AW463">
        <v>0</v>
      </c>
      <c r="BJ463">
        <v>0</v>
      </c>
      <c r="BW463">
        <v>155467.20370000001</v>
      </c>
      <c r="CI463">
        <v>155467.20370000001</v>
      </c>
      <c r="CJ463">
        <v>1171509.1762999999</v>
      </c>
      <c r="CK463">
        <v>244385.14309999999</v>
      </c>
      <c r="CL463">
        <v>310734.00040000002</v>
      </c>
      <c r="CM463">
        <v>231241.10509999999</v>
      </c>
      <c r="CN463">
        <v>165160.505</v>
      </c>
      <c r="CO463">
        <v>219988.4228</v>
      </c>
      <c r="CW463">
        <v>0</v>
      </c>
      <c r="DJ463">
        <v>0</v>
      </c>
      <c r="DW463">
        <v>0</v>
      </c>
      <c r="EJ463">
        <v>1171509.1762999999</v>
      </c>
    </row>
    <row r="464" spans="1:140" hidden="1" x14ac:dyDescent="0.35">
      <c r="A464" t="s">
        <v>3317</v>
      </c>
      <c r="B464" t="s">
        <v>249</v>
      </c>
      <c r="D464" t="s">
        <v>6591</v>
      </c>
      <c r="E464" t="s">
        <v>1091</v>
      </c>
      <c r="F464" t="s">
        <v>3853</v>
      </c>
      <c r="G464" t="s">
        <v>3854</v>
      </c>
      <c r="H464" t="s">
        <v>6592</v>
      </c>
      <c r="I464" t="s">
        <v>5368</v>
      </c>
      <c r="J464" t="s">
        <v>3071</v>
      </c>
      <c r="K464" t="s">
        <v>3071</v>
      </c>
      <c r="L464" t="s">
        <v>1088</v>
      </c>
      <c r="M464" t="s">
        <v>3832</v>
      </c>
      <c r="N464" t="s">
        <v>1089</v>
      </c>
      <c r="O464" t="s">
        <v>3855</v>
      </c>
      <c r="P464" t="s">
        <v>3856</v>
      </c>
      <c r="Q464" t="s">
        <v>3075</v>
      </c>
      <c r="R464" t="s">
        <v>2513</v>
      </c>
      <c r="S464" t="s">
        <v>5452</v>
      </c>
      <c r="T464" t="s">
        <v>1576</v>
      </c>
      <c r="U464" t="s">
        <v>6593</v>
      </c>
      <c r="V464" s="17">
        <v>45742</v>
      </c>
      <c r="W464" s="17">
        <v>45742</v>
      </c>
      <c r="X464" s="17">
        <v>45837</v>
      </c>
      <c r="Y464">
        <v>-325</v>
      </c>
      <c r="Z464">
        <v>3</v>
      </c>
      <c r="AA464">
        <v>3.1666666666666665</v>
      </c>
      <c r="AB464">
        <v>1549.5666666666666</v>
      </c>
      <c r="AC464" s="17"/>
      <c r="AD464">
        <v>45828</v>
      </c>
      <c r="AE464">
        <v>36307.49</v>
      </c>
      <c r="AF464">
        <v>115922.47</v>
      </c>
      <c r="AG464">
        <v>36607.095800000003</v>
      </c>
      <c r="AH464">
        <v>115922.47</v>
      </c>
      <c r="AI464">
        <v>0</v>
      </c>
      <c r="AJ464">
        <v>0</v>
      </c>
      <c r="AW464">
        <v>0</v>
      </c>
      <c r="BJ464">
        <v>0</v>
      </c>
      <c r="BW464">
        <v>0</v>
      </c>
      <c r="CJ464">
        <v>115922.47</v>
      </c>
      <c r="CN464">
        <v>38640.823299999996</v>
      </c>
      <c r="CO464">
        <v>38640.823299999996</v>
      </c>
      <c r="CP464">
        <v>38640.823299999996</v>
      </c>
      <c r="CW464">
        <v>0</v>
      </c>
      <c r="DJ464">
        <v>0</v>
      </c>
      <c r="DW464">
        <v>0</v>
      </c>
      <c r="EJ464">
        <v>115922.47</v>
      </c>
    </row>
    <row r="465" spans="1:140" hidden="1" x14ac:dyDescent="0.35">
      <c r="A465" t="s">
        <v>3317</v>
      </c>
      <c r="B465" t="s">
        <v>249</v>
      </c>
      <c r="D465" t="s">
        <v>6594</v>
      </c>
      <c r="E465" t="s">
        <v>1091</v>
      </c>
      <c r="F465" t="s">
        <v>3853</v>
      </c>
      <c r="G465" t="s">
        <v>3854</v>
      </c>
      <c r="H465" t="s">
        <v>6592</v>
      </c>
      <c r="I465" t="s">
        <v>5368</v>
      </c>
      <c r="J465" t="s">
        <v>3071</v>
      </c>
      <c r="K465" t="s">
        <v>3071</v>
      </c>
      <c r="L465" t="s">
        <v>1088</v>
      </c>
      <c r="M465" t="s">
        <v>3832</v>
      </c>
      <c r="N465" t="s">
        <v>1089</v>
      </c>
      <c r="O465" t="s">
        <v>3855</v>
      </c>
      <c r="P465" t="s">
        <v>3856</v>
      </c>
      <c r="Q465" t="s">
        <v>3075</v>
      </c>
      <c r="R465" t="s">
        <v>2513</v>
      </c>
      <c r="S465" t="s">
        <v>5374</v>
      </c>
      <c r="T465" t="s">
        <v>1576</v>
      </c>
      <c r="U465" t="s">
        <v>6593</v>
      </c>
      <c r="V465" s="17">
        <v>45826</v>
      </c>
      <c r="W465" s="17">
        <v>45806</v>
      </c>
      <c r="X465" s="17">
        <v>45837</v>
      </c>
      <c r="Y465">
        <v>-325</v>
      </c>
      <c r="Z465">
        <v>1</v>
      </c>
      <c r="AA465">
        <v>1.0333333333333334</v>
      </c>
      <c r="AB465">
        <v>1549.5666666666666</v>
      </c>
      <c r="AC465" s="17"/>
      <c r="AD465">
        <v>45828</v>
      </c>
      <c r="AE465">
        <v>4840.99</v>
      </c>
      <c r="AF465">
        <v>4840.99</v>
      </c>
      <c r="AG465">
        <v>4684.8289999999997</v>
      </c>
      <c r="AH465">
        <v>4684.8289999999997</v>
      </c>
      <c r="AI465">
        <v>-156.161</v>
      </c>
      <c r="AJ465">
        <v>0</v>
      </c>
      <c r="AW465">
        <v>0</v>
      </c>
      <c r="BJ465">
        <v>0</v>
      </c>
      <c r="BW465">
        <v>0</v>
      </c>
      <c r="CJ465">
        <v>4684.8289999999997</v>
      </c>
      <c r="CP465">
        <v>4684.8289999999997</v>
      </c>
      <c r="CW465">
        <v>0</v>
      </c>
      <c r="DJ465">
        <v>0</v>
      </c>
      <c r="DW465">
        <v>0</v>
      </c>
      <c r="EJ465">
        <v>4684.8289999999997</v>
      </c>
    </row>
    <row r="466" spans="1:140" hidden="1" x14ac:dyDescent="0.35">
      <c r="A466" t="s">
        <v>3196</v>
      </c>
      <c r="B466" t="s">
        <v>249</v>
      </c>
      <c r="D466" t="s">
        <v>6595</v>
      </c>
      <c r="E466" t="s">
        <v>328</v>
      </c>
      <c r="F466" t="s">
        <v>3860</v>
      </c>
      <c r="G466" t="s">
        <v>3861</v>
      </c>
      <c r="H466" t="s">
        <v>6596</v>
      </c>
      <c r="I466" t="s">
        <v>5368</v>
      </c>
      <c r="J466" t="s">
        <v>3071</v>
      </c>
      <c r="K466" t="s">
        <v>3071</v>
      </c>
      <c r="L466" t="s">
        <v>245</v>
      </c>
      <c r="M466" t="s">
        <v>3153</v>
      </c>
      <c r="N466" t="s">
        <v>326</v>
      </c>
      <c r="O466" t="s">
        <v>3512</v>
      </c>
      <c r="P466" t="s">
        <v>3787</v>
      </c>
      <c r="Q466" t="s">
        <v>3075</v>
      </c>
      <c r="R466" t="s">
        <v>2513</v>
      </c>
      <c r="S466" t="s">
        <v>5374</v>
      </c>
      <c r="T466" t="s">
        <v>1576</v>
      </c>
      <c r="U466" t="s">
        <v>6597</v>
      </c>
      <c r="V466" s="17">
        <v>45742</v>
      </c>
      <c r="W466" s="17">
        <v>45749</v>
      </c>
      <c r="X466" s="17">
        <v>45871</v>
      </c>
      <c r="Y466">
        <v>-291</v>
      </c>
      <c r="Z466">
        <v>4</v>
      </c>
      <c r="AA466">
        <v>4.0666666666666664</v>
      </c>
      <c r="AB466">
        <v>1548.4333333333334</v>
      </c>
      <c r="AC466" s="17"/>
      <c r="AD466">
        <v>45835</v>
      </c>
      <c r="AE466">
        <v>21929.26</v>
      </c>
      <c r="AF466">
        <v>87717.04</v>
      </c>
      <c r="AG466">
        <v>21569.763900000002</v>
      </c>
      <c r="AH466">
        <v>87717.04</v>
      </c>
      <c r="AI466">
        <v>0</v>
      </c>
      <c r="AJ466">
        <v>0</v>
      </c>
      <c r="AW466">
        <v>0</v>
      </c>
      <c r="BJ466">
        <v>0</v>
      </c>
      <c r="BW466">
        <v>0</v>
      </c>
      <c r="CJ466">
        <v>87717.04</v>
      </c>
      <c r="CN466">
        <v>21929.26</v>
      </c>
      <c r="CO466">
        <v>21929.26</v>
      </c>
      <c r="CP466">
        <v>21929.26</v>
      </c>
      <c r="CQ466">
        <v>21929.26</v>
      </c>
      <c r="CW466">
        <v>0</v>
      </c>
      <c r="DJ466">
        <v>0</v>
      </c>
      <c r="DW466">
        <v>0</v>
      </c>
      <c r="EJ466">
        <v>87717.04</v>
      </c>
    </row>
    <row r="467" spans="1:140" hidden="1" x14ac:dyDescent="0.35">
      <c r="A467" t="s">
        <v>3317</v>
      </c>
      <c r="B467" t="s">
        <v>249</v>
      </c>
      <c r="D467" t="s">
        <v>6598</v>
      </c>
      <c r="E467" t="s">
        <v>4872</v>
      </c>
      <c r="F467" t="s">
        <v>4873</v>
      </c>
      <c r="G467" t="s">
        <v>4874</v>
      </c>
      <c r="H467" t="s">
        <v>6599</v>
      </c>
      <c r="I467" t="s">
        <v>5368</v>
      </c>
      <c r="J467" t="s">
        <v>3203</v>
      </c>
      <c r="K467" t="s">
        <v>3203</v>
      </c>
      <c r="L467" t="s">
        <v>4478</v>
      </c>
      <c r="M467" t="s">
        <v>3139</v>
      </c>
      <c r="N467" t="s">
        <v>184</v>
      </c>
      <c r="O467" t="s">
        <v>3088</v>
      </c>
      <c r="P467">
        <v>0</v>
      </c>
      <c r="Q467" t="s">
        <v>3075</v>
      </c>
      <c r="R467" t="s">
        <v>4394</v>
      </c>
      <c r="S467" t="s">
        <v>5374</v>
      </c>
      <c r="T467" t="s">
        <v>5485</v>
      </c>
      <c r="U467" t="s">
        <v>6600</v>
      </c>
      <c r="V467" s="17">
        <v>45569</v>
      </c>
      <c r="W467" s="17">
        <v>45594</v>
      </c>
      <c r="X467" s="17">
        <v>45634</v>
      </c>
      <c r="Y467">
        <v>-528</v>
      </c>
      <c r="Z467">
        <v>1</v>
      </c>
      <c r="AA467">
        <v>1.3333333333333333</v>
      </c>
      <c r="AB467">
        <v>1556.3333333333333</v>
      </c>
      <c r="AC467" s="17"/>
      <c r="AD467">
        <v>45818</v>
      </c>
      <c r="AE467">
        <v>60253.94</v>
      </c>
      <c r="AF467">
        <v>60253.94</v>
      </c>
      <c r="AG467">
        <v>45190.455000000002</v>
      </c>
      <c r="AH467">
        <v>60253.94</v>
      </c>
      <c r="AI467">
        <v>0</v>
      </c>
      <c r="AJ467">
        <v>0</v>
      </c>
      <c r="AW467">
        <v>0</v>
      </c>
      <c r="BJ467">
        <v>0</v>
      </c>
      <c r="BW467">
        <v>60253.94</v>
      </c>
      <c r="CH467">
        <v>36152.36</v>
      </c>
      <c r="CI467">
        <v>24101.58</v>
      </c>
      <c r="CJ467">
        <v>0</v>
      </c>
      <c r="CW467">
        <v>0</v>
      </c>
      <c r="DJ467">
        <v>0</v>
      </c>
      <c r="DW467">
        <v>0</v>
      </c>
      <c r="EJ467">
        <v>0</v>
      </c>
    </row>
    <row r="468" spans="1:140" hidden="1" x14ac:dyDescent="0.35">
      <c r="A468" t="s">
        <v>3317</v>
      </c>
      <c r="B468" t="s">
        <v>249</v>
      </c>
      <c r="D468" t="s">
        <v>6601</v>
      </c>
      <c r="E468" t="s">
        <v>4880</v>
      </c>
      <c r="F468" t="s">
        <v>4881</v>
      </c>
      <c r="G468" t="s">
        <v>4882</v>
      </c>
      <c r="H468" t="s">
        <v>6602</v>
      </c>
      <c r="I468" t="s">
        <v>5368</v>
      </c>
      <c r="J468" t="s">
        <v>3203</v>
      </c>
      <c r="K468" t="s">
        <v>3203</v>
      </c>
      <c r="L468" t="s">
        <v>4883</v>
      </c>
      <c r="M468" t="s">
        <v>4884</v>
      </c>
      <c r="N468" t="s">
        <v>184</v>
      </c>
      <c r="O468" t="s">
        <v>3088</v>
      </c>
      <c r="P468" t="s">
        <v>3088</v>
      </c>
      <c r="Q468" t="s">
        <v>3075</v>
      </c>
      <c r="R468" t="s">
        <v>4394</v>
      </c>
      <c r="S468" t="s">
        <v>5452</v>
      </c>
      <c r="T468" t="s">
        <v>1576</v>
      </c>
      <c r="U468" t="s">
        <v>6603</v>
      </c>
      <c r="V468" s="17">
        <v>45784</v>
      </c>
      <c r="W468" s="17">
        <v>45785</v>
      </c>
      <c r="X468" s="17">
        <v>45816</v>
      </c>
      <c r="Y468">
        <v>-346</v>
      </c>
      <c r="Z468">
        <v>1</v>
      </c>
      <c r="AA468">
        <v>1.0333333333333334</v>
      </c>
      <c r="AB468">
        <v>1550.2666666666667</v>
      </c>
      <c r="AC468" s="17"/>
      <c r="AD468">
        <v>45818</v>
      </c>
      <c r="AE468">
        <v>41120</v>
      </c>
      <c r="AF468">
        <v>41120</v>
      </c>
      <c r="AG468">
        <v>39793.5484</v>
      </c>
      <c r="AH468">
        <v>41120</v>
      </c>
      <c r="AI468">
        <v>0</v>
      </c>
      <c r="AJ468">
        <v>0</v>
      </c>
      <c r="AW468">
        <v>0</v>
      </c>
      <c r="BJ468">
        <v>0</v>
      </c>
      <c r="BW468">
        <v>0</v>
      </c>
      <c r="CJ468">
        <v>41120</v>
      </c>
      <c r="CO468">
        <v>10280</v>
      </c>
      <c r="CP468">
        <v>10280</v>
      </c>
      <c r="CQ468">
        <v>10280</v>
      </c>
      <c r="CR468">
        <v>10280</v>
      </c>
      <c r="CW468">
        <v>0</v>
      </c>
      <c r="DJ468">
        <v>0</v>
      </c>
      <c r="DW468">
        <v>0</v>
      </c>
      <c r="EJ468">
        <v>41120</v>
      </c>
    </row>
    <row r="469" spans="1:140" hidden="1" x14ac:dyDescent="0.35">
      <c r="A469" t="s">
        <v>3317</v>
      </c>
      <c r="B469" t="s">
        <v>249</v>
      </c>
      <c r="D469" t="s">
        <v>6604</v>
      </c>
      <c r="E469" t="s">
        <v>106</v>
      </c>
      <c r="F469" t="s">
        <v>3864</v>
      </c>
      <c r="G469" t="s">
        <v>3865</v>
      </c>
      <c r="H469" t="s">
        <v>6605</v>
      </c>
      <c r="I469" t="s">
        <v>5368</v>
      </c>
      <c r="J469" t="s">
        <v>3071</v>
      </c>
      <c r="K469" t="s">
        <v>3071</v>
      </c>
      <c r="L469" t="s">
        <v>88</v>
      </c>
      <c r="M469" t="s">
        <v>3139</v>
      </c>
      <c r="N469" t="s">
        <v>89</v>
      </c>
      <c r="O469" t="s">
        <v>3088</v>
      </c>
      <c r="P469">
        <v>0</v>
      </c>
      <c r="Q469" t="s">
        <v>3075</v>
      </c>
      <c r="R469" t="s">
        <v>2513</v>
      </c>
      <c r="S469" t="s">
        <v>5374</v>
      </c>
      <c r="T469" t="s">
        <v>5485</v>
      </c>
      <c r="U469" t="s">
        <v>6606</v>
      </c>
      <c r="V469" s="17">
        <v>45359</v>
      </c>
      <c r="W469" s="17">
        <v>45359</v>
      </c>
      <c r="X469" s="17">
        <v>45724</v>
      </c>
      <c r="Y469">
        <v>-438</v>
      </c>
      <c r="Z469">
        <v>12</v>
      </c>
      <c r="AA469">
        <v>12.166666666666666</v>
      </c>
      <c r="AB469">
        <v>1553.3333333333333</v>
      </c>
      <c r="AC469" s="17"/>
      <c r="AD469">
        <v>45838</v>
      </c>
      <c r="AE469">
        <v>29202.666700000002</v>
      </c>
      <c r="AF469">
        <v>1051296</v>
      </c>
      <c r="AG469">
        <v>86407.890400000004</v>
      </c>
      <c r="AH469">
        <v>1019450</v>
      </c>
      <c r="AI469">
        <v>-31846</v>
      </c>
      <c r="AJ469">
        <v>0</v>
      </c>
      <c r="AW469">
        <v>0</v>
      </c>
      <c r="BJ469">
        <v>0</v>
      </c>
      <c r="BW469">
        <v>835984</v>
      </c>
      <c r="BZ469">
        <v>71685</v>
      </c>
      <c r="CA469">
        <v>63435</v>
      </c>
      <c r="CB469">
        <v>87608</v>
      </c>
      <c r="CC469">
        <v>87608</v>
      </c>
      <c r="CD469">
        <v>87608</v>
      </c>
      <c r="CE469">
        <v>87608</v>
      </c>
      <c r="CF469">
        <v>87608</v>
      </c>
      <c r="CG469">
        <v>87608</v>
      </c>
      <c r="CH469">
        <v>87608</v>
      </c>
      <c r="CI469">
        <v>87608</v>
      </c>
      <c r="CJ469">
        <v>183466</v>
      </c>
      <c r="CK469">
        <v>87608</v>
      </c>
      <c r="CL469">
        <v>95858</v>
      </c>
      <c r="CW469">
        <v>0</v>
      </c>
      <c r="DJ469">
        <v>0</v>
      </c>
      <c r="DW469">
        <v>0</v>
      </c>
      <c r="EJ469">
        <v>183466</v>
      </c>
    </row>
    <row r="470" spans="1:140" hidden="1" x14ac:dyDescent="0.35">
      <c r="A470" t="s">
        <v>3317</v>
      </c>
      <c r="B470" t="s">
        <v>249</v>
      </c>
      <c r="D470" t="s">
        <v>6607</v>
      </c>
      <c r="E470" t="s">
        <v>106</v>
      </c>
      <c r="F470" t="s">
        <v>3864</v>
      </c>
      <c r="G470" t="s">
        <v>3865</v>
      </c>
      <c r="H470" t="s">
        <v>6608</v>
      </c>
      <c r="I470" t="s">
        <v>5373</v>
      </c>
      <c r="J470" t="s">
        <v>3071</v>
      </c>
      <c r="K470" t="s">
        <v>3071</v>
      </c>
      <c r="L470" t="s">
        <v>88</v>
      </c>
      <c r="M470" t="s">
        <v>3139</v>
      </c>
      <c r="N470" t="s">
        <v>89</v>
      </c>
      <c r="O470" t="s">
        <v>3088</v>
      </c>
      <c r="P470">
        <v>0</v>
      </c>
      <c r="Q470" t="s">
        <v>3075</v>
      </c>
      <c r="R470" t="s">
        <v>2513</v>
      </c>
      <c r="S470" t="s">
        <v>5374</v>
      </c>
      <c r="T470" t="s">
        <v>1576</v>
      </c>
      <c r="U470" t="s">
        <v>6609</v>
      </c>
      <c r="V470" s="17">
        <v>45432</v>
      </c>
      <c r="W470" s="17">
        <v>45451</v>
      </c>
      <c r="X470" s="17">
        <v>45724</v>
      </c>
      <c r="Y470">
        <v>-438</v>
      </c>
      <c r="Z470">
        <v>9</v>
      </c>
      <c r="AA470">
        <v>9.1</v>
      </c>
      <c r="AB470">
        <v>1553.3333333333333</v>
      </c>
      <c r="AC470" s="17"/>
      <c r="AD470">
        <v>45838</v>
      </c>
      <c r="AE470">
        <v>29149.11</v>
      </c>
      <c r="AF470">
        <v>262341.99</v>
      </c>
      <c r="AG470">
        <v>28828.790099999998</v>
      </c>
      <c r="AH470">
        <v>262342</v>
      </c>
      <c r="AI470">
        <v>0.01</v>
      </c>
      <c r="AJ470">
        <v>0</v>
      </c>
      <c r="AW470">
        <v>0</v>
      </c>
      <c r="BJ470">
        <v>0</v>
      </c>
      <c r="BW470">
        <v>231054</v>
      </c>
      <c r="CB470">
        <v>31288</v>
      </c>
      <c r="CC470">
        <v>28538</v>
      </c>
      <c r="CD470">
        <v>28538</v>
      </c>
      <c r="CE470">
        <v>28538</v>
      </c>
      <c r="CF470">
        <v>28538</v>
      </c>
      <c r="CG470">
        <v>28538</v>
      </c>
      <c r="CH470">
        <v>28538</v>
      </c>
      <c r="CI470">
        <v>28538</v>
      </c>
      <c r="CJ470">
        <v>31288</v>
      </c>
      <c r="CK470">
        <v>31288</v>
      </c>
      <c r="CW470">
        <v>0</v>
      </c>
      <c r="DJ470">
        <v>0</v>
      </c>
      <c r="DW470">
        <v>0</v>
      </c>
      <c r="EJ470">
        <v>31288</v>
      </c>
    </row>
    <row r="471" spans="1:140" hidden="1" x14ac:dyDescent="0.35">
      <c r="A471" t="s">
        <v>3317</v>
      </c>
      <c r="B471" t="s">
        <v>249</v>
      </c>
      <c r="D471" t="s">
        <v>6610</v>
      </c>
      <c r="E471" t="s">
        <v>106</v>
      </c>
      <c r="F471" t="s">
        <v>3864</v>
      </c>
      <c r="G471" t="s">
        <v>3865</v>
      </c>
      <c r="H471" t="s">
        <v>6608</v>
      </c>
      <c r="I471" t="s">
        <v>5373</v>
      </c>
      <c r="J471" t="s">
        <v>3071</v>
      </c>
      <c r="K471" t="s">
        <v>3071</v>
      </c>
      <c r="L471" t="s">
        <v>88</v>
      </c>
      <c r="M471" t="s">
        <v>3139</v>
      </c>
      <c r="N471" t="s">
        <v>89</v>
      </c>
      <c r="O471" t="s">
        <v>3088</v>
      </c>
      <c r="P471">
        <v>0</v>
      </c>
      <c r="Q471" t="s">
        <v>3075</v>
      </c>
      <c r="R471" t="s">
        <v>2513</v>
      </c>
      <c r="S471" t="s">
        <v>5374</v>
      </c>
      <c r="T471" t="s">
        <v>1576</v>
      </c>
      <c r="U471" t="s">
        <v>6609</v>
      </c>
      <c r="V471" s="17">
        <v>45475</v>
      </c>
      <c r="W471" s="17">
        <v>45481</v>
      </c>
      <c r="X471" s="17">
        <v>45724</v>
      </c>
      <c r="Y471">
        <v>-438</v>
      </c>
      <c r="Z471">
        <v>8</v>
      </c>
      <c r="AA471">
        <v>8.1</v>
      </c>
      <c r="AB471">
        <v>1553.3333333333333</v>
      </c>
      <c r="AC471" s="17"/>
      <c r="AD471">
        <v>45838</v>
      </c>
      <c r="AE471">
        <v>15687.5</v>
      </c>
      <c r="AF471">
        <v>125500</v>
      </c>
      <c r="AG471">
        <v>15493.8272</v>
      </c>
      <c r="AH471">
        <v>125500</v>
      </c>
      <c r="AI471">
        <v>0</v>
      </c>
      <c r="AJ471">
        <v>0</v>
      </c>
      <c r="AW471">
        <v>0</v>
      </c>
      <c r="BJ471">
        <v>0</v>
      </c>
      <c r="BW471">
        <v>92750</v>
      </c>
      <c r="CD471">
        <v>17750</v>
      </c>
      <c r="CE471">
        <v>15000</v>
      </c>
      <c r="CF471">
        <v>15000</v>
      </c>
      <c r="CG471">
        <v>15000</v>
      </c>
      <c r="CH471">
        <v>15000</v>
      </c>
      <c r="CI471">
        <v>15000</v>
      </c>
      <c r="CJ471">
        <v>32750</v>
      </c>
      <c r="CK471">
        <v>15000</v>
      </c>
      <c r="CL471">
        <v>17750</v>
      </c>
      <c r="CW471">
        <v>0</v>
      </c>
      <c r="DJ471">
        <v>0</v>
      </c>
      <c r="DW471">
        <v>0</v>
      </c>
      <c r="EJ471">
        <v>32750</v>
      </c>
    </row>
    <row r="472" spans="1:140" hidden="1" x14ac:dyDescent="0.35">
      <c r="A472" t="s">
        <v>3317</v>
      </c>
      <c r="B472" t="s">
        <v>249</v>
      </c>
      <c r="D472" t="s">
        <v>6611</v>
      </c>
      <c r="E472" t="s">
        <v>106</v>
      </c>
      <c r="F472" t="s">
        <v>3864</v>
      </c>
      <c r="G472" t="s">
        <v>3865</v>
      </c>
      <c r="H472" t="s">
        <v>6608</v>
      </c>
      <c r="I472" t="s">
        <v>5373</v>
      </c>
      <c r="J472" t="s">
        <v>3071</v>
      </c>
      <c r="K472" t="s">
        <v>3071</v>
      </c>
      <c r="L472" t="s">
        <v>88</v>
      </c>
      <c r="M472" t="s">
        <v>3139</v>
      </c>
      <c r="N472" t="s">
        <v>89</v>
      </c>
      <c r="O472" t="s">
        <v>3088</v>
      </c>
      <c r="P472">
        <v>0</v>
      </c>
      <c r="Q472" t="s">
        <v>3075</v>
      </c>
      <c r="R472" t="s">
        <v>2513</v>
      </c>
      <c r="S472" t="s">
        <v>5374</v>
      </c>
      <c r="T472" t="s">
        <v>1576</v>
      </c>
      <c r="U472" t="s">
        <v>6609</v>
      </c>
      <c r="V472" s="17">
        <v>45618</v>
      </c>
      <c r="W472" s="17">
        <v>45618</v>
      </c>
      <c r="X472" s="17">
        <v>45663</v>
      </c>
      <c r="Y472">
        <v>-499</v>
      </c>
      <c r="Z472">
        <v>1.5</v>
      </c>
      <c r="AA472">
        <v>1.5</v>
      </c>
      <c r="AB472">
        <v>1555.3666666666666</v>
      </c>
      <c r="AC472" s="17"/>
      <c r="AD472">
        <v>45838</v>
      </c>
      <c r="AE472">
        <v>32204.67</v>
      </c>
      <c r="AF472">
        <v>48307.004999999997</v>
      </c>
      <c r="AG472">
        <v>32204.67</v>
      </c>
      <c r="AH472">
        <v>48307</v>
      </c>
      <c r="AI472">
        <v>-5.0000000000000001E-3</v>
      </c>
      <c r="AJ472">
        <v>0</v>
      </c>
      <c r="AW472">
        <v>0</v>
      </c>
      <c r="BJ472">
        <v>0</v>
      </c>
      <c r="BW472">
        <v>31288</v>
      </c>
      <c r="CI472">
        <v>31288</v>
      </c>
      <c r="CJ472">
        <v>17019</v>
      </c>
      <c r="CK472">
        <v>17019</v>
      </c>
      <c r="CW472">
        <v>0</v>
      </c>
      <c r="DJ472">
        <v>0</v>
      </c>
      <c r="DW472">
        <v>0</v>
      </c>
      <c r="EJ472">
        <v>17019</v>
      </c>
    </row>
    <row r="473" spans="1:140" hidden="1" x14ac:dyDescent="0.35">
      <c r="A473" t="s">
        <v>3317</v>
      </c>
      <c r="B473" t="s">
        <v>249</v>
      </c>
      <c r="D473" t="s">
        <v>6612</v>
      </c>
      <c r="E473" t="s">
        <v>106</v>
      </c>
      <c r="F473" t="s">
        <v>3864</v>
      </c>
      <c r="G473" t="s">
        <v>3865</v>
      </c>
      <c r="H473" t="s">
        <v>6608</v>
      </c>
      <c r="I473" t="s">
        <v>5373</v>
      </c>
      <c r="J473" t="s">
        <v>3071</v>
      </c>
      <c r="K473" t="s">
        <v>3071</v>
      </c>
      <c r="L473" t="s">
        <v>88</v>
      </c>
      <c r="M473" t="s">
        <v>3139</v>
      </c>
      <c r="N473" t="s">
        <v>89</v>
      </c>
      <c r="O473" t="s">
        <v>3088</v>
      </c>
      <c r="P473" t="s">
        <v>3088</v>
      </c>
      <c r="Q473" t="s">
        <v>3075</v>
      </c>
      <c r="R473" t="s">
        <v>2513</v>
      </c>
      <c r="S473" t="s">
        <v>5374</v>
      </c>
      <c r="T473" t="s">
        <v>1576</v>
      </c>
      <c r="U473" t="s">
        <v>6613</v>
      </c>
      <c r="V473" s="17">
        <v>45666</v>
      </c>
      <c r="W473" s="17">
        <v>45663</v>
      </c>
      <c r="X473" s="17">
        <v>45708</v>
      </c>
      <c r="Y473">
        <v>-454</v>
      </c>
      <c r="Z473">
        <v>1</v>
      </c>
      <c r="AA473">
        <v>1.5</v>
      </c>
      <c r="AB473">
        <v>1553.8666666666666</v>
      </c>
      <c r="AC473" s="17"/>
      <c r="AD473">
        <v>45838</v>
      </c>
      <c r="AE473">
        <v>28538</v>
      </c>
      <c r="AF473">
        <v>28538</v>
      </c>
      <c r="AG473">
        <v>19025.333299999998</v>
      </c>
      <c r="AH473">
        <v>28538</v>
      </c>
      <c r="AI473">
        <v>0</v>
      </c>
      <c r="AJ473">
        <v>0</v>
      </c>
      <c r="AW473">
        <v>0</v>
      </c>
      <c r="BJ473">
        <v>0</v>
      </c>
      <c r="BW473">
        <v>0</v>
      </c>
      <c r="CJ473">
        <v>28538</v>
      </c>
      <c r="CK473">
        <v>28538</v>
      </c>
      <c r="CW473">
        <v>0</v>
      </c>
      <c r="DJ473">
        <v>0</v>
      </c>
      <c r="DW473">
        <v>0</v>
      </c>
      <c r="EJ473">
        <v>28538</v>
      </c>
    </row>
    <row r="474" spans="1:140" hidden="1" x14ac:dyDescent="0.35">
      <c r="A474" t="s">
        <v>3317</v>
      </c>
      <c r="B474" t="s">
        <v>249</v>
      </c>
      <c r="D474" t="s">
        <v>6614</v>
      </c>
      <c r="E474" t="s">
        <v>106</v>
      </c>
      <c r="F474" t="s">
        <v>3864</v>
      </c>
      <c r="G474" t="s">
        <v>3865</v>
      </c>
      <c r="H474" t="s">
        <v>6608</v>
      </c>
      <c r="I474" t="s">
        <v>5373</v>
      </c>
      <c r="J474" t="s">
        <v>3071</v>
      </c>
      <c r="K474" t="s">
        <v>3071</v>
      </c>
      <c r="L474" t="s">
        <v>88</v>
      </c>
      <c r="M474" t="s">
        <v>3139</v>
      </c>
      <c r="N474" t="s">
        <v>89</v>
      </c>
      <c r="O474" t="s">
        <v>3088</v>
      </c>
      <c r="P474" t="s">
        <v>3088</v>
      </c>
      <c r="Q474" t="s">
        <v>3075</v>
      </c>
      <c r="R474" t="s">
        <v>2513</v>
      </c>
      <c r="S474" t="s">
        <v>5374</v>
      </c>
      <c r="T474" t="s">
        <v>1576</v>
      </c>
      <c r="U474" t="s">
        <v>6615</v>
      </c>
      <c r="V474" s="17">
        <v>45666</v>
      </c>
      <c r="W474" s="17">
        <v>45717</v>
      </c>
      <c r="X474" s="17">
        <v>45777</v>
      </c>
      <c r="Y474">
        <v>-385</v>
      </c>
      <c r="Z474">
        <v>2</v>
      </c>
      <c r="AA474">
        <v>2</v>
      </c>
      <c r="AB474">
        <v>1551.5666666666666</v>
      </c>
      <c r="AC474" s="17"/>
      <c r="AD474">
        <v>45838</v>
      </c>
      <c r="AE474">
        <v>18401.625</v>
      </c>
      <c r="AF474">
        <v>147213</v>
      </c>
      <c r="AG474">
        <v>73606.5</v>
      </c>
      <c r="AH474">
        <v>147213</v>
      </c>
      <c r="AI474">
        <v>0</v>
      </c>
      <c r="AJ474">
        <v>0</v>
      </c>
      <c r="AW474">
        <v>0</v>
      </c>
      <c r="BJ474">
        <v>0</v>
      </c>
      <c r="BW474">
        <v>0</v>
      </c>
      <c r="CJ474">
        <v>147213</v>
      </c>
      <c r="CM474">
        <v>123040</v>
      </c>
      <c r="CN474">
        <v>24173</v>
      </c>
      <c r="CW474">
        <v>0</v>
      </c>
      <c r="DJ474">
        <v>0</v>
      </c>
      <c r="DW474">
        <v>0</v>
      </c>
      <c r="EJ474">
        <v>147213</v>
      </c>
    </row>
    <row r="475" spans="1:140" hidden="1" x14ac:dyDescent="0.35">
      <c r="A475" t="s">
        <v>3317</v>
      </c>
      <c r="B475" t="s">
        <v>249</v>
      </c>
      <c r="D475" t="s">
        <v>6616</v>
      </c>
      <c r="E475" t="s">
        <v>106</v>
      </c>
      <c r="F475" t="s">
        <v>3864</v>
      </c>
      <c r="G475" t="s">
        <v>3865</v>
      </c>
      <c r="H475" t="s">
        <v>6608</v>
      </c>
      <c r="I475" t="s">
        <v>5373</v>
      </c>
      <c r="J475" t="s">
        <v>3071</v>
      </c>
      <c r="K475" t="s">
        <v>3071</v>
      </c>
      <c r="L475" t="s">
        <v>88</v>
      </c>
      <c r="M475" t="s">
        <v>3139</v>
      </c>
      <c r="N475" t="s">
        <v>89</v>
      </c>
      <c r="O475" t="s">
        <v>3088</v>
      </c>
      <c r="P475" t="s">
        <v>3088</v>
      </c>
      <c r="Q475" t="s">
        <v>3075</v>
      </c>
      <c r="R475" t="s">
        <v>2513</v>
      </c>
      <c r="S475" t="s">
        <v>5374</v>
      </c>
      <c r="T475" t="s">
        <v>1576</v>
      </c>
      <c r="U475" t="s">
        <v>6617</v>
      </c>
      <c r="V475" s="17">
        <v>45776</v>
      </c>
      <c r="W475" s="17">
        <v>45778</v>
      </c>
      <c r="X475" s="17">
        <v>45839</v>
      </c>
      <c r="Y475">
        <v>-323</v>
      </c>
      <c r="Z475">
        <v>2</v>
      </c>
      <c r="AA475">
        <v>2.0333333333333332</v>
      </c>
      <c r="AB475">
        <v>1549.5</v>
      </c>
      <c r="AC475" s="17"/>
      <c r="AD475">
        <v>45838</v>
      </c>
      <c r="AE475">
        <v>31512.5</v>
      </c>
      <c r="AF475">
        <v>126050</v>
      </c>
      <c r="AG475">
        <v>61991.8033</v>
      </c>
      <c r="AH475">
        <v>126050</v>
      </c>
      <c r="AI475">
        <v>0</v>
      </c>
      <c r="AJ475">
        <v>0</v>
      </c>
      <c r="AW475">
        <v>0</v>
      </c>
      <c r="BJ475">
        <v>0</v>
      </c>
      <c r="BW475">
        <v>0</v>
      </c>
      <c r="CJ475">
        <v>126050</v>
      </c>
      <c r="CN475">
        <v>87608</v>
      </c>
      <c r="CO475">
        <v>38442</v>
      </c>
      <c r="CW475">
        <v>0</v>
      </c>
      <c r="DJ475">
        <v>0</v>
      </c>
      <c r="DW475">
        <v>0</v>
      </c>
      <c r="EJ475">
        <v>126050</v>
      </c>
    </row>
    <row r="476" spans="1:140" hidden="1" x14ac:dyDescent="0.35">
      <c r="A476" t="s">
        <v>3317</v>
      </c>
      <c r="B476" t="s">
        <v>249</v>
      </c>
      <c r="D476" t="s">
        <v>6618</v>
      </c>
      <c r="E476" t="s">
        <v>127</v>
      </c>
      <c r="F476" t="s">
        <v>3868</v>
      </c>
      <c r="G476" t="s">
        <v>3869</v>
      </c>
      <c r="H476" t="s">
        <v>6619</v>
      </c>
      <c r="I476" t="s">
        <v>5368</v>
      </c>
      <c r="J476" t="s">
        <v>3079</v>
      </c>
      <c r="K476" t="s">
        <v>3079</v>
      </c>
      <c r="L476" t="s">
        <v>125</v>
      </c>
      <c r="M476" t="s">
        <v>3087</v>
      </c>
      <c r="N476" t="s">
        <v>89</v>
      </c>
      <c r="O476" t="s">
        <v>3088</v>
      </c>
      <c r="P476">
        <v>0</v>
      </c>
      <c r="Q476" t="s">
        <v>3075</v>
      </c>
      <c r="R476" t="s">
        <v>2464</v>
      </c>
      <c r="S476">
        <v>0</v>
      </c>
      <c r="T476">
        <v>0</v>
      </c>
      <c r="U476" t="s">
        <v>6620</v>
      </c>
      <c r="V476" s="17">
        <v>45280</v>
      </c>
      <c r="W476" s="17">
        <v>45280</v>
      </c>
      <c r="X476" s="17">
        <v>45646</v>
      </c>
      <c r="Y476">
        <v>-516</v>
      </c>
      <c r="Z476">
        <v>12</v>
      </c>
      <c r="AA476">
        <v>12.2</v>
      </c>
      <c r="AB476">
        <v>1555.9333333333334</v>
      </c>
      <c r="AC476" s="17"/>
      <c r="AD476">
        <v>45847</v>
      </c>
      <c r="AE476">
        <v>37213</v>
      </c>
      <c r="AF476">
        <v>446556</v>
      </c>
      <c r="AG476">
        <v>36602.950799999999</v>
      </c>
      <c r="AH476">
        <v>446556</v>
      </c>
      <c r="AI476">
        <v>0</v>
      </c>
      <c r="AJ476">
        <v>0</v>
      </c>
      <c r="AW476">
        <v>0</v>
      </c>
      <c r="BJ476">
        <v>0</v>
      </c>
      <c r="BW476">
        <v>446556</v>
      </c>
      <c r="BX476">
        <v>37213</v>
      </c>
      <c r="BY476">
        <v>37213</v>
      </c>
      <c r="BZ476">
        <v>37213</v>
      </c>
      <c r="CA476">
        <v>37213</v>
      </c>
      <c r="CB476">
        <v>37213</v>
      </c>
      <c r="CC476">
        <v>37213</v>
      </c>
      <c r="CD476">
        <v>37213</v>
      </c>
      <c r="CE476">
        <v>37213</v>
      </c>
      <c r="CF476">
        <v>37213</v>
      </c>
      <c r="CG476">
        <v>37213</v>
      </c>
      <c r="CH476">
        <v>37213</v>
      </c>
      <c r="CI476">
        <v>37213</v>
      </c>
      <c r="CJ476">
        <v>0</v>
      </c>
      <c r="CW476">
        <v>0</v>
      </c>
      <c r="DJ476">
        <v>0</v>
      </c>
      <c r="DW476">
        <v>0</v>
      </c>
      <c r="EJ476">
        <v>0</v>
      </c>
    </row>
    <row r="477" spans="1:140" hidden="1" x14ac:dyDescent="0.35">
      <c r="A477" t="s">
        <v>3317</v>
      </c>
      <c r="B477" t="s">
        <v>249</v>
      </c>
      <c r="D477" t="s">
        <v>6621</v>
      </c>
      <c r="E477" t="s">
        <v>127</v>
      </c>
      <c r="F477" t="s">
        <v>3868</v>
      </c>
      <c r="G477" t="s">
        <v>3869</v>
      </c>
      <c r="H477" t="s">
        <v>6622</v>
      </c>
      <c r="I477" t="s">
        <v>5373</v>
      </c>
      <c r="J477" t="s">
        <v>3079</v>
      </c>
      <c r="K477" t="s">
        <v>3079</v>
      </c>
      <c r="L477" t="s">
        <v>125</v>
      </c>
      <c r="M477" t="s">
        <v>3087</v>
      </c>
      <c r="N477" t="s">
        <v>89</v>
      </c>
      <c r="O477" t="s">
        <v>3088</v>
      </c>
      <c r="P477" t="s">
        <v>3088</v>
      </c>
      <c r="Q477" t="s">
        <v>3075</v>
      </c>
      <c r="R477" t="s">
        <v>2464</v>
      </c>
      <c r="S477" t="s">
        <v>5374</v>
      </c>
      <c r="T477" t="s">
        <v>1576</v>
      </c>
      <c r="U477" t="s">
        <v>6623</v>
      </c>
      <c r="V477" s="17">
        <v>45672</v>
      </c>
      <c r="W477" s="17">
        <v>45673</v>
      </c>
      <c r="X477" s="17">
        <v>45793</v>
      </c>
      <c r="Y477">
        <v>-369</v>
      </c>
      <c r="Z477">
        <v>4</v>
      </c>
      <c r="AA477">
        <v>4</v>
      </c>
      <c r="AB477">
        <v>1551.0333333333333</v>
      </c>
      <c r="AC477" s="17"/>
      <c r="AD477">
        <v>45847</v>
      </c>
      <c r="AE477">
        <v>4000</v>
      </c>
      <c r="AF477">
        <v>16000</v>
      </c>
      <c r="AG477">
        <v>4000</v>
      </c>
      <c r="AH477">
        <v>16000</v>
      </c>
      <c r="AI477">
        <v>0</v>
      </c>
      <c r="AJ477">
        <v>0</v>
      </c>
      <c r="AW477">
        <v>0</v>
      </c>
      <c r="BJ477">
        <v>0</v>
      </c>
      <c r="BW477">
        <v>0</v>
      </c>
      <c r="CJ477">
        <v>16000</v>
      </c>
      <c r="CK477">
        <v>4000</v>
      </c>
      <c r="CL477">
        <v>4000</v>
      </c>
      <c r="CM477">
        <v>4000</v>
      </c>
      <c r="CN477">
        <v>4000</v>
      </c>
      <c r="CW477">
        <v>0</v>
      </c>
      <c r="DJ477">
        <v>0</v>
      </c>
      <c r="DW477">
        <v>0</v>
      </c>
      <c r="EJ477">
        <v>16000</v>
      </c>
    </row>
    <row r="478" spans="1:140" hidden="1" x14ac:dyDescent="0.35">
      <c r="A478" t="s">
        <v>3317</v>
      </c>
      <c r="B478" t="s">
        <v>249</v>
      </c>
      <c r="D478" t="s">
        <v>6624</v>
      </c>
      <c r="E478" t="s">
        <v>201</v>
      </c>
      <c r="F478" t="s">
        <v>3872</v>
      </c>
      <c r="G478" t="s">
        <v>3873</v>
      </c>
      <c r="H478" t="s">
        <v>6625</v>
      </c>
      <c r="I478" t="s">
        <v>5368</v>
      </c>
      <c r="J478" t="s">
        <v>3696</v>
      </c>
      <c r="K478" t="s">
        <v>3696</v>
      </c>
      <c r="L478" t="s">
        <v>199</v>
      </c>
      <c r="M478" t="s">
        <v>3069</v>
      </c>
      <c r="N478" t="s">
        <v>89</v>
      </c>
      <c r="O478" t="s">
        <v>3088</v>
      </c>
      <c r="P478">
        <v>0</v>
      </c>
      <c r="Q478" t="s">
        <v>3075</v>
      </c>
      <c r="R478" t="s">
        <v>2464</v>
      </c>
      <c r="S478" t="s">
        <v>5452</v>
      </c>
      <c r="T478" t="s">
        <v>1576</v>
      </c>
      <c r="U478" t="s">
        <v>6626</v>
      </c>
      <c r="V478" s="17">
        <v>45657</v>
      </c>
      <c r="W478" s="17">
        <v>45714</v>
      </c>
      <c r="X478" s="17">
        <v>45985</v>
      </c>
      <c r="Y478">
        <v>-177</v>
      </c>
      <c r="Z478">
        <v>9</v>
      </c>
      <c r="AA478">
        <v>9.0333333333333332</v>
      </c>
      <c r="AB478">
        <v>1544.6333333333334</v>
      </c>
      <c r="AC478" s="17"/>
      <c r="AD478">
        <v>45869</v>
      </c>
      <c r="AE478">
        <v>47874.105600000003</v>
      </c>
      <c r="AF478">
        <v>861733.9</v>
      </c>
      <c r="AG478">
        <v>95394.896699999998</v>
      </c>
      <c r="AH478">
        <v>861733.9</v>
      </c>
      <c r="AI478">
        <v>0</v>
      </c>
      <c r="AJ478">
        <v>0</v>
      </c>
      <c r="AW478">
        <v>0</v>
      </c>
      <c r="BJ478">
        <v>0</v>
      </c>
      <c r="BW478">
        <v>0</v>
      </c>
      <c r="CJ478">
        <v>861733.9</v>
      </c>
      <c r="CK478">
        <v>121744.53</v>
      </c>
      <c r="CL478">
        <v>118494.53</v>
      </c>
      <c r="CM478">
        <v>90642.12</v>
      </c>
      <c r="CN478">
        <v>87392.12</v>
      </c>
      <c r="CO478">
        <v>87392.12</v>
      </c>
      <c r="CP478">
        <v>87392.12</v>
      </c>
      <c r="CQ478">
        <v>87392.12</v>
      </c>
      <c r="CR478">
        <v>87392.12</v>
      </c>
      <c r="CS478">
        <v>93892.12</v>
      </c>
      <c r="CW478">
        <v>0</v>
      </c>
      <c r="DJ478">
        <v>0</v>
      </c>
      <c r="DW478">
        <v>0</v>
      </c>
      <c r="EJ478">
        <v>861733.9</v>
      </c>
    </row>
    <row r="479" spans="1:140" hidden="1" x14ac:dyDescent="0.35">
      <c r="A479" t="s">
        <v>3317</v>
      </c>
      <c r="B479" t="s">
        <v>249</v>
      </c>
      <c r="D479" t="s">
        <v>6627</v>
      </c>
      <c r="E479" t="s">
        <v>304</v>
      </c>
      <c r="F479" t="s">
        <v>3876</v>
      </c>
      <c r="G479" t="s">
        <v>3877</v>
      </c>
      <c r="H479" t="s">
        <v>6628</v>
      </c>
      <c r="I479" t="s">
        <v>5368</v>
      </c>
      <c r="J479" t="s">
        <v>3071</v>
      </c>
      <c r="K479" t="s">
        <v>3071</v>
      </c>
      <c r="L479" t="s">
        <v>345</v>
      </c>
      <c r="M479" t="s">
        <v>3153</v>
      </c>
      <c r="N479" t="s">
        <v>1082</v>
      </c>
      <c r="O479" t="s">
        <v>3070</v>
      </c>
      <c r="P479" t="s">
        <v>3879</v>
      </c>
      <c r="Q479" t="s">
        <v>3075</v>
      </c>
      <c r="R479" t="s">
        <v>2513</v>
      </c>
      <c r="S479" t="s">
        <v>5452</v>
      </c>
      <c r="T479" t="s">
        <v>2363</v>
      </c>
      <c r="U479" t="s">
        <v>6629</v>
      </c>
      <c r="V479" s="17">
        <v>45734</v>
      </c>
      <c r="W479" s="17">
        <v>45727</v>
      </c>
      <c r="X479" s="17">
        <v>45792</v>
      </c>
      <c r="Y479">
        <v>-370</v>
      </c>
      <c r="Z479">
        <v>2</v>
      </c>
      <c r="AA479">
        <v>2.1666666666666665</v>
      </c>
      <c r="AB479">
        <v>1551.0666666666666</v>
      </c>
      <c r="AC479" s="17"/>
      <c r="AD479">
        <v>45792</v>
      </c>
      <c r="AE479">
        <v>43997.58</v>
      </c>
      <c r="AF479">
        <v>93495.16</v>
      </c>
      <c r="AG479">
        <v>43151.612300000001</v>
      </c>
      <c r="AH479">
        <v>93495.16</v>
      </c>
      <c r="AI479">
        <v>0</v>
      </c>
      <c r="AJ479">
        <v>0</v>
      </c>
      <c r="AW479">
        <v>0</v>
      </c>
      <c r="BJ479">
        <v>0</v>
      </c>
      <c r="BW479">
        <v>0</v>
      </c>
      <c r="CJ479">
        <v>93495.16</v>
      </c>
      <c r="CM479">
        <v>24748.79</v>
      </c>
      <c r="CN479">
        <v>43997.58</v>
      </c>
      <c r="CO479">
        <v>24748.79</v>
      </c>
      <c r="CW479">
        <v>0</v>
      </c>
      <c r="DJ479">
        <v>0</v>
      </c>
      <c r="DW479">
        <v>0</v>
      </c>
      <c r="EJ479">
        <v>93495.16</v>
      </c>
    </row>
    <row r="480" spans="1:140" hidden="1" x14ac:dyDescent="0.35">
      <c r="A480" t="s">
        <v>3317</v>
      </c>
      <c r="B480" t="s">
        <v>249</v>
      </c>
      <c r="D480" t="s">
        <v>6630</v>
      </c>
      <c r="E480" t="s">
        <v>377</v>
      </c>
      <c r="F480" t="s">
        <v>3884</v>
      </c>
      <c r="G480" t="s">
        <v>3885</v>
      </c>
      <c r="H480" t="s">
        <v>6631</v>
      </c>
      <c r="I480" t="s">
        <v>5368</v>
      </c>
      <c r="J480" t="s">
        <v>3079</v>
      </c>
      <c r="K480" t="s">
        <v>3079</v>
      </c>
      <c r="L480" t="s">
        <v>226</v>
      </c>
      <c r="M480" t="s">
        <v>3694</v>
      </c>
      <c r="N480" t="s">
        <v>227</v>
      </c>
      <c r="O480" t="s">
        <v>3366</v>
      </c>
      <c r="P480" t="s">
        <v>3249</v>
      </c>
      <c r="Q480" t="s">
        <v>3075</v>
      </c>
      <c r="R480" t="s">
        <v>2464</v>
      </c>
      <c r="S480" t="s">
        <v>5374</v>
      </c>
      <c r="T480" t="s">
        <v>1576</v>
      </c>
      <c r="U480" t="s">
        <v>6632</v>
      </c>
      <c r="V480" s="17">
        <v>45790</v>
      </c>
      <c r="W480" s="17">
        <v>45824</v>
      </c>
      <c r="X480" s="17">
        <v>45916</v>
      </c>
      <c r="Y480">
        <v>-246</v>
      </c>
      <c r="Z480">
        <v>3</v>
      </c>
      <c r="AA480">
        <v>3.0666666666666669</v>
      </c>
      <c r="AB480">
        <v>1546.9333333333334</v>
      </c>
      <c r="AC480" s="17"/>
      <c r="AD480">
        <v>45870</v>
      </c>
      <c r="AE480">
        <v>40879.3433</v>
      </c>
      <c r="AF480">
        <v>122638.03</v>
      </c>
      <c r="AG480">
        <v>39990.661999999997</v>
      </c>
      <c r="AH480">
        <v>122638.02989999999</v>
      </c>
      <c r="AI480">
        <v>-1E-4</v>
      </c>
      <c r="AJ480">
        <v>0</v>
      </c>
      <c r="AW480">
        <v>0</v>
      </c>
      <c r="BJ480">
        <v>0</v>
      </c>
      <c r="BW480">
        <v>0</v>
      </c>
      <c r="CJ480">
        <v>122638.02989999999</v>
      </c>
      <c r="CO480">
        <v>40879.3433</v>
      </c>
      <c r="CP480">
        <v>40879.3433</v>
      </c>
      <c r="CQ480">
        <v>40879.3433</v>
      </c>
      <c r="CW480">
        <v>0</v>
      </c>
      <c r="DJ480">
        <v>0</v>
      </c>
      <c r="DW480">
        <v>0</v>
      </c>
      <c r="EJ480">
        <v>122638.02989999999</v>
      </c>
    </row>
    <row r="481" spans="1:140" hidden="1" x14ac:dyDescent="0.35">
      <c r="A481" t="s">
        <v>3317</v>
      </c>
      <c r="B481" t="s">
        <v>249</v>
      </c>
      <c r="D481" t="s">
        <v>6633</v>
      </c>
      <c r="E481" t="s">
        <v>4887</v>
      </c>
      <c r="F481" t="s">
        <v>4888</v>
      </c>
      <c r="G481" t="s">
        <v>4889</v>
      </c>
      <c r="H481" t="s">
        <v>6634</v>
      </c>
      <c r="I481" t="s">
        <v>5368</v>
      </c>
      <c r="J481" t="s">
        <v>3203</v>
      </c>
      <c r="K481" t="s">
        <v>3203</v>
      </c>
      <c r="L481" t="s">
        <v>4478</v>
      </c>
      <c r="M481" t="s">
        <v>3139</v>
      </c>
      <c r="N481" t="s">
        <v>89</v>
      </c>
      <c r="O481" t="s">
        <v>3088</v>
      </c>
      <c r="P481">
        <v>0</v>
      </c>
      <c r="Q481" t="s">
        <v>3075</v>
      </c>
      <c r="R481" t="s">
        <v>4394</v>
      </c>
      <c r="S481" t="s">
        <v>5374</v>
      </c>
      <c r="T481" t="s">
        <v>5485</v>
      </c>
      <c r="U481" t="s">
        <v>6635</v>
      </c>
      <c r="V481" s="17">
        <v>45538</v>
      </c>
      <c r="W481" s="17">
        <v>45580</v>
      </c>
      <c r="X481" s="17">
        <v>45610</v>
      </c>
      <c r="Y481">
        <v>-552</v>
      </c>
      <c r="Z481">
        <v>1</v>
      </c>
      <c r="AA481">
        <v>1</v>
      </c>
      <c r="AB481">
        <v>1557.1333333333334</v>
      </c>
      <c r="AC481" s="17"/>
      <c r="AD481">
        <v>45838</v>
      </c>
      <c r="AE481">
        <v>60147.78</v>
      </c>
      <c r="AF481">
        <v>60147.78</v>
      </c>
      <c r="AG481">
        <v>60147.78</v>
      </c>
      <c r="AH481">
        <v>60147.78</v>
      </c>
      <c r="AI481">
        <v>0</v>
      </c>
      <c r="AJ481">
        <v>0</v>
      </c>
      <c r="AW481">
        <v>0</v>
      </c>
      <c r="BJ481">
        <v>0</v>
      </c>
      <c r="BW481">
        <v>60147.78</v>
      </c>
      <c r="CF481">
        <v>42103.45</v>
      </c>
      <c r="CG481">
        <v>18044</v>
      </c>
      <c r="CJ481">
        <v>0</v>
      </c>
      <c r="CW481">
        <v>0</v>
      </c>
      <c r="DJ481">
        <v>0</v>
      </c>
      <c r="DW481">
        <v>0</v>
      </c>
      <c r="EJ481">
        <v>0</v>
      </c>
    </row>
    <row r="482" spans="1:140" hidden="1" x14ac:dyDescent="0.35">
      <c r="A482" t="s">
        <v>3317</v>
      </c>
      <c r="B482" t="s">
        <v>249</v>
      </c>
      <c r="D482" t="s">
        <v>6636</v>
      </c>
      <c r="E482" t="s">
        <v>5119</v>
      </c>
      <c r="F482" t="s">
        <v>5120</v>
      </c>
      <c r="G482" t="s">
        <v>5121</v>
      </c>
      <c r="H482" t="s">
        <v>6637</v>
      </c>
      <c r="I482" t="s">
        <v>5368</v>
      </c>
      <c r="J482" t="s">
        <v>5102</v>
      </c>
      <c r="K482" t="s">
        <v>5102</v>
      </c>
      <c r="L482" t="s">
        <v>5122</v>
      </c>
      <c r="M482" t="s">
        <v>3728</v>
      </c>
      <c r="N482" t="s">
        <v>5122</v>
      </c>
      <c r="O482" t="s">
        <v>3728</v>
      </c>
      <c r="P482">
        <v>0</v>
      </c>
      <c r="Q482" t="s">
        <v>3075</v>
      </c>
      <c r="R482" t="s">
        <v>2403</v>
      </c>
      <c r="S482" t="s">
        <v>5452</v>
      </c>
      <c r="T482" t="s">
        <v>1576</v>
      </c>
      <c r="U482" t="s">
        <v>6638</v>
      </c>
      <c r="V482" s="17">
        <v>45622</v>
      </c>
      <c r="W482" s="17">
        <v>45693</v>
      </c>
      <c r="X482" s="17">
        <v>45724</v>
      </c>
      <c r="Y482">
        <v>-438</v>
      </c>
      <c r="Z482">
        <v>1</v>
      </c>
      <c r="AA482">
        <v>1.0333333333333334</v>
      </c>
      <c r="AB482">
        <v>1553.3333333333333</v>
      </c>
      <c r="AC482" s="17"/>
      <c r="AD482">
        <v>45877</v>
      </c>
      <c r="AE482">
        <v>21740.09</v>
      </c>
      <c r="AF482">
        <v>21740.09</v>
      </c>
      <c r="AG482">
        <v>21038.7968</v>
      </c>
      <c r="AH482">
        <v>21740.09</v>
      </c>
      <c r="AI482">
        <v>0</v>
      </c>
      <c r="AJ482">
        <v>0</v>
      </c>
      <c r="AW482">
        <v>0</v>
      </c>
      <c r="BJ482">
        <v>0</v>
      </c>
      <c r="BW482">
        <v>10870.045</v>
      </c>
      <c r="CI482">
        <v>10870.045</v>
      </c>
      <c r="CJ482">
        <v>10870.045</v>
      </c>
      <c r="CK482">
        <v>10870.045</v>
      </c>
      <c r="CW482">
        <v>0</v>
      </c>
      <c r="DJ482">
        <v>0</v>
      </c>
      <c r="DW482">
        <v>0</v>
      </c>
      <c r="EJ482">
        <v>10870.045</v>
      </c>
    </row>
    <row r="483" spans="1:140" hidden="1" x14ac:dyDescent="0.35">
      <c r="A483" t="s">
        <v>3067</v>
      </c>
      <c r="B483" t="s">
        <v>249</v>
      </c>
      <c r="D483" t="s">
        <v>6639</v>
      </c>
      <c r="E483" t="s">
        <v>134</v>
      </c>
      <c r="F483" t="s">
        <v>4892</v>
      </c>
      <c r="G483" t="s">
        <v>4893</v>
      </c>
      <c r="H483" t="s">
        <v>6640</v>
      </c>
      <c r="I483" t="s">
        <v>5368</v>
      </c>
      <c r="J483" t="s">
        <v>3203</v>
      </c>
      <c r="K483" t="s">
        <v>3203</v>
      </c>
      <c r="L483" t="s">
        <v>132</v>
      </c>
      <c r="M483" t="s">
        <v>3997</v>
      </c>
      <c r="N483" t="s">
        <v>132</v>
      </c>
      <c r="O483" t="s">
        <v>3070</v>
      </c>
      <c r="P483">
        <v>0</v>
      </c>
      <c r="Q483" t="s">
        <v>3852</v>
      </c>
      <c r="R483" t="s">
        <v>4394</v>
      </c>
      <c r="S483" t="s">
        <v>5374</v>
      </c>
      <c r="T483" t="s">
        <v>5485</v>
      </c>
      <c r="U483" t="s">
        <v>6641</v>
      </c>
      <c r="V483" s="17">
        <v>45468</v>
      </c>
      <c r="W483" s="17">
        <v>45412</v>
      </c>
      <c r="X483" s="17">
        <v>46142</v>
      </c>
      <c r="Y483">
        <v>-20</v>
      </c>
      <c r="Z483">
        <v>19</v>
      </c>
      <c r="AA483">
        <v>24.333333333333332</v>
      </c>
      <c r="AB483">
        <v>1539.4</v>
      </c>
      <c r="AC483" s="17">
        <v>45838</v>
      </c>
      <c r="AE483">
        <v>29986.44</v>
      </c>
      <c r="AF483">
        <v>569742.36</v>
      </c>
      <c r="AG483">
        <v>23414.069599999999</v>
      </c>
      <c r="AH483">
        <v>553579.41</v>
      </c>
      <c r="AI483">
        <v>-16162.95</v>
      </c>
      <c r="AJ483">
        <v>0</v>
      </c>
      <c r="AW483">
        <v>0</v>
      </c>
      <c r="BJ483">
        <v>0</v>
      </c>
      <c r="BW483">
        <v>359586.09</v>
      </c>
      <c r="CD483">
        <v>12288.18</v>
      </c>
      <c r="CE483">
        <v>213892.95</v>
      </c>
      <c r="CF483">
        <v>84906.63</v>
      </c>
      <c r="CG483">
        <v>16166</v>
      </c>
      <c r="CH483">
        <v>16166.11</v>
      </c>
      <c r="CI483">
        <v>16166.11</v>
      </c>
      <c r="CJ483">
        <v>193993.32</v>
      </c>
      <c r="CK483">
        <v>16166.11</v>
      </c>
      <c r="CL483">
        <v>16166.11</v>
      </c>
      <c r="CM483">
        <v>16166.11</v>
      </c>
      <c r="CN483">
        <v>16166.11</v>
      </c>
      <c r="CO483">
        <v>16166.11</v>
      </c>
      <c r="CP483">
        <v>16166.11</v>
      </c>
      <c r="CQ483">
        <v>16166.11</v>
      </c>
      <c r="CR483">
        <v>16166.11</v>
      </c>
      <c r="CS483">
        <v>16166.11</v>
      </c>
      <c r="CT483">
        <v>16166.11</v>
      </c>
      <c r="CU483">
        <v>16166.11</v>
      </c>
      <c r="CV483">
        <v>16166.11</v>
      </c>
      <c r="CW483">
        <v>0</v>
      </c>
      <c r="DJ483">
        <v>0</v>
      </c>
      <c r="DW483">
        <v>0</v>
      </c>
      <c r="EJ483">
        <v>193993.32</v>
      </c>
    </row>
    <row r="484" spans="1:140" hidden="1" x14ac:dyDescent="0.35">
      <c r="A484" t="s">
        <v>3067</v>
      </c>
      <c r="B484" t="s">
        <v>249</v>
      </c>
      <c r="D484" t="s">
        <v>6642</v>
      </c>
      <c r="E484" t="s">
        <v>134</v>
      </c>
      <c r="F484" t="s">
        <v>4892</v>
      </c>
      <c r="G484" t="s">
        <v>4893</v>
      </c>
      <c r="H484" t="s">
        <v>6643</v>
      </c>
      <c r="I484" t="s">
        <v>5373</v>
      </c>
      <c r="J484" t="s">
        <v>3203</v>
      </c>
      <c r="K484" t="s">
        <v>3203</v>
      </c>
      <c r="L484" t="s">
        <v>132</v>
      </c>
      <c r="M484" t="s">
        <v>3997</v>
      </c>
      <c r="N484" t="s">
        <v>132</v>
      </c>
      <c r="O484" t="s">
        <v>3070</v>
      </c>
      <c r="P484">
        <v>0</v>
      </c>
      <c r="Q484" t="s">
        <v>3852</v>
      </c>
      <c r="R484" t="s">
        <v>4394</v>
      </c>
      <c r="S484" t="s">
        <v>5374</v>
      </c>
      <c r="T484" t="s">
        <v>1576</v>
      </c>
      <c r="U484" t="s">
        <v>6644</v>
      </c>
      <c r="V484" s="17">
        <v>45642</v>
      </c>
      <c r="W484" s="17">
        <v>45642</v>
      </c>
      <c r="X484" s="17">
        <v>46007</v>
      </c>
      <c r="Y484">
        <v>-155</v>
      </c>
      <c r="Z484">
        <v>12</v>
      </c>
      <c r="AA484">
        <v>12.166666666666666</v>
      </c>
      <c r="AB484">
        <v>1543.9</v>
      </c>
      <c r="AC484" s="17">
        <v>45838</v>
      </c>
      <c r="AE484">
        <v>31165.98</v>
      </c>
      <c r="AF484">
        <v>373991.76</v>
      </c>
      <c r="AG484">
        <v>30739.0488</v>
      </c>
      <c r="AH484">
        <v>373991.76</v>
      </c>
      <c r="AI484">
        <v>0</v>
      </c>
      <c r="AJ484">
        <v>0</v>
      </c>
      <c r="AW484">
        <v>0</v>
      </c>
      <c r="BJ484">
        <v>0</v>
      </c>
      <c r="BW484">
        <v>0</v>
      </c>
      <c r="CJ484">
        <v>373991.76</v>
      </c>
      <c r="CK484">
        <v>31165.98</v>
      </c>
      <c r="CL484">
        <v>31165.98</v>
      </c>
      <c r="CM484">
        <v>31165.98</v>
      </c>
      <c r="CN484">
        <v>31165.98</v>
      </c>
      <c r="CO484">
        <v>31165.98</v>
      </c>
      <c r="CP484">
        <v>31165.98</v>
      </c>
      <c r="CQ484">
        <v>31165.98</v>
      </c>
      <c r="CR484">
        <v>31165.98</v>
      </c>
      <c r="CS484">
        <v>31165.98</v>
      </c>
      <c r="CT484">
        <v>31165.98</v>
      </c>
      <c r="CU484">
        <v>31165.98</v>
      </c>
      <c r="CV484">
        <v>31165.98</v>
      </c>
      <c r="CW484">
        <v>0</v>
      </c>
      <c r="DJ484">
        <v>0</v>
      </c>
      <c r="DW484">
        <v>0</v>
      </c>
      <c r="EJ484">
        <v>373991.76</v>
      </c>
    </row>
    <row r="485" spans="1:140" hidden="1" x14ac:dyDescent="0.35">
      <c r="A485" t="s">
        <v>3317</v>
      </c>
      <c r="B485" t="s">
        <v>249</v>
      </c>
      <c r="D485" t="s">
        <v>6645</v>
      </c>
      <c r="E485" t="s">
        <v>4896</v>
      </c>
      <c r="F485" t="s">
        <v>4897</v>
      </c>
      <c r="G485" t="s">
        <v>4898</v>
      </c>
      <c r="H485" t="s">
        <v>6646</v>
      </c>
      <c r="I485" t="s">
        <v>5368</v>
      </c>
      <c r="J485" t="s">
        <v>3203</v>
      </c>
      <c r="K485" t="s">
        <v>3203</v>
      </c>
      <c r="L485" t="s">
        <v>132</v>
      </c>
      <c r="M485" t="s">
        <v>3997</v>
      </c>
      <c r="N485" t="s">
        <v>132</v>
      </c>
      <c r="O485" t="s">
        <v>3070</v>
      </c>
      <c r="P485">
        <v>0</v>
      </c>
      <c r="Q485" t="s">
        <v>3852</v>
      </c>
      <c r="R485" t="s">
        <v>4394</v>
      </c>
      <c r="S485" t="s">
        <v>5374</v>
      </c>
      <c r="T485" t="s">
        <v>1576</v>
      </c>
      <c r="U485" t="s">
        <v>6647</v>
      </c>
      <c r="V485" s="17">
        <v>45568</v>
      </c>
      <c r="W485" s="17">
        <v>45568</v>
      </c>
      <c r="X485" s="17">
        <v>45614</v>
      </c>
      <c r="Y485">
        <v>-548</v>
      </c>
      <c r="Z485">
        <v>2</v>
      </c>
      <c r="AA485">
        <v>1.5333333333333334</v>
      </c>
      <c r="AB485">
        <v>1557</v>
      </c>
      <c r="AC485" s="17"/>
      <c r="AD485">
        <v>45838</v>
      </c>
      <c r="AE485">
        <v>152500</v>
      </c>
      <c r="AF485">
        <v>305000</v>
      </c>
      <c r="AG485">
        <v>198913.0435</v>
      </c>
      <c r="AH485">
        <v>305000</v>
      </c>
      <c r="AI485">
        <v>0</v>
      </c>
      <c r="AJ485">
        <v>0</v>
      </c>
      <c r="AW485">
        <v>0</v>
      </c>
      <c r="BJ485">
        <v>0</v>
      </c>
      <c r="BW485">
        <v>305000</v>
      </c>
      <c r="CH485">
        <v>213500</v>
      </c>
      <c r="CI485">
        <v>91500</v>
      </c>
      <c r="CJ485">
        <v>0</v>
      </c>
      <c r="CW485">
        <v>0</v>
      </c>
      <c r="DJ485">
        <v>0</v>
      </c>
      <c r="DW485">
        <v>0</v>
      </c>
      <c r="EJ485">
        <v>0</v>
      </c>
    </row>
    <row r="486" spans="1:140" hidden="1" x14ac:dyDescent="0.35">
      <c r="A486" t="s">
        <v>3317</v>
      </c>
      <c r="B486" t="s">
        <v>249</v>
      </c>
      <c r="D486" t="s">
        <v>6648</v>
      </c>
      <c r="E486" t="s">
        <v>4896</v>
      </c>
      <c r="F486" t="s">
        <v>4897</v>
      </c>
      <c r="G486" t="s">
        <v>4898</v>
      </c>
      <c r="H486" t="s">
        <v>6649</v>
      </c>
      <c r="I486" t="s">
        <v>5373</v>
      </c>
      <c r="J486" t="s">
        <v>3203</v>
      </c>
      <c r="K486" t="s">
        <v>3203</v>
      </c>
      <c r="L486" t="s">
        <v>132</v>
      </c>
      <c r="M486" t="s">
        <v>3997</v>
      </c>
      <c r="N486" t="s">
        <v>132</v>
      </c>
      <c r="O486" t="s">
        <v>3070</v>
      </c>
      <c r="P486" t="s">
        <v>3879</v>
      </c>
      <c r="Q486" t="s">
        <v>3852</v>
      </c>
      <c r="R486" t="s">
        <v>4394</v>
      </c>
      <c r="S486" t="s">
        <v>5374</v>
      </c>
      <c r="T486" t="s">
        <v>1576</v>
      </c>
      <c r="U486" t="s">
        <v>6650</v>
      </c>
      <c r="V486" s="17">
        <v>45813</v>
      </c>
      <c r="W486" s="17">
        <v>45813</v>
      </c>
      <c r="X486" s="17">
        <v>45843</v>
      </c>
      <c r="Y486">
        <v>-319</v>
      </c>
      <c r="Z486">
        <v>1</v>
      </c>
      <c r="AA486">
        <v>1</v>
      </c>
      <c r="AB486">
        <v>1549.3666666666666</v>
      </c>
      <c r="AC486" s="17"/>
      <c r="AD486">
        <v>45838</v>
      </c>
      <c r="AE486">
        <v>107913.44</v>
      </c>
      <c r="AF486">
        <v>107913.44</v>
      </c>
      <c r="AG486">
        <v>107913.44</v>
      </c>
      <c r="AH486">
        <v>107913.44</v>
      </c>
      <c r="AI486">
        <v>0</v>
      </c>
      <c r="AJ486">
        <v>0</v>
      </c>
      <c r="AW486">
        <v>0</v>
      </c>
      <c r="BJ486">
        <v>0</v>
      </c>
      <c r="BW486">
        <v>0</v>
      </c>
      <c r="CJ486">
        <v>107913.44</v>
      </c>
      <c r="CP486">
        <v>107913.44</v>
      </c>
      <c r="CW486">
        <v>0</v>
      </c>
      <c r="DJ486">
        <v>0</v>
      </c>
      <c r="DW486">
        <v>0</v>
      </c>
      <c r="EJ486">
        <v>107913.44</v>
      </c>
    </row>
    <row r="487" spans="1:140" hidden="1" x14ac:dyDescent="0.35">
      <c r="A487" t="s">
        <v>3317</v>
      </c>
      <c r="B487" t="s">
        <v>249</v>
      </c>
      <c r="D487" t="s">
        <v>6651</v>
      </c>
      <c r="E487" t="s">
        <v>4906</v>
      </c>
      <c r="F487" t="s">
        <v>4907</v>
      </c>
      <c r="G487" t="s">
        <v>4908</v>
      </c>
      <c r="H487" t="s">
        <v>6652</v>
      </c>
      <c r="I487" t="s">
        <v>5368</v>
      </c>
      <c r="J487" t="s">
        <v>3203</v>
      </c>
      <c r="K487" t="s">
        <v>3203</v>
      </c>
      <c r="L487" t="s">
        <v>132</v>
      </c>
      <c r="M487" t="s">
        <v>3997</v>
      </c>
      <c r="N487" t="s">
        <v>132</v>
      </c>
      <c r="O487" t="s">
        <v>3070</v>
      </c>
      <c r="P487" t="s">
        <v>3879</v>
      </c>
      <c r="Q487" t="s">
        <v>3852</v>
      </c>
      <c r="R487" t="s">
        <v>4394</v>
      </c>
      <c r="S487" t="s">
        <v>5374</v>
      </c>
      <c r="T487" t="s">
        <v>1576</v>
      </c>
      <c r="U487" t="s">
        <v>6653</v>
      </c>
      <c r="V487" s="17">
        <v>45708</v>
      </c>
      <c r="W487" s="17">
        <v>45708</v>
      </c>
      <c r="X487" s="17">
        <v>45797</v>
      </c>
      <c r="Y487">
        <v>-365</v>
      </c>
      <c r="Z487">
        <v>3</v>
      </c>
      <c r="AA487">
        <v>2.9666666666666668</v>
      </c>
      <c r="AB487">
        <v>1550.9</v>
      </c>
      <c r="AC487" s="17"/>
      <c r="AD487">
        <v>45869</v>
      </c>
      <c r="AE487">
        <v>81650.61</v>
      </c>
      <c r="AF487">
        <v>244951.83</v>
      </c>
      <c r="AG487">
        <v>82568.032600000006</v>
      </c>
      <c r="AH487">
        <v>244951.83</v>
      </c>
      <c r="AI487">
        <v>0</v>
      </c>
      <c r="AJ487">
        <v>0</v>
      </c>
      <c r="AW487">
        <v>0</v>
      </c>
      <c r="BJ487">
        <v>0</v>
      </c>
      <c r="BW487">
        <v>0</v>
      </c>
      <c r="CJ487">
        <v>244951.83</v>
      </c>
      <c r="CM487">
        <v>81650.61</v>
      </c>
      <c r="CN487">
        <v>81650.61</v>
      </c>
      <c r="CO487">
        <v>81650.61</v>
      </c>
      <c r="CW487">
        <v>0</v>
      </c>
      <c r="DJ487">
        <v>0</v>
      </c>
      <c r="DW487">
        <v>0</v>
      </c>
      <c r="EJ487">
        <v>244951.83</v>
      </c>
    </row>
    <row r="488" spans="1:140" hidden="1" x14ac:dyDescent="0.35">
      <c r="A488" t="s">
        <v>3317</v>
      </c>
      <c r="B488" t="s">
        <v>249</v>
      </c>
      <c r="D488" t="s">
        <v>6654</v>
      </c>
      <c r="E488" t="s">
        <v>4915</v>
      </c>
      <c r="F488" t="s">
        <v>4916</v>
      </c>
      <c r="G488" t="s">
        <v>4917</v>
      </c>
      <c r="H488" t="s">
        <v>6655</v>
      </c>
      <c r="I488" t="s">
        <v>5368</v>
      </c>
      <c r="J488" t="s">
        <v>3203</v>
      </c>
      <c r="K488" t="s">
        <v>3203</v>
      </c>
      <c r="L488" t="s">
        <v>4112</v>
      </c>
      <c r="M488" t="s">
        <v>3088</v>
      </c>
      <c r="N488" t="s">
        <v>4112</v>
      </c>
      <c r="O488" t="s">
        <v>3088</v>
      </c>
      <c r="P488" t="s">
        <v>3088</v>
      </c>
      <c r="Q488" t="s">
        <v>3852</v>
      </c>
      <c r="R488" t="s">
        <v>4394</v>
      </c>
      <c r="S488" t="s">
        <v>5374</v>
      </c>
      <c r="T488" t="s">
        <v>1576</v>
      </c>
      <c r="U488" t="s">
        <v>6656</v>
      </c>
      <c r="V488" s="17">
        <v>45764</v>
      </c>
      <c r="W488" s="17">
        <v>45798</v>
      </c>
      <c r="X488" s="17">
        <v>45859</v>
      </c>
      <c r="Y488">
        <v>-303</v>
      </c>
      <c r="Z488">
        <v>2</v>
      </c>
      <c r="AA488">
        <v>2.0333333333333332</v>
      </c>
      <c r="AB488">
        <v>1548.8333333333333</v>
      </c>
      <c r="AC488" s="17"/>
      <c r="AD488">
        <v>45869</v>
      </c>
      <c r="AE488">
        <v>41412</v>
      </c>
      <c r="AF488">
        <v>82824</v>
      </c>
      <c r="AG488">
        <v>40733.114800000003</v>
      </c>
      <c r="AH488">
        <v>82824</v>
      </c>
      <c r="AI488">
        <v>0</v>
      </c>
      <c r="AJ488">
        <v>0</v>
      </c>
      <c r="AW488">
        <v>0</v>
      </c>
      <c r="BJ488">
        <v>0</v>
      </c>
      <c r="BW488">
        <v>0</v>
      </c>
      <c r="CJ488">
        <v>82824</v>
      </c>
      <c r="CO488">
        <v>24847.200000000001</v>
      </c>
      <c r="CP488">
        <v>57976.800000000003</v>
      </c>
      <c r="CW488">
        <v>0</v>
      </c>
      <c r="DJ488">
        <v>0</v>
      </c>
      <c r="DW488">
        <v>0</v>
      </c>
      <c r="EJ488">
        <v>82824</v>
      </c>
    </row>
    <row r="489" spans="1:140" hidden="1" x14ac:dyDescent="0.35">
      <c r="A489" t="s">
        <v>3317</v>
      </c>
      <c r="B489" t="s">
        <v>249</v>
      </c>
      <c r="D489" t="s">
        <v>6657</v>
      </c>
      <c r="E489" t="s">
        <v>640</v>
      </c>
      <c r="F489" t="s">
        <v>4911</v>
      </c>
      <c r="G489" t="s">
        <v>4912</v>
      </c>
      <c r="H489" t="s">
        <v>6658</v>
      </c>
      <c r="I489" t="s">
        <v>5368</v>
      </c>
      <c r="J489" t="s">
        <v>3203</v>
      </c>
      <c r="K489" t="s">
        <v>3203</v>
      </c>
      <c r="L489" t="s">
        <v>637</v>
      </c>
      <c r="M489" t="s">
        <v>4030</v>
      </c>
      <c r="N489" t="s">
        <v>89</v>
      </c>
      <c r="O489" t="s">
        <v>3088</v>
      </c>
      <c r="P489" t="s">
        <v>3088</v>
      </c>
      <c r="Q489" t="s">
        <v>3075</v>
      </c>
      <c r="R489" t="s">
        <v>4394</v>
      </c>
      <c r="S489" t="s">
        <v>5452</v>
      </c>
      <c r="T489" t="s">
        <v>1576</v>
      </c>
      <c r="U489" t="s">
        <v>6659</v>
      </c>
      <c r="V489" s="17">
        <v>45728</v>
      </c>
      <c r="W489" s="17">
        <v>45742</v>
      </c>
      <c r="X489" s="17">
        <v>45773</v>
      </c>
      <c r="Y489">
        <v>-389</v>
      </c>
      <c r="Z489">
        <v>1</v>
      </c>
      <c r="AA489">
        <v>1.0333333333333334</v>
      </c>
      <c r="AB489">
        <v>1551.7</v>
      </c>
      <c r="AC489" s="17"/>
      <c r="AD489">
        <v>45838</v>
      </c>
      <c r="AE489">
        <v>51740</v>
      </c>
      <c r="AF489">
        <v>51740</v>
      </c>
      <c r="AG489">
        <v>50070.967700000001</v>
      </c>
      <c r="AH489">
        <v>51740</v>
      </c>
      <c r="AI489">
        <v>0</v>
      </c>
      <c r="AJ489">
        <v>0</v>
      </c>
      <c r="AW489">
        <v>0</v>
      </c>
      <c r="BJ489">
        <v>0</v>
      </c>
      <c r="BW489">
        <v>0</v>
      </c>
      <c r="CJ489">
        <v>51740</v>
      </c>
      <c r="CN489">
        <v>27104</v>
      </c>
      <c r="CO489">
        <v>24636</v>
      </c>
      <c r="CW489">
        <v>0</v>
      </c>
      <c r="DJ489">
        <v>0</v>
      </c>
      <c r="DW489">
        <v>0</v>
      </c>
      <c r="EJ489">
        <v>51740</v>
      </c>
    </row>
    <row r="490" spans="1:140" hidden="1" x14ac:dyDescent="0.35">
      <c r="A490" t="s">
        <v>3317</v>
      </c>
      <c r="B490" t="s">
        <v>249</v>
      </c>
      <c r="D490" t="s">
        <v>6660</v>
      </c>
      <c r="E490" t="s">
        <v>640</v>
      </c>
      <c r="F490" t="s">
        <v>4911</v>
      </c>
      <c r="G490" t="s">
        <v>4912</v>
      </c>
      <c r="H490" t="s">
        <v>6661</v>
      </c>
      <c r="I490" t="s">
        <v>5373</v>
      </c>
      <c r="J490" t="s">
        <v>3203</v>
      </c>
      <c r="K490" t="s">
        <v>3203</v>
      </c>
      <c r="L490" t="s">
        <v>637</v>
      </c>
      <c r="M490" t="s">
        <v>4030</v>
      </c>
      <c r="N490" t="s">
        <v>89</v>
      </c>
      <c r="O490" t="s">
        <v>3088</v>
      </c>
      <c r="P490" t="s">
        <v>3088</v>
      </c>
      <c r="Q490" t="s">
        <v>3075</v>
      </c>
      <c r="R490" t="s">
        <v>4394</v>
      </c>
      <c r="S490" t="s">
        <v>5452</v>
      </c>
      <c r="T490" t="s">
        <v>1576</v>
      </c>
      <c r="U490" t="s">
        <v>6659</v>
      </c>
      <c r="V490" s="17">
        <v>45807</v>
      </c>
      <c r="W490" s="17">
        <v>45773</v>
      </c>
      <c r="X490" s="17">
        <v>45803</v>
      </c>
      <c r="Y490">
        <v>-359</v>
      </c>
      <c r="Z490">
        <v>1</v>
      </c>
      <c r="AA490">
        <v>1</v>
      </c>
      <c r="AB490">
        <v>1550.7</v>
      </c>
      <c r="AC490" s="17"/>
      <c r="AD490">
        <v>45838</v>
      </c>
      <c r="AE490">
        <v>6168</v>
      </c>
      <c r="AF490">
        <v>6168</v>
      </c>
      <c r="AG490">
        <v>6168</v>
      </c>
      <c r="AH490">
        <v>6168</v>
      </c>
      <c r="AI490">
        <v>0</v>
      </c>
      <c r="AJ490">
        <v>0</v>
      </c>
      <c r="AW490">
        <v>0</v>
      </c>
      <c r="BJ490">
        <v>0</v>
      </c>
      <c r="BW490">
        <v>0</v>
      </c>
      <c r="CJ490">
        <v>6168</v>
      </c>
      <c r="CP490">
        <v>6168</v>
      </c>
      <c r="CW490">
        <v>0</v>
      </c>
      <c r="DJ490">
        <v>0</v>
      </c>
      <c r="DW490">
        <v>0</v>
      </c>
      <c r="EJ490">
        <v>6168</v>
      </c>
    </row>
    <row r="491" spans="1:140" hidden="1" x14ac:dyDescent="0.35">
      <c r="A491" t="s">
        <v>3317</v>
      </c>
      <c r="B491" t="s">
        <v>249</v>
      </c>
      <c r="D491" t="s">
        <v>6662</v>
      </c>
      <c r="E491" t="s">
        <v>4901</v>
      </c>
      <c r="F491" t="s">
        <v>4902</v>
      </c>
      <c r="G491" t="s">
        <v>4903</v>
      </c>
      <c r="H491" t="s">
        <v>6663</v>
      </c>
      <c r="I491" t="s">
        <v>5368</v>
      </c>
      <c r="J491" t="s">
        <v>3203</v>
      </c>
      <c r="K491" t="s">
        <v>3203</v>
      </c>
      <c r="L491" t="s">
        <v>4703</v>
      </c>
      <c r="M491" t="s">
        <v>3088</v>
      </c>
      <c r="N491" t="s">
        <v>89</v>
      </c>
      <c r="O491" t="s">
        <v>3088</v>
      </c>
      <c r="P491">
        <v>0</v>
      </c>
      <c r="Q491" t="s">
        <v>3075</v>
      </c>
      <c r="R491" t="s">
        <v>4394</v>
      </c>
      <c r="S491" t="s">
        <v>5374</v>
      </c>
      <c r="T491" t="s">
        <v>1576</v>
      </c>
      <c r="U491" t="s">
        <v>6664</v>
      </c>
      <c r="V491" s="17">
        <v>45642</v>
      </c>
      <c r="W491" s="17">
        <v>45705</v>
      </c>
      <c r="X491" s="17">
        <v>45764</v>
      </c>
      <c r="Y491">
        <v>-398</v>
      </c>
      <c r="Z491">
        <v>2</v>
      </c>
      <c r="AA491">
        <v>1.9666666666666666</v>
      </c>
      <c r="AB491">
        <v>1552</v>
      </c>
      <c r="AC491" s="17"/>
      <c r="AD491">
        <v>45869</v>
      </c>
      <c r="AE491">
        <v>83493.69</v>
      </c>
      <c r="AF491">
        <v>166987.38</v>
      </c>
      <c r="AG491">
        <v>84908.837299999999</v>
      </c>
      <c r="AH491">
        <v>166987.38</v>
      </c>
      <c r="AI491">
        <v>0</v>
      </c>
      <c r="AJ491">
        <v>0</v>
      </c>
      <c r="AW491">
        <v>0</v>
      </c>
      <c r="BJ491">
        <v>0</v>
      </c>
      <c r="BW491">
        <v>0</v>
      </c>
      <c r="CJ491">
        <v>166987.38</v>
      </c>
      <c r="CL491">
        <v>66516.66</v>
      </c>
      <c r="CM491">
        <v>72695.808000000005</v>
      </c>
      <c r="CN491">
        <v>27774.912</v>
      </c>
      <c r="CW491">
        <v>0</v>
      </c>
      <c r="DJ491">
        <v>0</v>
      </c>
      <c r="DW491">
        <v>0</v>
      </c>
      <c r="EJ491">
        <v>166987.38</v>
      </c>
    </row>
    <row r="492" spans="1:140" hidden="1" x14ac:dyDescent="0.35">
      <c r="A492" t="s">
        <v>3317</v>
      </c>
      <c r="B492" t="s">
        <v>249</v>
      </c>
      <c r="D492" t="s">
        <v>6665</v>
      </c>
      <c r="E492" t="s">
        <v>997</v>
      </c>
      <c r="F492" t="s">
        <v>3889</v>
      </c>
      <c r="G492" t="s">
        <v>3890</v>
      </c>
      <c r="H492" t="s">
        <v>6666</v>
      </c>
      <c r="I492" t="s">
        <v>5368</v>
      </c>
      <c r="J492" t="s">
        <v>3071</v>
      </c>
      <c r="K492" t="s">
        <v>3071</v>
      </c>
      <c r="L492" t="s">
        <v>996</v>
      </c>
      <c r="M492" t="s">
        <v>3597</v>
      </c>
      <c r="N492" t="s">
        <v>89</v>
      </c>
      <c r="O492" t="s">
        <v>3088</v>
      </c>
      <c r="P492">
        <v>0</v>
      </c>
      <c r="Q492" t="s">
        <v>3075</v>
      </c>
      <c r="R492" t="s">
        <v>1580</v>
      </c>
      <c r="S492" t="s">
        <v>5374</v>
      </c>
      <c r="T492" t="s">
        <v>1576</v>
      </c>
      <c r="U492" t="s">
        <v>6667</v>
      </c>
      <c r="V492" s="17">
        <v>45468</v>
      </c>
      <c r="W492" s="17">
        <v>45468</v>
      </c>
      <c r="X492" s="17">
        <v>45713</v>
      </c>
      <c r="Y492">
        <v>-449</v>
      </c>
      <c r="Z492">
        <v>8</v>
      </c>
      <c r="AA492">
        <v>8.1666666666666661</v>
      </c>
      <c r="AB492">
        <v>1553.7</v>
      </c>
      <c r="AC492" s="17"/>
      <c r="AD492">
        <v>45868</v>
      </c>
      <c r="AE492">
        <v>26875</v>
      </c>
      <c r="AF492">
        <v>430000</v>
      </c>
      <c r="AG492">
        <v>52653.061199999996</v>
      </c>
      <c r="AH492">
        <v>394800</v>
      </c>
      <c r="AI492">
        <v>-35200</v>
      </c>
      <c r="AJ492">
        <v>0</v>
      </c>
      <c r="AW492">
        <v>0</v>
      </c>
      <c r="BJ492">
        <v>0</v>
      </c>
      <c r="BW492">
        <v>293400</v>
      </c>
      <c r="CD492">
        <v>53400</v>
      </c>
      <c r="CE492">
        <v>48000</v>
      </c>
      <c r="CF492">
        <v>48000</v>
      </c>
      <c r="CG492">
        <v>48000</v>
      </c>
      <c r="CH492">
        <v>48000</v>
      </c>
      <c r="CI492">
        <v>48000</v>
      </c>
      <c r="CJ492">
        <v>101400</v>
      </c>
      <c r="CK492">
        <v>48000</v>
      </c>
      <c r="CL492">
        <v>53400</v>
      </c>
      <c r="CW492">
        <v>0</v>
      </c>
      <c r="DJ492">
        <v>0</v>
      </c>
      <c r="DW492">
        <v>0</v>
      </c>
      <c r="EJ492">
        <v>101400</v>
      </c>
    </row>
    <row r="493" spans="1:140" hidden="1" x14ac:dyDescent="0.35">
      <c r="A493" t="s">
        <v>3317</v>
      </c>
      <c r="B493" t="s">
        <v>249</v>
      </c>
      <c r="D493" t="s">
        <v>6665</v>
      </c>
      <c r="E493" t="s">
        <v>997</v>
      </c>
      <c r="F493" t="s">
        <v>3889</v>
      </c>
      <c r="G493" t="s">
        <v>5125</v>
      </c>
      <c r="H493" t="s">
        <v>6666</v>
      </c>
      <c r="I493" t="s">
        <v>5368</v>
      </c>
      <c r="J493" t="s">
        <v>5102</v>
      </c>
      <c r="K493" t="s">
        <v>5102</v>
      </c>
      <c r="L493" t="s">
        <v>996</v>
      </c>
      <c r="M493" t="s">
        <v>3597</v>
      </c>
      <c r="N493" t="s">
        <v>89</v>
      </c>
      <c r="O493" t="s">
        <v>3088</v>
      </c>
      <c r="P493">
        <v>0</v>
      </c>
      <c r="Q493" t="s">
        <v>3075</v>
      </c>
      <c r="R493" t="s">
        <v>1580</v>
      </c>
      <c r="S493" t="s">
        <v>5374</v>
      </c>
      <c r="T493" t="s">
        <v>1576</v>
      </c>
      <c r="U493" t="s">
        <v>6667</v>
      </c>
      <c r="V493" s="17">
        <v>45468</v>
      </c>
      <c r="W493" s="17">
        <v>45468</v>
      </c>
      <c r="X493" s="17">
        <v>45713</v>
      </c>
      <c r="Y493">
        <v>-449</v>
      </c>
      <c r="Z493">
        <v>8</v>
      </c>
      <c r="AA493">
        <v>8.1666666666666661</v>
      </c>
      <c r="AB493">
        <v>1553.7</v>
      </c>
      <c r="AC493" s="17"/>
      <c r="AD493">
        <v>45868</v>
      </c>
      <c r="AE493">
        <v>26875</v>
      </c>
      <c r="AF493">
        <v>430000</v>
      </c>
      <c r="AG493">
        <v>52653.061199999996</v>
      </c>
      <c r="AH493">
        <v>35000</v>
      </c>
      <c r="AI493">
        <v>-395000</v>
      </c>
      <c r="AJ493">
        <v>0</v>
      </c>
      <c r="AW493">
        <v>0</v>
      </c>
      <c r="BJ493">
        <v>0</v>
      </c>
      <c r="BW493">
        <v>35000</v>
      </c>
      <c r="CD493">
        <v>35000</v>
      </c>
      <c r="CJ493">
        <v>0</v>
      </c>
      <c r="CW493">
        <v>0</v>
      </c>
      <c r="DJ493">
        <v>0</v>
      </c>
      <c r="DW493">
        <v>0</v>
      </c>
      <c r="EJ493">
        <v>0</v>
      </c>
    </row>
    <row r="494" spans="1:140" hidden="1" x14ac:dyDescent="0.35">
      <c r="A494" t="s">
        <v>3317</v>
      </c>
      <c r="B494" t="s">
        <v>249</v>
      </c>
      <c r="D494" t="s">
        <v>6668</v>
      </c>
      <c r="E494" t="s">
        <v>997</v>
      </c>
      <c r="F494" t="s">
        <v>3889</v>
      </c>
      <c r="G494" t="s">
        <v>3890</v>
      </c>
      <c r="H494" t="s">
        <v>6669</v>
      </c>
      <c r="I494" t="s">
        <v>5373</v>
      </c>
      <c r="J494" t="s">
        <v>3071</v>
      </c>
      <c r="K494" t="s">
        <v>3071</v>
      </c>
      <c r="L494" t="s">
        <v>996</v>
      </c>
      <c r="M494" t="s">
        <v>3597</v>
      </c>
      <c r="N494" t="s">
        <v>89</v>
      </c>
      <c r="O494" t="s">
        <v>3088</v>
      </c>
      <c r="P494" t="s">
        <v>3088</v>
      </c>
      <c r="Q494" t="s">
        <v>3075</v>
      </c>
      <c r="R494" t="s">
        <v>1580</v>
      </c>
      <c r="S494" t="s">
        <v>5374</v>
      </c>
      <c r="T494" t="s">
        <v>1576</v>
      </c>
      <c r="U494" t="s">
        <v>6667</v>
      </c>
      <c r="V494" s="17">
        <v>45743</v>
      </c>
      <c r="W494" s="17">
        <v>45713</v>
      </c>
      <c r="X494" s="17">
        <v>45833</v>
      </c>
      <c r="Y494">
        <v>-329</v>
      </c>
      <c r="Z494">
        <v>4</v>
      </c>
      <c r="AA494">
        <v>4</v>
      </c>
      <c r="AB494">
        <v>1549.7</v>
      </c>
      <c r="AC494" s="17"/>
      <c r="AD494">
        <v>45868</v>
      </c>
      <c r="AE494">
        <v>19000</v>
      </c>
      <c r="AF494">
        <v>152000</v>
      </c>
      <c r="AG494">
        <v>38000</v>
      </c>
      <c r="AH494">
        <v>152000</v>
      </c>
      <c r="AI494">
        <v>0</v>
      </c>
      <c r="AJ494">
        <v>0</v>
      </c>
      <c r="AW494">
        <v>0</v>
      </c>
      <c r="BJ494">
        <v>0</v>
      </c>
      <c r="BW494">
        <v>0</v>
      </c>
      <c r="CJ494">
        <v>152000</v>
      </c>
      <c r="CM494">
        <v>48000</v>
      </c>
      <c r="CN494">
        <v>48000</v>
      </c>
      <c r="CO494">
        <v>28000</v>
      </c>
      <c r="CP494">
        <v>28000</v>
      </c>
      <c r="CW494">
        <v>0</v>
      </c>
      <c r="DJ494">
        <v>0</v>
      </c>
      <c r="DW494">
        <v>0</v>
      </c>
      <c r="EJ494">
        <v>152000</v>
      </c>
    </row>
    <row r="495" spans="1:140" hidden="1" x14ac:dyDescent="0.35">
      <c r="A495" t="s">
        <v>3317</v>
      </c>
      <c r="B495" t="s">
        <v>249</v>
      </c>
      <c r="D495" t="s">
        <v>6670</v>
      </c>
      <c r="E495" t="s">
        <v>4330</v>
      </c>
      <c r="F495" t="s">
        <v>4331</v>
      </c>
      <c r="G495" t="s">
        <v>4332</v>
      </c>
      <c r="H495" t="s">
        <v>6671</v>
      </c>
      <c r="I495" t="s">
        <v>5368</v>
      </c>
      <c r="J495" t="s">
        <v>3071</v>
      </c>
      <c r="K495" t="s">
        <v>4313</v>
      </c>
      <c r="L495" t="s">
        <v>4333</v>
      </c>
      <c r="M495" t="s">
        <v>249</v>
      </c>
      <c r="N495" t="s">
        <v>4334</v>
      </c>
      <c r="O495" t="s">
        <v>4335</v>
      </c>
      <c r="P495" t="s">
        <v>3155</v>
      </c>
      <c r="Q495" t="s">
        <v>3075</v>
      </c>
      <c r="R495" t="s">
        <v>2739</v>
      </c>
      <c r="S495" t="s">
        <v>5452</v>
      </c>
      <c r="T495" t="s">
        <v>2363</v>
      </c>
      <c r="U495" t="s">
        <v>6672</v>
      </c>
      <c r="V495" s="17">
        <v>45777</v>
      </c>
      <c r="W495" s="17">
        <v>45820</v>
      </c>
      <c r="X495" s="17">
        <v>45850</v>
      </c>
      <c r="Y495">
        <v>-312</v>
      </c>
      <c r="Z495">
        <v>1</v>
      </c>
      <c r="AA495">
        <v>1</v>
      </c>
      <c r="AB495">
        <v>1549.1333333333334</v>
      </c>
      <c r="AC495" s="17"/>
      <c r="AD495">
        <v>45835</v>
      </c>
      <c r="AE495">
        <v>40000</v>
      </c>
      <c r="AF495">
        <v>40000</v>
      </c>
      <c r="AG495">
        <v>40000</v>
      </c>
      <c r="AH495">
        <v>40000</v>
      </c>
      <c r="AI495">
        <v>0</v>
      </c>
      <c r="AJ495">
        <v>0</v>
      </c>
      <c r="AW495">
        <v>0</v>
      </c>
      <c r="BJ495">
        <v>0</v>
      </c>
      <c r="BW495">
        <v>0</v>
      </c>
      <c r="CJ495">
        <v>40000</v>
      </c>
      <c r="CO495">
        <v>40000</v>
      </c>
      <c r="CW495">
        <v>0</v>
      </c>
      <c r="DJ495">
        <v>0</v>
      </c>
      <c r="DW495">
        <v>0</v>
      </c>
      <c r="EJ495">
        <v>40000</v>
      </c>
    </row>
    <row r="496" spans="1:140" hidden="1" x14ac:dyDescent="0.35">
      <c r="A496" t="s">
        <v>3317</v>
      </c>
      <c r="B496" t="s">
        <v>249</v>
      </c>
      <c r="D496" t="s">
        <v>6673</v>
      </c>
      <c r="E496" t="s">
        <v>4325</v>
      </c>
      <c r="F496" t="s">
        <v>4326</v>
      </c>
      <c r="G496" t="s">
        <v>4327</v>
      </c>
      <c r="H496" t="s">
        <v>6674</v>
      </c>
      <c r="I496" t="s">
        <v>5368</v>
      </c>
      <c r="J496" t="s">
        <v>3071</v>
      </c>
      <c r="K496" t="s">
        <v>4313</v>
      </c>
      <c r="L496" t="s">
        <v>532</v>
      </c>
      <c r="M496" t="s">
        <v>249</v>
      </c>
      <c r="N496" t="s">
        <v>89</v>
      </c>
      <c r="O496" t="s">
        <v>3088</v>
      </c>
      <c r="P496" t="s">
        <v>3088</v>
      </c>
      <c r="Q496" t="s">
        <v>3075</v>
      </c>
      <c r="R496" t="s">
        <v>2739</v>
      </c>
      <c r="S496" t="s">
        <v>5452</v>
      </c>
      <c r="T496" t="s">
        <v>2363</v>
      </c>
      <c r="U496" t="s">
        <v>6675</v>
      </c>
      <c r="V496" s="17">
        <v>45777</v>
      </c>
      <c r="W496" s="17">
        <v>45777</v>
      </c>
      <c r="X496" s="17">
        <v>45807</v>
      </c>
      <c r="Y496">
        <v>-355</v>
      </c>
      <c r="Z496">
        <v>1</v>
      </c>
      <c r="AA496">
        <v>1</v>
      </c>
      <c r="AB496">
        <v>1550.5666666666666</v>
      </c>
      <c r="AC496" s="17"/>
      <c r="AD496">
        <v>45838</v>
      </c>
      <c r="AE496">
        <v>25000</v>
      </c>
      <c r="AF496">
        <v>25000</v>
      </c>
      <c r="AG496">
        <v>25000</v>
      </c>
      <c r="AH496">
        <v>25000</v>
      </c>
      <c r="AI496">
        <v>0</v>
      </c>
      <c r="AJ496">
        <v>0</v>
      </c>
      <c r="AW496">
        <v>0</v>
      </c>
      <c r="BJ496">
        <v>0</v>
      </c>
      <c r="BW496">
        <v>0</v>
      </c>
      <c r="CJ496">
        <v>25000</v>
      </c>
      <c r="CO496">
        <v>25000</v>
      </c>
      <c r="CW496">
        <v>0</v>
      </c>
      <c r="DJ496">
        <v>0</v>
      </c>
      <c r="DW496">
        <v>0</v>
      </c>
      <c r="EJ496">
        <v>25000</v>
      </c>
    </row>
    <row r="497" spans="1:140" hidden="1" x14ac:dyDescent="0.35">
      <c r="A497" t="s">
        <v>3317</v>
      </c>
      <c r="B497" t="s">
        <v>249</v>
      </c>
      <c r="D497" t="s">
        <v>6676</v>
      </c>
      <c r="E497" t="s">
        <v>208</v>
      </c>
      <c r="F497" t="s">
        <v>3893</v>
      </c>
      <c r="G497" t="s">
        <v>3894</v>
      </c>
      <c r="H497" t="s">
        <v>6677</v>
      </c>
      <c r="I497" t="s">
        <v>5368</v>
      </c>
      <c r="J497" t="s">
        <v>3071</v>
      </c>
      <c r="K497" t="s">
        <v>3071</v>
      </c>
      <c r="L497" t="s">
        <v>205</v>
      </c>
      <c r="M497" t="s">
        <v>3130</v>
      </c>
      <c r="N497" t="s">
        <v>206</v>
      </c>
      <c r="O497" t="s">
        <v>3070</v>
      </c>
      <c r="P497">
        <v>0</v>
      </c>
      <c r="Q497" t="s">
        <v>3075</v>
      </c>
      <c r="R497" t="s">
        <v>1580</v>
      </c>
      <c r="S497" t="s">
        <v>5452</v>
      </c>
      <c r="T497" t="s">
        <v>1576</v>
      </c>
      <c r="U497" t="s">
        <v>6678</v>
      </c>
      <c r="V497" s="17">
        <v>45569</v>
      </c>
      <c r="W497" s="17">
        <v>45573</v>
      </c>
      <c r="X497" s="17">
        <v>45755</v>
      </c>
      <c r="Y497">
        <v>-407</v>
      </c>
      <c r="Z497">
        <v>6</v>
      </c>
      <c r="AA497">
        <v>6.0666666666666664</v>
      </c>
      <c r="AB497">
        <v>1552.3</v>
      </c>
      <c r="AC497" s="17"/>
      <c r="AD497">
        <v>45869</v>
      </c>
      <c r="AE497">
        <v>17541.665000000001</v>
      </c>
      <c r="AF497">
        <v>210499.98</v>
      </c>
      <c r="AG497">
        <v>34697.798900000002</v>
      </c>
      <c r="AH497">
        <v>210500</v>
      </c>
      <c r="AI497">
        <v>0.02</v>
      </c>
      <c r="AJ497">
        <v>0</v>
      </c>
      <c r="AW497">
        <v>0</v>
      </c>
      <c r="BJ497">
        <v>0</v>
      </c>
      <c r="BW497">
        <v>65500</v>
      </c>
      <c r="CH497">
        <v>12000</v>
      </c>
      <c r="CI497">
        <v>53500</v>
      </c>
      <c r="CJ497">
        <v>145000</v>
      </c>
      <c r="CK497">
        <v>50500</v>
      </c>
      <c r="CL497">
        <v>52000</v>
      </c>
      <c r="CM497">
        <v>20500</v>
      </c>
      <c r="CN497">
        <v>22000</v>
      </c>
      <c r="CW497">
        <v>0</v>
      </c>
      <c r="DJ497">
        <v>0</v>
      </c>
      <c r="DW497">
        <v>0</v>
      </c>
      <c r="EJ497">
        <v>145000</v>
      </c>
    </row>
    <row r="498" spans="1:140" hidden="1" x14ac:dyDescent="0.35">
      <c r="A498" t="s">
        <v>3317</v>
      </c>
      <c r="B498" t="s">
        <v>249</v>
      </c>
      <c r="D498" t="s">
        <v>6679</v>
      </c>
      <c r="E498" t="s">
        <v>208</v>
      </c>
      <c r="F498" t="s">
        <v>3893</v>
      </c>
      <c r="G498" t="s">
        <v>3894</v>
      </c>
      <c r="H498" t="s">
        <v>6680</v>
      </c>
      <c r="I498" t="s">
        <v>5373</v>
      </c>
      <c r="J498" t="s">
        <v>3071</v>
      </c>
      <c r="K498" t="s">
        <v>3071</v>
      </c>
      <c r="L498" t="s">
        <v>205</v>
      </c>
      <c r="M498" t="s">
        <v>3130</v>
      </c>
      <c r="N498" t="s">
        <v>206</v>
      </c>
      <c r="O498" t="s">
        <v>3070</v>
      </c>
      <c r="P498" t="s">
        <v>3879</v>
      </c>
      <c r="Q498" t="s">
        <v>3075</v>
      </c>
      <c r="R498" t="s">
        <v>1580</v>
      </c>
      <c r="S498" t="s">
        <v>5374</v>
      </c>
      <c r="T498" t="s">
        <v>1576</v>
      </c>
      <c r="U498" t="s">
        <v>6681</v>
      </c>
      <c r="V498" s="17">
        <v>45687</v>
      </c>
      <c r="W498" s="17">
        <v>45687</v>
      </c>
      <c r="X498" s="17">
        <v>45746</v>
      </c>
      <c r="Y498">
        <v>-416</v>
      </c>
      <c r="Z498">
        <v>2</v>
      </c>
      <c r="AA498">
        <v>1.9666666666666666</v>
      </c>
      <c r="AB498">
        <v>1552.6</v>
      </c>
      <c r="AC498" s="17"/>
      <c r="AD498">
        <v>45869</v>
      </c>
      <c r="AE498">
        <v>22000</v>
      </c>
      <c r="AF498">
        <v>44000</v>
      </c>
      <c r="AG498">
        <v>22372.881399999998</v>
      </c>
      <c r="AH498">
        <v>44000</v>
      </c>
      <c r="AI498">
        <v>0</v>
      </c>
      <c r="AJ498">
        <v>0</v>
      </c>
      <c r="AW498">
        <v>0</v>
      </c>
      <c r="BJ498">
        <v>0</v>
      </c>
      <c r="BW498">
        <v>0</v>
      </c>
      <c r="CJ498">
        <v>44000</v>
      </c>
      <c r="CM498">
        <v>22000</v>
      </c>
      <c r="CN498">
        <v>22000</v>
      </c>
      <c r="CW498">
        <v>0</v>
      </c>
      <c r="DJ498">
        <v>0</v>
      </c>
      <c r="DW498">
        <v>0</v>
      </c>
      <c r="EJ498">
        <v>44000</v>
      </c>
    </row>
    <row r="499" spans="1:140" hidden="1" x14ac:dyDescent="0.35">
      <c r="A499" t="s">
        <v>3317</v>
      </c>
      <c r="B499" t="s">
        <v>249</v>
      </c>
      <c r="D499" t="s">
        <v>6682</v>
      </c>
      <c r="E499" t="s">
        <v>208</v>
      </c>
      <c r="F499" t="s">
        <v>3893</v>
      </c>
      <c r="G499" t="s">
        <v>3894</v>
      </c>
      <c r="H499" t="s">
        <v>6680</v>
      </c>
      <c r="I499" t="s">
        <v>5373</v>
      </c>
      <c r="J499" t="s">
        <v>3071</v>
      </c>
      <c r="K499" t="s">
        <v>3071</v>
      </c>
      <c r="L499" t="s">
        <v>205</v>
      </c>
      <c r="M499" t="s">
        <v>3130</v>
      </c>
      <c r="N499" t="s">
        <v>206</v>
      </c>
      <c r="O499" t="s">
        <v>3070</v>
      </c>
      <c r="P499" t="s">
        <v>3879</v>
      </c>
      <c r="Q499" t="s">
        <v>3075</v>
      </c>
      <c r="R499" t="s">
        <v>2513</v>
      </c>
      <c r="S499" t="s">
        <v>5374</v>
      </c>
      <c r="T499" t="s">
        <v>1576</v>
      </c>
      <c r="U499" t="s">
        <v>6681</v>
      </c>
      <c r="V499" s="17">
        <v>45789</v>
      </c>
      <c r="W499" s="17">
        <v>45756</v>
      </c>
      <c r="X499" s="17">
        <v>45800</v>
      </c>
      <c r="Y499">
        <v>-362</v>
      </c>
      <c r="Z499">
        <v>1.5</v>
      </c>
      <c r="AA499">
        <v>1.4666666666666666</v>
      </c>
      <c r="AB499">
        <v>1550.8</v>
      </c>
      <c r="AC499" s="17"/>
      <c r="AD499">
        <v>45869</v>
      </c>
      <c r="AE499">
        <v>22000</v>
      </c>
      <c r="AF499">
        <v>66000</v>
      </c>
      <c r="AG499">
        <v>45000</v>
      </c>
      <c r="AH499">
        <v>66000</v>
      </c>
      <c r="AI499">
        <v>0</v>
      </c>
      <c r="AJ499">
        <v>0</v>
      </c>
      <c r="AW499">
        <v>0</v>
      </c>
      <c r="BJ499">
        <v>0</v>
      </c>
      <c r="BW499">
        <v>0</v>
      </c>
      <c r="CJ499">
        <v>66000</v>
      </c>
      <c r="CM499">
        <v>22000</v>
      </c>
      <c r="CN499">
        <v>22000</v>
      </c>
      <c r="CO499">
        <v>22000</v>
      </c>
      <c r="CW499">
        <v>0</v>
      </c>
      <c r="DJ499">
        <v>0</v>
      </c>
      <c r="DW499">
        <v>0</v>
      </c>
      <c r="EJ499">
        <v>66000</v>
      </c>
    </row>
    <row r="500" spans="1:140" hidden="1" x14ac:dyDescent="0.35">
      <c r="A500" t="s">
        <v>3317</v>
      </c>
      <c r="B500" t="s">
        <v>249</v>
      </c>
      <c r="D500" t="s">
        <v>6683</v>
      </c>
      <c r="E500" t="s">
        <v>208</v>
      </c>
      <c r="F500" t="s">
        <v>3893</v>
      </c>
      <c r="G500" t="s">
        <v>3894</v>
      </c>
      <c r="H500" t="s">
        <v>6680</v>
      </c>
      <c r="I500" t="s">
        <v>5373</v>
      </c>
      <c r="J500" t="s">
        <v>3071</v>
      </c>
      <c r="K500" t="s">
        <v>3071</v>
      </c>
      <c r="L500" t="s">
        <v>205</v>
      </c>
      <c r="M500" t="s">
        <v>3130</v>
      </c>
      <c r="N500" t="s">
        <v>206</v>
      </c>
      <c r="O500" t="s">
        <v>3070</v>
      </c>
      <c r="P500" t="s">
        <v>3879</v>
      </c>
      <c r="Q500" t="s">
        <v>3075</v>
      </c>
      <c r="R500" t="s">
        <v>2513</v>
      </c>
      <c r="S500" t="s">
        <v>5374</v>
      </c>
      <c r="T500" t="s">
        <v>1576</v>
      </c>
      <c r="U500" t="s">
        <v>6681</v>
      </c>
      <c r="V500" s="17">
        <v>45821</v>
      </c>
      <c r="W500" s="17">
        <v>45800</v>
      </c>
      <c r="X500" s="17">
        <v>45831</v>
      </c>
      <c r="Y500">
        <v>-331</v>
      </c>
      <c r="Z500">
        <v>1</v>
      </c>
      <c r="AA500">
        <v>1.0333333333333334</v>
      </c>
      <c r="AB500">
        <v>1549.7666666666667</v>
      </c>
      <c r="AC500" s="17"/>
      <c r="AD500">
        <v>45869</v>
      </c>
      <c r="AE500">
        <v>22000</v>
      </c>
      <c r="AF500">
        <v>22000</v>
      </c>
      <c r="AG500">
        <v>21290.3226</v>
      </c>
      <c r="AH500">
        <v>22000</v>
      </c>
      <c r="AI500">
        <v>0</v>
      </c>
      <c r="AJ500">
        <v>0</v>
      </c>
      <c r="AW500">
        <v>0</v>
      </c>
      <c r="BJ500">
        <v>0</v>
      </c>
      <c r="BW500">
        <v>0</v>
      </c>
      <c r="CJ500">
        <v>22000</v>
      </c>
      <c r="CO500">
        <v>11000</v>
      </c>
      <c r="CP500">
        <v>11000</v>
      </c>
      <c r="CW500">
        <v>0</v>
      </c>
      <c r="DJ500">
        <v>0</v>
      </c>
      <c r="DW500">
        <v>0</v>
      </c>
      <c r="EJ500">
        <v>22000</v>
      </c>
    </row>
    <row r="501" spans="1:140" hidden="1" x14ac:dyDescent="0.35">
      <c r="A501" t="s">
        <v>3317</v>
      </c>
      <c r="B501" t="s">
        <v>249</v>
      </c>
      <c r="D501" t="s">
        <v>6684</v>
      </c>
      <c r="E501" t="s">
        <v>208</v>
      </c>
      <c r="F501" t="s">
        <v>3893</v>
      </c>
      <c r="G501" t="s">
        <v>3894</v>
      </c>
      <c r="H501" t="s">
        <v>6680</v>
      </c>
      <c r="I501" t="s">
        <v>5373</v>
      </c>
      <c r="J501" t="s">
        <v>3071</v>
      </c>
      <c r="K501" t="s">
        <v>3071</v>
      </c>
      <c r="L501" t="s">
        <v>205</v>
      </c>
      <c r="M501" t="s">
        <v>3130</v>
      </c>
      <c r="N501" t="s">
        <v>206</v>
      </c>
      <c r="O501" t="s">
        <v>3070</v>
      </c>
      <c r="P501" t="s">
        <v>3879</v>
      </c>
      <c r="Q501" t="s">
        <v>3075</v>
      </c>
      <c r="R501" t="s">
        <v>2513</v>
      </c>
      <c r="S501" t="s">
        <v>5374</v>
      </c>
      <c r="T501" t="s">
        <v>1576</v>
      </c>
      <c r="U501" t="s">
        <v>6681</v>
      </c>
      <c r="V501" s="17">
        <v>45838</v>
      </c>
      <c r="W501" s="17">
        <v>45831</v>
      </c>
      <c r="X501" s="17">
        <v>45861</v>
      </c>
      <c r="Y501">
        <v>-301</v>
      </c>
      <c r="Z501">
        <v>1</v>
      </c>
      <c r="AA501">
        <v>1</v>
      </c>
      <c r="AB501">
        <v>1548.7666666666667</v>
      </c>
      <c r="AC501" s="17"/>
      <c r="AD501">
        <v>45869</v>
      </c>
      <c r="AE501">
        <v>11000</v>
      </c>
      <c r="AF501">
        <v>11000</v>
      </c>
      <c r="AG501">
        <v>11000</v>
      </c>
      <c r="AH501">
        <v>11000</v>
      </c>
      <c r="AI501">
        <v>0</v>
      </c>
      <c r="AJ501">
        <v>0</v>
      </c>
      <c r="AW501">
        <v>0</v>
      </c>
      <c r="BJ501">
        <v>0</v>
      </c>
      <c r="BW501">
        <v>0</v>
      </c>
      <c r="CJ501">
        <v>11000</v>
      </c>
      <c r="CQ501">
        <v>11000</v>
      </c>
      <c r="CW501">
        <v>0</v>
      </c>
      <c r="DJ501">
        <v>0</v>
      </c>
      <c r="DW501">
        <v>0</v>
      </c>
      <c r="EJ501">
        <v>11000</v>
      </c>
    </row>
    <row r="502" spans="1:140" hidden="1" x14ac:dyDescent="0.35">
      <c r="A502" t="s">
        <v>3317</v>
      </c>
      <c r="B502" t="s">
        <v>249</v>
      </c>
      <c r="D502" t="s">
        <v>6685</v>
      </c>
      <c r="E502" t="s">
        <v>208</v>
      </c>
      <c r="F502" t="s">
        <v>3893</v>
      </c>
      <c r="G502" t="s">
        <v>3894</v>
      </c>
      <c r="H502" t="s">
        <v>6680</v>
      </c>
      <c r="I502" t="s">
        <v>5373</v>
      </c>
      <c r="J502" t="s">
        <v>3071</v>
      </c>
      <c r="K502" t="s">
        <v>3071</v>
      </c>
      <c r="L502" t="s">
        <v>205</v>
      </c>
      <c r="M502" t="s">
        <v>3130</v>
      </c>
      <c r="N502" t="s">
        <v>206</v>
      </c>
      <c r="O502" t="s">
        <v>3070</v>
      </c>
      <c r="P502" t="s">
        <v>3879</v>
      </c>
      <c r="Q502" t="s">
        <v>3075</v>
      </c>
      <c r="R502" t="s">
        <v>2513</v>
      </c>
      <c r="S502" t="s">
        <v>5374</v>
      </c>
      <c r="T502" t="s">
        <v>1576</v>
      </c>
      <c r="U502" t="s">
        <v>6686</v>
      </c>
      <c r="V502" s="17">
        <v>45853</v>
      </c>
      <c r="W502" s="17">
        <v>45861</v>
      </c>
      <c r="X502" s="17">
        <v>45892</v>
      </c>
      <c r="Y502">
        <v>-270</v>
      </c>
      <c r="Z502">
        <v>1</v>
      </c>
      <c r="AA502">
        <v>1.0333333333333334</v>
      </c>
      <c r="AB502">
        <v>1547.7333333333333</v>
      </c>
      <c r="AC502" s="17"/>
      <c r="AD502">
        <v>45869</v>
      </c>
      <c r="AE502">
        <v>11500</v>
      </c>
      <c r="AF502">
        <v>11500</v>
      </c>
      <c r="AG502">
        <v>11129.032300000001</v>
      </c>
      <c r="AH502">
        <v>11500</v>
      </c>
      <c r="AI502">
        <v>0</v>
      </c>
      <c r="AJ502">
        <v>0</v>
      </c>
      <c r="AW502">
        <v>0</v>
      </c>
      <c r="BJ502">
        <v>0</v>
      </c>
      <c r="BW502">
        <v>0</v>
      </c>
      <c r="CJ502">
        <v>11500</v>
      </c>
      <c r="CR502">
        <v>11500</v>
      </c>
      <c r="CW502">
        <v>0</v>
      </c>
      <c r="DJ502">
        <v>0</v>
      </c>
      <c r="DW502">
        <v>0</v>
      </c>
      <c r="EJ502">
        <v>11500</v>
      </c>
    </row>
    <row r="503" spans="1:140" hidden="1" x14ac:dyDescent="0.35">
      <c r="A503" t="s">
        <v>3317</v>
      </c>
      <c r="B503" t="s">
        <v>249</v>
      </c>
      <c r="D503" t="s">
        <v>6687</v>
      </c>
      <c r="E503" t="s">
        <v>181</v>
      </c>
      <c r="F503" t="s">
        <v>3898</v>
      </c>
      <c r="G503" t="s">
        <v>3899</v>
      </c>
      <c r="H503" t="s">
        <v>6688</v>
      </c>
      <c r="I503" t="s">
        <v>5368</v>
      </c>
      <c r="J503" t="s">
        <v>3079</v>
      </c>
      <c r="K503" t="s">
        <v>3079</v>
      </c>
      <c r="L503" t="s">
        <v>179</v>
      </c>
      <c r="M503" t="s">
        <v>3069</v>
      </c>
      <c r="N503" t="s">
        <v>132</v>
      </c>
      <c r="O503" t="s">
        <v>3070</v>
      </c>
      <c r="P503">
        <v>0</v>
      </c>
      <c r="Q503" t="s">
        <v>3075</v>
      </c>
      <c r="R503" t="s">
        <v>2464</v>
      </c>
      <c r="S503" t="s">
        <v>5374</v>
      </c>
      <c r="T503" t="s">
        <v>1576</v>
      </c>
      <c r="U503" t="s">
        <v>6689</v>
      </c>
      <c r="V503" s="17">
        <v>45590</v>
      </c>
      <c r="W503" s="17">
        <v>45600</v>
      </c>
      <c r="X503" s="17">
        <v>45780</v>
      </c>
      <c r="Y503">
        <v>-382</v>
      </c>
      <c r="Z503">
        <v>6</v>
      </c>
      <c r="AA503">
        <v>6</v>
      </c>
      <c r="AB503">
        <v>1551.4666666666667</v>
      </c>
      <c r="AC503" s="17"/>
      <c r="AD503">
        <v>45901</v>
      </c>
      <c r="AE503">
        <v>37198.800000000003</v>
      </c>
      <c r="AF503">
        <v>223192.8</v>
      </c>
      <c r="AG503">
        <v>37198.800000000003</v>
      </c>
      <c r="AH503">
        <v>223192.8</v>
      </c>
      <c r="AI503">
        <v>0</v>
      </c>
      <c r="AJ503">
        <v>0</v>
      </c>
      <c r="AW503">
        <v>0</v>
      </c>
      <c r="BJ503">
        <v>0</v>
      </c>
      <c r="BW503">
        <v>74397.600000000006</v>
      </c>
      <c r="CH503">
        <v>37198.800000000003</v>
      </c>
      <c r="CI503">
        <v>37198.800000000003</v>
      </c>
      <c r="CJ503">
        <v>148795.20000000001</v>
      </c>
      <c r="CK503">
        <v>37198.800000000003</v>
      </c>
      <c r="CL503">
        <v>37198.800000000003</v>
      </c>
      <c r="CM503">
        <v>37198.800000000003</v>
      </c>
      <c r="CN503">
        <v>37198.800000000003</v>
      </c>
      <c r="CW503">
        <v>0</v>
      </c>
      <c r="DJ503">
        <v>0</v>
      </c>
      <c r="DW503">
        <v>0</v>
      </c>
      <c r="EJ503">
        <v>148795.20000000001</v>
      </c>
    </row>
    <row r="504" spans="1:140" hidden="1" x14ac:dyDescent="0.35">
      <c r="A504" t="s">
        <v>3317</v>
      </c>
      <c r="B504" t="s">
        <v>249</v>
      </c>
      <c r="D504" t="s">
        <v>6690</v>
      </c>
      <c r="E504" t="s">
        <v>181</v>
      </c>
      <c r="F504" t="s">
        <v>3898</v>
      </c>
      <c r="G504" t="s">
        <v>3899</v>
      </c>
      <c r="H504" t="s">
        <v>6691</v>
      </c>
      <c r="I504" t="s">
        <v>5373</v>
      </c>
      <c r="J504" t="s">
        <v>3079</v>
      </c>
      <c r="K504" t="s">
        <v>3079</v>
      </c>
      <c r="L504" t="s">
        <v>179</v>
      </c>
      <c r="M504" t="s">
        <v>3069</v>
      </c>
      <c r="N504" t="s">
        <v>132</v>
      </c>
      <c r="O504" t="s">
        <v>3070</v>
      </c>
      <c r="P504" t="s">
        <v>3879</v>
      </c>
      <c r="Q504" t="s">
        <v>3075</v>
      </c>
      <c r="R504" t="s">
        <v>2464</v>
      </c>
      <c r="S504" t="s">
        <v>5374</v>
      </c>
      <c r="T504" t="s">
        <v>1576</v>
      </c>
      <c r="U504" t="s">
        <v>6689</v>
      </c>
      <c r="V504" s="17">
        <v>45867</v>
      </c>
      <c r="W504" s="17">
        <v>45780</v>
      </c>
      <c r="X504" s="17">
        <v>45898</v>
      </c>
      <c r="Y504">
        <v>-264</v>
      </c>
      <c r="Z504">
        <v>4</v>
      </c>
      <c r="AA504">
        <v>3.9333333333333331</v>
      </c>
      <c r="AB504">
        <v>1547.5333333333333</v>
      </c>
      <c r="AC504" s="17"/>
      <c r="AD504">
        <v>45901</v>
      </c>
      <c r="AE504">
        <v>37198.800000000003</v>
      </c>
      <c r="AF504">
        <v>148795.20000000001</v>
      </c>
      <c r="AG504">
        <v>37829.288099999998</v>
      </c>
      <c r="AH504">
        <v>148795.20000000001</v>
      </c>
      <c r="AI504">
        <v>0</v>
      </c>
      <c r="AJ504">
        <v>0</v>
      </c>
      <c r="AW504">
        <v>0</v>
      </c>
      <c r="BJ504">
        <v>0</v>
      </c>
      <c r="BW504">
        <v>0</v>
      </c>
      <c r="CJ504">
        <v>148795.20000000001</v>
      </c>
      <c r="CO504">
        <v>37198.800000000003</v>
      </c>
      <c r="CP504">
        <v>37198.800000000003</v>
      </c>
      <c r="CQ504">
        <v>37198.800000000003</v>
      </c>
      <c r="CR504">
        <v>37198.800000000003</v>
      </c>
      <c r="CW504">
        <v>0</v>
      </c>
      <c r="DJ504">
        <v>0</v>
      </c>
      <c r="DK504">
        <v>0</v>
      </c>
      <c r="DL504">
        <v>0</v>
      </c>
      <c r="DM504">
        <v>0</v>
      </c>
      <c r="DN504">
        <v>0</v>
      </c>
      <c r="DO504">
        <v>0</v>
      </c>
      <c r="DP504">
        <v>0</v>
      </c>
      <c r="DQ504">
        <v>0</v>
      </c>
      <c r="DR504">
        <v>0</v>
      </c>
      <c r="DS504">
        <v>0</v>
      </c>
      <c r="DT504">
        <v>0</v>
      </c>
      <c r="DU504">
        <v>0</v>
      </c>
      <c r="DV504">
        <v>0</v>
      </c>
      <c r="DW504">
        <v>0</v>
      </c>
      <c r="EJ504">
        <v>148795.20000000001</v>
      </c>
    </row>
    <row r="505" spans="1:140" hidden="1" x14ac:dyDescent="0.35">
      <c r="A505" t="s">
        <v>3067</v>
      </c>
      <c r="B505" t="s">
        <v>249</v>
      </c>
      <c r="D505" t="s">
        <v>6692</v>
      </c>
      <c r="E505" t="s">
        <v>348</v>
      </c>
      <c r="F505" t="s">
        <v>3903</v>
      </c>
      <c r="G505" t="s">
        <v>3904</v>
      </c>
      <c r="H505" t="s">
        <v>6693</v>
      </c>
      <c r="I505" t="s">
        <v>5368</v>
      </c>
      <c r="J505" t="s">
        <v>3071</v>
      </c>
      <c r="K505" t="s">
        <v>3071</v>
      </c>
      <c r="L505" t="s">
        <v>345</v>
      </c>
      <c r="M505" t="s">
        <v>3153</v>
      </c>
      <c r="N505" t="s">
        <v>346</v>
      </c>
      <c r="O505" t="s">
        <v>3905</v>
      </c>
      <c r="P505" t="s">
        <v>3694</v>
      </c>
      <c r="Q505" t="s">
        <v>3075</v>
      </c>
      <c r="R505" t="s">
        <v>2513</v>
      </c>
      <c r="S505" t="s">
        <v>5374</v>
      </c>
      <c r="T505" t="s">
        <v>1576</v>
      </c>
      <c r="U505" t="s">
        <v>6694</v>
      </c>
      <c r="V505" s="17">
        <v>45749</v>
      </c>
      <c r="W505" s="17">
        <v>45890</v>
      </c>
      <c r="X505" s="17">
        <v>46255</v>
      </c>
      <c r="Y505">
        <v>93</v>
      </c>
      <c r="Z505">
        <v>12</v>
      </c>
      <c r="AA505">
        <v>12.166666666666666</v>
      </c>
      <c r="AB505">
        <v>1535.6333333333334</v>
      </c>
      <c r="AC505" s="17"/>
      <c r="AD505">
        <v>45838</v>
      </c>
      <c r="AE505">
        <v>8050.01</v>
      </c>
      <c r="AF505">
        <v>96600.12</v>
      </c>
      <c r="AG505">
        <v>7939.7358999999997</v>
      </c>
      <c r="AH505">
        <v>96600.2</v>
      </c>
      <c r="AI505">
        <v>0.08</v>
      </c>
      <c r="AJ505">
        <v>0</v>
      </c>
      <c r="AW505">
        <v>0</v>
      </c>
      <c r="BJ505">
        <v>0</v>
      </c>
      <c r="BW505">
        <v>0</v>
      </c>
      <c r="CJ505">
        <v>84544.8</v>
      </c>
      <c r="CN505">
        <v>36323.199999999997</v>
      </c>
      <c r="CO505">
        <v>6027.7</v>
      </c>
      <c r="CP505">
        <v>6027.7</v>
      </c>
      <c r="CQ505">
        <v>6027.7</v>
      </c>
      <c r="CR505">
        <v>6027.7</v>
      </c>
      <c r="CS505">
        <v>6027.7</v>
      </c>
      <c r="CT505">
        <v>6027.7</v>
      </c>
      <c r="CU505">
        <v>6027.7</v>
      </c>
      <c r="CV505">
        <v>6027.7</v>
      </c>
      <c r="CW505">
        <v>12055</v>
      </c>
      <c r="CX505">
        <v>6027.7</v>
      </c>
      <c r="CY505">
        <v>6027.7</v>
      </c>
      <c r="DJ505">
        <v>0</v>
      </c>
      <c r="DW505">
        <v>0</v>
      </c>
      <c r="EJ505">
        <v>96599.8</v>
      </c>
    </row>
    <row r="506" spans="1:140" hidden="1" x14ac:dyDescent="0.35">
      <c r="A506" t="s">
        <v>3317</v>
      </c>
      <c r="B506" t="s">
        <v>249</v>
      </c>
      <c r="D506" t="s">
        <v>6695</v>
      </c>
      <c r="E506" t="s">
        <v>976</v>
      </c>
      <c r="F506" t="s">
        <v>4920</v>
      </c>
      <c r="G506" t="s">
        <v>5128</v>
      </c>
      <c r="H506" t="s">
        <v>6696</v>
      </c>
      <c r="I506" t="s">
        <v>5368</v>
      </c>
      <c r="J506" t="s">
        <v>5102</v>
      </c>
      <c r="K506" t="s">
        <v>5102</v>
      </c>
      <c r="L506" t="s">
        <v>975</v>
      </c>
      <c r="M506" t="s">
        <v>3747</v>
      </c>
      <c r="N506" t="s">
        <v>89</v>
      </c>
      <c r="O506" t="s">
        <v>3088</v>
      </c>
      <c r="P506">
        <v>0</v>
      </c>
      <c r="Q506" t="s">
        <v>3075</v>
      </c>
      <c r="R506" t="s">
        <v>2403</v>
      </c>
      <c r="S506" t="s">
        <v>5452</v>
      </c>
      <c r="T506" t="s">
        <v>6697</v>
      </c>
      <c r="U506" t="s">
        <v>6698</v>
      </c>
      <c r="V506" s="17">
        <v>45397</v>
      </c>
      <c r="W506" s="17">
        <v>45427</v>
      </c>
      <c r="X506" s="17">
        <v>45637</v>
      </c>
      <c r="Y506">
        <v>-525</v>
      </c>
      <c r="Z506">
        <v>7</v>
      </c>
      <c r="AA506">
        <v>7</v>
      </c>
      <c r="AB506">
        <v>1556.2333333333333</v>
      </c>
      <c r="AC506" s="17"/>
      <c r="AD506">
        <v>45809</v>
      </c>
      <c r="AE506">
        <v>35785.7143</v>
      </c>
      <c r="AF506">
        <v>250500</v>
      </c>
      <c r="AG506">
        <v>35785.7143</v>
      </c>
      <c r="AH506">
        <v>215500</v>
      </c>
      <c r="AI506">
        <v>-35000</v>
      </c>
      <c r="AJ506">
        <v>0</v>
      </c>
      <c r="AW506">
        <v>0</v>
      </c>
      <c r="BJ506">
        <v>0</v>
      </c>
      <c r="BW506">
        <v>215500</v>
      </c>
      <c r="CC506">
        <v>37750</v>
      </c>
      <c r="CD506">
        <v>35000</v>
      </c>
      <c r="CE506">
        <v>35000</v>
      </c>
      <c r="CF506">
        <v>35000</v>
      </c>
      <c r="CG506">
        <v>35000</v>
      </c>
      <c r="CH506">
        <v>37750</v>
      </c>
      <c r="CJ506">
        <v>0</v>
      </c>
      <c r="CW506">
        <v>0</v>
      </c>
      <c r="DJ506">
        <v>0</v>
      </c>
      <c r="DW506">
        <v>0</v>
      </c>
      <c r="EJ506">
        <v>0</v>
      </c>
    </row>
    <row r="507" spans="1:140" hidden="1" x14ac:dyDescent="0.35">
      <c r="A507" t="s">
        <v>3317</v>
      </c>
      <c r="B507" t="s">
        <v>249</v>
      </c>
      <c r="D507" t="s">
        <v>6695</v>
      </c>
      <c r="E507" t="s">
        <v>976</v>
      </c>
      <c r="F507" t="s">
        <v>4920</v>
      </c>
      <c r="G507" t="s">
        <v>4921</v>
      </c>
      <c r="H507" t="s">
        <v>6696</v>
      </c>
      <c r="I507" t="s">
        <v>5368</v>
      </c>
      <c r="J507" t="s">
        <v>3203</v>
      </c>
      <c r="K507" t="s">
        <v>3203</v>
      </c>
      <c r="L507" t="s">
        <v>975</v>
      </c>
      <c r="M507" t="s">
        <v>3747</v>
      </c>
      <c r="N507" t="s">
        <v>89</v>
      </c>
      <c r="O507" t="s">
        <v>3088</v>
      </c>
      <c r="P507">
        <v>0</v>
      </c>
      <c r="Q507" t="s">
        <v>3075</v>
      </c>
      <c r="R507" t="s">
        <v>2403</v>
      </c>
      <c r="S507" t="s">
        <v>5452</v>
      </c>
      <c r="T507" t="s">
        <v>6697</v>
      </c>
      <c r="U507" t="s">
        <v>6698</v>
      </c>
      <c r="V507" s="17">
        <v>45397</v>
      </c>
      <c r="W507" s="17">
        <v>45427</v>
      </c>
      <c r="X507" s="17">
        <v>45637</v>
      </c>
      <c r="Y507">
        <v>-525</v>
      </c>
      <c r="Z507">
        <v>7</v>
      </c>
      <c r="AA507">
        <v>7</v>
      </c>
      <c r="AB507">
        <v>1556.2333333333333</v>
      </c>
      <c r="AC507" s="17"/>
      <c r="AD507">
        <v>45809</v>
      </c>
      <c r="AE507">
        <v>35785.7143</v>
      </c>
      <c r="AF507">
        <v>250500</v>
      </c>
      <c r="AG507">
        <v>35785.7143</v>
      </c>
      <c r="AH507">
        <v>35000</v>
      </c>
      <c r="AI507">
        <v>-215500</v>
      </c>
      <c r="AJ507">
        <v>0</v>
      </c>
      <c r="AW507">
        <v>0</v>
      </c>
      <c r="BJ507">
        <v>0</v>
      </c>
      <c r="BW507">
        <v>35000</v>
      </c>
      <c r="CB507">
        <v>35000</v>
      </c>
      <c r="CJ507">
        <v>0</v>
      </c>
      <c r="CW507">
        <v>0</v>
      </c>
      <c r="DJ507">
        <v>0</v>
      </c>
      <c r="DW507">
        <v>0</v>
      </c>
      <c r="EJ507">
        <v>0</v>
      </c>
    </row>
    <row r="508" spans="1:140" hidden="1" x14ac:dyDescent="0.35">
      <c r="A508" t="s">
        <v>3317</v>
      </c>
      <c r="B508" t="s">
        <v>249</v>
      </c>
      <c r="D508" t="s">
        <v>6699</v>
      </c>
      <c r="E508" t="s">
        <v>976</v>
      </c>
      <c r="F508" t="s">
        <v>4920</v>
      </c>
      <c r="G508" t="s">
        <v>5128</v>
      </c>
      <c r="H508" t="s">
        <v>6700</v>
      </c>
      <c r="I508" t="s">
        <v>5373</v>
      </c>
      <c r="J508" t="s">
        <v>5102</v>
      </c>
      <c r="K508" t="s">
        <v>5102</v>
      </c>
      <c r="L508" t="s">
        <v>975</v>
      </c>
      <c r="M508" t="s">
        <v>3747</v>
      </c>
      <c r="N508" t="s">
        <v>89</v>
      </c>
      <c r="O508" t="s">
        <v>3088</v>
      </c>
      <c r="P508">
        <v>0</v>
      </c>
      <c r="Q508" t="s">
        <v>3075</v>
      </c>
      <c r="R508" t="s">
        <v>2403</v>
      </c>
      <c r="S508" t="s">
        <v>5374</v>
      </c>
      <c r="T508" t="s">
        <v>6697</v>
      </c>
      <c r="U508" t="s">
        <v>6701</v>
      </c>
      <c r="V508" s="17">
        <v>45595</v>
      </c>
      <c r="W508" s="17">
        <v>45602</v>
      </c>
      <c r="X508" s="17">
        <v>45783</v>
      </c>
      <c r="Y508">
        <v>-379</v>
      </c>
      <c r="Z508">
        <v>6</v>
      </c>
      <c r="AA508">
        <v>6.0333333333333332</v>
      </c>
      <c r="AB508">
        <v>1551.3666666666666</v>
      </c>
      <c r="AC508" s="17"/>
      <c r="AD508">
        <v>45809</v>
      </c>
      <c r="AE508">
        <v>17500</v>
      </c>
      <c r="AF508">
        <v>105000</v>
      </c>
      <c r="AG508">
        <v>17403.314900000001</v>
      </c>
      <c r="AH508">
        <v>105000</v>
      </c>
      <c r="AI508">
        <v>0</v>
      </c>
      <c r="AJ508">
        <v>0</v>
      </c>
      <c r="AW508">
        <v>0</v>
      </c>
      <c r="BJ508">
        <v>0</v>
      </c>
      <c r="BW508">
        <v>17500</v>
      </c>
      <c r="CI508">
        <v>17500</v>
      </c>
      <c r="CJ508">
        <v>87500</v>
      </c>
      <c r="CK508">
        <v>17500</v>
      </c>
      <c r="CL508">
        <v>17500</v>
      </c>
      <c r="CM508">
        <v>17500</v>
      </c>
      <c r="CN508">
        <v>17500</v>
      </c>
      <c r="CO508">
        <v>17500</v>
      </c>
      <c r="CW508">
        <v>0</v>
      </c>
      <c r="DJ508">
        <v>0</v>
      </c>
      <c r="DW508">
        <v>0</v>
      </c>
      <c r="EJ508">
        <v>87500</v>
      </c>
    </row>
    <row r="509" spans="1:140" hidden="1" x14ac:dyDescent="0.35">
      <c r="A509" t="s">
        <v>3317</v>
      </c>
      <c r="B509" t="s">
        <v>249</v>
      </c>
      <c r="D509" t="s">
        <v>6702</v>
      </c>
      <c r="E509" t="s">
        <v>959</v>
      </c>
      <c r="F509" t="s">
        <v>3910</v>
      </c>
      <c r="G509" t="s">
        <v>3911</v>
      </c>
      <c r="H509" t="s">
        <v>6703</v>
      </c>
      <c r="I509" t="s">
        <v>5368</v>
      </c>
      <c r="J509" t="s">
        <v>3071</v>
      </c>
      <c r="K509" t="s">
        <v>3071</v>
      </c>
      <c r="L509" t="s">
        <v>235</v>
      </c>
      <c r="M509" t="s">
        <v>3139</v>
      </c>
      <c r="N509" t="s">
        <v>3912</v>
      </c>
      <c r="O509" t="s">
        <v>3366</v>
      </c>
      <c r="P509">
        <v>0</v>
      </c>
      <c r="Q509" t="s">
        <v>3075</v>
      </c>
      <c r="R509" t="s">
        <v>1580</v>
      </c>
      <c r="S509" t="s">
        <v>5374</v>
      </c>
      <c r="T509" t="s">
        <v>2704</v>
      </c>
      <c r="U509" t="s">
        <v>6704</v>
      </c>
      <c r="V509" s="17">
        <v>45378</v>
      </c>
      <c r="W509" s="17">
        <v>45419</v>
      </c>
      <c r="X509" s="17">
        <v>45968</v>
      </c>
      <c r="Y509">
        <v>-194</v>
      </c>
      <c r="Z509">
        <v>20</v>
      </c>
      <c r="AA509">
        <v>18.3</v>
      </c>
      <c r="AB509">
        <v>1545.2</v>
      </c>
      <c r="AC509" s="17"/>
      <c r="AD509">
        <v>45912</v>
      </c>
      <c r="AE509">
        <v>35850</v>
      </c>
      <c r="AF509">
        <v>722400</v>
      </c>
      <c r="AG509">
        <v>39475.409800000001</v>
      </c>
      <c r="AH509">
        <v>717000</v>
      </c>
      <c r="AI509">
        <v>-5400</v>
      </c>
      <c r="AJ509">
        <v>0</v>
      </c>
      <c r="AW509">
        <v>0</v>
      </c>
      <c r="BJ509">
        <v>0</v>
      </c>
      <c r="BW509">
        <v>321000</v>
      </c>
      <c r="CA509">
        <v>33000</v>
      </c>
      <c r="CB509">
        <v>36000</v>
      </c>
      <c r="CC509">
        <v>36000</v>
      </c>
      <c r="CD509">
        <v>36000</v>
      </c>
      <c r="CE509">
        <v>36000</v>
      </c>
      <c r="CF509">
        <v>36000</v>
      </c>
      <c r="CG509">
        <v>36000</v>
      </c>
      <c r="CH509">
        <v>36000</v>
      </c>
      <c r="CI509">
        <v>36000</v>
      </c>
      <c r="CJ509">
        <v>396000</v>
      </c>
      <c r="CK509">
        <v>36000</v>
      </c>
      <c r="CL509">
        <v>36000</v>
      </c>
      <c r="CM509">
        <v>36000</v>
      </c>
      <c r="CN509">
        <v>36000</v>
      </c>
      <c r="CO509">
        <v>36000</v>
      </c>
      <c r="CP509">
        <v>36000</v>
      </c>
      <c r="CQ509">
        <v>36000</v>
      </c>
      <c r="CR509">
        <v>36000</v>
      </c>
      <c r="CS509">
        <v>36000</v>
      </c>
      <c r="CT509">
        <v>36000</v>
      </c>
      <c r="CU509">
        <v>36000</v>
      </c>
      <c r="CW509">
        <v>0</v>
      </c>
      <c r="DJ509">
        <v>0</v>
      </c>
      <c r="DW509">
        <v>0</v>
      </c>
      <c r="EJ509">
        <v>396000</v>
      </c>
    </row>
    <row r="510" spans="1:140" hidden="1" x14ac:dyDescent="0.35">
      <c r="A510" t="s">
        <v>3317</v>
      </c>
      <c r="B510" t="s">
        <v>249</v>
      </c>
      <c r="D510" t="s">
        <v>6705</v>
      </c>
      <c r="E510" t="s">
        <v>1016</v>
      </c>
      <c r="F510" t="s">
        <v>3915</v>
      </c>
      <c r="G510" t="s">
        <v>3916</v>
      </c>
      <c r="H510" t="s">
        <v>6706</v>
      </c>
      <c r="I510" t="s">
        <v>5368</v>
      </c>
      <c r="J510" t="s">
        <v>3849</v>
      </c>
      <c r="K510" t="s">
        <v>3849</v>
      </c>
      <c r="L510" t="s">
        <v>153</v>
      </c>
      <c r="M510" t="s">
        <v>3917</v>
      </c>
      <c r="N510" t="s">
        <v>153</v>
      </c>
      <c r="O510" t="s">
        <v>3918</v>
      </c>
      <c r="P510">
        <v>0</v>
      </c>
      <c r="Q510" t="s">
        <v>3852</v>
      </c>
      <c r="R510" t="s">
        <v>2464</v>
      </c>
      <c r="S510" t="s">
        <v>5374</v>
      </c>
      <c r="T510" t="s">
        <v>5485</v>
      </c>
      <c r="U510" t="s">
        <v>6707</v>
      </c>
      <c r="V510" s="17">
        <v>45518</v>
      </c>
      <c r="W510" s="17">
        <v>45518</v>
      </c>
      <c r="X510" s="17">
        <v>45716</v>
      </c>
      <c r="Y510">
        <v>-446</v>
      </c>
      <c r="Z510">
        <v>6</v>
      </c>
      <c r="AA510">
        <v>6.6</v>
      </c>
      <c r="AB510">
        <v>1553.6</v>
      </c>
      <c r="AC510" s="17"/>
      <c r="AD510">
        <v>45936</v>
      </c>
      <c r="AE510">
        <v>42562.51</v>
      </c>
      <c r="AF510">
        <v>255375.06</v>
      </c>
      <c r="AG510">
        <v>38693.190900000001</v>
      </c>
      <c r="AH510">
        <v>255375.06</v>
      </c>
      <c r="AI510">
        <v>0</v>
      </c>
      <c r="AJ510">
        <v>0</v>
      </c>
      <c r="AW510">
        <v>0</v>
      </c>
      <c r="BJ510">
        <v>0</v>
      </c>
      <c r="BW510">
        <v>169250.04</v>
      </c>
      <c r="CF510">
        <v>44562.51</v>
      </c>
      <c r="CG510">
        <v>41563</v>
      </c>
      <c r="CH510">
        <v>41562.51</v>
      </c>
      <c r="CI510">
        <v>41562.51</v>
      </c>
      <c r="CJ510">
        <v>86125.02</v>
      </c>
      <c r="CK510">
        <v>41562.51</v>
      </c>
      <c r="CL510">
        <v>44562.51</v>
      </c>
      <c r="CW510">
        <v>0</v>
      </c>
      <c r="DJ510">
        <v>0</v>
      </c>
      <c r="DW510">
        <v>0</v>
      </c>
      <c r="EJ510">
        <v>86125.02</v>
      </c>
    </row>
    <row r="511" spans="1:140" hidden="1" x14ac:dyDescent="0.35">
      <c r="A511" t="s">
        <v>3317</v>
      </c>
      <c r="B511" t="s">
        <v>249</v>
      </c>
      <c r="D511" t="s">
        <v>6708</v>
      </c>
      <c r="E511" t="s">
        <v>1016</v>
      </c>
      <c r="F511" t="s">
        <v>3915</v>
      </c>
      <c r="G511" t="s">
        <v>3916</v>
      </c>
      <c r="H511" t="s">
        <v>6709</v>
      </c>
      <c r="I511" t="s">
        <v>5373</v>
      </c>
      <c r="J511" t="s">
        <v>3849</v>
      </c>
      <c r="K511" t="s">
        <v>3849</v>
      </c>
      <c r="L511" t="s">
        <v>153</v>
      </c>
      <c r="M511" t="s">
        <v>3917</v>
      </c>
      <c r="N511" t="s">
        <v>153</v>
      </c>
      <c r="O511" t="s">
        <v>3918</v>
      </c>
      <c r="P511" t="s">
        <v>3856</v>
      </c>
      <c r="Q511" t="s">
        <v>3852</v>
      </c>
      <c r="R511" t="s">
        <v>2464</v>
      </c>
      <c r="S511" t="s">
        <v>5374</v>
      </c>
      <c r="T511" t="s">
        <v>1576</v>
      </c>
      <c r="U511" t="s">
        <v>6707</v>
      </c>
      <c r="V511" s="17">
        <v>45762</v>
      </c>
      <c r="W511" s="17">
        <v>45717</v>
      </c>
      <c r="X511" s="17">
        <v>45809</v>
      </c>
      <c r="Y511">
        <v>-353</v>
      </c>
      <c r="Z511">
        <v>3</v>
      </c>
      <c r="AA511">
        <v>3.0666666666666669</v>
      </c>
      <c r="AB511">
        <v>1550.5</v>
      </c>
      <c r="AC511" s="17"/>
      <c r="AD511">
        <v>45936</v>
      </c>
      <c r="AE511">
        <v>32911.24</v>
      </c>
      <c r="AF511">
        <v>127687.53</v>
      </c>
      <c r="AG511">
        <v>41637.237999999998</v>
      </c>
      <c r="AH511">
        <v>127687.53</v>
      </c>
      <c r="AI511">
        <v>0</v>
      </c>
      <c r="AJ511">
        <v>0</v>
      </c>
      <c r="AW511">
        <v>0</v>
      </c>
      <c r="BJ511">
        <v>0</v>
      </c>
      <c r="BW511">
        <v>0</v>
      </c>
      <c r="CJ511">
        <v>127687.53</v>
      </c>
      <c r="CM511">
        <v>41562.51</v>
      </c>
      <c r="CN511">
        <v>41562.51</v>
      </c>
      <c r="CO511">
        <v>44562.51</v>
      </c>
      <c r="CW511">
        <v>0</v>
      </c>
      <c r="DJ511">
        <v>0</v>
      </c>
      <c r="DW511">
        <v>0</v>
      </c>
      <c r="EJ511">
        <v>127687.53</v>
      </c>
    </row>
    <row r="512" spans="1:140" hidden="1" x14ac:dyDescent="0.35">
      <c r="A512" t="s">
        <v>3317</v>
      </c>
      <c r="B512" t="s">
        <v>249</v>
      </c>
      <c r="D512" t="s">
        <v>6710</v>
      </c>
      <c r="E512" t="s">
        <v>1016</v>
      </c>
      <c r="F512" t="s">
        <v>3915</v>
      </c>
      <c r="G512" t="s">
        <v>3916</v>
      </c>
      <c r="H512" t="s">
        <v>6709</v>
      </c>
      <c r="I512" t="s">
        <v>5373</v>
      </c>
      <c r="J512" t="s">
        <v>3849</v>
      </c>
      <c r="K512" t="s">
        <v>3849</v>
      </c>
      <c r="L512" t="s">
        <v>153</v>
      </c>
      <c r="M512" t="s">
        <v>3917</v>
      </c>
      <c r="N512" t="s">
        <v>153</v>
      </c>
      <c r="O512" t="s">
        <v>3918</v>
      </c>
      <c r="P512" t="s">
        <v>3879</v>
      </c>
      <c r="Q512" t="s">
        <v>3852</v>
      </c>
      <c r="R512" t="s">
        <v>2464</v>
      </c>
      <c r="S512" t="s">
        <v>5374</v>
      </c>
      <c r="T512" t="s">
        <v>1576</v>
      </c>
      <c r="U512" t="s">
        <v>6711</v>
      </c>
      <c r="V512" s="17">
        <v>45835</v>
      </c>
      <c r="W512" s="17">
        <v>45810</v>
      </c>
      <c r="X512" s="17">
        <v>45871</v>
      </c>
      <c r="Y512">
        <v>-291</v>
      </c>
      <c r="Z512">
        <v>2</v>
      </c>
      <c r="AA512">
        <v>2.0333333333333332</v>
      </c>
      <c r="AB512">
        <v>1548.4333333333334</v>
      </c>
      <c r="AC512" s="17"/>
      <c r="AD512">
        <v>45936</v>
      </c>
      <c r="AE512">
        <v>43076.01</v>
      </c>
      <c r="AF512">
        <v>86152.02</v>
      </c>
      <c r="AG512">
        <v>42369.8459</v>
      </c>
      <c r="AH512">
        <v>86152.02</v>
      </c>
      <c r="AI512">
        <v>0</v>
      </c>
      <c r="AJ512">
        <v>0</v>
      </c>
      <c r="AW512">
        <v>0</v>
      </c>
      <c r="BJ512">
        <v>0</v>
      </c>
      <c r="BW512">
        <v>0</v>
      </c>
      <c r="CJ512">
        <v>86152.02</v>
      </c>
      <c r="CP512">
        <v>43076.01</v>
      </c>
      <c r="CQ512">
        <v>43076.01</v>
      </c>
      <c r="CW512">
        <v>0</v>
      </c>
      <c r="DJ512">
        <v>0</v>
      </c>
      <c r="DW512">
        <v>0</v>
      </c>
      <c r="EJ512">
        <v>86152.02</v>
      </c>
    </row>
    <row r="513" spans="1:140" hidden="1" x14ac:dyDescent="0.35">
      <c r="A513" t="s">
        <v>3317</v>
      </c>
      <c r="B513" t="s">
        <v>249</v>
      </c>
      <c r="D513" t="s">
        <v>6712</v>
      </c>
      <c r="E513" t="s">
        <v>1016</v>
      </c>
      <c r="F513" t="s">
        <v>3915</v>
      </c>
      <c r="G513" t="s">
        <v>3916</v>
      </c>
      <c r="H513" t="s">
        <v>6709</v>
      </c>
      <c r="I513" t="s">
        <v>5373</v>
      </c>
      <c r="J513" t="s">
        <v>3849</v>
      </c>
      <c r="K513" t="s">
        <v>3849</v>
      </c>
      <c r="L513" t="s">
        <v>153</v>
      </c>
      <c r="M513" t="s">
        <v>3917</v>
      </c>
      <c r="N513" t="s">
        <v>153</v>
      </c>
      <c r="O513" t="s">
        <v>3918</v>
      </c>
      <c r="P513" t="s">
        <v>3856</v>
      </c>
      <c r="Q513" t="s">
        <v>3852</v>
      </c>
      <c r="R513" t="s">
        <v>2464</v>
      </c>
      <c r="S513" t="s">
        <v>5374</v>
      </c>
      <c r="T513" t="s">
        <v>2363</v>
      </c>
      <c r="U513" t="s">
        <v>6711</v>
      </c>
      <c r="V513" s="17">
        <v>45881</v>
      </c>
      <c r="W513" s="17">
        <v>45871</v>
      </c>
      <c r="X513" s="17">
        <v>45902</v>
      </c>
      <c r="Y513">
        <v>-260</v>
      </c>
      <c r="Z513">
        <v>1</v>
      </c>
      <c r="AA513">
        <v>1.0333333333333334</v>
      </c>
      <c r="AB513">
        <v>1547.4</v>
      </c>
      <c r="AC513" s="17"/>
      <c r="AD513">
        <v>45936</v>
      </c>
      <c r="AE513">
        <v>37205</v>
      </c>
      <c r="AF513">
        <v>37205</v>
      </c>
      <c r="AG513">
        <v>36004.8387</v>
      </c>
      <c r="AH513">
        <v>37205</v>
      </c>
      <c r="AI513">
        <v>0</v>
      </c>
      <c r="AJ513">
        <v>0</v>
      </c>
      <c r="AW513">
        <v>0</v>
      </c>
      <c r="BJ513">
        <v>0</v>
      </c>
      <c r="BW513">
        <v>0</v>
      </c>
      <c r="CJ513">
        <v>37205</v>
      </c>
      <c r="CR513">
        <v>37205</v>
      </c>
      <c r="CW513">
        <v>0</v>
      </c>
      <c r="DJ513">
        <v>0</v>
      </c>
      <c r="DW513">
        <v>0</v>
      </c>
      <c r="EJ513">
        <v>37205</v>
      </c>
    </row>
    <row r="514" spans="1:140" hidden="1" x14ac:dyDescent="0.35">
      <c r="A514" t="s">
        <v>3317</v>
      </c>
      <c r="B514" t="s">
        <v>249</v>
      </c>
      <c r="D514" t="s">
        <v>6713</v>
      </c>
      <c r="E514" t="s">
        <v>426</v>
      </c>
      <c r="F514" t="s">
        <v>3921</v>
      </c>
      <c r="G514" t="s">
        <v>3922</v>
      </c>
      <c r="H514" t="s">
        <v>6714</v>
      </c>
      <c r="I514" t="s">
        <v>5368</v>
      </c>
      <c r="J514" t="s">
        <v>3696</v>
      </c>
      <c r="K514" t="s">
        <v>3696</v>
      </c>
      <c r="L514" t="s">
        <v>3923</v>
      </c>
      <c r="M514" t="s">
        <v>3924</v>
      </c>
      <c r="N514" t="s">
        <v>3923</v>
      </c>
      <c r="O514" t="s">
        <v>3107</v>
      </c>
      <c r="P514">
        <v>0</v>
      </c>
      <c r="Q514" t="s">
        <v>3075</v>
      </c>
      <c r="R514" t="s">
        <v>2464</v>
      </c>
      <c r="S514" t="s">
        <v>5452</v>
      </c>
      <c r="T514" t="s">
        <v>2363</v>
      </c>
      <c r="U514" t="s">
        <v>6715</v>
      </c>
      <c r="V514" s="17">
        <v>45653</v>
      </c>
      <c r="W514" s="17">
        <v>45700</v>
      </c>
      <c r="X514" s="17">
        <v>45881</v>
      </c>
      <c r="Y514">
        <v>-281</v>
      </c>
      <c r="Z514">
        <v>6</v>
      </c>
      <c r="AA514">
        <v>6.0333333333333332</v>
      </c>
      <c r="AB514">
        <v>1548.1</v>
      </c>
      <c r="AC514" s="17"/>
      <c r="AD514">
        <v>45936</v>
      </c>
      <c r="AE514">
        <v>33252.076699999998</v>
      </c>
      <c r="AF514">
        <v>199512.46</v>
      </c>
      <c r="AG514">
        <v>33068.363499999999</v>
      </c>
      <c r="AH514">
        <v>199512.46</v>
      </c>
      <c r="AI514">
        <v>0</v>
      </c>
      <c r="AJ514">
        <v>0</v>
      </c>
      <c r="AW514">
        <v>0</v>
      </c>
      <c r="BJ514">
        <v>0</v>
      </c>
      <c r="BW514">
        <v>0</v>
      </c>
      <c r="CJ514">
        <v>199512.46</v>
      </c>
      <c r="CL514">
        <v>32832.720000000001</v>
      </c>
      <c r="CM514">
        <v>41669.93</v>
      </c>
      <c r="CN514">
        <v>41669.93</v>
      </c>
      <c r="CO514">
        <v>41669.93</v>
      </c>
      <c r="CP514">
        <v>41669.949999999997</v>
      </c>
      <c r="CW514">
        <v>0</v>
      </c>
      <c r="DJ514">
        <v>0</v>
      </c>
      <c r="DW514">
        <v>0</v>
      </c>
      <c r="EJ514">
        <v>199512.46</v>
      </c>
    </row>
    <row r="515" spans="1:140" hidden="1" x14ac:dyDescent="0.35">
      <c r="A515" t="s">
        <v>3317</v>
      </c>
      <c r="B515" t="s">
        <v>249</v>
      </c>
      <c r="D515" t="s">
        <v>6716</v>
      </c>
      <c r="E515" t="s">
        <v>145</v>
      </c>
      <c r="F515" t="s">
        <v>3928</v>
      </c>
      <c r="G515" t="s">
        <v>3929</v>
      </c>
      <c r="H515" t="s">
        <v>6717</v>
      </c>
      <c r="I515" t="s">
        <v>5368</v>
      </c>
      <c r="J515" t="s">
        <v>3071</v>
      </c>
      <c r="K515" t="s">
        <v>3071</v>
      </c>
      <c r="L515" t="s">
        <v>98</v>
      </c>
      <c r="M515" t="s">
        <v>3087</v>
      </c>
      <c r="N515" t="s">
        <v>89</v>
      </c>
      <c r="O515" t="s">
        <v>3088</v>
      </c>
      <c r="P515">
        <v>0</v>
      </c>
      <c r="Q515" t="s">
        <v>3075</v>
      </c>
      <c r="R515" t="s">
        <v>2513</v>
      </c>
      <c r="S515" t="s">
        <v>5374</v>
      </c>
      <c r="T515" t="s">
        <v>2698</v>
      </c>
      <c r="U515" t="s">
        <v>6718</v>
      </c>
      <c r="V515" s="17">
        <v>45316</v>
      </c>
      <c r="W515" s="17">
        <v>45321</v>
      </c>
      <c r="X515" s="17">
        <v>45863</v>
      </c>
      <c r="Y515">
        <v>-299</v>
      </c>
      <c r="Z515">
        <v>18</v>
      </c>
      <c r="AA515">
        <v>18.066666666666666</v>
      </c>
      <c r="AB515">
        <v>1548.7</v>
      </c>
      <c r="AC515" s="17"/>
      <c r="AD515">
        <v>45919</v>
      </c>
      <c r="AE515">
        <v>32183.888999999999</v>
      </c>
      <c r="AF515">
        <v>579310.00199999998</v>
      </c>
      <c r="AG515">
        <v>32065.129300000001</v>
      </c>
      <c r="AH515">
        <v>579310</v>
      </c>
      <c r="AI515">
        <v>-2E-3</v>
      </c>
      <c r="AJ515">
        <v>0</v>
      </c>
      <c r="AW515">
        <v>0</v>
      </c>
      <c r="BJ515">
        <v>0</v>
      </c>
      <c r="BW515">
        <v>390730</v>
      </c>
      <c r="BX515">
        <v>45000</v>
      </c>
      <c r="BY515">
        <v>31430</v>
      </c>
      <c r="BZ515">
        <v>31430</v>
      </c>
      <c r="CA515">
        <v>31430</v>
      </c>
      <c r="CB515">
        <v>31430</v>
      </c>
      <c r="CC515">
        <v>31430</v>
      </c>
      <c r="CD515">
        <v>31430</v>
      </c>
      <c r="CE515">
        <v>31430</v>
      </c>
      <c r="CF515">
        <v>31430</v>
      </c>
      <c r="CG515">
        <v>31430</v>
      </c>
      <c r="CH515">
        <v>31430</v>
      </c>
      <c r="CI515">
        <v>31430</v>
      </c>
      <c r="CJ515">
        <v>188580</v>
      </c>
      <c r="CK515">
        <v>31430</v>
      </c>
      <c r="CL515">
        <v>31430</v>
      </c>
      <c r="CM515">
        <v>31430</v>
      </c>
      <c r="CN515">
        <v>31430</v>
      </c>
      <c r="CO515">
        <v>31430</v>
      </c>
      <c r="CP515">
        <v>31430</v>
      </c>
      <c r="CW515">
        <v>0</v>
      </c>
      <c r="DJ515">
        <v>0</v>
      </c>
      <c r="DW515">
        <v>0</v>
      </c>
      <c r="EJ515">
        <v>188580</v>
      </c>
    </row>
    <row r="516" spans="1:140" hidden="1" x14ac:dyDescent="0.35">
      <c r="A516" t="s">
        <v>3317</v>
      </c>
      <c r="B516" t="s">
        <v>249</v>
      </c>
      <c r="D516" t="s">
        <v>6719</v>
      </c>
      <c r="E516" t="s">
        <v>145</v>
      </c>
      <c r="F516" t="s">
        <v>3928</v>
      </c>
      <c r="G516" t="s">
        <v>3929</v>
      </c>
      <c r="H516" t="s">
        <v>6720</v>
      </c>
      <c r="I516" t="s">
        <v>5373</v>
      </c>
      <c r="J516" t="s">
        <v>3071</v>
      </c>
      <c r="K516" t="s">
        <v>3071</v>
      </c>
      <c r="L516" t="s">
        <v>98</v>
      </c>
      <c r="M516" t="s">
        <v>3087</v>
      </c>
      <c r="N516" t="s">
        <v>89</v>
      </c>
      <c r="O516" t="s">
        <v>3088</v>
      </c>
      <c r="P516" t="s">
        <v>3088</v>
      </c>
      <c r="Q516" t="s">
        <v>3075</v>
      </c>
      <c r="R516" t="s">
        <v>2513</v>
      </c>
      <c r="S516" t="s">
        <v>5374</v>
      </c>
      <c r="T516" t="s">
        <v>1576</v>
      </c>
      <c r="U516" t="s">
        <v>6718</v>
      </c>
      <c r="V516" s="17">
        <v>45853</v>
      </c>
      <c r="W516" s="17">
        <v>45863</v>
      </c>
      <c r="X516" s="17">
        <v>45990</v>
      </c>
      <c r="Y516">
        <v>-172</v>
      </c>
      <c r="Z516">
        <v>4</v>
      </c>
      <c r="AA516">
        <v>4.2333333333333334</v>
      </c>
      <c r="AB516">
        <v>1544.4666666666667</v>
      </c>
      <c r="AC516" s="17"/>
      <c r="AD516">
        <v>45919</v>
      </c>
      <c r="AE516">
        <v>38000</v>
      </c>
      <c r="AF516">
        <v>152000</v>
      </c>
      <c r="AG516">
        <v>35905.5118</v>
      </c>
      <c r="AH516">
        <v>152000</v>
      </c>
      <c r="AI516">
        <v>0</v>
      </c>
      <c r="AJ516">
        <v>0</v>
      </c>
      <c r="AW516">
        <v>0</v>
      </c>
      <c r="BJ516">
        <v>0</v>
      </c>
      <c r="BW516">
        <v>0</v>
      </c>
      <c r="CJ516">
        <v>152000</v>
      </c>
      <c r="CQ516">
        <v>38000</v>
      </c>
      <c r="CR516">
        <v>38000</v>
      </c>
      <c r="CS516">
        <v>38000</v>
      </c>
      <c r="CT516">
        <v>38000</v>
      </c>
      <c r="CW516">
        <v>0</v>
      </c>
      <c r="DJ516">
        <v>0</v>
      </c>
      <c r="DW516">
        <v>0</v>
      </c>
      <c r="EJ516">
        <v>152000</v>
      </c>
    </row>
    <row r="517" spans="1:140" hidden="1" x14ac:dyDescent="0.35">
      <c r="A517" t="s">
        <v>3317</v>
      </c>
      <c r="B517" t="s">
        <v>249</v>
      </c>
      <c r="D517" t="s">
        <v>6721</v>
      </c>
      <c r="E517" t="s">
        <v>229</v>
      </c>
      <c r="F517" t="s">
        <v>3932</v>
      </c>
      <c r="G517" t="s">
        <v>3933</v>
      </c>
      <c r="H517" t="s">
        <v>6722</v>
      </c>
      <c r="I517" t="s">
        <v>5368</v>
      </c>
      <c r="J517" t="s">
        <v>3079</v>
      </c>
      <c r="K517" t="s">
        <v>3079</v>
      </c>
      <c r="L517" t="s">
        <v>226</v>
      </c>
      <c r="M517" t="s">
        <v>3694</v>
      </c>
      <c r="N517" t="s">
        <v>227</v>
      </c>
      <c r="O517" t="s">
        <v>3366</v>
      </c>
      <c r="P517">
        <v>0</v>
      </c>
      <c r="Q517" t="s">
        <v>3075</v>
      </c>
      <c r="R517" t="s">
        <v>2464</v>
      </c>
      <c r="S517" t="s">
        <v>5374</v>
      </c>
      <c r="T517" t="s">
        <v>1576</v>
      </c>
      <c r="U517" t="s">
        <v>6723</v>
      </c>
      <c r="V517" s="17">
        <v>45646</v>
      </c>
      <c r="W517" s="17">
        <v>45687</v>
      </c>
      <c r="X517" s="17">
        <v>45777</v>
      </c>
      <c r="Y517">
        <v>-385</v>
      </c>
      <c r="Z517">
        <v>3</v>
      </c>
      <c r="AA517">
        <v>3</v>
      </c>
      <c r="AB517">
        <v>1551.5666666666666</v>
      </c>
      <c r="AC517" s="17"/>
      <c r="AD517">
        <v>45947</v>
      </c>
      <c r="AE517">
        <v>32316.81</v>
      </c>
      <c r="AF517">
        <v>99550.43</v>
      </c>
      <c r="AG517">
        <v>33183.476699999999</v>
      </c>
      <c r="AH517">
        <v>99550.52</v>
      </c>
      <c r="AI517">
        <v>0.09</v>
      </c>
      <c r="AJ517">
        <v>0</v>
      </c>
      <c r="AW517">
        <v>0</v>
      </c>
      <c r="BJ517">
        <v>0</v>
      </c>
      <c r="BW517">
        <v>0</v>
      </c>
      <c r="CJ517">
        <v>99550.52</v>
      </c>
      <c r="CL517">
        <v>33616.839999999997</v>
      </c>
      <c r="CM517">
        <v>32316.84</v>
      </c>
      <c r="CN517">
        <v>33616.839999999997</v>
      </c>
      <c r="CW517">
        <v>0</v>
      </c>
      <c r="DJ517">
        <v>0</v>
      </c>
      <c r="DW517">
        <v>0</v>
      </c>
      <c r="EJ517">
        <v>99550.52</v>
      </c>
    </row>
    <row r="518" spans="1:140" hidden="1" x14ac:dyDescent="0.35">
      <c r="A518" t="s">
        <v>3317</v>
      </c>
      <c r="B518" t="s">
        <v>249</v>
      </c>
      <c r="D518" t="s">
        <v>6724</v>
      </c>
      <c r="E518" t="s">
        <v>411</v>
      </c>
      <c r="F518" t="s">
        <v>3936</v>
      </c>
      <c r="G518" t="s">
        <v>3937</v>
      </c>
      <c r="H518" t="s">
        <v>6725</v>
      </c>
      <c r="I518" t="s">
        <v>5368</v>
      </c>
      <c r="J518" t="s">
        <v>3071</v>
      </c>
      <c r="K518" t="s">
        <v>3071</v>
      </c>
      <c r="L518" t="s">
        <v>219</v>
      </c>
      <c r="M518" t="s">
        <v>3087</v>
      </c>
      <c r="N518" t="s">
        <v>184</v>
      </c>
      <c r="O518" t="s">
        <v>3088</v>
      </c>
      <c r="P518" t="s">
        <v>3088</v>
      </c>
      <c r="Q518" t="s">
        <v>3075</v>
      </c>
      <c r="R518" t="s">
        <v>2513</v>
      </c>
      <c r="S518" t="s">
        <v>5374</v>
      </c>
      <c r="T518" t="s">
        <v>1576</v>
      </c>
      <c r="U518" t="s">
        <v>6726</v>
      </c>
      <c r="V518" s="17">
        <v>45769</v>
      </c>
      <c r="W518" s="17">
        <v>45789</v>
      </c>
      <c r="X518" s="17">
        <v>45940</v>
      </c>
      <c r="Y518">
        <v>-222</v>
      </c>
      <c r="Z518">
        <v>5</v>
      </c>
      <c r="AA518">
        <v>5.0333333333333332</v>
      </c>
      <c r="AB518">
        <v>1546.1333333333334</v>
      </c>
      <c r="AC518" s="17"/>
      <c r="AD518">
        <v>45930</v>
      </c>
      <c r="AE518">
        <v>26903.513299999999</v>
      </c>
      <c r="AF518">
        <v>403552.7</v>
      </c>
      <c r="AG518">
        <v>80176.033100000001</v>
      </c>
      <c r="AH518">
        <v>348552.72</v>
      </c>
      <c r="AI518">
        <v>-54999.98</v>
      </c>
      <c r="AJ518">
        <v>0</v>
      </c>
      <c r="AW518">
        <v>0</v>
      </c>
      <c r="BJ518">
        <v>0</v>
      </c>
      <c r="BW518">
        <v>0</v>
      </c>
      <c r="CJ518">
        <v>348552.72</v>
      </c>
      <c r="CP518">
        <v>93910.6</v>
      </c>
      <c r="CQ518">
        <v>93910.6</v>
      </c>
      <c r="CR518">
        <v>93910.6</v>
      </c>
      <c r="CS518">
        <v>66820.92</v>
      </c>
      <c r="CW518">
        <v>0</v>
      </c>
      <c r="DJ518">
        <v>0</v>
      </c>
      <c r="DW518">
        <v>0</v>
      </c>
      <c r="EJ518">
        <v>348552.72</v>
      </c>
    </row>
    <row r="519" spans="1:140" hidden="1" x14ac:dyDescent="0.35">
      <c r="A519" t="s">
        <v>3317</v>
      </c>
      <c r="B519" t="s">
        <v>249</v>
      </c>
      <c r="D519" t="s">
        <v>6724</v>
      </c>
      <c r="E519" t="s">
        <v>411</v>
      </c>
      <c r="F519" t="s">
        <v>3936</v>
      </c>
      <c r="G519" t="s">
        <v>4340</v>
      </c>
      <c r="H519" t="s">
        <v>6725</v>
      </c>
      <c r="I519" t="s">
        <v>5368</v>
      </c>
      <c r="J519">
        <v>0</v>
      </c>
      <c r="K519" t="s">
        <v>4313</v>
      </c>
      <c r="L519" t="s">
        <v>219</v>
      </c>
      <c r="M519" t="s">
        <v>3087</v>
      </c>
      <c r="N519" t="s">
        <v>184</v>
      </c>
      <c r="O519" t="s">
        <v>3088</v>
      </c>
      <c r="P519" t="s">
        <v>3088</v>
      </c>
      <c r="Q519" t="s">
        <v>3075</v>
      </c>
      <c r="R519" t="s">
        <v>2513</v>
      </c>
      <c r="S519" t="s">
        <v>5374</v>
      </c>
      <c r="T519" t="s">
        <v>1576</v>
      </c>
      <c r="U519" t="s">
        <v>6726</v>
      </c>
      <c r="V519" s="17">
        <v>45769</v>
      </c>
      <c r="W519" s="17">
        <v>45789</v>
      </c>
      <c r="X519" s="17">
        <v>45820</v>
      </c>
      <c r="Y519">
        <v>-342</v>
      </c>
      <c r="Z519">
        <v>5</v>
      </c>
      <c r="AA519">
        <v>1.0333333333333334</v>
      </c>
      <c r="AB519">
        <v>1550.1333333333334</v>
      </c>
      <c r="AC519" s="17"/>
      <c r="AD519">
        <v>45930</v>
      </c>
      <c r="AE519">
        <v>26903.513299999999</v>
      </c>
      <c r="AF519">
        <v>403552.7</v>
      </c>
      <c r="AG519">
        <v>390534.87099999998</v>
      </c>
      <c r="AH519">
        <v>55000</v>
      </c>
      <c r="AI519">
        <v>-348552.7</v>
      </c>
      <c r="AJ519">
        <v>0</v>
      </c>
      <c r="AW519">
        <v>0</v>
      </c>
      <c r="BJ519">
        <v>0</v>
      </c>
      <c r="BW519">
        <v>0</v>
      </c>
      <c r="CJ519">
        <v>55000</v>
      </c>
      <c r="CO519">
        <v>55000</v>
      </c>
      <c r="CW519">
        <v>0</v>
      </c>
      <c r="DJ519">
        <v>0</v>
      </c>
      <c r="DW519">
        <v>0</v>
      </c>
      <c r="EJ519">
        <v>55000</v>
      </c>
    </row>
    <row r="520" spans="1:140" hidden="1" x14ac:dyDescent="0.35">
      <c r="A520" t="s">
        <v>3067</v>
      </c>
      <c r="B520" t="s">
        <v>249</v>
      </c>
      <c r="D520" t="s">
        <v>6727</v>
      </c>
      <c r="E520" t="s">
        <v>5148</v>
      </c>
      <c r="F520" t="s">
        <v>5149</v>
      </c>
      <c r="G520" t="s">
        <v>5150</v>
      </c>
      <c r="H520" t="s">
        <v>6728</v>
      </c>
      <c r="I520" t="s">
        <v>5368</v>
      </c>
      <c r="J520" t="s">
        <v>5102</v>
      </c>
      <c r="K520" t="s">
        <v>5102</v>
      </c>
      <c r="L520" t="s">
        <v>975</v>
      </c>
      <c r="M520" t="s">
        <v>3747</v>
      </c>
      <c r="N520" t="s">
        <v>4058</v>
      </c>
      <c r="O520" t="s">
        <v>5151</v>
      </c>
      <c r="P520" t="s">
        <v>3249</v>
      </c>
      <c r="Q520" t="s">
        <v>3075</v>
      </c>
      <c r="R520" t="s">
        <v>5116</v>
      </c>
      <c r="S520" t="s">
        <v>5374</v>
      </c>
      <c r="T520" t="s">
        <v>2363</v>
      </c>
      <c r="U520" t="s">
        <v>6729</v>
      </c>
      <c r="V520" s="17">
        <v>45903</v>
      </c>
      <c r="W520" s="17"/>
      <c r="X520" s="17"/>
      <c r="Y520">
        <v>-46162</v>
      </c>
      <c r="Z520">
        <v>12</v>
      </c>
      <c r="AA520">
        <v>0</v>
      </c>
      <c r="AB520">
        <v>3077.4666666666667</v>
      </c>
      <c r="AC520" s="17">
        <v>45968</v>
      </c>
      <c r="AE520">
        <v>0</v>
      </c>
      <c r="AF520">
        <v>0</v>
      </c>
      <c r="AH520">
        <v>0</v>
      </c>
      <c r="AI520">
        <v>0</v>
      </c>
      <c r="AJ520">
        <v>0</v>
      </c>
      <c r="AW520">
        <v>0</v>
      </c>
      <c r="BJ520">
        <v>0</v>
      </c>
      <c r="BW520">
        <v>0</v>
      </c>
      <c r="CJ520">
        <v>0</v>
      </c>
      <c r="CW520">
        <v>0</v>
      </c>
      <c r="DJ520">
        <v>0</v>
      </c>
      <c r="DW520">
        <v>0</v>
      </c>
      <c r="EJ520">
        <v>0</v>
      </c>
    </row>
    <row r="521" spans="1:140" hidden="1" x14ac:dyDescent="0.35">
      <c r="A521" t="s">
        <v>3317</v>
      </c>
      <c r="B521" t="s">
        <v>249</v>
      </c>
      <c r="D521" t="s">
        <v>6730</v>
      </c>
      <c r="E521" t="s">
        <v>1080</v>
      </c>
      <c r="F521" t="s">
        <v>5131</v>
      </c>
      <c r="G521" t="s">
        <v>5132</v>
      </c>
      <c r="H521" t="s">
        <v>6731</v>
      </c>
      <c r="I521" t="s">
        <v>5368</v>
      </c>
      <c r="J521" t="s">
        <v>5102</v>
      </c>
      <c r="K521" t="s">
        <v>5102</v>
      </c>
      <c r="L521" t="s">
        <v>975</v>
      </c>
      <c r="M521" t="s">
        <v>3747</v>
      </c>
      <c r="N521" t="s">
        <v>89</v>
      </c>
      <c r="O521" t="s">
        <v>3088</v>
      </c>
      <c r="P521" t="s">
        <v>3088</v>
      </c>
      <c r="Q521" t="s">
        <v>3075</v>
      </c>
      <c r="R521" t="s">
        <v>2403</v>
      </c>
      <c r="S521" t="s">
        <v>5374</v>
      </c>
      <c r="T521" t="s">
        <v>2363</v>
      </c>
      <c r="U521" t="s">
        <v>6732</v>
      </c>
      <c r="V521" s="17">
        <v>45708</v>
      </c>
      <c r="W521" s="17">
        <v>45742</v>
      </c>
      <c r="X521" s="17">
        <v>45863</v>
      </c>
      <c r="Y521">
        <v>-299</v>
      </c>
      <c r="Z521">
        <v>4</v>
      </c>
      <c r="AA521">
        <v>4.0333333333333332</v>
      </c>
      <c r="AB521">
        <v>1548.7</v>
      </c>
      <c r="AC521" s="17"/>
      <c r="AD521">
        <v>45940</v>
      </c>
      <c r="AE521">
        <v>23750</v>
      </c>
      <c r="AF521">
        <v>100500</v>
      </c>
      <c r="AG521">
        <v>24917.3554</v>
      </c>
      <c r="AH521">
        <v>100500</v>
      </c>
      <c r="AI521">
        <v>0</v>
      </c>
      <c r="AJ521">
        <v>0</v>
      </c>
      <c r="AW521">
        <v>0</v>
      </c>
      <c r="BJ521">
        <v>0</v>
      </c>
      <c r="BW521">
        <v>0</v>
      </c>
      <c r="CJ521">
        <v>100500</v>
      </c>
      <c r="CM521">
        <v>26500</v>
      </c>
      <c r="CN521">
        <v>23750</v>
      </c>
      <c r="CO521">
        <v>23750</v>
      </c>
      <c r="CP521">
        <v>26500</v>
      </c>
      <c r="CW521">
        <v>0</v>
      </c>
      <c r="DJ521">
        <v>0</v>
      </c>
      <c r="DW521">
        <v>0</v>
      </c>
      <c r="EJ521">
        <v>100500</v>
      </c>
    </row>
    <row r="522" spans="1:140" hidden="1" x14ac:dyDescent="0.35">
      <c r="A522" t="s">
        <v>3317</v>
      </c>
      <c r="B522" t="s">
        <v>249</v>
      </c>
      <c r="D522" t="s">
        <v>6733</v>
      </c>
      <c r="E522" t="s">
        <v>1080</v>
      </c>
      <c r="F522" t="s">
        <v>5131</v>
      </c>
      <c r="G522" t="s">
        <v>5132</v>
      </c>
      <c r="H522" t="s">
        <v>6734</v>
      </c>
      <c r="I522" t="s">
        <v>5373</v>
      </c>
      <c r="J522" t="s">
        <v>5102</v>
      </c>
      <c r="K522" t="s">
        <v>5102</v>
      </c>
      <c r="L522" t="s">
        <v>975</v>
      </c>
      <c r="M522" t="s">
        <v>3747</v>
      </c>
      <c r="N522" t="s">
        <v>89</v>
      </c>
      <c r="O522" t="s">
        <v>3088</v>
      </c>
      <c r="P522" t="s">
        <v>3088</v>
      </c>
      <c r="Q522" t="s">
        <v>3075</v>
      </c>
      <c r="R522" t="s">
        <v>5116</v>
      </c>
      <c r="S522" t="s">
        <v>5374</v>
      </c>
      <c r="T522" t="s">
        <v>2363</v>
      </c>
      <c r="U522" t="s">
        <v>6732</v>
      </c>
      <c r="V522" s="17">
        <v>45825</v>
      </c>
      <c r="W522" s="17">
        <v>45825</v>
      </c>
      <c r="X522" s="17">
        <v>45855</v>
      </c>
      <c r="Y522">
        <v>-307</v>
      </c>
      <c r="Z522">
        <v>1</v>
      </c>
      <c r="AA522">
        <v>1</v>
      </c>
      <c r="AB522">
        <v>1548.9666666666667</v>
      </c>
      <c r="AC522" s="17"/>
      <c r="AD522">
        <v>45940</v>
      </c>
      <c r="AE522">
        <v>23750</v>
      </c>
      <c r="AF522">
        <v>29250</v>
      </c>
      <c r="AG522">
        <v>29250</v>
      </c>
      <c r="AH522">
        <v>29250</v>
      </c>
      <c r="AI522">
        <v>0</v>
      </c>
      <c r="AJ522">
        <v>0</v>
      </c>
      <c r="AW522">
        <v>0</v>
      </c>
      <c r="BJ522">
        <v>0</v>
      </c>
      <c r="BW522">
        <v>0</v>
      </c>
      <c r="CJ522">
        <v>29250</v>
      </c>
      <c r="CQ522">
        <v>29250</v>
      </c>
      <c r="CW522">
        <v>0</v>
      </c>
      <c r="DJ522">
        <v>0</v>
      </c>
      <c r="DW522">
        <v>0</v>
      </c>
      <c r="EJ522">
        <v>29250</v>
      </c>
    </row>
    <row r="523" spans="1:140" hidden="1" x14ac:dyDescent="0.35">
      <c r="A523" t="s">
        <v>3317</v>
      </c>
      <c r="B523" t="s">
        <v>249</v>
      </c>
      <c r="D523" t="s">
        <v>6735</v>
      </c>
      <c r="E523" t="s">
        <v>1080</v>
      </c>
      <c r="F523" t="s">
        <v>5131</v>
      </c>
      <c r="G523" t="s">
        <v>5132</v>
      </c>
      <c r="H523" t="s">
        <v>6734</v>
      </c>
      <c r="I523" t="s">
        <v>5373</v>
      </c>
      <c r="J523" t="s">
        <v>5102</v>
      </c>
      <c r="K523" t="s">
        <v>5102</v>
      </c>
      <c r="L523" t="s">
        <v>975</v>
      </c>
      <c r="M523" t="s">
        <v>3747</v>
      </c>
      <c r="N523" t="s">
        <v>89</v>
      </c>
      <c r="O523" t="s">
        <v>3088</v>
      </c>
      <c r="P523" t="s">
        <v>3088</v>
      </c>
      <c r="Q523" t="s">
        <v>3075</v>
      </c>
      <c r="R523" t="s">
        <v>5116</v>
      </c>
      <c r="S523" t="s">
        <v>5374</v>
      </c>
      <c r="T523" t="s">
        <v>2363</v>
      </c>
      <c r="U523" t="s">
        <v>6732</v>
      </c>
      <c r="V523" s="17">
        <v>45882</v>
      </c>
      <c r="W523" s="17">
        <v>45868</v>
      </c>
      <c r="X523" s="17">
        <v>46052</v>
      </c>
      <c r="Y523">
        <v>-110</v>
      </c>
      <c r="Z523">
        <v>6</v>
      </c>
      <c r="AA523">
        <v>6.1333333333333337</v>
      </c>
      <c r="AB523">
        <v>1542.4</v>
      </c>
      <c r="AC523" s="17"/>
      <c r="AD523">
        <v>45940</v>
      </c>
      <c r="AE523">
        <v>7985.4350000000004</v>
      </c>
      <c r="AF523">
        <v>47912.61</v>
      </c>
      <c r="AG523">
        <v>7811.8386</v>
      </c>
      <c r="AH523">
        <v>47912.61</v>
      </c>
      <c r="AI523">
        <v>0</v>
      </c>
      <c r="AJ523">
        <v>0</v>
      </c>
      <c r="AW523">
        <v>0</v>
      </c>
      <c r="BJ523">
        <v>0</v>
      </c>
      <c r="BW523">
        <v>0</v>
      </c>
      <c r="CJ523">
        <v>39927.175000000003</v>
      </c>
      <c r="CR523">
        <v>7985.4350000000004</v>
      </c>
      <c r="CS523">
        <v>7985.4350000000004</v>
      </c>
      <c r="CT523">
        <v>7985.4350000000004</v>
      </c>
      <c r="CU523">
        <v>7985.4350000000004</v>
      </c>
      <c r="CV523">
        <v>7985.4350000000004</v>
      </c>
      <c r="CW523">
        <v>7985</v>
      </c>
      <c r="CX523">
        <v>7985.4350000000004</v>
      </c>
      <c r="DJ523">
        <v>0</v>
      </c>
      <c r="DW523">
        <v>0</v>
      </c>
      <c r="EJ523">
        <v>47912.175000000003</v>
      </c>
    </row>
    <row r="524" spans="1:140" hidden="1" x14ac:dyDescent="0.35">
      <c r="A524" t="s">
        <v>3317</v>
      </c>
      <c r="B524" t="s">
        <v>249</v>
      </c>
      <c r="D524" t="s">
        <v>6736</v>
      </c>
      <c r="E524" t="s">
        <v>5135</v>
      </c>
      <c r="F524" t="s">
        <v>5136</v>
      </c>
      <c r="G524" t="s">
        <v>5137</v>
      </c>
      <c r="H524" t="s">
        <v>6737</v>
      </c>
      <c r="I524" t="s">
        <v>5368</v>
      </c>
      <c r="J524" t="s">
        <v>5102</v>
      </c>
      <c r="K524" t="s">
        <v>5102</v>
      </c>
      <c r="L524" t="s">
        <v>5138</v>
      </c>
      <c r="M524" t="s">
        <v>5139</v>
      </c>
      <c r="N524" t="s">
        <v>5138</v>
      </c>
      <c r="O524" t="s">
        <v>5139</v>
      </c>
      <c r="P524" t="s">
        <v>3747</v>
      </c>
      <c r="Q524" t="s">
        <v>3075</v>
      </c>
      <c r="R524" t="s">
        <v>2403</v>
      </c>
      <c r="S524" t="s">
        <v>5452</v>
      </c>
      <c r="T524" t="s">
        <v>2403</v>
      </c>
      <c r="U524" t="s">
        <v>6738</v>
      </c>
      <c r="V524" s="17">
        <v>45516</v>
      </c>
      <c r="W524" s="17">
        <v>45525</v>
      </c>
      <c r="X524" s="17">
        <v>45855</v>
      </c>
      <c r="Y524">
        <v>-307</v>
      </c>
      <c r="Z524">
        <v>11</v>
      </c>
      <c r="AA524">
        <v>11</v>
      </c>
      <c r="AB524">
        <v>1548.9666666666667</v>
      </c>
      <c r="AC524" s="17"/>
      <c r="AD524">
        <v>45869</v>
      </c>
      <c r="AE524">
        <v>22562.5</v>
      </c>
      <c r="AF524">
        <v>248187.5</v>
      </c>
      <c r="AG524">
        <v>22562.5</v>
      </c>
      <c r="AH524">
        <v>248187</v>
      </c>
      <c r="AI524">
        <v>-0.5</v>
      </c>
      <c r="AJ524">
        <v>0</v>
      </c>
      <c r="AW524">
        <v>0</v>
      </c>
      <c r="BJ524">
        <v>0</v>
      </c>
      <c r="BW524">
        <v>91460</v>
      </c>
      <c r="CF524">
        <v>20785</v>
      </c>
      <c r="CG524">
        <v>24325</v>
      </c>
      <c r="CH524">
        <v>24325</v>
      </c>
      <c r="CI524">
        <v>22025</v>
      </c>
      <c r="CJ524">
        <v>156727</v>
      </c>
      <c r="CK524">
        <v>22025</v>
      </c>
      <c r="CL524">
        <v>22555</v>
      </c>
      <c r="CM524">
        <v>33485</v>
      </c>
      <c r="CN524">
        <v>16625</v>
      </c>
      <c r="CO524">
        <v>16625</v>
      </c>
      <c r="CP524">
        <v>21625</v>
      </c>
      <c r="CQ524">
        <v>23787</v>
      </c>
      <c r="CW524">
        <v>0</v>
      </c>
      <c r="DJ524">
        <v>0</v>
      </c>
      <c r="DW524">
        <v>0</v>
      </c>
      <c r="EJ524">
        <v>156727</v>
      </c>
    </row>
    <row r="525" spans="1:140" hidden="1" x14ac:dyDescent="0.35">
      <c r="A525" t="s">
        <v>3317</v>
      </c>
      <c r="B525" t="s">
        <v>249</v>
      </c>
      <c r="D525" t="s">
        <v>6739</v>
      </c>
      <c r="E525" t="s">
        <v>5142</v>
      </c>
      <c r="F525" t="s">
        <v>5143</v>
      </c>
      <c r="G525" t="s">
        <v>5144</v>
      </c>
      <c r="H525" t="s">
        <v>6740</v>
      </c>
      <c r="I525" t="s">
        <v>5373</v>
      </c>
      <c r="J525" t="s">
        <v>5102</v>
      </c>
      <c r="K525" t="s">
        <v>5102</v>
      </c>
      <c r="L525" t="s">
        <v>5145</v>
      </c>
      <c r="M525" t="s">
        <v>3153</v>
      </c>
      <c r="N525" t="s">
        <v>5145</v>
      </c>
      <c r="O525" t="s">
        <v>3153</v>
      </c>
      <c r="P525" t="s">
        <v>3694</v>
      </c>
      <c r="Q525" t="s">
        <v>3075</v>
      </c>
      <c r="R525" t="s">
        <v>2403</v>
      </c>
      <c r="S525" t="s">
        <v>5374</v>
      </c>
      <c r="T525" t="s">
        <v>2363</v>
      </c>
      <c r="U525" t="s">
        <v>6741</v>
      </c>
      <c r="V525" s="17">
        <v>45701</v>
      </c>
      <c r="W525" s="17">
        <v>45726</v>
      </c>
      <c r="X525" s="17">
        <v>45909</v>
      </c>
      <c r="Y525">
        <v>-253</v>
      </c>
      <c r="Z525">
        <v>6</v>
      </c>
      <c r="AA525">
        <v>6.1</v>
      </c>
      <c r="AB525">
        <v>1547.1666666666667</v>
      </c>
      <c r="AC525" s="17"/>
      <c r="AD525">
        <v>45910</v>
      </c>
      <c r="AE525">
        <v>22800</v>
      </c>
      <c r="AF525">
        <v>136800</v>
      </c>
      <c r="AG525">
        <v>22426.229500000001</v>
      </c>
      <c r="AH525">
        <v>136800</v>
      </c>
      <c r="AI525">
        <v>0</v>
      </c>
      <c r="AJ525">
        <v>0</v>
      </c>
      <c r="AW525">
        <v>0</v>
      </c>
      <c r="BJ525">
        <v>0</v>
      </c>
      <c r="BW525">
        <v>0</v>
      </c>
      <c r="CJ525">
        <v>136800</v>
      </c>
      <c r="CM525">
        <v>11400</v>
      </c>
      <c r="CN525">
        <v>22800</v>
      </c>
      <c r="CO525">
        <v>22800</v>
      </c>
      <c r="CP525">
        <v>22800</v>
      </c>
      <c r="CQ525">
        <v>22800</v>
      </c>
      <c r="CR525">
        <v>22800</v>
      </c>
      <c r="CS525">
        <v>11400</v>
      </c>
      <c r="CW525">
        <v>0</v>
      </c>
      <c r="DJ525">
        <v>0</v>
      </c>
      <c r="DW525">
        <v>0</v>
      </c>
      <c r="EJ525">
        <v>136800</v>
      </c>
    </row>
    <row r="526" spans="1:140" hidden="1" x14ac:dyDescent="0.35">
      <c r="A526" t="s">
        <v>3317</v>
      </c>
      <c r="B526" t="s">
        <v>249</v>
      </c>
      <c r="D526" t="s">
        <v>6742</v>
      </c>
      <c r="E526" t="s">
        <v>5142</v>
      </c>
      <c r="F526" t="s">
        <v>5143</v>
      </c>
      <c r="G526" t="s">
        <v>5144</v>
      </c>
      <c r="H526" t="s">
        <v>6740</v>
      </c>
      <c r="I526" t="s">
        <v>5373</v>
      </c>
      <c r="J526" t="s">
        <v>5102</v>
      </c>
      <c r="K526" t="s">
        <v>5102</v>
      </c>
      <c r="L526" t="s">
        <v>5145</v>
      </c>
      <c r="M526" t="s">
        <v>3153</v>
      </c>
      <c r="N526" t="s">
        <v>5145</v>
      </c>
      <c r="O526" t="s">
        <v>3153</v>
      </c>
      <c r="P526" t="s">
        <v>3694</v>
      </c>
      <c r="Q526" t="s">
        <v>3075</v>
      </c>
      <c r="R526" t="s">
        <v>5116</v>
      </c>
      <c r="S526" t="s">
        <v>5374</v>
      </c>
      <c r="T526" t="s">
        <v>1576</v>
      </c>
      <c r="U526" t="s">
        <v>6741</v>
      </c>
      <c r="V526" s="17">
        <v>45838</v>
      </c>
      <c r="W526" s="17">
        <v>45910</v>
      </c>
      <c r="X526" s="17">
        <v>46001</v>
      </c>
      <c r="Y526">
        <v>-161</v>
      </c>
      <c r="Z526">
        <v>3</v>
      </c>
      <c r="AA526">
        <v>3.0333333333333332</v>
      </c>
      <c r="AB526">
        <v>1544.1</v>
      </c>
      <c r="AC526" s="17"/>
      <c r="AD526">
        <v>45910</v>
      </c>
      <c r="AE526">
        <v>22800</v>
      </c>
      <c r="AF526">
        <v>68400</v>
      </c>
      <c r="AG526">
        <v>22549.450499999999</v>
      </c>
      <c r="AH526">
        <v>68400</v>
      </c>
      <c r="AI526">
        <v>0</v>
      </c>
      <c r="AJ526">
        <v>0</v>
      </c>
      <c r="AW526">
        <v>0</v>
      </c>
      <c r="BJ526">
        <v>0</v>
      </c>
      <c r="BW526">
        <v>0</v>
      </c>
      <c r="CJ526">
        <v>68400</v>
      </c>
      <c r="CS526">
        <v>11400</v>
      </c>
      <c r="CT526">
        <v>22800</v>
      </c>
      <c r="CU526">
        <v>22800</v>
      </c>
      <c r="CV526">
        <v>11400</v>
      </c>
      <c r="CW526">
        <v>0</v>
      </c>
      <c r="DJ526">
        <v>0</v>
      </c>
      <c r="DW526">
        <v>0</v>
      </c>
      <c r="EJ526">
        <v>68400</v>
      </c>
    </row>
    <row r="527" spans="1:140" hidden="1" x14ac:dyDescent="0.35">
      <c r="A527" t="s">
        <v>3317</v>
      </c>
      <c r="B527" t="s">
        <v>249</v>
      </c>
      <c r="D527" t="s">
        <v>6743</v>
      </c>
      <c r="E527" t="s">
        <v>91</v>
      </c>
      <c r="F527" t="s">
        <v>3941</v>
      </c>
      <c r="G527" t="s">
        <v>3942</v>
      </c>
      <c r="H527" t="s">
        <v>6744</v>
      </c>
      <c r="I527" t="s">
        <v>5368</v>
      </c>
      <c r="J527" t="s">
        <v>3071</v>
      </c>
      <c r="K527" t="s">
        <v>3071</v>
      </c>
      <c r="L527" t="s">
        <v>88</v>
      </c>
      <c r="M527" t="s">
        <v>3139</v>
      </c>
      <c r="N527" t="s">
        <v>89</v>
      </c>
      <c r="O527" t="s">
        <v>3088</v>
      </c>
      <c r="P527">
        <v>0</v>
      </c>
      <c r="Q527" t="s">
        <v>3075</v>
      </c>
      <c r="R527" t="s">
        <v>2513</v>
      </c>
      <c r="S527" t="s">
        <v>5374</v>
      </c>
      <c r="T527" t="s">
        <v>5485</v>
      </c>
      <c r="U527" t="s">
        <v>6745</v>
      </c>
      <c r="V527" s="17">
        <v>45551</v>
      </c>
      <c r="W527" s="17">
        <v>45552</v>
      </c>
      <c r="X527" s="17">
        <v>45732</v>
      </c>
      <c r="Y527">
        <v>-430</v>
      </c>
      <c r="Z527">
        <v>6</v>
      </c>
      <c r="AA527">
        <v>6</v>
      </c>
      <c r="AB527">
        <v>1553.0666666666666</v>
      </c>
      <c r="AC527" s="17"/>
      <c r="AD527">
        <v>45961</v>
      </c>
      <c r="AE527">
        <v>23462.09</v>
      </c>
      <c r="AF527">
        <v>140772.54</v>
      </c>
      <c r="AG527">
        <v>23462.09</v>
      </c>
      <c r="AH527">
        <v>140772.57999999999</v>
      </c>
      <c r="AI527">
        <v>0.04</v>
      </c>
      <c r="AJ527">
        <v>0</v>
      </c>
      <c r="AW527">
        <v>0</v>
      </c>
      <c r="BJ527">
        <v>0</v>
      </c>
      <c r="BW527">
        <v>70386.289999999994</v>
      </c>
      <c r="CG527">
        <v>25295</v>
      </c>
      <c r="CH527">
        <v>22545.43</v>
      </c>
      <c r="CI527">
        <v>22545.43</v>
      </c>
      <c r="CJ527">
        <v>70386.289999999994</v>
      </c>
      <c r="CK527">
        <v>22545.43</v>
      </c>
      <c r="CL527">
        <v>22545.43</v>
      </c>
      <c r="CM527">
        <v>25295.43</v>
      </c>
      <c r="CW527">
        <v>0</v>
      </c>
      <c r="DJ527">
        <v>0</v>
      </c>
      <c r="DW527">
        <v>0</v>
      </c>
      <c r="EJ527">
        <v>70386.289999999994</v>
      </c>
    </row>
    <row r="528" spans="1:140" hidden="1" x14ac:dyDescent="0.35">
      <c r="A528" t="s">
        <v>3317</v>
      </c>
      <c r="B528" t="s">
        <v>249</v>
      </c>
      <c r="D528" t="s">
        <v>6746</v>
      </c>
      <c r="E528" t="s">
        <v>91</v>
      </c>
      <c r="F528" t="s">
        <v>3941</v>
      </c>
      <c r="G528" t="s">
        <v>3942</v>
      </c>
      <c r="H528" t="s">
        <v>6747</v>
      </c>
      <c r="I528" t="s">
        <v>5373</v>
      </c>
      <c r="J528" t="s">
        <v>3071</v>
      </c>
      <c r="K528" t="s">
        <v>3071</v>
      </c>
      <c r="L528" t="s">
        <v>88</v>
      </c>
      <c r="M528" t="s">
        <v>3139</v>
      </c>
      <c r="N528" t="s">
        <v>89</v>
      </c>
      <c r="O528" t="s">
        <v>3088</v>
      </c>
      <c r="P528" t="s">
        <v>3088</v>
      </c>
      <c r="Q528" t="s">
        <v>3075</v>
      </c>
      <c r="R528" t="s">
        <v>2513</v>
      </c>
      <c r="S528" t="s">
        <v>5374</v>
      </c>
      <c r="T528" t="s">
        <v>1576</v>
      </c>
      <c r="U528" t="s">
        <v>6745</v>
      </c>
      <c r="V528" s="17">
        <v>45798</v>
      </c>
      <c r="W528" s="17">
        <v>45733</v>
      </c>
      <c r="X528" s="17">
        <v>45930</v>
      </c>
      <c r="Y528">
        <v>-232</v>
      </c>
      <c r="Z528">
        <v>6</v>
      </c>
      <c r="AA528">
        <v>6.5666666666666664</v>
      </c>
      <c r="AB528">
        <v>1546.4666666666667</v>
      </c>
      <c r="AC528" s="17"/>
      <c r="AD528">
        <v>45961</v>
      </c>
      <c r="AE528">
        <v>23462.09</v>
      </c>
      <c r="AF528">
        <v>140772.54</v>
      </c>
      <c r="AG528">
        <v>21437.442599999998</v>
      </c>
      <c r="AH528">
        <v>140772.54</v>
      </c>
      <c r="AI528">
        <v>0</v>
      </c>
      <c r="AJ528">
        <v>0</v>
      </c>
      <c r="AW528">
        <v>0</v>
      </c>
      <c r="BJ528">
        <v>0</v>
      </c>
      <c r="BW528">
        <v>0</v>
      </c>
      <c r="CJ528">
        <v>140772.54</v>
      </c>
      <c r="CN528">
        <v>23462.09</v>
      </c>
      <c r="CO528">
        <v>23462.09</v>
      </c>
      <c r="CP528">
        <v>23462.09</v>
      </c>
      <c r="CQ528">
        <v>23462.09</v>
      </c>
      <c r="CR528">
        <v>23462.09</v>
      </c>
      <c r="CS528">
        <v>23462.09</v>
      </c>
      <c r="CW528">
        <v>0</v>
      </c>
      <c r="DJ528">
        <v>0</v>
      </c>
      <c r="DW528">
        <v>0</v>
      </c>
      <c r="EJ528">
        <v>140772.54</v>
      </c>
    </row>
    <row r="529" spans="1:140" hidden="1" x14ac:dyDescent="0.35">
      <c r="A529" t="s">
        <v>3317</v>
      </c>
      <c r="B529" t="s">
        <v>249</v>
      </c>
      <c r="D529" t="s">
        <v>6748</v>
      </c>
      <c r="E529" t="s">
        <v>91</v>
      </c>
      <c r="F529" t="s">
        <v>3941</v>
      </c>
      <c r="G529" t="s">
        <v>3942</v>
      </c>
      <c r="H529" t="s">
        <v>6747</v>
      </c>
      <c r="I529" t="s">
        <v>5373</v>
      </c>
      <c r="J529" t="s">
        <v>3071</v>
      </c>
      <c r="K529" t="s">
        <v>3071</v>
      </c>
      <c r="L529" t="s">
        <v>88</v>
      </c>
      <c r="M529" t="s">
        <v>3139</v>
      </c>
      <c r="N529" t="s">
        <v>89</v>
      </c>
      <c r="O529" t="s">
        <v>3088</v>
      </c>
      <c r="P529" t="s">
        <v>3088</v>
      </c>
      <c r="Q529" t="s">
        <v>3075</v>
      </c>
      <c r="R529" t="s">
        <v>2513</v>
      </c>
      <c r="S529" t="s">
        <v>5374</v>
      </c>
      <c r="T529" t="s">
        <v>2363</v>
      </c>
      <c r="U529" t="s">
        <v>6745</v>
      </c>
      <c r="V529" s="17">
        <v>45922</v>
      </c>
      <c r="W529" s="17">
        <v>45930</v>
      </c>
      <c r="X529" s="17">
        <v>46021</v>
      </c>
      <c r="Y529">
        <v>-141</v>
      </c>
      <c r="Z529">
        <v>3</v>
      </c>
      <c r="AA529">
        <v>3.0333333333333332</v>
      </c>
      <c r="AB529">
        <v>1543.4333333333334</v>
      </c>
      <c r="AC529" s="17"/>
      <c r="AD529">
        <v>45961</v>
      </c>
      <c r="AE529">
        <v>22545.43</v>
      </c>
      <c r="AF529">
        <v>67636.289999999994</v>
      </c>
      <c r="AG529">
        <v>22297.678</v>
      </c>
      <c r="AH529">
        <v>67636.289999999994</v>
      </c>
      <c r="AI529">
        <v>0</v>
      </c>
      <c r="AJ529">
        <v>0</v>
      </c>
      <c r="AW529">
        <v>0</v>
      </c>
      <c r="BJ529">
        <v>0</v>
      </c>
      <c r="BW529">
        <v>0</v>
      </c>
      <c r="CJ529">
        <v>67636.289999999994</v>
      </c>
      <c r="CT529">
        <v>22545.43</v>
      </c>
      <c r="CU529">
        <v>22545.43</v>
      </c>
      <c r="CV529">
        <v>22545.43</v>
      </c>
      <c r="CW529">
        <v>0</v>
      </c>
      <c r="DJ529">
        <v>0</v>
      </c>
      <c r="DW529">
        <v>0</v>
      </c>
      <c r="EJ529">
        <v>67636.289999999994</v>
      </c>
    </row>
    <row r="530" spans="1:140" hidden="1" x14ac:dyDescent="0.35">
      <c r="A530" t="s">
        <v>3317</v>
      </c>
      <c r="B530" t="s">
        <v>249</v>
      </c>
      <c r="D530" t="s">
        <v>6749</v>
      </c>
      <c r="E530" t="s">
        <v>263</v>
      </c>
      <c r="F530" t="s">
        <v>3946</v>
      </c>
      <c r="G530" t="s">
        <v>3947</v>
      </c>
      <c r="H530" t="s">
        <v>6750</v>
      </c>
      <c r="I530" t="s">
        <v>5368</v>
      </c>
      <c r="J530" t="s">
        <v>3071</v>
      </c>
      <c r="K530" t="s">
        <v>3071</v>
      </c>
      <c r="L530" t="s">
        <v>261</v>
      </c>
      <c r="M530" t="s">
        <v>3948</v>
      </c>
      <c r="N530" t="s">
        <v>89</v>
      </c>
      <c r="O530" t="s">
        <v>3088</v>
      </c>
      <c r="P530">
        <v>0</v>
      </c>
      <c r="Q530" t="s">
        <v>3075</v>
      </c>
      <c r="R530">
        <v>0</v>
      </c>
      <c r="S530">
        <v>0</v>
      </c>
      <c r="T530" t="s">
        <v>5369</v>
      </c>
      <c r="U530" t="s">
        <v>6751</v>
      </c>
      <c r="V530" s="17">
        <v>45021</v>
      </c>
      <c r="W530" s="17">
        <v>45028</v>
      </c>
      <c r="X530" s="17">
        <v>45394</v>
      </c>
      <c r="Y530">
        <v>-768</v>
      </c>
      <c r="Z530">
        <v>12</v>
      </c>
      <c r="AA530">
        <v>12.2</v>
      </c>
      <c r="AB530">
        <v>1564.3333333333333</v>
      </c>
      <c r="AC530" s="17"/>
      <c r="AD530">
        <v>45991</v>
      </c>
      <c r="AE530">
        <v>24000</v>
      </c>
      <c r="AF530">
        <v>1152000</v>
      </c>
      <c r="AG530">
        <v>94426.229500000001</v>
      </c>
      <c r="AH530">
        <v>1152000</v>
      </c>
      <c r="AI530">
        <v>0</v>
      </c>
      <c r="AJ530">
        <v>0</v>
      </c>
      <c r="AW530">
        <v>0</v>
      </c>
      <c r="BJ530">
        <v>768000</v>
      </c>
      <c r="BO530">
        <v>96000</v>
      </c>
      <c r="BP530">
        <v>96000</v>
      </c>
      <c r="BQ530">
        <v>96000</v>
      </c>
      <c r="BR530">
        <v>96000</v>
      </c>
      <c r="BS530">
        <v>96000</v>
      </c>
      <c r="BT530">
        <v>96000</v>
      </c>
      <c r="BU530">
        <v>96000</v>
      </c>
      <c r="BV530">
        <v>96000</v>
      </c>
      <c r="BW530">
        <v>384000</v>
      </c>
      <c r="BX530">
        <v>96000</v>
      </c>
      <c r="BY530">
        <v>96000</v>
      </c>
      <c r="BZ530">
        <v>96000</v>
      </c>
      <c r="CA530">
        <v>96000</v>
      </c>
      <c r="CJ530">
        <v>0</v>
      </c>
      <c r="CW530">
        <v>0</v>
      </c>
      <c r="DJ530">
        <v>0</v>
      </c>
      <c r="DW530">
        <v>0</v>
      </c>
      <c r="EJ530">
        <v>0</v>
      </c>
    </row>
    <row r="531" spans="1:140" hidden="1" x14ac:dyDescent="0.35">
      <c r="A531" t="s">
        <v>3317</v>
      </c>
      <c r="B531" t="s">
        <v>249</v>
      </c>
      <c r="D531" t="s">
        <v>6752</v>
      </c>
      <c r="E531" t="s">
        <v>263</v>
      </c>
      <c r="F531" t="s">
        <v>3946</v>
      </c>
      <c r="G531" t="s">
        <v>3947</v>
      </c>
      <c r="H531" t="s">
        <v>6753</v>
      </c>
      <c r="I531" t="s">
        <v>5373</v>
      </c>
      <c r="J531" t="s">
        <v>3071</v>
      </c>
      <c r="K531" t="s">
        <v>3071</v>
      </c>
      <c r="L531" t="s">
        <v>261</v>
      </c>
      <c r="M531" t="s">
        <v>3948</v>
      </c>
      <c r="N531" t="s">
        <v>89</v>
      </c>
      <c r="O531" t="s">
        <v>3088</v>
      </c>
      <c r="P531">
        <v>0</v>
      </c>
      <c r="Q531" t="s">
        <v>3075</v>
      </c>
      <c r="R531" t="s">
        <v>1580</v>
      </c>
      <c r="S531" t="s">
        <v>5374</v>
      </c>
      <c r="T531" t="s">
        <v>5369</v>
      </c>
      <c r="U531" t="s">
        <v>6751</v>
      </c>
      <c r="V531" s="17">
        <v>45407</v>
      </c>
      <c r="W531" s="17">
        <v>45413</v>
      </c>
      <c r="X531" s="17">
        <v>45596</v>
      </c>
      <c r="Y531">
        <v>-566</v>
      </c>
      <c r="Z531">
        <v>5</v>
      </c>
      <c r="AA531">
        <v>6.1</v>
      </c>
      <c r="AB531">
        <v>1557.6</v>
      </c>
      <c r="AC531" s="17"/>
      <c r="AD531">
        <v>45991</v>
      </c>
      <c r="AE531">
        <v>24000</v>
      </c>
      <c r="AF531">
        <v>480000</v>
      </c>
      <c r="AG531">
        <v>78688.524600000004</v>
      </c>
      <c r="AH531">
        <v>480000</v>
      </c>
      <c r="AI531">
        <v>0</v>
      </c>
      <c r="AJ531">
        <v>0</v>
      </c>
      <c r="AW531">
        <v>0</v>
      </c>
      <c r="BJ531">
        <v>0</v>
      </c>
      <c r="BW531">
        <v>480000</v>
      </c>
      <c r="CC531">
        <v>96000</v>
      </c>
      <c r="CD531">
        <v>96000</v>
      </c>
      <c r="CE531">
        <v>96000</v>
      </c>
      <c r="CF531">
        <v>96000</v>
      </c>
      <c r="CG531">
        <v>96000</v>
      </c>
      <c r="CJ531">
        <v>0</v>
      </c>
      <c r="CW531">
        <v>0</v>
      </c>
      <c r="DJ531">
        <v>0</v>
      </c>
      <c r="DW531">
        <v>0</v>
      </c>
      <c r="EJ531">
        <v>0</v>
      </c>
    </row>
    <row r="532" spans="1:140" hidden="1" x14ac:dyDescent="0.35">
      <c r="A532" t="s">
        <v>3317</v>
      </c>
      <c r="B532" t="s">
        <v>249</v>
      </c>
      <c r="D532" t="s">
        <v>6754</v>
      </c>
      <c r="E532" t="s">
        <v>263</v>
      </c>
      <c r="F532" t="s">
        <v>3946</v>
      </c>
      <c r="G532" t="s">
        <v>3947</v>
      </c>
      <c r="H532" t="s">
        <v>6753</v>
      </c>
      <c r="I532" t="s">
        <v>5373</v>
      </c>
      <c r="J532" t="s">
        <v>3071</v>
      </c>
      <c r="K532" t="s">
        <v>3071</v>
      </c>
      <c r="L532" t="s">
        <v>261</v>
      </c>
      <c r="M532" t="s">
        <v>3948</v>
      </c>
      <c r="N532" t="s">
        <v>89</v>
      </c>
      <c r="O532" t="s">
        <v>3088</v>
      </c>
      <c r="P532">
        <v>0</v>
      </c>
      <c r="Q532" t="s">
        <v>3075</v>
      </c>
      <c r="R532" t="s">
        <v>1580</v>
      </c>
      <c r="S532" t="s">
        <v>5374</v>
      </c>
      <c r="T532" t="s">
        <v>1576</v>
      </c>
      <c r="U532" t="s">
        <v>6751</v>
      </c>
      <c r="V532" s="17">
        <v>45580</v>
      </c>
      <c r="W532" s="17">
        <v>45597</v>
      </c>
      <c r="X532" s="17">
        <v>45657</v>
      </c>
      <c r="Y532">
        <v>-505</v>
      </c>
      <c r="Z532">
        <v>2</v>
      </c>
      <c r="AA532">
        <v>2</v>
      </c>
      <c r="AB532">
        <v>1555.5666666666666</v>
      </c>
      <c r="AC532" s="17"/>
      <c r="AD532">
        <v>45991</v>
      </c>
      <c r="AE532">
        <v>24000</v>
      </c>
      <c r="AF532">
        <v>192000</v>
      </c>
      <c r="AG532">
        <v>96000</v>
      </c>
      <c r="AH532">
        <v>192000</v>
      </c>
      <c r="AI532">
        <v>0</v>
      </c>
      <c r="AJ532">
        <v>0</v>
      </c>
      <c r="AW532">
        <v>0</v>
      </c>
      <c r="BJ532">
        <v>0</v>
      </c>
      <c r="BW532">
        <v>192000</v>
      </c>
      <c r="CH532">
        <v>96000</v>
      </c>
      <c r="CI532">
        <v>96000</v>
      </c>
      <c r="CJ532">
        <v>0</v>
      </c>
      <c r="CW532">
        <v>0</v>
      </c>
      <c r="DJ532">
        <v>0</v>
      </c>
      <c r="DW532">
        <v>0</v>
      </c>
      <c r="EJ532">
        <v>0</v>
      </c>
    </row>
    <row r="533" spans="1:140" hidden="1" x14ac:dyDescent="0.35">
      <c r="A533" t="s">
        <v>3317</v>
      </c>
      <c r="B533" t="s">
        <v>249</v>
      </c>
      <c r="D533" t="s">
        <v>6755</v>
      </c>
      <c r="E533" t="s">
        <v>263</v>
      </c>
      <c r="F533" t="s">
        <v>3946</v>
      </c>
      <c r="G533" t="s">
        <v>3947</v>
      </c>
      <c r="H533" t="s">
        <v>6753</v>
      </c>
      <c r="I533" t="s">
        <v>5373</v>
      </c>
      <c r="J533" t="s">
        <v>3071</v>
      </c>
      <c r="K533" t="s">
        <v>3071</v>
      </c>
      <c r="L533" t="s">
        <v>261</v>
      </c>
      <c r="M533" t="s">
        <v>3948</v>
      </c>
      <c r="N533" t="s">
        <v>89</v>
      </c>
      <c r="O533" t="s">
        <v>3088</v>
      </c>
      <c r="P533">
        <v>0</v>
      </c>
      <c r="Q533" t="s">
        <v>3075</v>
      </c>
      <c r="R533" t="s">
        <v>1580</v>
      </c>
      <c r="S533" t="s">
        <v>5374</v>
      </c>
      <c r="T533" t="s">
        <v>1576</v>
      </c>
      <c r="U533" t="s">
        <v>6751</v>
      </c>
      <c r="V533" s="17">
        <v>45653</v>
      </c>
      <c r="W533" s="17">
        <v>45658</v>
      </c>
      <c r="X533" s="17">
        <v>45762</v>
      </c>
      <c r="Y533">
        <v>-400</v>
      </c>
      <c r="Z533">
        <v>3.5</v>
      </c>
      <c r="AA533">
        <v>3.4666666666666668</v>
      </c>
      <c r="AB533">
        <v>1552.0666666666666</v>
      </c>
      <c r="AC533" s="17"/>
      <c r="AD533">
        <v>45991</v>
      </c>
      <c r="AE533">
        <v>25519.200000000001</v>
      </c>
      <c r="AF533">
        <v>357268.8</v>
      </c>
      <c r="AG533">
        <v>103058.3077</v>
      </c>
      <c r="AH533">
        <v>357268.8</v>
      </c>
      <c r="AI533">
        <v>0</v>
      </c>
      <c r="AJ533">
        <v>0</v>
      </c>
      <c r="AW533">
        <v>0</v>
      </c>
      <c r="BJ533">
        <v>0</v>
      </c>
      <c r="BW533">
        <v>0</v>
      </c>
      <c r="CJ533">
        <v>357268.8</v>
      </c>
      <c r="CK533">
        <v>102076.8</v>
      </c>
      <c r="CL533">
        <v>102076.8</v>
      </c>
      <c r="CM533">
        <v>102076.8</v>
      </c>
      <c r="CN533">
        <v>51038.400000000001</v>
      </c>
      <c r="CW533">
        <v>0</v>
      </c>
      <c r="DJ533">
        <v>0</v>
      </c>
      <c r="DW533">
        <v>0</v>
      </c>
      <c r="EJ533">
        <v>357268.8</v>
      </c>
    </row>
    <row r="534" spans="1:140" hidden="1" x14ac:dyDescent="0.35">
      <c r="A534" t="s">
        <v>3317</v>
      </c>
      <c r="B534" t="s">
        <v>249</v>
      </c>
      <c r="D534" t="s">
        <v>6756</v>
      </c>
      <c r="E534" t="s">
        <v>263</v>
      </c>
      <c r="F534" t="s">
        <v>3946</v>
      </c>
      <c r="G534" t="s">
        <v>3947</v>
      </c>
      <c r="H534" t="s">
        <v>6753</v>
      </c>
      <c r="I534" t="s">
        <v>5373</v>
      </c>
      <c r="J534" t="s">
        <v>3071</v>
      </c>
      <c r="K534" t="s">
        <v>3071</v>
      </c>
      <c r="L534" t="s">
        <v>261</v>
      </c>
      <c r="M534" t="s">
        <v>3948</v>
      </c>
      <c r="N534" t="s">
        <v>89</v>
      </c>
      <c r="O534" t="s">
        <v>3088</v>
      </c>
      <c r="P534" t="s">
        <v>3088</v>
      </c>
      <c r="Q534" t="s">
        <v>3075</v>
      </c>
      <c r="R534" t="s">
        <v>2513</v>
      </c>
      <c r="S534" t="s">
        <v>5374</v>
      </c>
      <c r="T534" t="s">
        <v>1576</v>
      </c>
      <c r="U534" t="s">
        <v>6751</v>
      </c>
      <c r="V534" s="17">
        <v>45770</v>
      </c>
      <c r="W534" s="17">
        <v>45763</v>
      </c>
      <c r="X534" s="17">
        <v>45900</v>
      </c>
      <c r="Y534">
        <v>-262</v>
      </c>
      <c r="Z534">
        <v>4.5</v>
      </c>
      <c r="AA534">
        <v>4.5666666666666664</v>
      </c>
      <c r="AB534">
        <v>1547.4666666666667</v>
      </c>
      <c r="AC534" s="17"/>
      <c r="AD534">
        <v>45991</v>
      </c>
      <c r="AE534">
        <v>25519.200000000001</v>
      </c>
      <c r="AF534">
        <v>459345.6</v>
      </c>
      <c r="AG534">
        <v>100586.6277</v>
      </c>
      <c r="AH534">
        <v>459345.6</v>
      </c>
      <c r="AI534">
        <v>0</v>
      </c>
      <c r="AJ534">
        <v>0</v>
      </c>
      <c r="AW534">
        <v>0</v>
      </c>
      <c r="BJ534">
        <v>0</v>
      </c>
      <c r="BW534">
        <v>0</v>
      </c>
      <c r="CJ534">
        <v>459345.6</v>
      </c>
      <c r="CN534">
        <v>51038.400000000001</v>
      </c>
      <c r="CO534">
        <v>102076.8</v>
      </c>
      <c r="CP534">
        <v>102076.8</v>
      </c>
      <c r="CQ534">
        <v>102076.8</v>
      </c>
      <c r="CR534">
        <v>102076.8</v>
      </c>
      <c r="CW534">
        <v>0</v>
      </c>
      <c r="DJ534">
        <v>0</v>
      </c>
      <c r="DW534">
        <v>0</v>
      </c>
      <c r="EJ534">
        <v>459345.6</v>
      </c>
    </row>
    <row r="535" spans="1:140" hidden="1" x14ac:dyDescent="0.35">
      <c r="A535" t="s">
        <v>3317</v>
      </c>
      <c r="B535" t="s">
        <v>249</v>
      </c>
      <c r="D535" t="s">
        <v>6757</v>
      </c>
      <c r="E535" t="s">
        <v>263</v>
      </c>
      <c r="F535" t="s">
        <v>3946</v>
      </c>
      <c r="G535" t="s">
        <v>3947</v>
      </c>
      <c r="H535" t="s">
        <v>6753</v>
      </c>
      <c r="I535" t="s">
        <v>5373</v>
      </c>
      <c r="J535" t="s">
        <v>3071</v>
      </c>
      <c r="K535" t="s">
        <v>3071</v>
      </c>
      <c r="L535" t="s">
        <v>261</v>
      </c>
      <c r="M535" t="s">
        <v>3948</v>
      </c>
      <c r="N535" t="s">
        <v>89</v>
      </c>
      <c r="O535" t="s">
        <v>3088</v>
      </c>
      <c r="P535" t="s">
        <v>3088</v>
      </c>
      <c r="Q535" t="s">
        <v>3075</v>
      </c>
      <c r="R535" t="s">
        <v>2513</v>
      </c>
      <c r="S535" t="s">
        <v>5374</v>
      </c>
      <c r="T535" t="s">
        <v>1576</v>
      </c>
      <c r="U535" t="s">
        <v>6758</v>
      </c>
      <c r="V535" s="17">
        <v>45838</v>
      </c>
      <c r="W535" s="17">
        <v>45838</v>
      </c>
      <c r="X535" s="17">
        <v>45900</v>
      </c>
      <c r="Y535">
        <v>-262</v>
      </c>
      <c r="Z535">
        <v>2</v>
      </c>
      <c r="AA535">
        <v>2.0666666666666669</v>
      </c>
      <c r="AB535">
        <v>1547.4666666666667</v>
      </c>
      <c r="AC535" s="17"/>
      <c r="AD535">
        <v>45991</v>
      </c>
      <c r="AE535">
        <v>40487.214999999997</v>
      </c>
      <c r="AF535">
        <v>161948.85999999999</v>
      </c>
      <c r="AG535">
        <v>78362.351599999995</v>
      </c>
      <c r="AH535">
        <v>161948.85999999999</v>
      </c>
      <c r="AI535">
        <v>0</v>
      </c>
      <c r="AJ535">
        <v>0</v>
      </c>
      <c r="AW535">
        <v>0</v>
      </c>
      <c r="BJ535">
        <v>0</v>
      </c>
      <c r="BW535">
        <v>0</v>
      </c>
      <c r="CJ535">
        <v>161948.85999999999</v>
      </c>
      <c r="CQ535">
        <v>80974.429999999993</v>
      </c>
      <c r="CR535">
        <v>80974.429999999993</v>
      </c>
      <c r="CW535">
        <v>0</v>
      </c>
      <c r="DJ535">
        <v>0</v>
      </c>
      <c r="DW535">
        <v>0</v>
      </c>
      <c r="EJ535">
        <v>161948.85999999999</v>
      </c>
    </row>
    <row r="536" spans="1:140" hidden="1" x14ac:dyDescent="0.35">
      <c r="A536" t="s">
        <v>3317</v>
      </c>
      <c r="B536" t="s">
        <v>249</v>
      </c>
      <c r="D536" t="s">
        <v>6759</v>
      </c>
      <c r="E536" t="s">
        <v>263</v>
      </c>
      <c r="F536" t="s">
        <v>3946</v>
      </c>
      <c r="G536" t="s">
        <v>3947</v>
      </c>
      <c r="H536" t="s">
        <v>6753</v>
      </c>
      <c r="I536" t="s">
        <v>5373</v>
      </c>
      <c r="J536" t="s">
        <v>3071</v>
      </c>
      <c r="K536" t="s">
        <v>3071</v>
      </c>
      <c r="L536" t="s">
        <v>261</v>
      </c>
      <c r="M536" t="s">
        <v>3948</v>
      </c>
      <c r="N536" t="s">
        <v>89</v>
      </c>
      <c r="O536" t="s">
        <v>3088</v>
      </c>
      <c r="P536" t="s">
        <v>3088</v>
      </c>
      <c r="Q536" t="s">
        <v>3075</v>
      </c>
      <c r="R536" t="s">
        <v>2513</v>
      </c>
      <c r="S536" t="s">
        <v>5374</v>
      </c>
      <c r="T536" t="s">
        <v>1576</v>
      </c>
      <c r="U536" t="s">
        <v>6758</v>
      </c>
      <c r="V536" s="17">
        <v>45895</v>
      </c>
      <c r="W536" s="17">
        <v>45895</v>
      </c>
      <c r="X536" s="17">
        <v>45930</v>
      </c>
      <c r="Y536">
        <v>-232</v>
      </c>
      <c r="Z536">
        <v>1</v>
      </c>
      <c r="AA536">
        <v>1.1666666666666667</v>
      </c>
      <c r="AB536">
        <v>1546.4666666666667</v>
      </c>
      <c r="AC536" s="17"/>
      <c r="AD536">
        <v>45991</v>
      </c>
      <c r="AE536">
        <v>80974.429999999993</v>
      </c>
      <c r="AF536">
        <v>80974.429999999993</v>
      </c>
      <c r="AG536">
        <v>69406.654299999995</v>
      </c>
      <c r="AH536">
        <v>80974.429999999993</v>
      </c>
      <c r="AI536">
        <v>0</v>
      </c>
      <c r="AJ536">
        <v>0</v>
      </c>
      <c r="AW536">
        <v>0</v>
      </c>
      <c r="BJ536">
        <v>0</v>
      </c>
      <c r="BW536">
        <v>0</v>
      </c>
      <c r="CJ536">
        <v>80974.429999999993</v>
      </c>
      <c r="CS536">
        <v>80974.429999999993</v>
      </c>
      <c r="CW536">
        <v>0</v>
      </c>
      <c r="DJ536">
        <v>0</v>
      </c>
      <c r="DW536">
        <v>0</v>
      </c>
      <c r="EJ536">
        <v>80974.429999999993</v>
      </c>
    </row>
    <row r="537" spans="1:140" hidden="1" x14ac:dyDescent="0.35">
      <c r="A537" t="s">
        <v>3317</v>
      </c>
      <c r="B537" t="s">
        <v>249</v>
      </c>
      <c r="D537" t="s">
        <v>6760</v>
      </c>
      <c r="E537" t="s">
        <v>263</v>
      </c>
      <c r="F537" t="s">
        <v>3946</v>
      </c>
      <c r="G537" t="s">
        <v>3947</v>
      </c>
      <c r="H537" t="s">
        <v>6753</v>
      </c>
      <c r="I537" t="s">
        <v>5373</v>
      </c>
      <c r="J537" t="s">
        <v>3071</v>
      </c>
      <c r="K537" t="s">
        <v>3071</v>
      </c>
      <c r="L537" t="s">
        <v>261</v>
      </c>
      <c r="M537" t="s">
        <v>3948</v>
      </c>
      <c r="N537" t="s">
        <v>89</v>
      </c>
      <c r="O537" t="s">
        <v>3088</v>
      </c>
      <c r="P537" t="s">
        <v>3088</v>
      </c>
      <c r="Q537" t="s">
        <v>3075</v>
      </c>
      <c r="R537" t="s">
        <v>2513</v>
      </c>
      <c r="S537" t="s">
        <v>5374</v>
      </c>
      <c r="T537" t="s">
        <v>1576</v>
      </c>
      <c r="U537" t="s">
        <v>6761</v>
      </c>
      <c r="V537" s="17">
        <v>45915</v>
      </c>
      <c r="W537" s="17">
        <v>45930</v>
      </c>
      <c r="X537" s="17">
        <v>45960</v>
      </c>
      <c r="Y537">
        <v>-202</v>
      </c>
      <c r="Z537">
        <v>1</v>
      </c>
      <c r="AA537">
        <v>1</v>
      </c>
      <c r="AB537">
        <v>1545.4666666666667</v>
      </c>
      <c r="AC537" s="17"/>
      <c r="AD537">
        <v>45991</v>
      </c>
      <c r="AE537">
        <v>80974.429999999993</v>
      </c>
      <c r="AF537">
        <v>80974.429999999993</v>
      </c>
      <c r="AG537">
        <v>80974.429999999993</v>
      </c>
      <c r="AH537">
        <v>80974.429999999993</v>
      </c>
      <c r="AI537">
        <v>0</v>
      </c>
      <c r="AJ537">
        <v>0</v>
      </c>
      <c r="AW537">
        <v>0</v>
      </c>
      <c r="BJ537">
        <v>0</v>
      </c>
      <c r="BW537">
        <v>0</v>
      </c>
      <c r="CJ537">
        <v>80974.429999999993</v>
      </c>
      <c r="CT537">
        <v>80974.429999999993</v>
      </c>
      <c r="CW537">
        <v>0</v>
      </c>
      <c r="DJ537">
        <v>0</v>
      </c>
      <c r="DW537">
        <v>0</v>
      </c>
      <c r="EJ537">
        <v>80974.429999999993</v>
      </c>
    </row>
    <row r="538" spans="1:140" hidden="1" x14ac:dyDescent="0.35">
      <c r="A538" t="s">
        <v>3317</v>
      </c>
      <c r="B538" t="s">
        <v>249</v>
      </c>
      <c r="D538" t="s">
        <v>6762</v>
      </c>
      <c r="E538" t="s">
        <v>263</v>
      </c>
      <c r="F538" t="s">
        <v>3946</v>
      </c>
      <c r="G538" t="s">
        <v>3947</v>
      </c>
      <c r="H538" t="s">
        <v>6753</v>
      </c>
      <c r="I538" t="s">
        <v>5373</v>
      </c>
      <c r="J538" t="s">
        <v>3071</v>
      </c>
      <c r="K538" t="s">
        <v>3071</v>
      </c>
      <c r="L538" t="s">
        <v>261</v>
      </c>
      <c r="M538" t="s">
        <v>3948</v>
      </c>
      <c r="N538" t="s">
        <v>89</v>
      </c>
      <c r="O538" t="s">
        <v>3088</v>
      </c>
      <c r="P538" t="s">
        <v>3088</v>
      </c>
      <c r="Q538" t="s">
        <v>3075</v>
      </c>
      <c r="R538" t="s">
        <v>2513</v>
      </c>
      <c r="S538" t="s">
        <v>5374</v>
      </c>
      <c r="T538" t="s">
        <v>1576</v>
      </c>
      <c r="U538" t="s">
        <v>6763</v>
      </c>
      <c r="V538" s="17">
        <v>45938</v>
      </c>
      <c r="W538" s="17">
        <v>45960</v>
      </c>
      <c r="X538" s="17">
        <v>45991</v>
      </c>
      <c r="Y538">
        <v>-171</v>
      </c>
      <c r="Z538">
        <v>1</v>
      </c>
      <c r="AA538">
        <v>1.0333333333333334</v>
      </c>
      <c r="AB538">
        <v>1544.4333333333334</v>
      </c>
      <c r="AC538" s="17"/>
      <c r="AD538">
        <v>45991</v>
      </c>
      <c r="AE538">
        <v>24136.91</v>
      </c>
      <c r="AF538">
        <v>24136.91</v>
      </c>
      <c r="AG538">
        <v>23358.3</v>
      </c>
      <c r="AH538">
        <v>24136.91</v>
      </c>
      <c r="AI538">
        <v>0</v>
      </c>
      <c r="AJ538">
        <v>0</v>
      </c>
      <c r="AW538">
        <v>0</v>
      </c>
      <c r="BJ538">
        <v>0</v>
      </c>
      <c r="BW538">
        <v>0</v>
      </c>
      <c r="CJ538">
        <v>24136.91</v>
      </c>
      <c r="CU538">
        <v>24136.91</v>
      </c>
      <c r="CW538">
        <v>0</v>
      </c>
      <c r="DJ538">
        <v>0</v>
      </c>
      <c r="DW538">
        <v>0</v>
      </c>
      <c r="EJ538">
        <v>24136.91</v>
      </c>
    </row>
    <row r="539" spans="1:140" hidden="1" x14ac:dyDescent="0.35">
      <c r="A539" t="s">
        <v>3317</v>
      </c>
      <c r="B539" t="s">
        <v>249</v>
      </c>
      <c r="D539" t="s">
        <v>6764</v>
      </c>
      <c r="E539" t="s">
        <v>161</v>
      </c>
      <c r="F539" t="s">
        <v>3951</v>
      </c>
      <c r="G539" t="s">
        <v>3952</v>
      </c>
      <c r="H539" t="s">
        <v>6765</v>
      </c>
      <c r="I539" t="s">
        <v>5368</v>
      </c>
      <c r="J539" t="s">
        <v>3071</v>
      </c>
      <c r="K539" t="s">
        <v>3071</v>
      </c>
      <c r="L539" t="s">
        <v>88</v>
      </c>
      <c r="M539" t="s">
        <v>3139</v>
      </c>
      <c r="N539" t="s">
        <v>89</v>
      </c>
      <c r="O539" t="s">
        <v>3088</v>
      </c>
      <c r="P539">
        <v>0</v>
      </c>
      <c r="Q539" t="s">
        <v>3075</v>
      </c>
      <c r="R539" t="s">
        <v>1580</v>
      </c>
      <c r="S539" t="s">
        <v>5374</v>
      </c>
      <c r="T539">
        <v>0</v>
      </c>
      <c r="U539" t="s">
        <v>6766</v>
      </c>
      <c r="V539" s="17">
        <v>45314</v>
      </c>
      <c r="W539" s="17">
        <v>45309</v>
      </c>
      <c r="X539" s="17">
        <v>45674</v>
      </c>
      <c r="Y539">
        <v>-488</v>
      </c>
      <c r="Z539">
        <v>12</v>
      </c>
      <c r="AA539">
        <v>12.166666666666666</v>
      </c>
      <c r="AB539">
        <v>1555</v>
      </c>
      <c r="AC539" s="17"/>
      <c r="AD539">
        <v>45954</v>
      </c>
      <c r="AE539">
        <v>25985.396700000001</v>
      </c>
      <c r="AF539">
        <v>935474.28</v>
      </c>
      <c r="AG539">
        <v>76888.297000000006</v>
      </c>
      <c r="AH539">
        <v>951974.28</v>
      </c>
      <c r="AI539">
        <v>16500</v>
      </c>
      <c r="AJ539">
        <v>0</v>
      </c>
      <c r="AW539">
        <v>0</v>
      </c>
      <c r="BJ539">
        <v>0</v>
      </c>
      <c r="BW539">
        <v>865768.09</v>
      </c>
      <c r="BY539">
        <v>86206.19</v>
      </c>
      <c r="BZ539">
        <v>77956.19</v>
      </c>
      <c r="CA539">
        <v>77956.19</v>
      </c>
      <c r="CB539">
        <v>77956.19</v>
      </c>
      <c r="CC539">
        <v>77956.19</v>
      </c>
      <c r="CD539">
        <v>77956.19</v>
      </c>
      <c r="CE539">
        <v>77956.19</v>
      </c>
      <c r="CF539">
        <v>77956.19</v>
      </c>
      <c r="CG539">
        <v>77956</v>
      </c>
      <c r="CH539">
        <v>77956.19</v>
      </c>
      <c r="CI539">
        <v>77956.19</v>
      </c>
      <c r="CJ539">
        <v>86206.19</v>
      </c>
      <c r="CK539">
        <v>86206.19</v>
      </c>
      <c r="CW539">
        <v>0</v>
      </c>
      <c r="DJ539">
        <v>0</v>
      </c>
      <c r="DW539">
        <v>0</v>
      </c>
      <c r="EJ539">
        <v>86206.19</v>
      </c>
    </row>
    <row r="540" spans="1:140" hidden="1" x14ac:dyDescent="0.35">
      <c r="A540" t="s">
        <v>3317</v>
      </c>
      <c r="B540" t="s">
        <v>249</v>
      </c>
      <c r="D540" t="s">
        <v>6767</v>
      </c>
      <c r="E540" t="s">
        <v>161</v>
      </c>
      <c r="F540" t="s">
        <v>3951</v>
      </c>
      <c r="G540" t="s">
        <v>3952</v>
      </c>
      <c r="H540" t="s">
        <v>6768</v>
      </c>
      <c r="I540" t="s">
        <v>5373</v>
      </c>
      <c r="J540" t="s">
        <v>3071</v>
      </c>
      <c r="K540" t="s">
        <v>3071</v>
      </c>
      <c r="L540" t="s">
        <v>88</v>
      </c>
      <c r="M540" t="s">
        <v>3139</v>
      </c>
      <c r="N540" t="s">
        <v>89</v>
      </c>
      <c r="O540" t="s">
        <v>3088</v>
      </c>
      <c r="P540" t="s">
        <v>3088</v>
      </c>
      <c r="Q540" t="s">
        <v>3075</v>
      </c>
      <c r="R540" t="s">
        <v>1580</v>
      </c>
      <c r="S540" t="s">
        <v>5374</v>
      </c>
      <c r="T540" t="s">
        <v>1576</v>
      </c>
      <c r="U540" t="s">
        <v>6766</v>
      </c>
      <c r="V540" s="17">
        <v>45680</v>
      </c>
      <c r="W540" s="17">
        <v>45674</v>
      </c>
      <c r="X540" s="17">
        <v>45794</v>
      </c>
      <c r="Y540">
        <v>-368</v>
      </c>
      <c r="Z540">
        <v>4</v>
      </c>
      <c r="AA540">
        <v>4</v>
      </c>
      <c r="AB540">
        <v>1551</v>
      </c>
      <c r="AC540" s="17"/>
      <c r="AD540">
        <v>45954</v>
      </c>
      <c r="AE540">
        <v>25985.396700000001</v>
      </c>
      <c r="AF540">
        <v>311824.76</v>
      </c>
      <c r="AG540">
        <v>77956.19</v>
      </c>
      <c r="AH540">
        <v>311824.76</v>
      </c>
      <c r="AI540">
        <v>0</v>
      </c>
      <c r="AJ540">
        <v>0</v>
      </c>
      <c r="AW540">
        <v>0</v>
      </c>
      <c r="BJ540">
        <v>0</v>
      </c>
      <c r="BW540">
        <v>0</v>
      </c>
      <c r="CJ540">
        <v>311824.76</v>
      </c>
      <c r="CL540">
        <v>77956.19</v>
      </c>
      <c r="CM540">
        <v>77956.19</v>
      </c>
      <c r="CN540">
        <v>77956.19</v>
      </c>
      <c r="CO540">
        <v>77956.19</v>
      </c>
      <c r="CW540">
        <v>0</v>
      </c>
      <c r="DJ540">
        <v>0</v>
      </c>
      <c r="DW540">
        <v>0</v>
      </c>
      <c r="EJ540">
        <v>311824.76</v>
      </c>
    </row>
    <row r="541" spans="1:140" hidden="1" x14ac:dyDescent="0.35">
      <c r="A541" t="s">
        <v>3317</v>
      </c>
      <c r="B541" t="s">
        <v>249</v>
      </c>
      <c r="D541" t="s">
        <v>6769</v>
      </c>
      <c r="E541" t="s">
        <v>161</v>
      </c>
      <c r="F541" t="s">
        <v>3951</v>
      </c>
      <c r="G541" t="s">
        <v>3952</v>
      </c>
      <c r="H541" t="s">
        <v>6768</v>
      </c>
      <c r="I541" t="s">
        <v>5373</v>
      </c>
      <c r="J541" t="s">
        <v>3071</v>
      </c>
      <c r="K541" t="s">
        <v>3071</v>
      </c>
      <c r="L541" t="s">
        <v>88</v>
      </c>
      <c r="M541" t="s">
        <v>3139</v>
      </c>
      <c r="N541" t="s">
        <v>89</v>
      </c>
      <c r="O541" t="s">
        <v>3088</v>
      </c>
      <c r="P541" t="s">
        <v>3088</v>
      </c>
      <c r="Q541" t="s">
        <v>3075</v>
      </c>
      <c r="R541" t="s">
        <v>1580</v>
      </c>
      <c r="S541" t="s">
        <v>5374</v>
      </c>
      <c r="T541" t="s">
        <v>1576</v>
      </c>
      <c r="U541" t="s">
        <v>6766</v>
      </c>
      <c r="V541" s="17">
        <v>45792</v>
      </c>
      <c r="W541" s="17">
        <v>45794</v>
      </c>
      <c r="X541" s="17">
        <v>45917</v>
      </c>
      <c r="Y541">
        <v>-245</v>
      </c>
      <c r="Z541">
        <v>4</v>
      </c>
      <c r="AA541">
        <v>4.0999999999999996</v>
      </c>
      <c r="AB541">
        <v>1546.9</v>
      </c>
      <c r="AC541" s="17"/>
      <c r="AD541">
        <v>45954</v>
      </c>
      <c r="AE541">
        <v>26672.523300000001</v>
      </c>
      <c r="AF541">
        <v>320070.28000000003</v>
      </c>
      <c r="AG541">
        <v>78065.922000000006</v>
      </c>
      <c r="AH541">
        <v>320070.28000000003</v>
      </c>
      <c r="AI541">
        <v>0</v>
      </c>
      <c r="AJ541">
        <v>0</v>
      </c>
      <c r="AW541">
        <v>0</v>
      </c>
      <c r="BJ541">
        <v>0</v>
      </c>
      <c r="BW541">
        <v>0</v>
      </c>
      <c r="CJ541">
        <v>320070.28000000003</v>
      </c>
      <c r="CP541">
        <v>80017.570000000007</v>
      </c>
      <c r="CQ541">
        <v>80017.570000000007</v>
      </c>
      <c r="CR541">
        <v>80017.570000000007</v>
      </c>
      <c r="CS541">
        <v>80017.570000000007</v>
      </c>
      <c r="CW541">
        <v>0</v>
      </c>
      <c r="DJ541">
        <v>0</v>
      </c>
      <c r="DW541">
        <v>0</v>
      </c>
      <c r="EJ541">
        <v>320070.28000000003</v>
      </c>
    </row>
    <row r="542" spans="1:140" hidden="1" x14ac:dyDescent="0.35">
      <c r="A542" t="s">
        <v>3317</v>
      </c>
      <c r="B542" t="s">
        <v>249</v>
      </c>
      <c r="D542" t="s">
        <v>6770</v>
      </c>
      <c r="E542" t="s">
        <v>3955</v>
      </c>
      <c r="F542" t="s">
        <v>3956</v>
      </c>
      <c r="G542" t="s">
        <v>3957</v>
      </c>
      <c r="H542" t="s">
        <v>6771</v>
      </c>
      <c r="I542" t="s">
        <v>5368</v>
      </c>
      <c r="J542" t="s">
        <v>3071</v>
      </c>
      <c r="K542" t="s">
        <v>3071</v>
      </c>
      <c r="L542" t="s">
        <v>196</v>
      </c>
      <c r="M542" t="s">
        <v>3180</v>
      </c>
      <c r="N542" t="s">
        <v>89</v>
      </c>
      <c r="O542" t="s">
        <v>3088</v>
      </c>
      <c r="P542">
        <v>0</v>
      </c>
      <c r="Q542" t="s">
        <v>3075</v>
      </c>
      <c r="R542">
        <v>0</v>
      </c>
      <c r="S542">
        <v>0</v>
      </c>
      <c r="T542" t="s">
        <v>5369</v>
      </c>
      <c r="U542" t="s">
        <v>6772</v>
      </c>
      <c r="V542" s="17">
        <v>44926</v>
      </c>
      <c r="W542" s="17">
        <v>44762</v>
      </c>
      <c r="X542" s="17">
        <v>45646</v>
      </c>
      <c r="Y542">
        <v>-516</v>
      </c>
      <c r="Z542">
        <v>0</v>
      </c>
      <c r="AA542">
        <v>29.466666666666665</v>
      </c>
      <c r="AB542">
        <v>1555.9333333333334</v>
      </c>
      <c r="AC542" s="17"/>
      <c r="AD542">
        <v>45929</v>
      </c>
      <c r="AE542">
        <v>0</v>
      </c>
      <c r="AF542">
        <v>919300</v>
      </c>
      <c r="AG542">
        <v>31197.963800000001</v>
      </c>
      <c r="AH542">
        <v>919300</v>
      </c>
      <c r="AI542">
        <v>0</v>
      </c>
      <c r="AJ542">
        <v>0</v>
      </c>
      <c r="AW542">
        <v>158500</v>
      </c>
      <c r="BE542">
        <v>31700</v>
      </c>
      <c r="BF542">
        <v>31700</v>
      </c>
      <c r="BG542">
        <v>31700</v>
      </c>
      <c r="BH542">
        <v>31700</v>
      </c>
      <c r="BI542">
        <v>31700</v>
      </c>
      <c r="BJ542">
        <v>380400</v>
      </c>
      <c r="BK542">
        <v>31700</v>
      </c>
      <c r="BL542">
        <v>31700</v>
      </c>
      <c r="BM542">
        <v>31700</v>
      </c>
      <c r="BN542">
        <v>31700</v>
      </c>
      <c r="BO542">
        <v>31700</v>
      </c>
      <c r="BP542">
        <v>31700</v>
      </c>
      <c r="BQ542">
        <v>31700</v>
      </c>
      <c r="BR542">
        <v>31700</v>
      </c>
      <c r="BS542">
        <v>31700</v>
      </c>
      <c r="BT542">
        <v>31700</v>
      </c>
      <c r="BU542">
        <v>31700</v>
      </c>
      <c r="BV542">
        <v>31700</v>
      </c>
      <c r="BW542">
        <v>380400</v>
      </c>
      <c r="BX542">
        <v>31700</v>
      </c>
      <c r="BY542">
        <v>31700</v>
      </c>
      <c r="BZ542">
        <v>31700</v>
      </c>
      <c r="CA542">
        <v>31700</v>
      </c>
      <c r="CB542">
        <v>31700</v>
      </c>
      <c r="CC542">
        <v>31700</v>
      </c>
      <c r="CD542">
        <v>31700</v>
      </c>
      <c r="CE542">
        <v>31700</v>
      </c>
      <c r="CF542">
        <v>31700</v>
      </c>
      <c r="CG542">
        <v>31700</v>
      </c>
      <c r="CH542">
        <v>31700</v>
      </c>
      <c r="CI542">
        <v>31700</v>
      </c>
      <c r="CJ542">
        <v>0</v>
      </c>
      <c r="CW542">
        <v>0</v>
      </c>
      <c r="DJ542">
        <v>0</v>
      </c>
      <c r="DW542">
        <v>0</v>
      </c>
      <c r="EJ542">
        <v>0</v>
      </c>
    </row>
    <row r="543" spans="1:140" hidden="1" x14ac:dyDescent="0.35">
      <c r="A543" t="s">
        <v>3317</v>
      </c>
      <c r="B543" t="s">
        <v>249</v>
      </c>
      <c r="D543" t="s">
        <v>6773</v>
      </c>
      <c r="E543" t="s">
        <v>3955</v>
      </c>
      <c r="F543" t="s">
        <v>3956</v>
      </c>
      <c r="G543" t="s">
        <v>3957</v>
      </c>
      <c r="H543" t="s">
        <v>6774</v>
      </c>
      <c r="I543" t="s">
        <v>5373</v>
      </c>
      <c r="J543" t="s">
        <v>3071</v>
      </c>
      <c r="K543" t="s">
        <v>3071</v>
      </c>
      <c r="L543" t="s">
        <v>196</v>
      </c>
      <c r="M543" t="s">
        <v>3180</v>
      </c>
      <c r="N543" t="s">
        <v>196</v>
      </c>
      <c r="O543" t="s">
        <v>3107</v>
      </c>
      <c r="P543">
        <v>0</v>
      </c>
      <c r="Q543" t="s">
        <v>3075</v>
      </c>
      <c r="R543" t="s">
        <v>1580</v>
      </c>
      <c r="S543" t="s">
        <v>5374</v>
      </c>
      <c r="T543" t="s">
        <v>1576</v>
      </c>
      <c r="U543" t="s">
        <v>6775</v>
      </c>
      <c r="V543" s="17">
        <v>45636</v>
      </c>
      <c r="W543" s="17">
        <v>45647</v>
      </c>
      <c r="X543" s="17">
        <v>45816</v>
      </c>
      <c r="Y543">
        <v>-346</v>
      </c>
      <c r="Z543">
        <v>6</v>
      </c>
      <c r="AA543">
        <v>5.6333333333333337</v>
      </c>
      <c r="AB543">
        <v>1550.2666666666667</v>
      </c>
      <c r="AC543" s="17"/>
      <c r="AD543">
        <v>45929</v>
      </c>
      <c r="AE543">
        <v>31700</v>
      </c>
      <c r="AF543">
        <v>190200</v>
      </c>
      <c r="AG543">
        <v>33763.313600000001</v>
      </c>
      <c r="AH543">
        <v>190200</v>
      </c>
      <c r="AI543">
        <v>0</v>
      </c>
      <c r="AJ543">
        <v>0</v>
      </c>
      <c r="AW543">
        <v>0</v>
      </c>
      <c r="BJ543">
        <v>0</v>
      </c>
      <c r="BW543">
        <v>15850</v>
      </c>
      <c r="CI543">
        <v>15850</v>
      </c>
      <c r="CJ543">
        <v>174350</v>
      </c>
      <c r="CK543">
        <v>31700</v>
      </c>
      <c r="CL543">
        <v>31700</v>
      </c>
      <c r="CM543">
        <v>31700</v>
      </c>
      <c r="CN543">
        <v>31700</v>
      </c>
      <c r="CO543">
        <v>31700</v>
      </c>
      <c r="CP543">
        <v>15850</v>
      </c>
      <c r="CW543">
        <v>0</v>
      </c>
      <c r="DJ543">
        <v>0</v>
      </c>
      <c r="DW543">
        <v>0</v>
      </c>
      <c r="EJ543">
        <v>174350</v>
      </c>
    </row>
    <row r="544" spans="1:140" hidden="1" x14ac:dyDescent="0.35">
      <c r="A544" t="s">
        <v>3317</v>
      </c>
      <c r="B544" t="s">
        <v>249</v>
      </c>
      <c r="D544" t="s">
        <v>6776</v>
      </c>
      <c r="E544" t="s">
        <v>3955</v>
      </c>
      <c r="F544" t="s">
        <v>3956</v>
      </c>
      <c r="G544" t="s">
        <v>3957</v>
      </c>
      <c r="H544" t="s">
        <v>6774</v>
      </c>
      <c r="I544" t="s">
        <v>5373</v>
      </c>
      <c r="J544" t="s">
        <v>3071</v>
      </c>
      <c r="K544" t="s">
        <v>3071</v>
      </c>
      <c r="L544" t="s">
        <v>196</v>
      </c>
      <c r="M544" t="s">
        <v>3180</v>
      </c>
      <c r="N544" t="s">
        <v>196</v>
      </c>
      <c r="O544" t="s">
        <v>3107</v>
      </c>
      <c r="P544" t="s">
        <v>3694</v>
      </c>
      <c r="Q544" t="s">
        <v>3075</v>
      </c>
      <c r="R544" t="s">
        <v>1580</v>
      </c>
      <c r="S544" t="s">
        <v>5374</v>
      </c>
      <c r="T544" t="s">
        <v>1576</v>
      </c>
      <c r="U544" t="s">
        <v>6775</v>
      </c>
      <c r="V544" s="17">
        <v>45806</v>
      </c>
      <c r="W544" s="17">
        <v>45817</v>
      </c>
      <c r="X544" s="17">
        <v>45961</v>
      </c>
      <c r="Y544">
        <v>-201</v>
      </c>
      <c r="Z544">
        <v>5.5</v>
      </c>
      <c r="AA544">
        <v>4.8</v>
      </c>
      <c r="AB544">
        <v>1545.4333333333334</v>
      </c>
      <c r="AC544" s="17"/>
      <c r="AD544">
        <v>45929</v>
      </c>
      <c r="AE544">
        <v>31700</v>
      </c>
      <c r="AF544">
        <v>174350</v>
      </c>
      <c r="AG544">
        <v>36322.916700000002</v>
      </c>
      <c r="AH544">
        <v>174350</v>
      </c>
      <c r="AI544">
        <v>0</v>
      </c>
      <c r="AJ544">
        <v>0</v>
      </c>
      <c r="AW544">
        <v>0</v>
      </c>
      <c r="BJ544">
        <v>0</v>
      </c>
      <c r="BW544">
        <v>0</v>
      </c>
      <c r="CJ544">
        <v>174350</v>
      </c>
      <c r="CP544">
        <v>15850</v>
      </c>
      <c r="CQ544">
        <v>31700</v>
      </c>
      <c r="CR544">
        <v>31700</v>
      </c>
      <c r="CS544">
        <v>31700</v>
      </c>
      <c r="CT544">
        <v>31700</v>
      </c>
      <c r="CU544">
        <v>31700</v>
      </c>
      <c r="CW544">
        <v>0</v>
      </c>
      <c r="DJ544">
        <v>0</v>
      </c>
      <c r="DW544">
        <v>0</v>
      </c>
      <c r="EJ544">
        <v>174350</v>
      </c>
    </row>
    <row r="545" spans="1:140" hidden="1" x14ac:dyDescent="0.35">
      <c r="A545" t="s">
        <v>3317</v>
      </c>
      <c r="B545" t="s">
        <v>249</v>
      </c>
      <c r="D545" t="s">
        <v>6777</v>
      </c>
      <c r="E545" t="s">
        <v>5142</v>
      </c>
      <c r="F545" t="s">
        <v>5143</v>
      </c>
      <c r="G545" t="s">
        <v>5144</v>
      </c>
      <c r="H545" t="s">
        <v>6778</v>
      </c>
      <c r="I545" t="s">
        <v>5368</v>
      </c>
      <c r="J545" t="s">
        <v>5102</v>
      </c>
      <c r="K545" t="s">
        <v>5102</v>
      </c>
      <c r="L545" t="s">
        <v>5145</v>
      </c>
      <c r="M545" t="s">
        <v>3153</v>
      </c>
      <c r="N545" t="s">
        <v>5145</v>
      </c>
      <c r="O545" t="s">
        <v>3153</v>
      </c>
      <c r="P545">
        <v>0</v>
      </c>
      <c r="Q545" t="s">
        <v>3075</v>
      </c>
      <c r="R545" t="s">
        <v>2403</v>
      </c>
      <c r="S545" t="s">
        <v>5452</v>
      </c>
      <c r="T545" t="s">
        <v>2403</v>
      </c>
      <c r="U545" t="s">
        <v>6741</v>
      </c>
      <c r="V545" s="17">
        <v>45539</v>
      </c>
      <c r="W545" s="17">
        <v>45545</v>
      </c>
      <c r="X545" s="17">
        <v>45725</v>
      </c>
      <c r="Y545">
        <v>-437</v>
      </c>
      <c r="Z545">
        <v>6</v>
      </c>
      <c r="AA545">
        <v>6</v>
      </c>
      <c r="AB545">
        <v>1553.3</v>
      </c>
      <c r="AC545" s="17"/>
      <c r="AD545">
        <v>45930</v>
      </c>
      <c r="AE545">
        <v>22800</v>
      </c>
      <c r="AF545">
        <v>136800</v>
      </c>
      <c r="AG545">
        <v>22800</v>
      </c>
      <c r="AH545">
        <v>136800</v>
      </c>
      <c r="AI545">
        <v>0</v>
      </c>
      <c r="AJ545">
        <v>0</v>
      </c>
      <c r="AW545">
        <v>0</v>
      </c>
      <c r="BJ545">
        <v>0</v>
      </c>
      <c r="BW545">
        <v>79800</v>
      </c>
      <c r="CF545">
        <v>11400</v>
      </c>
      <c r="CG545">
        <v>22800</v>
      </c>
      <c r="CH545">
        <v>22800</v>
      </c>
      <c r="CI545">
        <v>22800</v>
      </c>
      <c r="CJ545">
        <v>57000</v>
      </c>
      <c r="CK545">
        <v>22800</v>
      </c>
      <c r="CL545">
        <v>22800</v>
      </c>
      <c r="CM545">
        <v>11400</v>
      </c>
      <c r="CW545">
        <v>0</v>
      </c>
      <c r="DJ545">
        <v>0</v>
      </c>
      <c r="DK545">
        <v>0</v>
      </c>
      <c r="DL545">
        <v>0</v>
      </c>
      <c r="DM545">
        <v>0</v>
      </c>
      <c r="DN545">
        <v>0</v>
      </c>
      <c r="DO545">
        <v>0</v>
      </c>
      <c r="DP545">
        <v>0</v>
      </c>
      <c r="DQ545">
        <v>0</v>
      </c>
      <c r="DR545">
        <v>0</v>
      </c>
      <c r="DS545">
        <v>0</v>
      </c>
      <c r="DT545">
        <v>0</v>
      </c>
      <c r="DU545">
        <v>0</v>
      </c>
      <c r="DV545">
        <v>0</v>
      </c>
      <c r="DW545">
        <v>0</v>
      </c>
      <c r="EJ545">
        <v>57000</v>
      </c>
    </row>
    <row r="546" spans="1:140" hidden="1" x14ac:dyDescent="0.35">
      <c r="A546" t="s">
        <v>3317</v>
      </c>
      <c r="B546" t="s">
        <v>249</v>
      </c>
      <c r="D546" t="s">
        <v>6779</v>
      </c>
      <c r="E546" t="s">
        <v>4937</v>
      </c>
      <c r="F546" t="s">
        <v>4938</v>
      </c>
      <c r="G546" t="s">
        <v>4939</v>
      </c>
      <c r="H546" t="s">
        <v>6780</v>
      </c>
      <c r="I546" t="s">
        <v>5368</v>
      </c>
      <c r="J546" t="s">
        <v>3203</v>
      </c>
      <c r="K546" t="s">
        <v>3203</v>
      </c>
      <c r="L546" t="s">
        <v>4410</v>
      </c>
      <c r="M546" t="s">
        <v>3139</v>
      </c>
      <c r="N546" t="s">
        <v>89</v>
      </c>
      <c r="O546" t="s">
        <v>3088</v>
      </c>
      <c r="P546">
        <v>0</v>
      </c>
      <c r="Q546" t="s">
        <v>3075</v>
      </c>
      <c r="R546" t="s">
        <v>4394</v>
      </c>
      <c r="S546" t="s">
        <v>5374</v>
      </c>
      <c r="T546" t="s">
        <v>5485</v>
      </c>
      <c r="U546" t="s">
        <v>6781</v>
      </c>
      <c r="V546" s="17">
        <v>45476</v>
      </c>
      <c r="W546" s="17">
        <v>45560</v>
      </c>
      <c r="X546" s="17">
        <v>45625</v>
      </c>
      <c r="Y546">
        <v>-537</v>
      </c>
      <c r="Z546">
        <v>2</v>
      </c>
      <c r="AA546">
        <v>2.1666666666666665</v>
      </c>
      <c r="AB546">
        <v>1556.6333333333334</v>
      </c>
      <c r="AC546" s="17"/>
      <c r="AD546">
        <v>45940</v>
      </c>
      <c r="AE546">
        <v>50000</v>
      </c>
      <c r="AF546">
        <v>100000</v>
      </c>
      <c r="AG546">
        <v>46153.8462</v>
      </c>
      <c r="AH546">
        <v>100000</v>
      </c>
      <c r="AI546">
        <v>0</v>
      </c>
      <c r="AJ546">
        <v>0</v>
      </c>
      <c r="AW546">
        <v>0</v>
      </c>
      <c r="BJ546">
        <v>0</v>
      </c>
      <c r="BW546">
        <v>100000</v>
      </c>
      <c r="CD546">
        <v>60000</v>
      </c>
      <c r="CE546">
        <v>40000</v>
      </c>
      <c r="CJ546">
        <v>0</v>
      </c>
      <c r="CW546">
        <v>0</v>
      </c>
      <c r="DJ546">
        <v>0</v>
      </c>
      <c r="DW546">
        <v>0</v>
      </c>
      <c r="EJ546">
        <v>0</v>
      </c>
    </row>
    <row r="547" spans="1:140" hidden="1" x14ac:dyDescent="0.35">
      <c r="A547" t="s">
        <v>3317</v>
      </c>
      <c r="B547" t="s">
        <v>249</v>
      </c>
      <c r="D547" t="s">
        <v>6782</v>
      </c>
      <c r="E547" t="s">
        <v>406</v>
      </c>
      <c r="F547" t="s">
        <v>4946</v>
      </c>
      <c r="G547" t="s">
        <v>4943</v>
      </c>
      <c r="H547" t="s">
        <v>5663</v>
      </c>
      <c r="I547" t="s">
        <v>5448</v>
      </c>
      <c r="J547" t="s">
        <v>3203</v>
      </c>
      <c r="K547" t="s">
        <v>3203</v>
      </c>
      <c r="L547" t="s">
        <v>89</v>
      </c>
      <c r="M547" t="s">
        <v>3088</v>
      </c>
      <c r="N547" t="s">
        <v>89</v>
      </c>
      <c r="O547" t="s">
        <v>3088</v>
      </c>
      <c r="P547" t="s">
        <v>3088</v>
      </c>
      <c r="Q547" t="s">
        <v>3852</v>
      </c>
      <c r="R547" t="s">
        <v>4394</v>
      </c>
      <c r="S547" t="s">
        <v>5452</v>
      </c>
      <c r="T547" t="s">
        <v>2363</v>
      </c>
      <c r="U547" t="s">
        <v>6783</v>
      </c>
      <c r="V547" s="17">
        <v>45709</v>
      </c>
      <c r="W547" s="17">
        <v>45709</v>
      </c>
      <c r="X547" s="17">
        <v>45798</v>
      </c>
      <c r="Y547">
        <v>-364</v>
      </c>
      <c r="Z547">
        <v>3</v>
      </c>
      <c r="AA547">
        <v>2.9666666666666668</v>
      </c>
      <c r="AB547">
        <v>1550.8666666666666</v>
      </c>
      <c r="AC547" s="17"/>
      <c r="AD547">
        <v>45905</v>
      </c>
      <c r="AE547">
        <v>117539.49</v>
      </c>
      <c r="AF547">
        <v>352618.47</v>
      </c>
      <c r="AG547">
        <v>118860.1584</v>
      </c>
      <c r="AH547">
        <v>352618.28</v>
      </c>
      <c r="AI547">
        <v>-0.19</v>
      </c>
      <c r="AJ547">
        <v>0</v>
      </c>
      <c r="AW547">
        <v>0</v>
      </c>
      <c r="BJ547">
        <v>0</v>
      </c>
      <c r="BW547">
        <v>0</v>
      </c>
      <c r="CJ547">
        <v>352618.28</v>
      </c>
      <c r="CN547">
        <v>53582.58</v>
      </c>
      <c r="CO547">
        <v>174197.9</v>
      </c>
      <c r="CP547">
        <v>124837.8</v>
      </c>
      <c r="CW547">
        <v>0</v>
      </c>
      <c r="DJ547">
        <v>0</v>
      </c>
      <c r="DW547">
        <v>0</v>
      </c>
      <c r="EJ547">
        <v>352618.28</v>
      </c>
    </row>
    <row r="548" spans="1:140" hidden="1" x14ac:dyDescent="0.35">
      <c r="A548" t="s">
        <v>3317</v>
      </c>
      <c r="B548" t="s">
        <v>249</v>
      </c>
      <c r="D548" t="s">
        <v>6784</v>
      </c>
      <c r="E548" t="s">
        <v>406</v>
      </c>
      <c r="F548" t="s">
        <v>4946</v>
      </c>
      <c r="G548" t="s">
        <v>4943</v>
      </c>
      <c r="H548" t="s">
        <v>5666</v>
      </c>
      <c r="I548" t="s">
        <v>5373</v>
      </c>
      <c r="J548" t="s">
        <v>3203</v>
      </c>
      <c r="K548" t="s">
        <v>3203</v>
      </c>
      <c r="L548" t="s">
        <v>89</v>
      </c>
      <c r="M548" t="s">
        <v>3088</v>
      </c>
      <c r="N548" t="s">
        <v>89</v>
      </c>
      <c r="O548" t="s">
        <v>3088</v>
      </c>
      <c r="P548" t="s">
        <v>3088</v>
      </c>
      <c r="Q548" t="s">
        <v>3852</v>
      </c>
      <c r="R548" t="s">
        <v>4394</v>
      </c>
      <c r="S548" t="s">
        <v>5374</v>
      </c>
      <c r="T548" t="s">
        <v>2363</v>
      </c>
      <c r="U548" t="s">
        <v>6783</v>
      </c>
      <c r="V548" s="17">
        <v>45838</v>
      </c>
      <c r="W548" s="17">
        <v>45838</v>
      </c>
      <c r="X548" s="17">
        <v>45869</v>
      </c>
      <c r="Y548">
        <v>-293</v>
      </c>
      <c r="Z548">
        <v>1</v>
      </c>
      <c r="AA548">
        <v>1.0333333333333334</v>
      </c>
      <c r="AB548">
        <v>1548.5</v>
      </c>
      <c r="AC548" s="17"/>
      <c r="AD548">
        <v>45905</v>
      </c>
      <c r="AE548">
        <v>105310.92</v>
      </c>
      <c r="AF548">
        <v>105310.92</v>
      </c>
      <c r="AG548">
        <v>101913.7935</v>
      </c>
      <c r="AH548">
        <v>105310.92</v>
      </c>
      <c r="AI548">
        <v>0</v>
      </c>
      <c r="AJ548">
        <v>0</v>
      </c>
      <c r="AW548">
        <v>0</v>
      </c>
      <c r="BJ548">
        <v>0</v>
      </c>
      <c r="BW548">
        <v>0</v>
      </c>
      <c r="CJ548">
        <v>105310.92</v>
      </c>
      <c r="CQ548">
        <v>105310.92</v>
      </c>
      <c r="CW548">
        <v>0</v>
      </c>
      <c r="DJ548">
        <v>0</v>
      </c>
      <c r="DW548">
        <v>0</v>
      </c>
      <c r="EJ548">
        <v>105310.92</v>
      </c>
    </row>
    <row r="549" spans="1:140" hidden="1" x14ac:dyDescent="0.35">
      <c r="A549" t="s">
        <v>3317</v>
      </c>
      <c r="B549" t="s">
        <v>249</v>
      </c>
      <c r="D549" t="s">
        <v>6785</v>
      </c>
      <c r="E549" t="s">
        <v>4950</v>
      </c>
      <c r="F549" t="s">
        <v>4951</v>
      </c>
      <c r="G549" t="s">
        <v>4952</v>
      </c>
      <c r="H549" t="s">
        <v>6786</v>
      </c>
      <c r="I549" t="s">
        <v>5368</v>
      </c>
      <c r="J549" t="s">
        <v>3203</v>
      </c>
      <c r="K549" t="s">
        <v>3203</v>
      </c>
      <c r="L549" t="s">
        <v>132</v>
      </c>
      <c r="M549" t="s">
        <v>3997</v>
      </c>
      <c r="N549" t="s">
        <v>132</v>
      </c>
      <c r="O549" t="s">
        <v>3070</v>
      </c>
      <c r="P549" t="s">
        <v>3879</v>
      </c>
      <c r="Q549" t="s">
        <v>3852</v>
      </c>
      <c r="R549" t="s">
        <v>4394</v>
      </c>
      <c r="S549" t="s">
        <v>5374</v>
      </c>
      <c r="T549" t="s">
        <v>2363</v>
      </c>
      <c r="U549" t="s">
        <v>6787</v>
      </c>
      <c r="V549" s="17">
        <v>45828</v>
      </c>
      <c r="W549" s="17">
        <v>45828</v>
      </c>
      <c r="X549" s="17">
        <v>45920</v>
      </c>
      <c r="Y549">
        <v>-242</v>
      </c>
      <c r="Z549">
        <v>3</v>
      </c>
      <c r="AA549">
        <v>3.0666666666666669</v>
      </c>
      <c r="AB549">
        <v>1546.8</v>
      </c>
      <c r="AC549" s="17"/>
      <c r="AD549">
        <v>45919</v>
      </c>
      <c r="AE549">
        <v>94441.456699999995</v>
      </c>
      <c r="AF549">
        <v>283324.37</v>
      </c>
      <c r="AG549">
        <v>92388.381500000003</v>
      </c>
      <c r="AH549">
        <v>283324.37</v>
      </c>
      <c r="AI549">
        <v>0</v>
      </c>
      <c r="AJ549">
        <v>0</v>
      </c>
      <c r="AW549">
        <v>0</v>
      </c>
      <c r="BJ549">
        <v>0</v>
      </c>
      <c r="BW549">
        <v>0</v>
      </c>
      <c r="CJ549">
        <v>283324.37</v>
      </c>
      <c r="CR549">
        <v>198327.05900000001</v>
      </c>
      <c r="CS549">
        <v>84997.311000000002</v>
      </c>
      <c r="CW549">
        <v>0</v>
      </c>
      <c r="DJ549">
        <v>0</v>
      </c>
      <c r="DW549">
        <v>0</v>
      </c>
      <c r="EJ549">
        <v>283324.37</v>
      </c>
    </row>
    <row r="550" spans="1:140" hidden="1" x14ac:dyDescent="0.35">
      <c r="A550" t="s">
        <v>3317</v>
      </c>
      <c r="B550" t="s">
        <v>249</v>
      </c>
      <c r="D550" t="s">
        <v>6788</v>
      </c>
      <c r="E550" t="s">
        <v>406</v>
      </c>
      <c r="F550" t="s">
        <v>4942</v>
      </c>
      <c r="G550" t="s">
        <v>4943</v>
      </c>
      <c r="H550" t="s">
        <v>5663</v>
      </c>
      <c r="I550" t="s">
        <v>5448</v>
      </c>
      <c r="J550" t="s">
        <v>3203</v>
      </c>
      <c r="K550" t="s">
        <v>3203</v>
      </c>
      <c r="L550" t="s">
        <v>89</v>
      </c>
      <c r="M550" t="s">
        <v>3088</v>
      </c>
      <c r="N550" t="s">
        <v>89</v>
      </c>
      <c r="O550" t="s">
        <v>3088</v>
      </c>
      <c r="P550" t="s">
        <v>3088</v>
      </c>
      <c r="Q550" t="s">
        <v>3852</v>
      </c>
      <c r="R550" t="s">
        <v>4394</v>
      </c>
      <c r="S550" t="s">
        <v>5452</v>
      </c>
      <c r="T550" t="s">
        <v>1576</v>
      </c>
      <c r="U550" t="s">
        <v>6789</v>
      </c>
      <c r="V550" s="17">
        <v>45785</v>
      </c>
      <c r="W550" s="17">
        <v>45807</v>
      </c>
      <c r="X550" s="17">
        <v>45899</v>
      </c>
      <c r="Y550">
        <v>-263</v>
      </c>
      <c r="Z550">
        <v>3</v>
      </c>
      <c r="AA550">
        <v>3.0666666666666669</v>
      </c>
      <c r="AB550">
        <v>1547.5</v>
      </c>
      <c r="AC550" s="17"/>
      <c r="AD550">
        <v>45902</v>
      </c>
      <c r="AE550">
        <v>66079.22</v>
      </c>
      <c r="AF550">
        <v>198237.66</v>
      </c>
      <c r="AG550">
        <v>64642.715199999999</v>
      </c>
      <c r="AH550">
        <v>198237.66</v>
      </c>
      <c r="AI550">
        <v>0</v>
      </c>
      <c r="AJ550">
        <v>0</v>
      </c>
      <c r="AW550">
        <v>0</v>
      </c>
      <c r="BJ550">
        <v>0</v>
      </c>
      <c r="BW550">
        <v>0</v>
      </c>
      <c r="CJ550">
        <v>198237.66</v>
      </c>
      <c r="CP550">
        <v>34483.025999999998</v>
      </c>
      <c r="CQ550">
        <v>57471.71</v>
      </c>
      <c r="CR550">
        <v>72949.483999999997</v>
      </c>
      <c r="CS550">
        <v>33333.440000000002</v>
      </c>
      <c r="CW550">
        <v>0</v>
      </c>
      <c r="DJ550">
        <v>0</v>
      </c>
      <c r="DW550">
        <v>0</v>
      </c>
      <c r="EJ550">
        <v>198237.66</v>
      </c>
    </row>
    <row r="551" spans="1:140" hidden="1" x14ac:dyDescent="0.35">
      <c r="A551" t="s">
        <v>3317</v>
      </c>
      <c r="B551" t="s">
        <v>249</v>
      </c>
      <c r="D551" t="s">
        <v>6790</v>
      </c>
      <c r="E551" t="s">
        <v>406</v>
      </c>
      <c r="F551" t="s">
        <v>4948</v>
      </c>
      <c r="G551" t="s">
        <v>4943</v>
      </c>
      <c r="H551" t="s">
        <v>5663</v>
      </c>
      <c r="I551" t="s">
        <v>5448</v>
      </c>
      <c r="J551" t="s">
        <v>3203</v>
      </c>
      <c r="K551" t="s">
        <v>3203</v>
      </c>
      <c r="L551" t="s">
        <v>89</v>
      </c>
      <c r="M551" t="s">
        <v>3088</v>
      </c>
      <c r="N551" t="s">
        <v>89</v>
      </c>
      <c r="O551" t="s">
        <v>3088</v>
      </c>
      <c r="P551" t="s">
        <v>3088</v>
      </c>
      <c r="Q551" t="s">
        <v>3852</v>
      </c>
      <c r="R551" t="s">
        <v>4394</v>
      </c>
      <c r="S551" t="s">
        <v>5452</v>
      </c>
      <c r="T551" t="s">
        <v>1576</v>
      </c>
      <c r="U551" t="s">
        <v>6791</v>
      </c>
      <c r="V551" s="17">
        <v>45807</v>
      </c>
      <c r="W551" s="17">
        <v>45811</v>
      </c>
      <c r="X551" s="17">
        <v>45841</v>
      </c>
      <c r="Y551">
        <v>-321</v>
      </c>
      <c r="Z551">
        <v>1</v>
      </c>
      <c r="AA551">
        <v>1</v>
      </c>
      <c r="AB551">
        <v>1549.4333333333334</v>
      </c>
      <c r="AC551" s="17"/>
      <c r="AD551">
        <v>45920</v>
      </c>
      <c r="AE551">
        <v>210016.32</v>
      </c>
      <c r="AF551">
        <v>210016.32</v>
      </c>
      <c r="AG551">
        <v>210016.32</v>
      </c>
      <c r="AH551">
        <v>210016.32</v>
      </c>
      <c r="AI551">
        <v>0</v>
      </c>
      <c r="AJ551">
        <v>0</v>
      </c>
      <c r="AW551">
        <v>0</v>
      </c>
      <c r="BJ551">
        <v>0</v>
      </c>
      <c r="BW551">
        <v>0</v>
      </c>
      <c r="CJ551">
        <v>210016.32</v>
      </c>
      <c r="CP551">
        <v>169885.05600000001</v>
      </c>
      <c r="CQ551">
        <v>40131.264000000003</v>
      </c>
      <c r="CW551">
        <v>0</v>
      </c>
      <c r="DJ551">
        <v>0</v>
      </c>
      <c r="DW551">
        <v>0</v>
      </c>
      <c r="EJ551">
        <v>210016.32</v>
      </c>
    </row>
    <row r="552" spans="1:140" hidden="1" x14ac:dyDescent="0.35">
      <c r="A552" t="s">
        <v>3317</v>
      </c>
      <c r="B552" t="s">
        <v>249</v>
      </c>
      <c r="D552" t="s">
        <v>6792</v>
      </c>
      <c r="E552" t="s">
        <v>406</v>
      </c>
      <c r="F552" t="s">
        <v>4948</v>
      </c>
      <c r="G552" t="s">
        <v>4943</v>
      </c>
      <c r="H552" t="s">
        <v>5666</v>
      </c>
      <c r="I552" t="s">
        <v>5373</v>
      </c>
      <c r="J552" t="s">
        <v>3203</v>
      </c>
      <c r="K552" t="s">
        <v>3203</v>
      </c>
      <c r="L552" t="s">
        <v>89</v>
      </c>
      <c r="M552" t="s">
        <v>3088</v>
      </c>
      <c r="N552" t="s">
        <v>89</v>
      </c>
      <c r="O552" t="s">
        <v>3088</v>
      </c>
      <c r="P552" t="s">
        <v>3088</v>
      </c>
      <c r="Q552" t="s">
        <v>3852</v>
      </c>
      <c r="R552" t="s">
        <v>4394</v>
      </c>
      <c r="S552" t="s">
        <v>5374</v>
      </c>
      <c r="T552" t="s">
        <v>1576</v>
      </c>
      <c r="U552" t="s">
        <v>6793</v>
      </c>
      <c r="V552" s="17">
        <v>45866</v>
      </c>
      <c r="W552" s="17">
        <v>45841</v>
      </c>
      <c r="X552" s="17">
        <v>45872</v>
      </c>
      <c r="Y552">
        <v>-290</v>
      </c>
      <c r="Z552">
        <v>1</v>
      </c>
      <c r="AA552">
        <v>1.0333333333333334</v>
      </c>
      <c r="AB552">
        <v>1548.4</v>
      </c>
      <c r="AC552" s="17"/>
      <c r="AD552">
        <v>45920</v>
      </c>
      <c r="AE552">
        <v>0</v>
      </c>
      <c r="AF552">
        <v>0</v>
      </c>
      <c r="AG552">
        <v>0</v>
      </c>
      <c r="AH552">
        <v>0</v>
      </c>
      <c r="AI552">
        <v>0</v>
      </c>
      <c r="AJ552">
        <v>0</v>
      </c>
      <c r="AW552">
        <v>0</v>
      </c>
      <c r="BJ552">
        <v>0</v>
      </c>
      <c r="BW552">
        <v>0</v>
      </c>
      <c r="CJ552">
        <v>0</v>
      </c>
      <c r="CW552">
        <v>0</v>
      </c>
      <c r="DJ552">
        <v>0</v>
      </c>
      <c r="DW552">
        <v>0</v>
      </c>
      <c r="EJ552">
        <v>0</v>
      </c>
    </row>
    <row r="553" spans="1:140" hidden="1" x14ac:dyDescent="0.35">
      <c r="A553" t="s">
        <v>3317</v>
      </c>
      <c r="B553" t="s">
        <v>249</v>
      </c>
      <c r="D553" t="s">
        <v>6794</v>
      </c>
      <c r="E553" t="s">
        <v>406</v>
      </c>
      <c r="F553" t="s">
        <v>4948</v>
      </c>
      <c r="G553" t="s">
        <v>4943</v>
      </c>
      <c r="H553" t="s">
        <v>5666</v>
      </c>
      <c r="I553" t="s">
        <v>5373</v>
      </c>
      <c r="J553" t="s">
        <v>3203</v>
      </c>
      <c r="K553" t="s">
        <v>3203</v>
      </c>
      <c r="L553" t="s">
        <v>89</v>
      </c>
      <c r="M553" t="s">
        <v>3088</v>
      </c>
      <c r="N553" t="s">
        <v>89</v>
      </c>
      <c r="O553" t="s">
        <v>3088</v>
      </c>
      <c r="P553" t="s">
        <v>3088</v>
      </c>
      <c r="Q553" t="s">
        <v>3852</v>
      </c>
      <c r="R553" t="s">
        <v>4394</v>
      </c>
      <c r="S553" t="s">
        <v>5374</v>
      </c>
      <c r="T553" t="s">
        <v>1576</v>
      </c>
      <c r="U553" t="s">
        <v>6793</v>
      </c>
      <c r="V553" s="17">
        <v>45869</v>
      </c>
      <c r="W553" s="17">
        <v>45810</v>
      </c>
      <c r="X553" s="17">
        <v>45929</v>
      </c>
      <c r="Y553">
        <v>-233</v>
      </c>
      <c r="Z553">
        <v>2</v>
      </c>
      <c r="AA553">
        <v>3.9666666666666668</v>
      </c>
      <c r="AB553">
        <v>1546.5</v>
      </c>
      <c r="AC553" s="17"/>
      <c r="AD553">
        <v>45920</v>
      </c>
      <c r="AE553">
        <v>97488.9</v>
      </c>
      <c r="AF553">
        <v>194977.8</v>
      </c>
      <c r="AG553">
        <v>49154.067199999998</v>
      </c>
      <c r="AH553">
        <v>194977.8</v>
      </c>
      <c r="AI553">
        <v>0</v>
      </c>
      <c r="AJ553">
        <v>0</v>
      </c>
      <c r="AW553">
        <v>0</v>
      </c>
      <c r="BJ553">
        <v>0</v>
      </c>
      <c r="BW553">
        <v>0</v>
      </c>
      <c r="CJ553">
        <v>194977.8</v>
      </c>
      <c r="CR553">
        <v>77991.12</v>
      </c>
      <c r="CS553">
        <v>116986.68</v>
      </c>
      <c r="CW553">
        <v>0</v>
      </c>
      <c r="DJ553">
        <v>0</v>
      </c>
      <c r="DW553">
        <v>0</v>
      </c>
      <c r="EJ553">
        <v>194977.8</v>
      </c>
    </row>
    <row r="554" spans="1:140" hidden="1" x14ac:dyDescent="0.35">
      <c r="A554" t="s">
        <v>3317</v>
      </c>
      <c r="B554" t="s">
        <v>249</v>
      </c>
      <c r="D554" t="s">
        <v>6795</v>
      </c>
      <c r="E554" t="s">
        <v>4930</v>
      </c>
      <c r="F554" t="s">
        <v>4931</v>
      </c>
      <c r="G554" t="s">
        <v>4932</v>
      </c>
      <c r="H554" t="s">
        <v>6796</v>
      </c>
      <c r="I554" t="s">
        <v>5368</v>
      </c>
      <c r="J554" t="s">
        <v>3203</v>
      </c>
      <c r="K554" t="s">
        <v>3203</v>
      </c>
      <c r="L554" t="s">
        <v>4933</v>
      </c>
      <c r="M554" t="s">
        <v>4934</v>
      </c>
      <c r="N554" t="s">
        <v>4933</v>
      </c>
      <c r="O554" t="s">
        <v>4934</v>
      </c>
      <c r="P554">
        <v>0</v>
      </c>
      <c r="Q554" t="s">
        <v>3852</v>
      </c>
      <c r="R554" t="s">
        <v>4394</v>
      </c>
      <c r="S554" t="s">
        <v>5452</v>
      </c>
      <c r="T554" t="s">
        <v>5485</v>
      </c>
      <c r="U554" t="s">
        <v>6797</v>
      </c>
      <c r="V554" s="17">
        <v>45548</v>
      </c>
      <c r="W554" s="17">
        <v>45558</v>
      </c>
      <c r="X554" s="17">
        <v>45923</v>
      </c>
      <c r="Y554">
        <v>-239</v>
      </c>
      <c r="Z554">
        <v>6</v>
      </c>
      <c r="AA554">
        <v>12.166666666666666</v>
      </c>
      <c r="AB554">
        <v>1546.7</v>
      </c>
      <c r="AC554" s="17"/>
      <c r="AD554">
        <v>45732</v>
      </c>
      <c r="AE554">
        <v>0</v>
      </c>
      <c r="AF554">
        <v>0</v>
      </c>
      <c r="AG554">
        <v>0</v>
      </c>
      <c r="AH554">
        <v>0</v>
      </c>
      <c r="AI554">
        <v>0</v>
      </c>
      <c r="AJ554">
        <v>0</v>
      </c>
      <c r="AW554">
        <v>0</v>
      </c>
      <c r="BJ554">
        <v>0</v>
      </c>
      <c r="BW554">
        <v>0</v>
      </c>
      <c r="CJ554">
        <v>0</v>
      </c>
      <c r="CW554">
        <v>0</v>
      </c>
      <c r="DJ554">
        <v>0</v>
      </c>
      <c r="DW554">
        <v>0</v>
      </c>
      <c r="EJ554">
        <v>0</v>
      </c>
    </row>
    <row r="555" spans="1:140" hidden="1" x14ac:dyDescent="0.35">
      <c r="A555" t="s">
        <v>3317</v>
      </c>
      <c r="B555" t="s">
        <v>249</v>
      </c>
      <c r="D555" t="s">
        <v>6798</v>
      </c>
      <c r="E555" t="s">
        <v>3960</v>
      </c>
      <c r="F555" t="s">
        <v>3961</v>
      </c>
      <c r="G555" t="s">
        <v>3962</v>
      </c>
      <c r="H555" t="s">
        <v>6799</v>
      </c>
      <c r="I555" t="s">
        <v>5368</v>
      </c>
      <c r="J555" t="s">
        <v>3696</v>
      </c>
      <c r="K555" t="s">
        <v>3696</v>
      </c>
      <c r="L555" t="s">
        <v>235</v>
      </c>
      <c r="M555" t="s">
        <v>3139</v>
      </c>
      <c r="N555" t="s">
        <v>235</v>
      </c>
      <c r="O555" t="s">
        <v>3107</v>
      </c>
      <c r="P555">
        <v>0</v>
      </c>
      <c r="Q555" t="s">
        <v>3075</v>
      </c>
      <c r="R555" t="s">
        <v>1580</v>
      </c>
      <c r="S555" t="s">
        <v>5374</v>
      </c>
      <c r="T555">
        <v>0</v>
      </c>
      <c r="U555" t="s">
        <v>6800</v>
      </c>
      <c r="V555" s="17">
        <v>45297</v>
      </c>
      <c r="W555" s="17">
        <v>45355</v>
      </c>
      <c r="X555" s="17">
        <v>45473</v>
      </c>
      <c r="Y555">
        <v>-689</v>
      </c>
      <c r="Z555">
        <v>6</v>
      </c>
      <c r="AA555">
        <v>3.9333333333333331</v>
      </c>
      <c r="AB555">
        <v>1561.7</v>
      </c>
      <c r="AC555" s="17"/>
      <c r="AD555">
        <v>45966</v>
      </c>
      <c r="AE555">
        <v>45808.231699999997</v>
      </c>
      <c r="AF555">
        <v>274849.39</v>
      </c>
      <c r="AG555">
        <v>69876.963600000003</v>
      </c>
      <c r="AH555">
        <v>274849.38</v>
      </c>
      <c r="AI555">
        <v>-0.01</v>
      </c>
      <c r="AJ555">
        <v>0</v>
      </c>
      <c r="AW555">
        <v>0</v>
      </c>
      <c r="BJ555">
        <v>0</v>
      </c>
      <c r="BW555">
        <v>274849.38</v>
      </c>
      <c r="BX555">
        <v>45808.23</v>
      </c>
      <c r="BY555">
        <v>45808.23</v>
      </c>
      <c r="BZ555">
        <v>45808.23</v>
      </c>
      <c r="CA555">
        <v>45808.23</v>
      </c>
      <c r="CB555">
        <v>45808.23</v>
      </c>
      <c r="CC555">
        <v>45808.23</v>
      </c>
      <c r="CJ555">
        <v>0</v>
      </c>
      <c r="CW555">
        <v>0</v>
      </c>
      <c r="DJ555">
        <v>0</v>
      </c>
      <c r="DW555">
        <v>0</v>
      </c>
      <c r="EJ555">
        <v>0</v>
      </c>
    </row>
    <row r="556" spans="1:140" hidden="1" x14ac:dyDescent="0.35">
      <c r="A556" t="s">
        <v>3317</v>
      </c>
      <c r="B556" t="s">
        <v>249</v>
      </c>
      <c r="D556" t="s">
        <v>6801</v>
      </c>
      <c r="E556" t="s">
        <v>449</v>
      </c>
      <c r="F556" t="s">
        <v>3965</v>
      </c>
      <c r="G556" t="s">
        <v>3966</v>
      </c>
      <c r="H556" t="s">
        <v>6802</v>
      </c>
      <c r="I556" t="s">
        <v>5368</v>
      </c>
      <c r="J556" t="s">
        <v>3696</v>
      </c>
      <c r="K556" t="s">
        <v>3696</v>
      </c>
      <c r="L556" t="s">
        <v>446</v>
      </c>
      <c r="M556" t="s">
        <v>3967</v>
      </c>
      <c r="N556" t="s">
        <v>447</v>
      </c>
      <c r="O556" t="s">
        <v>3088</v>
      </c>
      <c r="P556" t="s">
        <v>3088</v>
      </c>
      <c r="Q556" t="s">
        <v>3075</v>
      </c>
      <c r="R556" t="s">
        <v>2464</v>
      </c>
      <c r="S556" t="s">
        <v>5374</v>
      </c>
      <c r="T556" t="s">
        <v>1576</v>
      </c>
      <c r="U556" t="s">
        <v>6803</v>
      </c>
      <c r="V556" s="17">
        <v>45842</v>
      </c>
      <c r="W556" s="17">
        <v>45853</v>
      </c>
      <c r="X556" s="17">
        <v>45945</v>
      </c>
      <c r="Y556">
        <v>-217</v>
      </c>
      <c r="Z556">
        <v>3</v>
      </c>
      <c r="AA556">
        <v>3.0666666666666669</v>
      </c>
      <c r="AB556">
        <v>1545.9666666666667</v>
      </c>
      <c r="AC556" s="17"/>
      <c r="AD556">
        <v>46001</v>
      </c>
      <c r="AE556">
        <v>45052.41</v>
      </c>
      <c r="AF556">
        <v>135157.23000000001</v>
      </c>
      <c r="AG556">
        <v>44073.0098</v>
      </c>
      <c r="AH556">
        <v>135157.23000000001</v>
      </c>
      <c r="AI556">
        <v>0</v>
      </c>
      <c r="AJ556">
        <v>0</v>
      </c>
      <c r="AW556">
        <v>0</v>
      </c>
      <c r="BJ556">
        <v>0</v>
      </c>
      <c r="BW556">
        <v>0</v>
      </c>
      <c r="CJ556">
        <v>135157.23000000001</v>
      </c>
      <c r="CR556">
        <v>45052.41</v>
      </c>
      <c r="CS556">
        <v>45052.41</v>
      </c>
      <c r="CT556">
        <v>45052.41</v>
      </c>
      <c r="CW556">
        <v>0</v>
      </c>
      <c r="DJ556">
        <v>0</v>
      </c>
      <c r="DW556">
        <v>0</v>
      </c>
      <c r="EJ556">
        <v>135157.23000000001</v>
      </c>
    </row>
    <row r="557" spans="1:140" hidden="1" x14ac:dyDescent="0.35">
      <c r="A557" t="s">
        <v>3317</v>
      </c>
      <c r="B557" t="s">
        <v>249</v>
      </c>
      <c r="D557" t="s">
        <v>6804</v>
      </c>
      <c r="E557" t="s">
        <v>3971</v>
      </c>
      <c r="F557" t="s">
        <v>3972</v>
      </c>
      <c r="G557" t="s">
        <v>3973</v>
      </c>
      <c r="H557" t="s">
        <v>6805</v>
      </c>
      <c r="I557" t="s">
        <v>5368</v>
      </c>
      <c r="J557" t="s">
        <v>3696</v>
      </c>
      <c r="K557" t="s">
        <v>3696</v>
      </c>
      <c r="L557" t="s">
        <v>316</v>
      </c>
      <c r="M557" t="s">
        <v>3153</v>
      </c>
      <c r="N557" t="s">
        <v>316</v>
      </c>
      <c r="O557" t="s">
        <v>3107</v>
      </c>
      <c r="P557" t="s">
        <v>3747</v>
      </c>
      <c r="Q557" t="s">
        <v>3075</v>
      </c>
      <c r="R557" t="s">
        <v>2464</v>
      </c>
      <c r="S557" t="s">
        <v>5452</v>
      </c>
      <c r="T557" t="s">
        <v>1576</v>
      </c>
      <c r="U557" t="s">
        <v>6806</v>
      </c>
      <c r="V557" s="17">
        <v>45707</v>
      </c>
      <c r="W557" s="17">
        <v>45721</v>
      </c>
      <c r="X557" s="17">
        <v>45935</v>
      </c>
      <c r="Y557">
        <v>-227</v>
      </c>
      <c r="Z557">
        <v>7</v>
      </c>
      <c r="AA557">
        <v>7.1333333333333337</v>
      </c>
      <c r="AB557">
        <v>1546.3</v>
      </c>
      <c r="AC557" s="17"/>
      <c r="AD557">
        <v>46022</v>
      </c>
      <c r="AE557">
        <v>65970.78</v>
      </c>
      <c r="AF557">
        <v>461795.46</v>
      </c>
      <c r="AG557">
        <v>64737.681299999997</v>
      </c>
      <c r="AH557">
        <v>461795.46</v>
      </c>
      <c r="AI557">
        <v>0</v>
      </c>
      <c r="AJ557">
        <v>0</v>
      </c>
      <c r="AW557">
        <v>0</v>
      </c>
      <c r="BJ557">
        <v>0</v>
      </c>
      <c r="BW557">
        <v>0</v>
      </c>
      <c r="CJ557">
        <v>461795.46</v>
      </c>
      <c r="CM557">
        <v>65970.78</v>
      </c>
      <c r="CN557">
        <v>65970.78</v>
      </c>
      <c r="CO557">
        <v>65970.78</v>
      </c>
      <c r="CP557">
        <v>65970.78</v>
      </c>
      <c r="CQ557">
        <v>65970.78</v>
      </c>
      <c r="CR557">
        <v>65970.78</v>
      </c>
      <c r="CS557">
        <v>65970.78</v>
      </c>
      <c r="CW557">
        <v>0</v>
      </c>
      <c r="DJ557">
        <v>0</v>
      </c>
      <c r="DW557">
        <v>0</v>
      </c>
      <c r="EJ557">
        <v>461795.46</v>
      </c>
    </row>
    <row r="558" spans="1:140" hidden="1" x14ac:dyDescent="0.35">
      <c r="A558" t="s">
        <v>3317</v>
      </c>
      <c r="B558" t="s">
        <v>249</v>
      </c>
      <c r="D558" t="s">
        <v>6807</v>
      </c>
      <c r="E558" t="s">
        <v>507</v>
      </c>
      <c r="F558" t="s">
        <v>3977</v>
      </c>
      <c r="G558" t="s">
        <v>3978</v>
      </c>
      <c r="H558" t="s">
        <v>6808</v>
      </c>
      <c r="I558" t="s">
        <v>5368</v>
      </c>
      <c r="J558" t="s">
        <v>3079</v>
      </c>
      <c r="K558" t="s">
        <v>3079</v>
      </c>
      <c r="L558" t="s">
        <v>506</v>
      </c>
      <c r="M558" t="s">
        <v>3924</v>
      </c>
      <c r="N558" t="s">
        <v>506</v>
      </c>
      <c r="O558" t="s">
        <v>3153</v>
      </c>
      <c r="P558" t="s">
        <v>3155</v>
      </c>
      <c r="Q558" t="s">
        <v>3075</v>
      </c>
      <c r="R558" t="s">
        <v>2464</v>
      </c>
      <c r="S558" t="s">
        <v>5452</v>
      </c>
      <c r="T558" t="s">
        <v>2363</v>
      </c>
      <c r="U558" t="s">
        <v>6809</v>
      </c>
      <c r="V558" s="17">
        <v>45889</v>
      </c>
      <c r="W558" s="17">
        <v>45946</v>
      </c>
      <c r="X558" s="17">
        <v>46035</v>
      </c>
      <c r="Y558">
        <v>-127</v>
      </c>
      <c r="Z558">
        <v>3</v>
      </c>
      <c r="AA558">
        <v>2.9666666666666668</v>
      </c>
      <c r="AB558">
        <v>1542.9666666666667</v>
      </c>
      <c r="AC558" s="17"/>
      <c r="AD558">
        <v>46008</v>
      </c>
      <c r="AE558">
        <v>17365.333299999998</v>
      </c>
      <c r="AF558">
        <v>156288</v>
      </c>
      <c r="AG558">
        <v>52681.348299999998</v>
      </c>
      <c r="AH558">
        <v>156288</v>
      </c>
      <c r="AI558">
        <v>0</v>
      </c>
      <c r="AJ558">
        <v>0</v>
      </c>
      <c r="AW558">
        <v>0</v>
      </c>
      <c r="BJ558">
        <v>0</v>
      </c>
      <c r="BW558">
        <v>0</v>
      </c>
      <c r="CJ558">
        <v>156288</v>
      </c>
      <c r="CS558">
        <v>52096</v>
      </c>
      <c r="CT558">
        <v>52096</v>
      </c>
      <c r="CU558">
        <v>52096</v>
      </c>
      <c r="CW558">
        <v>0</v>
      </c>
      <c r="DJ558">
        <v>0</v>
      </c>
      <c r="DW558">
        <v>0</v>
      </c>
      <c r="EJ558">
        <v>156288</v>
      </c>
    </row>
    <row r="559" spans="1:140" hidden="1" x14ac:dyDescent="0.35">
      <c r="A559" t="s">
        <v>3317</v>
      </c>
      <c r="B559" t="s">
        <v>249</v>
      </c>
      <c r="D559" t="s">
        <v>6810</v>
      </c>
      <c r="E559" t="s">
        <v>296</v>
      </c>
      <c r="F559" t="s">
        <v>3982</v>
      </c>
      <c r="G559" t="s">
        <v>3983</v>
      </c>
      <c r="H559" t="s">
        <v>6811</v>
      </c>
      <c r="I559" t="s">
        <v>5368</v>
      </c>
      <c r="J559" t="s">
        <v>3079</v>
      </c>
      <c r="K559" t="s">
        <v>3079</v>
      </c>
      <c r="L559" t="s">
        <v>179</v>
      </c>
      <c r="M559" t="s">
        <v>3069</v>
      </c>
      <c r="N559" t="s">
        <v>89</v>
      </c>
      <c r="O559" t="s">
        <v>3088</v>
      </c>
      <c r="P559">
        <v>0</v>
      </c>
      <c r="Q559" t="s">
        <v>3075</v>
      </c>
      <c r="R559" t="s">
        <v>2464</v>
      </c>
      <c r="S559">
        <v>0</v>
      </c>
      <c r="T559">
        <v>0</v>
      </c>
      <c r="U559" t="s">
        <v>6812</v>
      </c>
      <c r="V559" s="17">
        <v>45254</v>
      </c>
      <c r="W559" s="17">
        <v>45293</v>
      </c>
      <c r="X559" s="17">
        <v>45444</v>
      </c>
      <c r="Y559">
        <v>-718</v>
      </c>
      <c r="Z559">
        <v>5</v>
      </c>
      <c r="AA559">
        <v>5.0333333333333332</v>
      </c>
      <c r="AB559">
        <v>1562.6666666666667</v>
      </c>
      <c r="AC559" s="17"/>
      <c r="AD559">
        <v>46022</v>
      </c>
      <c r="AE559">
        <v>39327.49</v>
      </c>
      <c r="AF559">
        <v>196637.45</v>
      </c>
      <c r="AG559">
        <v>39067.042999999998</v>
      </c>
      <c r="AH559">
        <v>196637.45</v>
      </c>
      <c r="AI559">
        <v>0</v>
      </c>
      <c r="AJ559">
        <v>0</v>
      </c>
      <c r="AW559">
        <v>0</v>
      </c>
      <c r="BJ559">
        <v>0</v>
      </c>
      <c r="BW559">
        <v>196637.45</v>
      </c>
      <c r="BX559">
        <v>39327.49</v>
      </c>
      <c r="BY559">
        <v>39327.49</v>
      </c>
      <c r="BZ559">
        <v>39327.49</v>
      </c>
      <c r="CA559">
        <v>39327.49</v>
      </c>
      <c r="CB559">
        <v>39327.49</v>
      </c>
      <c r="CJ559">
        <v>0</v>
      </c>
      <c r="CW559">
        <v>0</v>
      </c>
      <c r="DJ559">
        <v>0</v>
      </c>
      <c r="DW559">
        <v>0</v>
      </c>
      <c r="EJ559">
        <v>0</v>
      </c>
    </row>
    <row r="560" spans="1:140" hidden="1" x14ac:dyDescent="0.35">
      <c r="A560" t="s">
        <v>3317</v>
      </c>
      <c r="B560" t="s">
        <v>249</v>
      </c>
      <c r="D560" t="s">
        <v>6813</v>
      </c>
      <c r="E560" t="s">
        <v>296</v>
      </c>
      <c r="F560" t="s">
        <v>3982</v>
      </c>
      <c r="G560" t="s">
        <v>3983</v>
      </c>
      <c r="H560" t="s">
        <v>6814</v>
      </c>
      <c r="I560" t="s">
        <v>5373</v>
      </c>
      <c r="J560" t="s">
        <v>3079</v>
      </c>
      <c r="K560" t="s">
        <v>3079</v>
      </c>
      <c r="L560" t="s">
        <v>179</v>
      </c>
      <c r="M560" t="s">
        <v>3069</v>
      </c>
      <c r="N560" t="s">
        <v>89</v>
      </c>
      <c r="O560" t="s">
        <v>3088</v>
      </c>
      <c r="P560">
        <v>0</v>
      </c>
      <c r="Q560" t="s">
        <v>3075</v>
      </c>
      <c r="R560" t="s">
        <v>1580</v>
      </c>
      <c r="S560" t="s">
        <v>5374</v>
      </c>
      <c r="T560" t="s">
        <v>5485</v>
      </c>
      <c r="U560" t="s">
        <v>6812</v>
      </c>
      <c r="V560" s="17">
        <v>45436</v>
      </c>
      <c r="W560" s="17">
        <v>45444</v>
      </c>
      <c r="X560" s="17">
        <v>45566</v>
      </c>
      <c r="Y560">
        <v>-596</v>
      </c>
      <c r="Z560">
        <v>4</v>
      </c>
      <c r="AA560">
        <v>4.0666666666666664</v>
      </c>
      <c r="AB560">
        <v>1558.6</v>
      </c>
      <c r="AC560" s="17"/>
      <c r="AD560">
        <v>46022</v>
      </c>
      <c r="AE560">
        <v>39327.49</v>
      </c>
      <c r="AF560">
        <v>157309.96</v>
      </c>
      <c r="AG560">
        <v>38682.777000000002</v>
      </c>
      <c r="AH560">
        <v>157309.96</v>
      </c>
      <c r="AI560">
        <v>0</v>
      </c>
      <c r="AJ560">
        <v>0</v>
      </c>
      <c r="AW560">
        <v>0</v>
      </c>
      <c r="BJ560">
        <v>0</v>
      </c>
      <c r="BW560">
        <v>157309.96</v>
      </c>
      <c r="CC560">
        <v>39327.49</v>
      </c>
      <c r="CD560">
        <v>39327.49</v>
      </c>
      <c r="CE560">
        <v>39327.49</v>
      </c>
      <c r="CF560">
        <v>39327.49</v>
      </c>
      <c r="CJ560">
        <v>0</v>
      </c>
      <c r="CW560">
        <v>0</v>
      </c>
      <c r="DJ560">
        <v>0</v>
      </c>
      <c r="DW560">
        <v>0</v>
      </c>
      <c r="EJ560">
        <v>0</v>
      </c>
    </row>
    <row r="561" spans="1:140" hidden="1" x14ac:dyDescent="0.35">
      <c r="A561" t="s">
        <v>3317</v>
      </c>
      <c r="B561" t="s">
        <v>249</v>
      </c>
      <c r="D561" t="s">
        <v>6815</v>
      </c>
      <c r="E561" t="s">
        <v>296</v>
      </c>
      <c r="F561" t="s">
        <v>3982</v>
      </c>
      <c r="G561" t="s">
        <v>3983</v>
      </c>
      <c r="H561" t="s">
        <v>6814</v>
      </c>
      <c r="I561" t="s">
        <v>5373</v>
      </c>
      <c r="J561" t="s">
        <v>3079</v>
      </c>
      <c r="K561" t="s">
        <v>3079</v>
      </c>
      <c r="L561" t="s">
        <v>179</v>
      </c>
      <c r="M561" t="s">
        <v>3069</v>
      </c>
      <c r="N561" t="s">
        <v>89</v>
      </c>
      <c r="O561" t="s">
        <v>3088</v>
      </c>
      <c r="P561">
        <v>0</v>
      </c>
      <c r="Q561" t="s">
        <v>3075</v>
      </c>
      <c r="R561" t="s">
        <v>2464</v>
      </c>
      <c r="S561" t="s">
        <v>5374</v>
      </c>
      <c r="T561" t="s">
        <v>1576</v>
      </c>
      <c r="U561" t="s">
        <v>6816</v>
      </c>
      <c r="V561" s="17">
        <v>45562</v>
      </c>
      <c r="W561" s="17">
        <v>45567</v>
      </c>
      <c r="X561" s="17">
        <v>45657</v>
      </c>
      <c r="Y561">
        <v>-505</v>
      </c>
      <c r="Z561">
        <v>3</v>
      </c>
      <c r="AA561">
        <v>3</v>
      </c>
      <c r="AB561">
        <v>1555.5666666666666</v>
      </c>
      <c r="AC561" s="17"/>
      <c r="AD561">
        <v>46022</v>
      </c>
      <c r="AE561">
        <v>39327.49</v>
      </c>
      <c r="AF561">
        <v>117982.47</v>
      </c>
      <c r="AG561">
        <v>39327.49</v>
      </c>
      <c r="AH561">
        <v>117982.47</v>
      </c>
      <c r="AI561">
        <v>0</v>
      </c>
      <c r="AJ561">
        <v>0</v>
      </c>
      <c r="AW561">
        <v>0</v>
      </c>
      <c r="BJ561">
        <v>0</v>
      </c>
      <c r="BW561">
        <v>117982.47</v>
      </c>
      <c r="CG561">
        <v>39327</v>
      </c>
      <c r="CH561">
        <v>39327.49</v>
      </c>
      <c r="CI561">
        <v>39327.49</v>
      </c>
      <c r="CJ561">
        <v>0</v>
      </c>
      <c r="CW561">
        <v>0</v>
      </c>
      <c r="DJ561">
        <v>0</v>
      </c>
      <c r="DW561">
        <v>0</v>
      </c>
      <c r="EJ561">
        <v>0</v>
      </c>
    </row>
    <row r="562" spans="1:140" hidden="1" x14ac:dyDescent="0.35">
      <c r="A562" t="s">
        <v>3317</v>
      </c>
      <c r="B562" t="s">
        <v>249</v>
      </c>
      <c r="D562" t="s">
        <v>6817</v>
      </c>
      <c r="E562" t="s">
        <v>296</v>
      </c>
      <c r="F562" t="s">
        <v>3982</v>
      </c>
      <c r="G562" t="s">
        <v>3983</v>
      </c>
      <c r="H562" t="s">
        <v>6814</v>
      </c>
      <c r="I562" t="s">
        <v>5373</v>
      </c>
      <c r="J562" t="s">
        <v>3079</v>
      </c>
      <c r="K562" t="s">
        <v>3079</v>
      </c>
      <c r="L562" t="s">
        <v>179</v>
      </c>
      <c r="M562" t="s">
        <v>3069</v>
      </c>
      <c r="N562" t="s">
        <v>89</v>
      </c>
      <c r="O562" t="s">
        <v>3088</v>
      </c>
      <c r="P562">
        <v>0</v>
      </c>
      <c r="Q562" t="s">
        <v>3075</v>
      </c>
      <c r="R562" t="s">
        <v>2464</v>
      </c>
      <c r="S562" t="s">
        <v>5374</v>
      </c>
      <c r="T562" t="s">
        <v>1576</v>
      </c>
      <c r="U562" t="s">
        <v>6816</v>
      </c>
      <c r="V562" s="17">
        <v>45644</v>
      </c>
      <c r="W562" s="17">
        <v>45658</v>
      </c>
      <c r="X562" s="17">
        <v>45688</v>
      </c>
      <c r="Y562">
        <v>-474</v>
      </c>
      <c r="Z562">
        <v>1</v>
      </c>
      <c r="AA562">
        <v>1</v>
      </c>
      <c r="AB562">
        <v>1554.5333333333333</v>
      </c>
      <c r="AC562" s="17"/>
      <c r="AD562">
        <v>46022</v>
      </c>
      <c r="AE562">
        <v>39327.49</v>
      </c>
      <c r="AF562">
        <v>39327.49</v>
      </c>
      <c r="AG562">
        <v>39327.49</v>
      </c>
      <c r="AH562">
        <v>39327.49</v>
      </c>
      <c r="AI562">
        <v>0</v>
      </c>
      <c r="AJ562">
        <v>0</v>
      </c>
      <c r="AW562">
        <v>0</v>
      </c>
      <c r="BJ562">
        <v>0</v>
      </c>
      <c r="BW562">
        <v>0</v>
      </c>
      <c r="CJ562">
        <v>39327.49</v>
      </c>
      <c r="CK562">
        <v>39327.49</v>
      </c>
      <c r="CW562">
        <v>0</v>
      </c>
      <c r="DJ562">
        <v>0</v>
      </c>
      <c r="DW562">
        <v>0</v>
      </c>
      <c r="EJ562">
        <v>39327.49</v>
      </c>
    </row>
    <row r="563" spans="1:140" hidden="1" x14ac:dyDescent="0.35">
      <c r="A563" t="s">
        <v>3317</v>
      </c>
      <c r="B563" t="s">
        <v>249</v>
      </c>
      <c r="D563" t="s">
        <v>6818</v>
      </c>
      <c r="E563" t="s">
        <v>296</v>
      </c>
      <c r="F563" t="s">
        <v>3982</v>
      </c>
      <c r="G563" t="s">
        <v>3983</v>
      </c>
      <c r="H563" t="s">
        <v>6814</v>
      </c>
      <c r="I563" t="s">
        <v>5373</v>
      </c>
      <c r="J563" t="s">
        <v>3079</v>
      </c>
      <c r="K563" t="s">
        <v>3079</v>
      </c>
      <c r="L563" t="s">
        <v>179</v>
      </c>
      <c r="M563" t="s">
        <v>3069</v>
      </c>
      <c r="N563" t="s">
        <v>89</v>
      </c>
      <c r="O563" t="s">
        <v>3088</v>
      </c>
      <c r="P563" t="s">
        <v>3088</v>
      </c>
      <c r="Q563" t="s">
        <v>3075</v>
      </c>
      <c r="R563" t="s">
        <v>2464</v>
      </c>
      <c r="S563" t="s">
        <v>5374</v>
      </c>
      <c r="T563" t="s">
        <v>1576</v>
      </c>
      <c r="U563" t="s">
        <v>6816</v>
      </c>
      <c r="V563" s="17">
        <v>45672</v>
      </c>
      <c r="W563" s="17">
        <v>45688</v>
      </c>
      <c r="X563" s="17">
        <v>45716</v>
      </c>
      <c r="Y563">
        <v>-446</v>
      </c>
      <c r="Z563">
        <v>1</v>
      </c>
      <c r="AA563">
        <v>0.93333333333333335</v>
      </c>
      <c r="AB563">
        <v>1553.6</v>
      </c>
      <c r="AC563" s="17"/>
      <c r="AD563">
        <v>46022</v>
      </c>
      <c r="AE563">
        <v>39327.49</v>
      </c>
      <c r="AF563">
        <v>39327.49</v>
      </c>
      <c r="AG563">
        <v>42136.596400000002</v>
      </c>
      <c r="AH563">
        <v>39327.49</v>
      </c>
      <c r="AI563">
        <v>0</v>
      </c>
      <c r="AJ563">
        <v>0</v>
      </c>
      <c r="AW563">
        <v>0</v>
      </c>
      <c r="BJ563">
        <v>0</v>
      </c>
      <c r="BW563">
        <v>0</v>
      </c>
      <c r="CJ563">
        <v>39327.49</v>
      </c>
      <c r="CL563">
        <v>39327.49</v>
      </c>
      <c r="CW563">
        <v>0</v>
      </c>
      <c r="DJ563">
        <v>0</v>
      </c>
      <c r="DW563">
        <v>0</v>
      </c>
      <c r="EJ563">
        <v>39327.49</v>
      </c>
    </row>
    <row r="564" spans="1:140" hidden="1" x14ac:dyDescent="0.35">
      <c r="A564" t="s">
        <v>3317</v>
      </c>
      <c r="B564" t="s">
        <v>249</v>
      </c>
      <c r="D564" t="s">
        <v>6819</v>
      </c>
      <c r="E564" t="s">
        <v>296</v>
      </c>
      <c r="F564" t="s">
        <v>3982</v>
      </c>
      <c r="G564" t="s">
        <v>3983</v>
      </c>
      <c r="H564" t="s">
        <v>6814</v>
      </c>
      <c r="I564" t="s">
        <v>5373</v>
      </c>
      <c r="J564" t="s">
        <v>3079</v>
      </c>
      <c r="K564" t="s">
        <v>3079</v>
      </c>
      <c r="L564" t="s">
        <v>179</v>
      </c>
      <c r="M564" t="s">
        <v>3069</v>
      </c>
      <c r="N564" t="s">
        <v>89</v>
      </c>
      <c r="O564" t="s">
        <v>3088</v>
      </c>
      <c r="P564" t="s">
        <v>3088</v>
      </c>
      <c r="Q564" t="s">
        <v>3075</v>
      </c>
      <c r="R564" t="s">
        <v>2464</v>
      </c>
      <c r="S564" t="s">
        <v>5374</v>
      </c>
      <c r="T564" t="s">
        <v>1576</v>
      </c>
      <c r="U564" t="s">
        <v>6816</v>
      </c>
      <c r="V564" s="17">
        <v>45728</v>
      </c>
      <c r="W564" s="17">
        <v>45717</v>
      </c>
      <c r="X564" s="17">
        <v>45838</v>
      </c>
      <c r="Y564">
        <v>-324</v>
      </c>
      <c r="Z564">
        <v>4</v>
      </c>
      <c r="AA564">
        <v>4.0333333333333332</v>
      </c>
      <c r="AB564">
        <v>1549.5333333333333</v>
      </c>
      <c r="AC564" s="17"/>
      <c r="AD564">
        <v>46022</v>
      </c>
      <c r="AE564">
        <v>39327.49</v>
      </c>
      <c r="AF564">
        <v>157309.96</v>
      </c>
      <c r="AG564">
        <v>39002.469400000002</v>
      </c>
      <c r="AH564">
        <v>157309.96</v>
      </c>
      <c r="AI564">
        <v>0</v>
      </c>
      <c r="AJ564">
        <v>0</v>
      </c>
      <c r="AW564">
        <v>0</v>
      </c>
      <c r="BJ564">
        <v>0</v>
      </c>
      <c r="BW564">
        <v>0</v>
      </c>
      <c r="CJ564">
        <v>157309.96</v>
      </c>
      <c r="CM564">
        <v>39327.49</v>
      </c>
      <c r="CN564">
        <v>39327.49</v>
      </c>
      <c r="CO564">
        <v>39327.49</v>
      </c>
      <c r="CP564">
        <v>39327.49</v>
      </c>
      <c r="CW564">
        <v>0</v>
      </c>
      <c r="DJ564">
        <v>0</v>
      </c>
      <c r="DW564">
        <v>0</v>
      </c>
      <c r="EJ564">
        <v>157309.96</v>
      </c>
    </row>
    <row r="565" spans="1:140" hidden="1" x14ac:dyDescent="0.35">
      <c r="A565" t="s">
        <v>3317</v>
      </c>
      <c r="B565" t="s">
        <v>249</v>
      </c>
      <c r="D565" t="s">
        <v>6820</v>
      </c>
      <c r="E565" t="s">
        <v>296</v>
      </c>
      <c r="F565" t="s">
        <v>3982</v>
      </c>
      <c r="G565" t="s">
        <v>3983</v>
      </c>
      <c r="H565" t="s">
        <v>6814</v>
      </c>
      <c r="I565" t="s">
        <v>5373</v>
      </c>
      <c r="J565" t="s">
        <v>3079</v>
      </c>
      <c r="K565" t="s">
        <v>3079</v>
      </c>
      <c r="L565" t="s">
        <v>179</v>
      </c>
      <c r="M565" t="s">
        <v>3069</v>
      </c>
      <c r="N565" t="s">
        <v>89</v>
      </c>
      <c r="O565" t="s">
        <v>3088</v>
      </c>
      <c r="P565" t="s">
        <v>3088</v>
      </c>
      <c r="Q565" t="s">
        <v>3075</v>
      </c>
      <c r="R565" t="s">
        <v>2464</v>
      </c>
      <c r="S565" t="s">
        <v>5374</v>
      </c>
      <c r="T565" t="s">
        <v>1576</v>
      </c>
      <c r="U565" t="s">
        <v>6816</v>
      </c>
      <c r="V565" s="17">
        <v>45867</v>
      </c>
      <c r="W565" s="17">
        <v>45839</v>
      </c>
      <c r="X565" s="17">
        <v>46022</v>
      </c>
      <c r="Y565">
        <v>-140</v>
      </c>
      <c r="Z565">
        <v>6</v>
      </c>
      <c r="AA565">
        <v>6.1</v>
      </c>
      <c r="AB565">
        <v>1543.4</v>
      </c>
      <c r="AC565" s="17"/>
      <c r="AD565">
        <v>46022</v>
      </c>
      <c r="AE565">
        <v>39327.49</v>
      </c>
      <c r="AF565">
        <v>235964.94</v>
      </c>
      <c r="AG565">
        <v>38682.777000000002</v>
      </c>
      <c r="AH565">
        <v>235964.94</v>
      </c>
      <c r="AI565">
        <v>0</v>
      </c>
      <c r="AJ565">
        <v>0</v>
      </c>
      <c r="AW565">
        <v>0</v>
      </c>
      <c r="BJ565">
        <v>0</v>
      </c>
      <c r="BW565">
        <v>0</v>
      </c>
      <c r="CJ565">
        <v>235964.94</v>
      </c>
      <c r="CQ565">
        <v>39327.49</v>
      </c>
      <c r="CR565">
        <v>39327.49</v>
      </c>
      <c r="CS565">
        <v>39327.49</v>
      </c>
      <c r="CT565">
        <v>39327.49</v>
      </c>
      <c r="CU565">
        <v>39327.49</v>
      </c>
      <c r="CV565">
        <v>39327.49</v>
      </c>
      <c r="CW565">
        <v>0</v>
      </c>
      <c r="DJ565">
        <v>0</v>
      </c>
      <c r="DW565">
        <v>0</v>
      </c>
      <c r="EJ565">
        <v>235964.94</v>
      </c>
    </row>
    <row r="566" spans="1:140" hidden="1" x14ac:dyDescent="0.35">
      <c r="A566" t="s">
        <v>3317</v>
      </c>
      <c r="B566" t="s">
        <v>249</v>
      </c>
      <c r="D566" t="s">
        <v>6821</v>
      </c>
      <c r="E566" t="s">
        <v>312</v>
      </c>
      <c r="F566" t="s">
        <v>3986</v>
      </c>
      <c r="G566" t="s">
        <v>3987</v>
      </c>
      <c r="H566" t="s">
        <v>6822</v>
      </c>
      <c r="I566" t="s">
        <v>5368</v>
      </c>
      <c r="J566" t="s">
        <v>3079</v>
      </c>
      <c r="K566" t="s">
        <v>3079</v>
      </c>
      <c r="L566" t="s">
        <v>3988</v>
      </c>
      <c r="M566" t="s">
        <v>249</v>
      </c>
      <c r="N566" t="s">
        <v>310</v>
      </c>
      <c r="O566" t="s">
        <v>3989</v>
      </c>
      <c r="P566" t="s">
        <v>3989</v>
      </c>
      <c r="Q566" t="s">
        <v>3075</v>
      </c>
      <c r="R566" t="s">
        <v>2464</v>
      </c>
      <c r="S566" t="s">
        <v>5374</v>
      </c>
      <c r="T566" t="s">
        <v>1576</v>
      </c>
      <c r="U566" t="s">
        <v>6823</v>
      </c>
      <c r="V566" s="17">
        <v>45736</v>
      </c>
      <c r="W566" s="17">
        <v>45750</v>
      </c>
      <c r="X566" s="17">
        <v>45991</v>
      </c>
      <c r="Y566">
        <v>-171</v>
      </c>
      <c r="Z566">
        <v>8</v>
      </c>
      <c r="AA566">
        <v>8.0333333333333332</v>
      </c>
      <c r="AB566">
        <v>1544.4333333333334</v>
      </c>
      <c r="AC566" s="17"/>
      <c r="AD566">
        <v>46022</v>
      </c>
      <c r="AE566">
        <v>42895.14</v>
      </c>
      <c r="AF566">
        <v>343161.12</v>
      </c>
      <c r="AG566">
        <v>42717.151899999997</v>
      </c>
      <c r="AH566">
        <v>343161.12</v>
      </c>
      <c r="AI566">
        <v>0</v>
      </c>
      <c r="AJ566">
        <v>0</v>
      </c>
      <c r="AW566">
        <v>0</v>
      </c>
      <c r="BJ566">
        <v>0</v>
      </c>
      <c r="BW566">
        <v>0</v>
      </c>
      <c r="CJ566">
        <v>343161.12</v>
      </c>
      <c r="CN566">
        <v>42895.14</v>
      </c>
      <c r="CO566">
        <v>42895.14</v>
      </c>
      <c r="CP566">
        <v>42895.14</v>
      </c>
      <c r="CQ566">
        <v>42895.14</v>
      </c>
      <c r="CR566">
        <v>42895.14</v>
      </c>
      <c r="CS566">
        <v>42895.14</v>
      </c>
      <c r="CT566">
        <v>42895.14</v>
      </c>
      <c r="CU566">
        <v>42895.14</v>
      </c>
      <c r="CW566">
        <v>0</v>
      </c>
      <c r="DJ566">
        <v>0</v>
      </c>
      <c r="DW566">
        <v>0</v>
      </c>
      <c r="EJ566">
        <v>343161.12</v>
      </c>
    </row>
    <row r="567" spans="1:140" hidden="1" x14ac:dyDescent="0.35">
      <c r="A567" t="s">
        <v>3317</v>
      </c>
      <c r="B567" t="s">
        <v>249</v>
      </c>
      <c r="D567" t="s">
        <v>6824</v>
      </c>
      <c r="E567" t="s">
        <v>3994</v>
      </c>
      <c r="F567" t="s">
        <v>3995</v>
      </c>
      <c r="G567" t="s">
        <v>3996</v>
      </c>
      <c r="H567" t="s">
        <v>6825</v>
      </c>
      <c r="I567" t="s">
        <v>5368</v>
      </c>
      <c r="J567" t="s">
        <v>3079</v>
      </c>
      <c r="K567" t="s">
        <v>3079</v>
      </c>
      <c r="L567" t="s">
        <v>516</v>
      </c>
      <c r="M567" t="s">
        <v>3997</v>
      </c>
      <c r="N567" t="s">
        <v>516</v>
      </c>
      <c r="O567" t="s">
        <v>3997</v>
      </c>
      <c r="P567" t="s">
        <v>3879</v>
      </c>
      <c r="Q567" t="s">
        <v>3075</v>
      </c>
      <c r="R567" t="s">
        <v>2464</v>
      </c>
      <c r="S567" t="s">
        <v>5452</v>
      </c>
      <c r="T567" t="s">
        <v>2363</v>
      </c>
      <c r="U567" t="s">
        <v>6826</v>
      </c>
      <c r="V567" s="17">
        <v>45908</v>
      </c>
      <c r="W567" s="17">
        <v>45973</v>
      </c>
      <c r="X567" s="17">
        <v>46019</v>
      </c>
      <c r="Y567">
        <v>-143</v>
      </c>
      <c r="Z567">
        <v>1.5</v>
      </c>
      <c r="AA567">
        <v>1.5333333333333334</v>
      </c>
      <c r="AB567">
        <v>1543.5</v>
      </c>
      <c r="AC567" s="17"/>
      <c r="AD567">
        <v>46001</v>
      </c>
      <c r="AE567">
        <v>85758.32</v>
      </c>
      <c r="AF567">
        <v>128637.48</v>
      </c>
      <c r="AG567">
        <v>83894.008700000006</v>
      </c>
      <c r="AH567">
        <v>128637.48</v>
      </c>
      <c r="AI567">
        <v>0</v>
      </c>
      <c r="AJ567">
        <v>0</v>
      </c>
      <c r="AW567">
        <v>0</v>
      </c>
      <c r="BJ567">
        <v>0</v>
      </c>
      <c r="BW567">
        <v>0</v>
      </c>
      <c r="CJ567">
        <v>128637.48</v>
      </c>
      <c r="CT567">
        <v>85758.32</v>
      </c>
      <c r="CU567">
        <v>42879.16</v>
      </c>
      <c r="CW567">
        <v>0</v>
      </c>
      <c r="DJ567">
        <v>0</v>
      </c>
      <c r="DW567">
        <v>0</v>
      </c>
      <c r="EJ567">
        <v>128637.48</v>
      </c>
    </row>
    <row r="568" spans="1:140" hidden="1" x14ac:dyDescent="0.35">
      <c r="A568" t="s">
        <v>3317</v>
      </c>
      <c r="B568" t="s">
        <v>249</v>
      </c>
      <c r="D568" t="s">
        <v>6827</v>
      </c>
      <c r="E568" t="s">
        <v>406</v>
      </c>
      <c r="F568" t="s">
        <v>4955</v>
      </c>
      <c r="G568" t="s">
        <v>4943</v>
      </c>
      <c r="H568" t="s">
        <v>5663</v>
      </c>
      <c r="I568" t="s">
        <v>5448</v>
      </c>
      <c r="J568" t="s">
        <v>3203</v>
      </c>
      <c r="K568" t="s">
        <v>3203</v>
      </c>
      <c r="L568" t="s">
        <v>89</v>
      </c>
      <c r="M568" t="s">
        <v>3088</v>
      </c>
      <c r="N568" t="s">
        <v>89</v>
      </c>
      <c r="O568" t="s">
        <v>3088</v>
      </c>
      <c r="P568" t="s">
        <v>3088</v>
      </c>
      <c r="Q568" t="s">
        <v>3852</v>
      </c>
      <c r="R568" t="s">
        <v>4394</v>
      </c>
      <c r="S568" t="s">
        <v>5374</v>
      </c>
      <c r="T568" t="s">
        <v>1576</v>
      </c>
      <c r="U568" t="s">
        <v>6828</v>
      </c>
      <c r="V568" s="17">
        <v>45755</v>
      </c>
      <c r="W568" s="17">
        <v>45764</v>
      </c>
      <c r="X568" s="17">
        <v>46004</v>
      </c>
      <c r="Y568">
        <v>-158</v>
      </c>
      <c r="Z568">
        <v>4</v>
      </c>
      <c r="AA568">
        <v>8</v>
      </c>
      <c r="AB568">
        <v>1544</v>
      </c>
      <c r="AC568" s="17"/>
      <c r="AD568">
        <v>45950</v>
      </c>
      <c r="AE568">
        <v>98060.64</v>
      </c>
      <c r="AF568">
        <v>407932.26</v>
      </c>
      <c r="AG568">
        <v>50991.532500000001</v>
      </c>
      <c r="AH568">
        <v>407932.25</v>
      </c>
      <c r="AI568">
        <v>-0.01</v>
      </c>
      <c r="AJ568">
        <v>0</v>
      </c>
      <c r="AW568">
        <v>0</v>
      </c>
      <c r="BJ568">
        <v>0</v>
      </c>
      <c r="BW568">
        <v>0</v>
      </c>
      <c r="CJ568">
        <v>0</v>
      </c>
      <c r="CW568">
        <v>407932</v>
      </c>
      <c r="DC568">
        <v>326345.8</v>
      </c>
      <c r="DD568">
        <v>81586.45</v>
      </c>
      <c r="DJ568">
        <v>0</v>
      </c>
      <c r="DW568">
        <v>0</v>
      </c>
      <c r="EJ568">
        <v>407932</v>
      </c>
    </row>
    <row r="569" spans="1:140" hidden="1" x14ac:dyDescent="0.35">
      <c r="A569" t="s">
        <v>3317</v>
      </c>
      <c r="B569" t="s">
        <v>249</v>
      </c>
      <c r="D569" t="s">
        <v>6829</v>
      </c>
      <c r="E569" t="s">
        <v>338</v>
      </c>
      <c r="F569" t="s">
        <v>4958</v>
      </c>
      <c r="G569" t="s">
        <v>4959</v>
      </c>
      <c r="H569" t="s">
        <v>6830</v>
      </c>
      <c r="I569" t="s">
        <v>5368</v>
      </c>
      <c r="J569" t="s">
        <v>3203</v>
      </c>
      <c r="K569" t="s">
        <v>3203</v>
      </c>
      <c r="L569" t="s">
        <v>132</v>
      </c>
      <c r="M569" t="s">
        <v>3997</v>
      </c>
      <c r="N569" t="s">
        <v>132</v>
      </c>
      <c r="O569" t="s">
        <v>3070</v>
      </c>
      <c r="P569" t="s">
        <v>3879</v>
      </c>
      <c r="Q569" t="s">
        <v>3852</v>
      </c>
      <c r="R569" t="s">
        <v>4394</v>
      </c>
      <c r="S569" t="s">
        <v>5374</v>
      </c>
      <c r="T569" t="s">
        <v>1576</v>
      </c>
      <c r="U569" t="s">
        <v>6831</v>
      </c>
      <c r="V569" s="17">
        <v>45747</v>
      </c>
      <c r="W569" s="17">
        <v>45747</v>
      </c>
      <c r="X569" s="17">
        <v>45868</v>
      </c>
      <c r="Y569">
        <v>-294</v>
      </c>
      <c r="Z569">
        <v>4</v>
      </c>
      <c r="AA569">
        <v>4.0333333333333332</v>
      </c>
      <c r="AB569">
        <v>1548.5333333333333</v>
      </c>
      <c r="AC569" s="17"/>
      <c r="AD569">
        <v>45950</v>
      </c>
      <c r="AE569">
        <v>65000</v>
      </c>
      <c r="AF569">
        <v>260000</v>
      </c>
      <c r="AG569">
        <v>64462.8099</v>
      </c>
      <c r="AH569">
        <v>260000</v>
      </c>
      <c r="AI569">
        <v>0</v>
      </c>
      <c r="AJ569">
        <v>0</v>
      </c>
      <c r="AW569">
        <v>0</v>
      </c>
      <c r="BJ569">
        <v>0</v>
      </c>
      <c r="BW569">
        <v>0</v>
      </c>
      <c r="CJ569">
        <v>260000</v>
      </c>
      <c r="CO569">
        <v>80470.880000000005</v>
      </c>
      <c r="CP569">
        <v>90281.327999999994</v>
      </c>
      <c r="CQ569">
        <v>69646.944000000003</v>
      </c>
      <c r="CR569">
        <v>19600.848000000002</v>
      </c>
      <c r="CW569">
        <v>0</v>
      </c>
      <c r="DJ569">
        <v>0</v>
      </c>
      <c r="DW569">
        <v>0</v>
      </c>
      <c r="EJ569">
        <v>260000</v>
      </c>
    </row>
    <row r="570" spans="1:140" hidden="1" x14ac:dyDescent="0.35">
      <c r="A570" t="s">
        <v>3317</v>
      </c>
      <c r="B570" t="s">
        <v>249</v>
      </c>
      <c r="D570" t="s">
        <v>6832</v>
      </c>
      <c r="E570" t="s">
        <v>4962</v>
      </c>
      <c r="F570" t="s">
        <v>4963</v>
      </c>
      <c r="G570" t="s">
        <v>4964</v>
      </c>
      <c r="H570" t="s">
        <v>6833</v>
      </c>
      <c r="I570" t="s">
        <v>5368</v>
      </c>
      <c r="J570" t="s">
        <v>3203</v>
      </c>
      <c r="K570" t="s">
        <v>3203</v>
      </c>
      <c r="L570" t="s">
        <v>637</v>
      </c>
      <c r="M570" t="s">
        <v>4030</v>
      </c>
      <c r="N570" t="s">
        <v>89</v>
      </c>
      <c r="O570" t="s">
        <v>3088</v>
      </c>
      <c r="P570" t="s">
        <v>3088</v>
      </c>
      <c r="Q570" t="s">
        <v>3075</v>
      </c>
      <c r="R570" t="s">
        <v>4394</v>
      </c>
      <c r="S570" t="s">
        <v>5374</v>
      </c>
      <c r="T570" t="s">
        <v>1576</v>
      </c>
      <c r="U570" t="s">
        <v>6834</v>
      </c>
      <c r="V570" s="17">
        <v>45807</v>
      </c>
      <c r="W570" s="17">
        <v>45819</v>
      </c>
      <c r="X570" s="17">
        <v>45991</v>
      </c>
      <c r="Y570">
        <v>-171</v>
      </c>
      <c r="Z570">
        <v>6</v>
      </c>
      <c r="AA570">
        <v>5.7333333333333334</v>
      </c>
      <c r="AB570">
        <v>1544.4333333333334</v>
      </c>
      <c r="AC570" s="17"/>
      <c r="AD570">
        <v>45950</v>
      </c>
      <c r="AE570">
        <v>12336</v>
      </c>
      <c r="AF570">
        <v>74016</v>
      </c>
      <c r="AG570">
        <v>12909.767400000001</v>
      </c>
      <c r="AH570">
        <v>74016</v>
      </c>
      <c r="AI570">
        <v>0</v>
      </c>
      <c r="AJ570">
        <v>0</v>
      </c>
      <c r="AW570">
        <v>0</v>
      </c>
      <c r="BJ570">
        <v>0</v>
      </c>
      <c r="BW570">
        <v>0</v>
      </c>
      <c r="CJ570">
        <v>74016</v>
      </c>
      <c r="CP570">
        <v>12336</v>
      </c>
      <c r="CQ570">
        <v>12336</v>
      </c>
      <c r="CR570">
        <v>12336</v>
      </c>
      <c r="CS570">
        <v>12336</v>
      </c>
      <c r="CT570">
        <v>12336</v>
      </c>
      <c r="CU570">
        <v>12336</v>
      </c>
      <c r="CW570">
        <v>0</v>
      </c>
      <c r="DJ570">
        <v>0</v>
      </c>
      <c r="DW570">
        <v>0</v>
      </c>
      <c r="EJ570">
        <v>74016</v>
      </c>
    </row>
    <row r="571" spans="1:140" hidden="1" x14ac:dyDescent="0.35">
      <c r="A571" t="s">
        <v>3317</v>
      </c>
      <c r="B571" t="s">
        <v>249</v>
      </c>
      <c r="D571" t="s">
        <v>6835</v>
      </c>
      <c r="E571" t="s">
        <v>558</v>
      </c>
      <c r="F571" t="s">
        <v>4343</v>
      </c>
      <c r="G571" t="s">
        <v>4344</v>
      </c>
      <c r="H571" t="s">
        <v>6836</v>
      </c>
      <c r="I571" t="s">
        <v>5368</v>
      </c>
      <c r="J571" t="s">
        <v>3071</v>
      </c>
      <c r="K571" t="s">
        <v>4313</v>
      </c>
      <c r="L571" t="s">
        <v>557</v>
      </c>
      <c r="M571" t="s">
        <v>3069</v>
      </c>
      <c r="N571" t="s">
        <v>557</v>
      </c>
      <c r="O571" t="s">
        <v>3747</v>
      </c>
      <c r="P571" t="s">
        <v>3694</v>
      </c>
      <c r="Q571" t="s">
        <v>3075</v>
      </c>
      <c r="R571" t="s">
        <v>2739</v>
      </c>
      <c r="S571" t="s">
        <v>5374</v>
      </c>
      <c r="T571" t="s">
        <v>2363</v>
      </c>
      <c r="U571" t="s">
        <v>6837</v>
      </c>
      <c r="V571" s="17">
        <v>45945</v>
      </c>
      <c r="W571" s="17">
        <v>45958</v>
      </c>
      <c r="X571" s="17">
        <v>45989</v>
      </c>
      <c r="Y571">
        <v>-173</v>
      </c>
      <c r="Z571">
        <v>1</v>
      </c>
      <c r="AA571">
        <v>1.0333333333333334</v>
      </c>
      <c r="AB571">
        <v>1544.5</v>
      </c>
      <c r="AC571" s="17"/>
      <c r="AD571">
        <v>45985</v>
      </c>
      <c r="AE571">
        <v>35057.536699999997</v>
      </c>
      <c r="AF571">
        <v>105172.61</v>
      </c>
      <c r="AG571">
        <v>101779.9452</v>
      </c>
      <c r="AH571">
        <v>105172.61</v>
      </c>
      <c r="AI571">
        <v>0</v>
      </c>
      <c r="AJ571">
        <v>0</v>
      </c>
      <c r="AW571">
        <v>0</v>
      </c>
      <c r="BJ571">
        <v>0</v>
      </c>
      <c r="BW571">
        <v>0</v>
      </c>
      <c r="CJ571">
        <v>105172.61</v>
      </c>
      <c r="CU571">
        <v>105172.61</v>
      </c>
      <c r="CW571">
        <v>0</v>
      </c>
      <c r="DJ571">
        <v>0</v>
      </c>
      <c r="DW571">
        <v>0</v>
      </c>
      <c r="EJ571">
        <v>105172.61</v>
      </c>
    </row>
    <row r="572" spans="1:140" hidden="1" x14ac:dyDescent="0.35">
      <c r="A572" t="s">
        <v>3317</v>
      </c>
      <c r="B572" t="s">
        <v>249</v>
      </c>
      <c r="D572" t="s">
        <v>6838</v>
      </c>
      <c r="E572" t="s">
        <v>397</v>
      </c>
      <c r="F572" t="s">
        <v>4000</v>
      </c>
      <c r="G572" t="s">
        <v>4001</v>
      </c>
      <c r="H572" t="s">
        <v>6839</v>
      </c>
      <c r="I572" t="s">
        <v>5368</v>
      </c>
      <c r="J572" t="s">
        <v>3071</v>
      </c>
      <c r="K572" t="s">
        <v>3071</v>
      </c>
      <c r="L572" t="s">
        <v>395</v>
      </c>
      <c r="M572" t="s">
        <v>3130</v>
      </c>
      <c r="N572" t="s">
        <v>395</v>
      </c>
      <c r="O572" t="s">
        <v>4002</v>
      </c>
      <c r="P572" t="s">
        <v>3694</v>
      </c>
      <c r="Q572" t="s">
        <v>3075</v>
      </c>
      <c r="R572" t="s">
        <v>2513</v>
      </c>
      <c r="S572" t="s">
        <v>5374</v>
      </c>
      <c r="T572" t="s">
        <v>1576</v>
      </c>
      <c r="U572" t="s">
        <v>6840</v>
      </c>
      <c r="V572" s="17">
        <v>45785</v>
      </c>
      <c r="W572" s="17">
        <v>45811</v>
      </c>
      <c r="X572" s="17">
        <v>45964</v>
      </c>
      <c r="Y572">
        <v>-198</v>
      </c>
      <c r="Z572">
        <v>5</v>
      </c>
      <c r="AA572">
        <v>5.0999999999999996</v>
      </c>
      <c r="AB572">
        <v>1545.3333333333333</v>
      </c>
      <c r="AC572" s="17"/>
      <c r="AD572">
        <v>45987</v>
      </c>
      <c r="AE572">
        <v>51000</v>
      </c>
      <c r="AF572">
        <v>255000</v>
      </c>
      <c r="AG572">
        <v>50000</v>
      </c>
      <c r="AH572">
        <v>255000</v>
      </c>
      <c r="AI572">
        <v>0</v>
      </c>
      <c r="AJ572">
        <v>0</v>
      </c>
      <c r="AW572">
        <v>0</v>
      </c>
      <c r="BJ572">
        <v>0</v>
      </c>
      <c r="BW572">
        <v>0</v>
      </c>
      <c r="CJ572">
        <v>255000</v>
      </c>
      <c r="CP572">
        <v>51000</v>
      </c>
      <c r="CQ572">
        <v>51000</v>
      </c>
      <c r="CR572">
        <v>51000</v>
      </c>
      <c r="CS572">
        <v>51000</v>
      </c>
      <c r="CT572">
        <v>51000</v>
      </c>
      <c r="CW572">
        <v>0</v>
      </c>
      <c r="DJ572">
        <v>0</v>
      </c>
      <c r="DW572">
        <v>0</v>
      </c>
      <c r="EJ572">
        <v>255000</v>
      </c>
    </row>
    <row r="573" spans="1:140" hidden="1" x14ac:dyDescent="0.35">
      <c r="A573" t="s">
        <v>3317</v>
      </c>
      <c r="B573" t="s">
        <v>249</v>
      </c>
      <c r="D573" t="s">
        <v>6841</v>
      </c>
      <c r="E573" t="s">
        <v>397</v>
      </c>
      <c r="F573" t="s">
        <v>4000</v>
      </c>
      <c r="G573" t="s">
        <v>4001</v>
      </c>
      <c r="H573" t="s">
        <v>6842</v>
      </c>
      <c r="I573" t="s">
        <v>5373</v>
      </c>
      <c r="J573" t="s">
        <v>3071</v>
      </c>
      <c r="K573" t="s">
        <v>3071</v>
      </c>
      <c r="L573" t="s">
        <v>395</v>
      </c>
      <c r="M573" t="s">
        <v>3130</v>
      </c>
      <c r="N573" t="s">
        <v>395</v>
      </c>
      <c r="O573" t="s">
        <v>4002</v>
      </c>
      <c r="P573" t="s">
        <v>3694</v>
      </c>
      <c r="Q573" t="s">
        <v>3075</v>
      </c>
      <c r="R573" t="s">
        <v>2513</v>
      </c>
      <c r="S573" t="s">
        <v>5374</v>
      </c>
      <c r="T573" t="s">
        <v>2363</v>
      </c>
      <c r="U573" t="s">
        <v>6840</v>
      </c>
      <c r="V573" s="17">
        <v>45944</v>
      </c>
      <c r="W573" s="17">
        <v>45964</v>
      </c>
      <c r="X573" s="17">
        <v>46025</v>
      </c>
      <c r="Y573">
        <v>-137</v>
      </c>
      <c r="Z573">
        <v>2</v>
      </c>
      <c r="AA573">
        <v>2.0333333333333332</v>
      </c>
      <c r="AB573">
        <v>1543.3</v>
      </c>
      <c r="AC573" s="17"/>
      <c r="AD573">
        <v>45987</v>
      </c>
      <c r="AE573">
        <v>0</v>
      </c>
      <c r="AF573">
        <v>102000</v>
      </c>
      <c r="AG573">
        <v>50163.934399999998</v>
      </c>
      <c r="AH573">
        <v>102000</v>
      </c>
      <c r="AI573">
        <v>0</v>
      </c>
      <c r="AJ573">
        <v>0</v>
      </c>
      <c r="AW573">
        <v>0</v>
      </c>
      <c r="BJ573">
        <v>0</v>
      </c>
      <c r="BW573">
        <v>0</v>
      </c>
      <c r="CJ573">
        <v>102000</v>
      </c>
      <c r="CU573">
        <v>51000</v>
      </c>
      <c r="CV573">
        <v>51000</v>
      </c>
      <c r="CW573">
        <v>0</v>
      </c>
      <c r="DJ573">
        <v>0</v>
      </c>
      <c r="DW573">
        <v>0</v>
      </c>
      <c r="EJ573">
        <v>102000</v>
      </c>
    </row>
    <row r="574" spans="1:140" hidden="1" x14ac:dyDescent="0.35">
      <c r="A574" t="s">
        <v>3317</v>
      </c>
      <c r="B574" t="s">
        <v>249</v>
      </c>
      <c r="D574" t="s">
        <v>6843</v>
      </c>
      <c r="E574" t="s">
        <v>5154</v>
      </c>
      <c r="F574" t="s">
        <v>5155</v>
      </c>
      <c r="G574" t="s">
        <v>5156</v>
      </c>
      <c r="H574" t="s">
        <v>6844</v>
      </c>
      <c r="I574" t="s">
        <v>5368</v>
      </c>
      <c r="J574" t="s">
        <v>5102</v>
      </c>
      <c r="K574" t="s">
        <v>5102</v>
      </c>
      <c r="L574" t="s">
        <v>332</v>
      </c>
      <c r="M574" t="s">
        <v>3087</v>
      </c>
      <c r="N574" t="s">
        <v>332</v>
      </c>
      <c r="O574" t="s">
        <v>3728</v>
      </c>
      <c r="P574" t="s">
        <v>3747</v>
      </c>
      <c r="Q574" t="s">
        <v>3075</v>
      </c>
      <c r="R574" t="s">
        <v>2403</v>
      </c>
      <c r="S574" t="s">
        <v>5452</v>
      </c>
      <c r="T574" t="s">
        <v>2363</v>
      </c>
      <c r="U574" t="s">
        <v>6845</v>
      </c>
      <c r="V574" s="17">
        <v>45699</v>
      </c>
      <c r="W574" s="17">
        <v>45726</v>
      </c>
      <c r="X574" s="17">
        <v>46001</v>
      </c>
      <c r="Y574">
        <v>-161</v>
      </c>
      <c r="Z574">
        <v>8</v>
      </c>
      <c r="AA574">
        <v>9.1666666666666661</v>
      </c>
      <c r="AB574">
        <v>1544.1</v>
      </c>
      <c r="AC574" s="17"/>
      <c r="AD574">
        <v>45991</v>
      </c>
      <c r="AE574">
        <v>43912.160000000003</v>
      </c>
      <c r="AF574">
        <v>351297.28000000003</v>
      </c>
      <c r="AG574">
        <v>38323.339599999999</v>
      </c>
      <c r="AH574">
        <v>351297.3</v>
      </c>
      <c r="AI574">
        <v>0.02</v>
      </c>
      <c r="AJ574">
        <v>0</v>
      </c>
      <c r="AW574">
        <v>0</v>
      </c>
      <c r="BJ574">
        <v>0</v>
      </c>
      <c r="BW574">
        <v>0</v>
      </c>
      <c r="CJ574">
        <v>351297.3</v>
      </c>
      <c r="CM574">
        <v>54187.61</v>
      </c>
      <c r="CN574">
        <v>54187.61</v>
      </c>
      <c r="CO574">
        <v>38379.230000000003</v>
      </c>
      <c r="CP574">
        <v>46283.42</v>
      </c>
      <c r="CQ574">
        <v>38379.230000000003</v>
      </c>
      <c r="CR574">
        <v>30475.040000000001</v>
      </c>
      <c r="CS574">
        <v>38379.230000000003</v>
      </c>
      <c r="CT574">
        <v>51025.93</v>
      </c>
      <c r="CW574">
        <v>0</v>
      </c>
      <c r="DJ574">
        <v>0</v>
      </c>
      <c r="DW574">
        <v>0</v>
      </c>
      <c r="EJ574">
        <v>351297.3</v>
      </c>
    </row>
    <row r="575" spans="1:140" hidden="1" x14ac:dyDescent="0.35">
      <c r="A575" t="s">
        <v>3317</v>
      </c>
      <c r="B575" t="s">
        <v>249</v>
      </c>
      <c r="D575" t="s">
        <v>6846</v>
      </c>
      <c r="E575" t="s">
        <v>555</v>
      </c>
      <c r="F575" t="s">
        <v>4009</v>
      </c>
      <c r="G575" t="s">
        <v>4010</v>
      </c>
      <c r="H575" t="s">
        <v>6847</v>
      </c>
      <c r="I575" t="s">
        <v>5368</v>
      </c>
      <c r="J575" t="s">
        <v>3071</v>
      </c>
      <c r="K575" t="s">
        <v>3071</v>
      </c>
      <c r="L575" t="s">
        <v>452</v>
      </c>
      <c r="M575" t="s">
        <v>3069</v>
      </c>
      <c r="N575" t="s">
        <v>553</v>
      </c>
      <c r="O575" t="s">
        <v>3155</v>
      </c>
      <c r="P575" t="s">
        <v>3747</v>
      </c>
      <c r="Q575" t="s">
        <v>3075</v>
      </c>
      <c r="R575" t="s">
        <v>2513</v>
      </c>
      <c r="S575" t="s">
        <v>5374</v>
      </c>
      <c r="T575" t="s">
        <v>1576</v>
      </c>
      <c r="U575" t="s">
        <v>6848</v>
      </c>
      <c r="V575" s="17">
        <v>45930</v>
      </c>
      <c r="W575" s="17">
        <v>46085</v>
      </c>
      <c r="X575" s="17">
        <v>46203</v>
      </c>
      <c r="Y575">
        <v>41</v>
      </c>
      <c r="Z575">
        <v>4</v>
      </c>
      <c r="AA575">
        <v>3.9333333333333331</v>
      </c>
      <c r="AB575">
        <v>1537.3666666666666</v>
      </c>
      <c r="AC575" s="17"/>
      <c r="AD575">
        <v>46059</v>
      </c>
      <c r="AE575">
        <v>79759.820000000007</v>
      </c>
      <c r="AF575">
        <v>319039.28000000003</v>
      </c>
      <c r="AG575">
        <v>81111.681400000001</v>
      </c>
      <c r="AH575">
        <v>319039.3</v>
      </c>
      <c r="AI575">
        <v>0.02</v>
      </c>
      <c r="AJ575">
        <v>0</v>
      </c>
      <c r="AW575">
        <v>0</v>
      </c>
      <c r="BJ575">
        <v>0</v>
      </c>
      <c r="BW575">
        <v>0</v>
      </c>
      <c r="CJ575">
        <v>237338.92</v>
      </c>
      <c r="CT575">
        <v>73938.16</v>
      </c>
      <c r="CU575">
        <v>81700.38</v>
      </c>
      <c r="CV575">
        <v>81700.38</v>
      </c>
      <c r="CW575">
        <v>81700</v>
      </c>
      <c r="CX575">
        <v>81700.38</v>
      </c>
      <c r="DJ575">
        <v>0</v>
      </c>
      <c r="DW575">
        <v>0</v>
      </c>
      <c r="EJ575">
        <v>319038.92000000004</v>
      </c>
    </row>
    <row r="576" spans="1:140" hidden="1" x14ac:dyDescent="0.35">
      <c r="A576" t="s">
        <v>3317</v>
      </c>
      <c r="B576" t="s">
        <v>249</v>
      </c>
      <c r="D576" t="s">
        <v>6849</v>
      </c>
      <c r="E576" t="s">
        <v>186</v>
      </c>
      <c r="F576" t="s">
        <v>4005</v>
      </c>
      <c r="G576" t="s">
        <v>4006</v>
      </c>
      <c r="H576" t="s">
        <v>6850</v>
      </c>
      <c r="I576" t="s">
        <v>5368</v>
      </c>
      <c r="J576" t="s">
        <v>3071</v>
      </c>
      <c r="K576" t="s">
        <v>3071</v>
      </c>
      <c r="L576" t="s">
        <v>98</v>
      </c>
      <c r="M576" t="s">
        <v>3087</v>
      </c>
      <c r="N576" t="s">
        <v>184</v>
      </c>
      <c r="O576" t="s">
        <v>3088</v>
      </c>
      <c r="P576">
        <v>0</v>
      </c>
      <c r="Q576" t="s">
        <v>3075</v>
      </c>
      <c r="R576">
        <v>0</v>
      </c>
      <c r="S576">
        <v>0</v>
      </c>
      <c r="T576">
        <v>0</v>
      </c>
      <c r="U576" t="s">
        <v>6851</v>
      </c>
      <c r="V576" s="17">
        <v>45226</v>
      </c>
      <c r="W576" s="17">
        <v>45230</v>
      </c>
      <c r="X576" s="17">
        <v>45596</v>
      </c>
      <c r="Y576">
        <v>-566</v>
      </c>
      <c r="Z576">
        <v>12</v>
      </c>
      <c r="AA576">
        <v>12.2</v>
      </c>
      <c r="AB576">
        <v>1557.6</v>
      </c>
      <c r="AC576" s="17"/>
      <c r="AD576">
        <v>46096</v>
      </c>
      <c r="AE576">
        <v>33175.68</v>
      </c>
      <c r="AF576">
        <v>398108.15999999997</v>
      </c>
      <c r="AG576">
        <v>32631.8164</v>
      </c>
      <c r="AH576">
        <v>398108.15999999997</v>
      </c>
      <c r="AI576">
        <v>0</v>
      </c>
      <c r="AJ576">
        <v>0</v>
      </c>
      <c r="AW576">
        <v>0</v>
      </c>
      <c r="BJ576">
        <v>66351.360000000001</v>
      </c>
      <c r="BU576">
        <v>33175.68</v>
      </c>
      <c r="BV576">
        <v>33175.68</v>
      </c>
      <c r="BW576">
        <v>331756.79999999999</v>
      </c>
      <c r="BX576">
        <v>33175.68</v>
      </c>
      <c r="BY576">
        <v>33175.68</v>
      </c>
      <c r="BZ576">
        <v>33175.68</v>
      </c>
      <c r="CA576">
        <v>33175.68</v>
      </c>
      <c r="CB576">
        <v>33175.68</v>
      </c>
      <c r="CC576">
        <v>33175.68</v>
      </c>
      <c r="CD576">
        <v>33175.68</v>
      </c>
      <c r="CE576">
        <v>33175.68</v>
      </c>
      <c r="CF576">
        <v>33175.68</v>
      </c>
      <c r="CG576">
        <v>33176</v>
      </c>
      <c r="CJ576">
        <v>0</v>
      </c>
      <c r="CW576">
        <v>0</v>
      </c>
      <c r="DJ576">
        <v>0</v>
      </c>
      <c r="DW576">
        <v>0</v>
      </c>
      <c r="EJ576">
        <v>0</v>
      </c>
    </row>
    <row r="577" spans="1:140" hidden="1" x14ac:dyDescent="0.35">
      <c r="A577" t="s">
        <v>3317</v>
      </c>
      <c r="B577" t="s">
        <v>249</v>
      </c>
      <c r="D577" t="s">
        <v>6852</v>
      </c>
      <c r="E577" t="s">
        <v>186</v>
      </c>
      <c r="F577" t="s">
        <v>4005</v>
      </c>
      <c r="G577" t="s">
        <v>4006</v>
      </c>
      <c r="H577" t="s">
        <v>6853</v>
      </c>
      <c r="I577" t="s">
        <v>5373</v>
      </c>
      <c r="J577" t="s">
        <v>3071</v>
      </c>
      <c r="K577" t="s">
        <v>3071</v>
      </c>
      <c r="L577" t="s">
        <v>98</v>
      </c>
      <c r="M577" t="s">
        <v>3087</v>
      </c>
      <c r="N577" t="s">
        <v>184</v>
      </c>
      <c r="O577" t="s">
        <v>3088</v>
      </c>
      <c r="P577">
        <v>0</v>
      </c>
      <c r="Q577" t="s">
        <v>3075</v>
      </c>
      <c r="R577" t="s">
        <v>2513</v>
      </c>
      <c r="S577" t="s">
        <v>5374</v>
      </c>
      <c r="T577" t="s">
        <v>1576</v>
      </c>
      <c r="U577" t="s">
        <v>6851</v>
      </c>
      <c r="V577" s="17">
        <v>45492</v>
      </c>
      <c r="W577" s="17">
        <v>45492</v>
      </c>
      <c r="X577" s="17">
        <v>45596</v>
      </c>
      <c r="Y577">
        <v>-566</v>
      </c>
      <c r="Z577">
        <v>4</v>
      </c>
      <c r="AA577">
        <v>3.4666666666666668</v>
      </c>
      <c r="AB577">
        <v>1557.6</v>
      </c>
      <c r="AC577" s="17"/>
      <c r="AD577">
        <v>46096</v>
      </c>
      <c r="AE577">
        <v>10774.77</v>
      </c>
      <c r="AF577">
        <v>86198.16</v>
      </c>
      <c r="AG577">
        <v>24864.853800000001</v>
      </c>
      <c r="AH577">
        <v>86198.16</v>
      </c>
      <c r="AI577">
        <v>0</v>
      </c>
      <c r="AJ577">
        <v>0</v>
      </c>
      <c r="AW577">
        <v>0</v>
      </c>
      <c r="BJ577">
        <v>0</v>
      </c>
      <c r="BW577">
        <v>86198.16</v>
      </c>
      <c r="CD577">
        <v>21549.54</v>
      </c>
      <c r="CE577">
        <v>21549.54</v>
      </c>
      <c r="CF577">
        <v>21549.54</v>
      </c>
      <c r="CG577">
        <v>21550</v>
      </c>
      <c r="CJ577">
        <v>0</v>
      </c>
      <c r="CW577">
        <v>0</v>
      </c>
      <c r="DJ577">
        <v>0</v>
      </c>
      <c r="DW577">
        <v>0</v>
      </c>
      <c r="EJ577">
        <v>0</v>
      </c>
    </row>
    <row r="578" spans="1:140" hidden="1" x14ac:dyDescent="0.35">
      <c r="A578" t="s">
        <v>3317</v>
      </c>
      <c r="B578" t="s">
        <v>249</v>
      </c>
      <c r="D578" t="s">
        <v>6854</v>
      </c>
      <c r="E578" t="s">
        <v>186</v>
      </c>
      <c r="F578" t="s">
        <v>4005</v>
      </c>
      <c r="G578" t="s">
        <v>4006</v>
      </c>
      <c r="H578" t="s">
        <v>6853</v>
      </c>
      <c r="I578" t="s">
        <v>5373</v>
      </c>
      <c r="J578" t="s">
        <v>3071</v>
      </c>
      <c r="K578" t="s">
        <v>3071</v>
      </c>
      <c r="L578" t="s">
        <v>98</v>
      </c>
      <c r="M578" t="s">
        <v>3087</v>
      </c>
      <c r="N578" t="s">
        <v>184</v>
      </c>
      <c r="O578" t="s">
        <v>3088</v>
      </c>
      <c r="P578">
        <v>0</v>
      </c>
      <c r="Q578" t="s">
        <v>3075</v>
      </c>
      <c r="R578" t="s">
        <v>2513</v>
      </c>
      <c r="S578" t="s">
        <v>5374</v>
      </c>
      <c r="T578" t="s">
        <v>1576</v>
      </c>
      <c r="U578" t="s">
        <v>6851</v>
      </c>
      <c r="V578" s="17">
        <v>45601</v>
      </c>
      <c r="W578" s="17">
        <v>45601</v>
      </c>
      <c r="X578" s="17">
        <v>45818</v>
      </c>
      <c r="Y578">
        <v>-344</v>
      </c>
      <c r="Z578">
        <v>4</v>
      </c>
      <c r="AA578">
        <v>7.2333333333333334</v>
      </c>
      <c r="AB578">
        <v>1550.2</v>
      </c>
      <c r="AC578" s="17"/>
      <c r="AD578">
        <v>46096</v>
      </c>
      <c r="AE578">
        <v>33175.68</v>
      </c>
      <c r="AF578">
        <v>132702.72</v>
      </c>
      <c r="AG578">
        <v>18345.998200000002</v>
      </c>
      <c r="AH578">
        <v>132702.72</v>
      </c>
      <c r="AI578">
        <v>0</v>
      </c>
      <c r="AJ578">
        <v>0</v>
      </c>
      <c r="AW578">
        <v>0</v>
      </c>
      <c r="BJ578">
        <v>0</v>
      </c>
      <c r="BW578">
        <v>66351.360000000001</v>
      </c>
      <c r="CH578">
        <v>33175.68</v>
      </c>
      <c r="CI578">
        <v>33175.68</v>
      </c>
      <c r="CJ578">
        <v>66351.360000000001</v>
      </c>
      <c r="CK578">
        <v>33175.68</v>
      </c>
      <c r="CL578">
        <v>33175.68</v>
      </c>
      <c r="CW578">
        <v>0</v>
      </c>
      <c r="DJ578">
        <v>0</v>
      </c>
      <c r="DW578">
        <v>0</v>
      </c>
      <c r="EJ578">
        <v>66351.360000000001</v>
      </c>
    </row>
    <row r="579" spans="1:140" hidden="1" x14ac:dyDescent="0.35">
      <c r="A579" t="s">
        <v>3317</v>
      </c>
      <c r="B579" t="s">
        <v>249</v>
      </c>
      <c r="D579" t="s">
        <v>6855</v>
      </c>
      <c r="E579" t="s">
        <v>186</v>
      </c>
      <c r="F579" t="s">
        <v>4005</v>
      </c>
      <c r="G579" t="s">
        <v>4006</v>
      </c>
      <c r="H579" t="s">
        <v>6853</v>
      </c>
      <c r="I579" t="s">
        <v>5373</v>
      </c>
      <c r="J579" t="s">
        <v>3071</v>
      </c>
      <c r="K579" t="s">
        <v>3071</v>
      </c>
      <c r="L579" t="s">
        <v>98</v>
      </c>
      <c r="M579" t="s">
        <v>3087</v>
      </c>
      <c r="N579" t="s">
        <v>184</v>
      </c>
      <c r="O579" t="s">
        <v>3088</v>
      </c>
      <c r="P579">
        <v>0</v>
      </c>
      <c r="Q579" t="s">
        <v>3075</v>
      </c>
      <c r="R579" t="s">
        <v>2513</v>
      </c>
      <c r="S579" t="s">
        <v>5374</v>
      </c>
      <c r="T579" t="s">
        <v>1576</v>
      </c>
      <c r="U579" t="s">
        <v>6851</v>
      </c>
      <c r="V579" s="17">
        <v>45812</v>
      </c>
      <c r="W579" s="17">
        <v>45819</v>
      </c>
      <c r="X579" s="17">
        <v>45869</v>
      </c>
      <c r="Y579">
        <v>-293</v>
      </c>
      <c r="Z579">
        <v>1.5</v>
      </c>
      <c r="AA579">
        <v>1.6666666666666667</v>
      </c>
      <c r="AB579">
        <v>1548.5</v>
      </c>
      <c r="AC579" s="17"/>
      <c r="AD579">
        <v>46096</v>
      </c>
      <c r="AE579">
        <v>35000</v>
      </c>
      <c r="AF579">
        <v>52500</v>
      </c>
      <c r="AG579">
        <v>31500</v>
      </c>
      <c r="AH579">
        <v>52500</v>
      </c>
      <c r="AI579">
        <v>0</v>
      </c>
      <c r="AJ579">
        <v>0</v>
      </c>
      <c r="AW579">
        <v>0</v>
      </c>
      <c r="BJ579">
        <v>0</v>
      </c>
      <c r="BW579">
        <v>0</v>
      </c>
      <c r="CJ579">
        <v>52500</v>
      </c>
      <c r="CP579">
        <v>17500</v>
      </c>
      <c r="CQ579">
        <v>35000</v>
      </c>
      <c r="CW579">
        <v>0</v>
      </c>
      <c r="DJ579">
        <v>0</v>
      </c>
      <c r="DW579">
        <v>0</v>
      </c>
      <c r="EJ579">
        <v>52500</v>
      </c>
    </row>
    <row r="580" spans="1:140" hidden="1" x14ac:dyDescent="0.35">
      <c r="A580" t="s">
        <v>3317</v>
      </c>
      <c r="B580" t="s">
        <v>249</v>
      </c>
      <c r="D580" t="s">
        <v>6856</v>
      </c>
      <c r="E580" t="s">
        <v>186</v>
      </c>
      <c r="F580" t="s">
        <v>4005</v>
      </c>
      <c r="G580" t="s">
        <v>4006</v>
      </c>
      <c r="H580" t="s">
        <v>6853</v>
      </c>
      <c r="I580" t="s">
        <v>5373</v>
      </c>
      <c r="J580" t="s">
        <v>3071</v>
      </c>
      <c r="K580" t="s">
        <v>3071</v>
      </c>
      <c r="L580" t="s">
        <v>98</v>
      </c>
      <c r="M580" t="s">
        <v>3087</v>
      </c>
      <c r="N580" t="s">
        <v>184</v>
      </c>
      <c r="O580" t="s">
        <v>3088</v>
      </c>
      <c r="P580" t="s">
        <v>3088</v>
      </c>
      <c r="Q580" t="s">
        <v>3075</v>
      </c>
      <c r="R580" t="s">
        <v>2513</v>
      </c>
      <c r="S580" t="s">
        <v>5374</v>
      </c>
      <c r="T580" t="s">
        <v>1576</v>
      </c>
      <c r="U580" t="s">
        <v>6851</v>
      </c>
      <c r="V580" s="17">
        <v>45814</v>
      </c>
      <c r="W580" s="17">
        <v>45870</v>
      </c>
      <c r="X580" s="17">
        <v>46021</v>
      </c>
      <c r="Y580">
        <v>-141</v>
      </c>
      <c r="Z580">
        <v>5</v>
      </c>
      <c r="AA580">
        <v>5.0333333333333332</v>
      </c>
      <c r="AB580">
        <v>1543.4333333333334</v>
      </c>
      <c r="AC580" s="17"/>
      <c r="AD580">
        <v>46096</v>
      </c>
      <c r="AE580">
        <v>35000</v>
      </c>
      <c r="AF580">
        <v>175000</v>
      </c>
      <c r="AG580">
        <v>34768.211900000002</v>
      </c>
      <c r="AH580">
        <v>175000</v>
      </c>
      <c r="AI580">
        <v>0</v>
      </c>
      <c r="AJ580">
        <v>0</v>
      </c>
      <c r="AW580">
        <v>0</v>
      </c>
      <c r="BJ580">
        <v>0</v>
      </c>
      <c r="BW580">
        <v>0</v>
      </c>
      <c r="CJ580">
        <v>175000</v>
      </c>
      <c r="CR580">
        <v>35000</v>
      </c>
      <c r="CS580">
        <v>35000</v>
      </c>
      <c r="CT580">
        <v>35000</v>
      </c>
      <c r="CU580">
        <v>35000</v>
      </c>
      <c r="CV580">
        <v>35000</v>
      </c>
      <c r="CW580">
        <v>0</v>
      </c>
      <c r="DJ580">
        <v>0</v>
      </c>
      <c r="DW580">
        <v>0</v>
      </c>
      <c r="EJ580">
        <v>175000</v>
      </c>
    </row>
    <row r="581" spans="1:140" hidden="1" x14ac:dyDescent="0.35">
      <c r="A581" t="s">
        <v>3317</v>
      </c>
      <c r="B581" t="s">
        <v>249</v>
      </c>
      <c r="D581" t="s">
        <v>6857</v>
      </c>
      <c r="E581" t="s">
        <v>186</v>
      </c>
      <c r="F581" t="s">
        <v>4005</v>
      </c>
      <c r="G581" t="s">
        <v>4006</v>
      </c>
      <c r="H581" t="s">
        <v>6853</v>
      </c>
      <c r="I581" t="s">
        <v>5373</v>
      </c>
      <c r="J581" t="s">
        <v>3071</v>
      </c>
      <c r="K581" t="s">
        <v>3071</v>
      </c>
      <c r="L581" t="s">
        <v>98</v>
      </c>
      <c r="M581" t="s">
        <v>3087</v>
      </c>
      <c r="N581" t="s">
        <v>184</v>
      </c>
      <c r="O581" t="s">
        <v>3088</v>
      </c>
      <c r="P581" t="s">
        <v>3088</v>
      </c>
      <c r="Q581" t="s">
        <v>3075</v>
      </c>
      <c r="R581" t="s">
        <v>2513</v>
      </c>
      <c r="S581" t="s">
        <v>5374</v>
      </c>
      <c r="T581" t="s">
        <v>1576</v>
      </c>
      <c r="U581" t="s">
        <v>6851</v>
      </c>
      <c r="V581" s="17">
        <v>45992</v>
      </c>
      <c r="W581" s="17">
        <v>46023</v>
      </c>
      <c r="X581" s="17">
        <v>46066</v>
      </c>
      <c r="Y581">
        <v>-96</v>
      </c>
      <c r="Z581">
        <v>1.5</v>
      </c>
      <c r="AA581">
        <v>1.4333333333333333</v>
      </c>
      <c r="AB581">
        <v>1541.9333333333334</v>
      </c>
      <c r="AC581" s="17"/>
      <c r="AD581">
        <v>46096</v>
      </c>
      <c r="AE581">
        <v>35000</v>
      </c>
      <c r="AF581">
        <v>52500</v>
      </c>
      <c r="AG581">
        <v>36627.906999999999</v>
      </c>
      <c r="AH581">
        <v>52500</v>
      </c>
      <c r="AI581">
        <v>0</v>
      </c>
      <c r="AJ581">
        <v>0</v>
      </c>
      <c r="AW581">
        <v>0</v>
      </c>
      <c r="BJ581">
        <v>0</v>
      </c>
      <c r="BW581">
        <v>0</v>
      </c>
      <c r="CJ581">
        <v>0</v>
      </c>
      <c r="CW581">
        <v>52500</v>
      </c>
      <c r="CX581">
        <v>35000</v>
      </c>
      <c r="CY581">
        <v>17500</v>
      </c>
      <c r="DJ581">
        <v>0</v>
      </c>
      <c r="DW581">
        <v>0</v>
      </c>
      <c r="EJ581">
        <v>52500</v>
      </c>
    </row>
    <row r="582" spans="1:140" hidden="1" x14ac:dyDescent="0.35">
      <c r="A582" t="s">
        <v>3317</v>
      </c>
      <c r="B582" t="s">
        <v>249</v>
      </c>
      <c r="D582" t="s">
        <v>6858</v>
      </c>
      <c r="E582" t="s">
        <v>4975</v>
      </c>
      <c r="F582" t="s">
        <v>4976</v>
      </c>
      <c r="G582" t="s">
        <v>4977</v>
      </c>
      <c r="H582" t="s">
        <v>6859</v>
      </c>
      <c r="I582" t="s">
        <v>5368</v>
      </c>
      <c r="J582" t="s">
        <v>3203</v>
      </c>
      <c r="K582" t="s">
        <v>3203</v>
      </c>
      <c r="L582" t="s">
        <v>132</v>
      </c>
      <c r="M582" t="s">
        <v>3997</v>
      </c>
      <c r="N582" t="s">
        <v>132</v>
      </c>
      <c r="O582" t="s">
        <v>3070</v>
      </c>
      <c r="P582" t="s">
        <v>3879</v>
      </c>
      <c r="Q582" t="s">
        <v>3852</v>
      </c>
      <c r="R582" t="s">
        <v>4394</v>
      </c>
      <c r="S582" t="s">
        <v>5374</v>
      </c>
      <c r="T582" t="s">
        <v>2363</v>
      </c>
      <c r="U582" t="s">
        <v>6860</v>
      </c>
      <c r="V582" s="17">
        <v>45887</v>
      </c>
      <c r="W582" s="17">
        <v>45887</v>
      </c>
      <c r="X582" s="17">
        <v>45979</v>
      </c>
      <c r="Y582">
        <v>-183</v>
      </c>
      <c r="Z582">
        <v>3</v>
      </c>
      <c r="AA582">
        <v>3.0666666666666669</v>
      </c>
      <c r="AB582">
        <v>1544.8333333333333</v>
      </c>
      <c r="AC582" s="17"/>
      <c r="AD582">
        <v>46087</v>
      </c>
      <c r="AE582">
        <v>59942.68</v>
      </c>
      <c r="AF582">
        <v>179828.04</v>
      </c>
      <c r="AG582">
        <v>58639.578300000001</v>
      </c>
      <c r="AH582">
        <v>179828.04</v>
      </c>
      <c r="AI582">
        <v>0</v>
      </c>
      <c r="AJ582">
        <v>0</v>
      </c>
      <c r="AW582">
        <v>0</v>
      </c>
      <c r="BJ582">
        <v>0</v>
      </c>
      <c r="BW582">
        <v>0</v>
      </c>
      <c r="CJ582">
        <v>179828.04</v>
      </c>
      <c r="CS582">
        <v>70646.73</v>
      </c>
      <c r="CT582">
        <v>89914.02</v>
      </c>
      <c r="CU582">
        <v>19267.29</v>
      </c>
      <c r="CW582">
        <v>0</v>
      </c>
      <c r="DJ582">
        <v>0</v>
      </c>
      <c r="DW582">
        <v>0</v>
      </c>
      <c r="EJ582">
        <v>179828.04</v>
      </c>
    </row>
    <row r="583" spans="1:140" hidden="1" x14ac:dyDescent="0.35">
      <c r="A583" t="s">
        <v>3317</v>
      </c>
      <c r="B583" t="s">
        <v>249</v>
      </c>
      <c r="D583" t="s">
        <v>6861</v>
      </c>
      <c r="E583" t="s">
        <v>4970</v>
      </c>
      <c r="F583" t="s">
        <v>4971</v>
      </c>
      <c r="G583" t="s">
        <v>4972</v>
      </c>
      <c r="H583" t="s">
        <v>6862</v>
      </c>
      <c r="I583" t="s">
        <v>5368</v>
      </c>
      <c r="J583" t="s">
        <v>3203</v>
      </c>
      <c r="K583" t="s">
        <v>3203</v>
      </c>
      <c r="L583" t="s">
        <v>4403</v>
      </c>
      <c r="M583" t="s">
        <v>3153</v>
      </c>
      <c r="N583" t="s">
        <v>4404</v>
      </c>
      <c r="O583" t="s">
        <v>3249</v>
      </c>
      <c r="P583" t="s">
        <v>3249</v>
      </c>
      <c r="Q583" t="s">
        <v>3075</v>
      </c>
      <c r="R583" t="s">
        <v>4394</v>
      </c>
      <c r="S583" t="s">
        <v>5452</v>
      </c>
      <c r="T583" t="s">
        <v>1576</v>
      </c>
      <c r="U583" t="s">
        <v>6863</v>
      </c>
      <c r="V583" s="17">
        <v>45677</v>
      </c>
      <c r="W583" s="17">
        <v>45882</v>
      </c>
      <c r="X583" s="17">
        <v>46004</v>
      </c>
      <c r="Y583">
        <v>-158</v>
      </c>
      <c r="Z583">
        <v>4</v>
      </c>
      <c r="AA583">
        <v>4.0666666666666664</v>
      </c>
      <c r="AB583">
        <v>1544</v>
      </c>
      <c r="AC583" s="17"/>
      <c r="AD583">
        <v>46108</v>
      </c>
      <c r="AE583">
        <v>42874.5</v>
      </c>
      <c r="AF583">
        <v>171498</v>
      </c>
      <c r="AG583">
        <v>42171.639300000003</v>
      </c>
      <c r="AH583">
        <v>171498</v>
      </c>
      <c r="AI583">
        <v>0</v>
      </c>
      <c r="AJ583">
        <v>0</v>
      </c>
      <c r="AW583">
        <v>0</v>
      </c>
      <c r="BJ583">
        <v>0</v>
      </c>
      <c r="BW583">
        <v>0</v>
      </c>
      <c r="CJ583">
        <v>171498</v>
      </c>
      <c r="CL583">
        <v>40656</v>
      </c>
      <c r="CM583">
        <v>49530</v>
      </c>
      <c r="CN583">
        <v>40656</v>
      </c>
      <c r="CO583">
        <v>40656</v>
      </c>
      <c r="CW583">
        <v>0</v>
      </c>
      <c r="DJ583">
        <v>0</v>
      </c>
      <c r="DW583">
        <v>0</v>
      </c>
      <c r="EJ583">
        <v>171498</v>
      </c>
    </row>
    <row r="584" spans="1:140" hidden="1" x14ac:dyDescent="0.35">
      <c r="A584" t="s">
        <v>3317</v>
      </c>
      <c r="B584" t="s">
        <v>249</v>
      </c>
      <c r="D584" t="s">
        <v>6864</v>
      </c>
      <c r="E584" t="s">
        <v>4970</v>
      </c>
      <c r="F584" t="s">
        <v>4971</v>
      </c>
      <c r="G584" t="s">
        <v>4972</v>
      </c>
      <c r="H584" t="s">
        <v>6865</v>
      </c>
      <c r="I584" t="s">
        <v>5373</v>
      </c>
      <c r="J584" t="s">
        <v>3203</v>
      </c>
      <c r="K584" t="s">
        <v>3203</v>
      </c>
      <c r="L584" t="s">
        <v>4403</v>
      </c>
      <c r="M584" t="s">
        <v>3153</v>
      </c>
      <c r="N584" t="s">
        <v>4404</v>
      </c>
      <c r="O584" t="s">
        <v>3249</v>
      </c>
      <c r="P584" t="s">
        <v>3249</v>
      </c>
      <c r="Q584" t="s">
        <v>3075</v>
      </c>
      <c r="R584" t="s">
        <v>4394</v>
      </c>
      <c r="S584" t="s">
        <v>5374</v>
      </c>
      <c r="T584" t="s">
        <v>1576</v>
      </c>
      <c r="U584" t="s">
        <v>6866</v>
      </c>
      <c r="V584" s="17">
        <v>45861</v>
      </c>
      <c r="W584" s="17">
        <v>45974</v>
      </c>
      <c r="X584" s="17">
        <v>46004</v>
      </c>
      <c r="Y584">
        <v>-158</v>
      </c>
      <c r="Z584">
        <v>1</v>
      </c>
      <c r="AA584">
        <v>1</v>
      </c>
      <c r="AB584">
        <v>1544</v>
      </c>
      <c r="AC584" s="17"/>
      <c r="AD584">
        <v>46108</v>
      </c>
      <c r="AE584">
        <v>87380</v>
      </c>
      <c r="AF584">
        <v>87380</v>
      </c>
      <c r="AG584">
        <v>87380</v>
      </c>
      <c r="AH584">
        <v>87380</v>
      </c>
      <c r="AI584">
        <v>0</v>
      </c>
      <c r="AJ584">
        <v>0</v>
      </c>
      <c r="AW584">
        <v>0</v>
      </c>
      <c r="BJ584">
        <v>0</v>
      </c>
      <c r="BW584">
        <v>0</v>
      </c>
      <c r="CJ584">
        <v>87380</v>
      </c>
      <c r="CU584">
        <v>43690</v>
      </c>
      <c r="CV584">
        <v>43690</v>
      </c>
      <c r="CW584">
        <v>0</v>
      </c>
      <c r="DJ584">
        <v>0</v>
      </c>
      <c r="DW584">
        <v>0</v>
      </c>
      <c r="EJ584">
        <v>87380</v>
      </c>
    </row>
    <row r="585" spans="1:140" hidden="1" x14ac:dyDescent="0.35">
      <c r="A585" t="s">
        <v>3317</v>
      </c>
      <c r="B585" t="s">
        <v>249</v>
      </c>
      <c r="D585" t="s">
        <v>6867</v>
      </c>
      <c r="E585" t="s">
        <v>4980</v>
      </c>
      <c r="F585" t="s">
        <v>4981</v>
      </c>
      <c r="G585" t="s">
        <v>4982</v>
      </c>
      <c r="H585" t="s">
        <v>6868</v>
      </c>
      <c r="I585" t="s">
        <v>5368</v>
      </c>
      <c r="J585" t="s">
        <v>3203</v>
      </c>
      <c r="K585" t="s">
        <v>3203</v>
      </c>
      <c r="L585" t="s">
        <v>132</v>
      </c>
      <c r="M585" t="s">
        <v>3997</v>
      </c>
      <c r="N585" t="s">
        <v>132</v>
      </c>
      <c r="O585" t="s">
        <v>3070</v>
      </c>
      <c r="P585" t="s">
        <v>3879</v>
      </c>
      <c r="Q585" t="s">
        <v>3852</v>
      </c>
      <c r="R585" t="s">
        <v>4394</v>
      </c>
      <c r="S585" t="s">
        <v>5374</v>
      </c>
      <c r="T585" t="s">
        <v>2363</v>
      </c>
      <c r="U585" t="s">
        <v>6869</v>
      </c>
      <c r="V585" s="17">
        <v>45887</v>
      </c>
      <c r="W585" s="17">
        <v>45887</v>
      </c>
      <c r="X585" s="17">
        <v>46068</v>
      </c>
      <c r="Y585">
        <v>-94</v>
      </c>
      <c r="Z585">
        <v>3</v>
      </c>
      <c r="AA585">
        <v>6.0333333333333332</v>
      </c>
      <c r="AB585">
        <v>1541.8666666666666</v>
      </c>
      <c r="AC585" s="17"/>
      <c r="AD585">
        <v>46031</v>
      </c>
      <c r="AE585">
        <v>61670.559999999998</v>
      </c>
      <c r="AF585">
        <v>185011.68</v>
      </c>
      <c r="AG585">
        <v>30664.919300000001</v>
      </c>
      <c r="AH585">
        <v>185011.68</v>
      </c>
      <c r="AI585">
        <v>0</v>
      </c>
      <c r="AJ585">
        <v>0</v>
      </c>
      <c r="AW585">
        <v>0</v>
      </c>
      <c r="BJ585">
        <v>0</v>
      </c>
      <c r="BW585">
        <v>0</v>
      </c>
      <c r="CJ585">
        <v>185011.68</v>
      </c>
      <c r="CS585">
        <v>73770.48</v>
      </c>
      <c r="CT585">
        <v>92505.84</v>
      </c>
      <c r="CU585">
        <v>18735.36</v>
      </c>
      <c r="CW585">
        <v>0</v>
      </c>
      <c r="DJ585">
        <v>0</v>
      </c>
      <c r="DW585">
        <v>0</v>
      </c>
      <c r="EJ585">
        <v>185011.68</v>
      </c>
    </row>
    <row r="586" spans="1:140" hidden="1" x14ac:dyDescent="0.35">
      <c r="A586" t="s">
        <v>3317</v>
      </c>
      <c r="B586" t="s">
        <v>249</v>
      </c>
      <c r="D586" t="s">
        <v>6870</v>
      </c>
      <c r="E586" t="s">
        <v>484</v>
      </c>
      <c r="F586" t="s">
        <v>4985</v>
      </c>
      <c r="G586" t="s">
        <v>4986</v>
      </c>
      <c r="H586" t="s">
        <v>6871</v>
      </c>
      <c r="I586" t="s">
        <v>5368</v>
      </c>
      <c r="J586" t="s">
        <v>3203</v>
      </c>
      <c r="K586" t="s">
        <v>3203</v>
      </c>
      <c r="L586" t="s">
        <v>132</v>
      </c>
      <c r="M586" t="s">
        <v>3997</v>
      </c>
      <c r="N586" t="s">
        <v>132</v>
      </c>
      <c r="O586" t="s">
        <v>3070</v>
      </c>
      <c r="P586" t="s">
        <v>3879</v>
      </c>
      <c r="Q586" t="s">
        <v>3852</v>
      </c>
      <c r="R586" t="s">
        <v>4394</v>
      </c>
      <c r="S586" t="s">
        <v>5452</v>
      </c>
      <c r="T586" t="s">
        <v>2363</v>
      </c>
      <c r="U586" t="s">
        <v>6872</v>
      </c>
      <c r="V586" s="17">
        <v>45891</v>
      </c>
      <c r="W586" s="17">
        <v>45891</v>
      </c>
      <c r="X586" s="17">
        <v>46103</v>
      </c>
      <c r="Y586">
        <v>-59</v>
      </c>
      <c r="Z586">
        <v>7</v>
      </c>
      <c r="AA586">
        <v>7.0666666666666664</v>
      </c>
      <c r="AB586">
        <v>1540.7</v>
      </c>
      <c r="AC586" s="17"/>
      <c r="AD586">
        <v>46013</v>
      </c>
      <c r="AE586">
        <v>227594.88860000001</v>
      </c>
      <c r="AF586">
        <v>1593164.22</v>
      </c>
      <c r="AG586">
        <v>225447.76699999999</v>
      </c>
      <c r="AH586">
        <v>1593164.22</v>
      </c>
      <c r="AI586">
        <v>0</v>
      </c>
      <c r="AJ586">
        <v>0</v>
      </c>
      <c r="AW586">
        <v>0</v>
      </c>
      <c r="BJ586">
        <v>0</v>
      </c>
      <c r="BW586">
        <v>0</v>
      </c>
      <c r="CJ586">
        <v>1186827.82</v>
      </c>
      <c r="CS586">
        <v>159316.42000000001</v>
      </c>
      <c r="CT586">
        <v>248470</v>
      </c>
      <c r="CU586">
        <v>389520.7</v>
      </c>
      <c r="CV586">
        <v>389520.7</v>
      </c>
      <c r="CW586">
        <v>406336</v>
      </c>
      <c r="CX586">
        <v>265285.7</v>
      </c>
      <c r="CY586">
        <v>141050.70000000001</v>
      </c>
      <c r="DJ586">
        <v>0</v>
      </c>
      <c r="DW586">
        <v>0</v>
      </c>
      <c r="EJ586">
        <v>1593163.82</v>
      </c>
    </row>
    <row r="587" spans="1:140" hidden="1" x14ac:dyDescent="0.35">
      <c r="A587" t="s">
        <v>3317</v>
      </c>
      <c r="B587" t="s">
        <v>249</v>
      </c>
      <c r="D587" t="s">
        <v>6873</v>
      </c>
      <c r="E587" t="s">
        <v>513</v>
      </c>
      <c r="F587" t="s">
        <v>4989</v>
      </c>
      <c r="G587" t="s">
        <v>4990</v>
      </c>
      <c r="H587" t="s">
        <v>6874</v>
      </c>
      <c r="I587" t="s">
        <v>5368</v>
      </c>
      <c r="J587" t="s">
        <v>3203</v>
      </c>
      <c r="K587" t="s">
        <v>3203</v>
      </c>
      <c r="L587" t="s">
        <v>132</v>
      </c>
      <c r="M587" t="s">
        <v>3997</v>
      </c>
      <c r="N587" t="s">
        <v>132</v>
      </c>
      <c r="O587" t="s">
        <v>3070</v>
      </c>
      <c r="P587" t="s">
        <v>3879</v>
      </c>
      <c r="Q587" t="s">
        <v>3852</v>
      </c>
      <c r="R587" t="s">
        <v>4394</v>
      </c>
      <c r="S587" t="s">
        <v>5374</v>
      </c>
      <c r="T587" t="s">
        <v>1576</v>
      </c>
      <c r="U587" t="s">
        <v>6875</v>
      </c>
      <c r="V587" s="17">
        <v>45905</v>
      </c>
      <c r="W587" s="17">
        <v>45905</v>
      </c>
      <c r="X587" s="17">
        <v>45996</v>
      </c>
      <c r="Y587">
        <v>-166</v>
      </c>
      <c r="Z587">
        <v>3</v>
      </c>
      <c r="AA587">
        <v>3.0333333333333332</v>
      </c>
      <c r="AB587">
        <v>1544.2666666666667</v>
      </c>
      <c r="AC587" s="17"/>
      <c r="AD587">
        <v>46083</v>
      </c>
      <c r="AE587">
        <v>82666.666700000002</v>
      </c>
      <c r="AF587">
        <v>248000</v>
      </c>
      <c r="AG587">
        <v>81758.241800000003</v>
      </c>
      <c r="AH587">
        <v>248000</v>
      </c>
      <c r="AI587">
        <v>0</v>
      </c>
      <c r="AJ587">
        <v>0</v>
      </c>
      <c r="AW587">
        <v>0</v>
      </c>
      <c r="BJ587">
        <v>0</v>
      </c>
      <c r="BW587">
        <v>0</v>
      </c>
      <c r="CJ587">
        <v>225806.49</v>
      </c>
      <c r="CT587">
        <v>32748.994999999999</v>
      </c>
      <c r="CU587">
        <v>101806.49</v>
      </c>
      <c r="CV587">
        <v>91251.005000000005</v>
      </c>
      <c r="CW587">
        <v>22194</v>
      </c>
      <c r="CX587">
        <v>22193.51</v>
      </c>
      <c r="DJ587">
        <v>0</v>
      </c>
      <c r="DW587">
        <v>0</v>
      </c>
      <c r="EJ587">
        <v>248000.49</v>
      </c>
    </row>
    <row r="588" spans="1:140" hidden="1" x14ac:dyDescent="0.35">
      <c r="A588" t="s">
        <v>3317</v>
      </c>
      <c r="B588" t="s">
        <v>249</v>
      </c>
      <c r="D588" t="s">
        <v>6876</v>
      </c>
      <c r="E588" t="s">
        <v>5159</v>
      </c>
      <c r="F588" t="s">
        <v>5160</v>
      </c>
      <c r="G588" t="s">
        <v>5161</v>
      </c>
      <c r="H588" t="s">
        <v>6877</v>
      </c>
      <c r="I588" t="s">
        <v>5368</v>
      </c>
      <c r="J588" t="s">
        <v>5102</v>
      </c>
      <c r="K588" t="s">
        <v>5102</v>
      </c>
      <c r="L588" t="s">
        <v>5101</v>
      </c>
      <c r="M588" t="s">
        <v>3153</v>
      </c>
      <c r="N588" t="s">
        <v>5101</v>
      </c>
      <c r="O588" t="s">
        <v>3153</v>
      </c>
      <c r="P588">
        <v>0</v>
      </c>
      <c r="Q588" t="s">
        <v>3075</v>
      </c>
      <c r="R588" t="s">
        <v>2403</v>
      </c>
      <c r="S588" t="s">
        <v>5374</v>
      </c>
      <c r="T588" t="s">
        <v>1576</v>
      </c>
      <c r="U588" t="s">
        <v>6878</v>
      </c>
      <c r="V588" s="17">
        <v>45504</v>
      </c>
      <c r="W588" s="17">
        <v>45566</v>
      </c>
      <c r="X588" s="17">
        <v>45930</v>
      </c>
      <c r="Y588">
        <v>-232</v>
      </c>
      <c r="Z588">
        <v>6</v>
      </c>
      <c r="AA588">
        <v>12.133333333333333</v>
      </c>
      <c r="AB588">
        <v>1546.4666666666667</v>
      </c>
      <c r="AC588" s="17"/>
      <c r="AD588">
        <v>46022</v>
      </c>
      <c r="AE588">
        <v>23750</v>
      </c>
      <c r="AF588">
        <v>142500</v>
      </c>
      <c r="AG588">
        <v>11744.505499999999</v>
      </c>
      <c r="AH588">
        <v>141750</v>
      </c>
      <c r="AI588">
        <v>-750</v>
      </c>
      <c r="AJ588">
        <v>0</v>
      </c>
      <c r="AW588">
        <v>0</v>
      </c>
      <c r="BJ588">
        <v>0</v>
      </c>
      <c r="BW588">
        <v>117125</v>
      </c>
      <c r="CE588">
        <v>16625</v>
      </c>
      <c r="CF588">
        <v>24625</v>
      </c>
      <c r="CG588">
        <v>25625</v>
      </c>
      <c r="CH588">
        <v>23625</v>
      </c>
      <c r="CI588">
        <v>26625</v>
      </c>
      <c r="CJ588">
        <v>24625</v>
      </c>
      <c r="CK588">
        <v>24625</v>
      </c>
      <c r="CW588">
        <v>0</v>
      </c>
      <c r="DJ588">
        <v>0</v>
      </c>
      <c r="DW588">
        <v>0</v>
      </c>
      <c r="EJ588">
        <v>24625</v>
      </c>
    </row>
    <row r="589" spans="1:140" hidden="1" x14ac:dyDescent="0.35">
      <c r="A589" t="s">
        <v>3317</v>
      </c>
      <c r="B589" t="s">
        <v>249</v>
      </c>
      <c r="D589" t="s">
        <v>6879</v>
      </c>
      <c r="E589" t="s">
        <v>5165</v>
      </c>
      <c r="F589" t="s">
        <v>5166</v>
      </c>
      <c r="G589" t="s">
        <v>5167</v>
      </c>
      <c r="H589" t="s">
        <v>6880</v>
      </c>
      <c r="I589" t="s">
        <v>5368</v>
      </c>
      <c r="J589" t="s">
        <v>5102</v>
      </c>
      <c r="K589" t="s">
        <v>5102</v>
      </c>
      <c r="L589" t="s">
        <v>5168</v>
      </c>
      <c r="M589" t="s">
        <v>5169</v>
      </c>
      <c r="N589" t="s">
        <v>5170</v>
      </c>
      <c r="O589" t="s">
        <v>5151</v>
      </c>
      <c r="P589" t="s">
        <v>3249</v>
      </c>
      <c r="Q589" t="s">
        <v>3075</v>
      </c>
      <c r="R589" t="s">
        <v>2403</v>
      </c>
      <c r="S589" t="s">
        <v>5452</v>
      </c>
      <c r="T589" t="s">
        <v>2363</v>
      </c>
      <c r="U589" t="s">
        <v>6881</v>
      </c>
      <c r="V589" s="17">
        <v>45713</v>
      </c>
      <c r="W589" s="17">
        <v>45797</v>
      </c>
      <c r="X589" s="17">
        <v>45889</v>
      </c>
      <c r="Y589">
        <v>-273</v>
      </c>
      <c r="Z589">
        <v>3</v>
      </c>
      <c r="AA589">
        <v>3.0666666666666669</v>
      </c>
      <c r="AB589">
        <v>1547.8333333333333</v>
      </c>
      <c r="AC589" s="17"/>
      <c r="AD589">
        <v>45991</v>
      </c>
      <c r="AE589">
        <v>43912.17</v>
      </c>
      <c r="AF589">
        <v>131736.51</v>
      </c>
      <c r="AG589">
        <v>42957.5576</v>
      </c>
      <c r="AH589">
        <v>131736.51</v>
      </c>
      <c r="AI589">
        <v>0</v>
      </c>
      <c r="AJ589">
        <v>0</v>
      </c>
      <c r="AW589">
        <v>0</v>
      </c>
      <c r="BJ589">
        <v>0</v>
      </c>
      <c r="BW589">
        <v>0</v>
      </c>
      <c r="CJ589">
        <v>131736.51</v>
      </c>
      <c r="CM589">
        <v>43912.17</v>
      </c>
      <c r="CN589">
        <v>43912.17</v>
      </c>
      <c r="CO589">
        <v>43912.17</v>
      </c>
      <c r="CW589">
        <v>0</v>
      </c>
      <c r="DJ589">
        <v>0</v>
      </c>
      <c r="DW589">
        <v>0</v>
      </c>
      <c r="EJ589">
        <v>131736.51</v>
      </c>
    </row>
    <row r="590" spans="1:140" hidden="1" x14ac:dyDescent="0.35">
      <c r="A590" t="s">
        <v>3317</v>
      </c>
      <c r="B590" t="s">
        <v>249</v>
      </c>
      <c r="D590" t="s">
        <v>6882</v>
      </c>
      <c r="E590" t="s">
        <v>283</v>
      </c>
      <c r="F590" t="s">
        <v>4019</v>
      </c>
      <c r="G590" t="s">
        <v>4020</v>
      </c>
      <c r="H590" t="s">
        <v>6883</v>
      </c>
      <c r="I590" t="s">
        <v>5368</v>
      </c>
      <c r="J590" t="s">
        <v>3079</v>
      </c>
      <c r="K590" t="s">
        <v>3079</v>
      </c>
      <c r="L590" t="s">
        <v>179</v>
      </c>
      <c r="M590" t="s">
        <v>3069</v>
      </c>
      <c r="N590" t="s">
        <v>132</v>
      </c>
      <c r="O590" t="s">
        <v>3107</v>
      </c>
      <c r="P590">
        <v>0</v>
      </c>
      <c r="Q590" t="s">
        <v>3075</v>
      </c>
      <c r="R590" t="s">
        <v>2464</v>
      </c>
      <c r="S590">
        <v>0</v>
      </c>
      <c r="T590">
        <v>0</v>
      </c>
      <c r="U590" t="s">
        <v>6884</v>
      </c>
      <c r="V590" s="17">
        <v>45254</v>
      </c>
      <c r="W590" s="17">
        <v>45293</v>
      </c>
      <c r="X590" s="17">
        <v>45444</v>
      </c>
      <c r="Y590">
        <v>-675</v>
      </c>
      <c r="Z590">
        <v>5</v>
      </c>
      <c r="AA590">
        <v>5.0333333333333332</v>
      </c>
      <c r="AB590">
        <v>1559.8</v>
      </c>
      <c r="AC590" s="17"/>
      <c r="AE590">
        <v>37218.800000000003</v>
      </c>
      <c r="AF590">
        <v>186094</v>
      </c>
      <c r="AG590">
        <v>37218.800000000003</v>
      </c>
      <c r="AH590">
        <v>185994</v>
      </c>
      <c r="AI590">
        <v>-100</v>
      </c>
      <c r="AJ590">
        <v>0</v>
      </c>
      <c r="AW590">
        <v>0</v>
      </c>
      <c r="BJ590">
        <v>0</v>
      </c>
      <c r="BW590">
        <v>185994</v>
      </c>
      <c r="BX590">
        <v>37198.800000000003</v>
      </c>
      <c r="BY590">
        <v>37198.800000000003</v>
      </c>
      <c r="BZ590">
        <v>37198.800000000003</v>
      </c>
      <c r="CA590">
        <v>37198.800000000003</v>
      </c>
      <c r="CB590">
        <v>37198.800000000003</v>
      </c>
      <c r="CJ590">
        <v>0</v>
      </c>
      <c r="CW590">
        <v>0</v>
      </c>
      <c r="DJ590">
        <v>0</v>
      </c>
      <c r="DW590">
        <v>0</v>
      </c>
      <c r="EJ590">
        <v>0</v>
      </c>
    </row>
    <row r="591" spans="1:140" hidden="1" x14ac:dyDescent="0.35">
      <c r="A591" t="s">
        <v>3317</v>
      </c>
      <c r="B591" t="s">
        <v>249</v>
      </c>
      <c r="D591" t="s">
        <v>6885</v>
      </c>
      <c r="E591" t="s">
        <v>283</v>
      </c>
      <c r="F591" t="s">
        <v>4019</v>
      </c>
      <c r="G591" t="s">
        <v>4020</v>
      </c>
      <c r="H591" t="s">
        <v>6886</v>
      </c>
      <c r="I591" t="s">
        <v>5373</v>
      </c>
      <c r="J591" t="s">
        <v>3079</v>
      </c>
      <c r="K591" t="s">
        <v>3079</v>
      </c>
      <c r="L591" t="s">
        <v>179</v>
      </c>
      <c r="M591" t="s">
        <v>3069</v>
      </c>
      <c r="N591" t="s">
        <v>132</v>
      </c>
      <c r="O591" t="s">
        <v>3107</v>
      </c>
      <c r="P591">
        <v>0</v>
      </c>
      <c r="Q591" t="s">
        <v>3075</v>
      </c>
      <c r="R591" t="s">
        <v>2464</v>
      </c>
      <c r="S591" t="s">
        <v>5374</v>
      </c>
      <c r="T591" t="s">
        <v>5485</v>
      </c>
      <c r="U591" t="s">
        <v>6884</v>
      </c>
      <c r="V591" s="17">
        <v>45436</v>
      </c>
      <c r="W591" s="17">
        <v>45444</v>
      </c>
      <c r="X591" s="17">
        <v>45566</v>
      </c>
      <c r="Y591">
        <v>-553</v>
      </c>
      <c r="Z591">
        <v>4</v>
      </c>
      <c r="AA591">
        <v>4.0666666666666664</v>
      </c>
      <c r="AB591">
        <v>1555.7333333333333</v>
      </c>
      <c r="AC591" s="17"/>
      <c r="AE591">
        <v>37218.800000000003</v>
      </c>
      <c r="AF591">
        <v>148875.20000000001</v>
      </c>
      <c r="AG591">
        <v>37218.800000000003</v>
      </c>
      <c r="AH591">
        <v>148795.20000000001</v>
      </c>
      <c r="AI591">
        <v>-80</v>
      </c>
      <c r="AJ591">
        <v>0</v>
      </c>
      <c r="AW591">
        <v>0</v>
      </c>
      <c r="BJ591">
        <v>0</v>
      </c>
      <c r="BW591">
        <v>148795.20000000001</v>
      </c>
      <c r="CC591">
        <v>37198.800000000003</v>
      </c>
      <c r="CD591">
        <v>37198.800000000003</v>
      </c>
      <c r="CE591">
        <v>37198.800000000003</v>
      </c>
      <c r="CF591">
        <v>37198.800000000003</v>
      </c>
      <c r="CJ591">
        <v>0</v>
      </c>
      <c r="CW591">
        <v>0</v>
      </c>
      <c r="DJ591">
        <v>0</v>
      </c>
      <c r="DW591">
        <v>0</v>
      </c>
      <c r="EJ591">
        <v>0</v>
      </c>
    </row>
    <row r="592" spans="1:140" hidden="1" x14ac:dyDescent="0.35">
      <c r="A592" t="s">
        <v>3317</v>
      </c>
      <c r="B592" t="s">
        <v>249</v>
      </c>
      <c r="D592" t="s">
        <v>6887</v>
      </c>
      <c r="E592" t="s">
        <v>283</v>
      </c>
      <c r="F592" t="s">
        <v>4019</v>
      </c>
      <c r="G592" t="s">
        <v>4020</v>
      </c>
      <c r="H592" t="s">
        <v>6886</v>
      </c>
      <c r="I592" t="s">
        <v>5373</v>
      </c>
      <c r="J592" t="s">
        <v>3079</v>
      </c>
      <c r="K592" t="s">
        <v>3079</v>
      </c>
      <c r="L592" t="s">
        <v>179</v>
      </c>
      <c r="M592" t="s">
        <v>3069</v>
      </c>
      <c r="N592" t="s">
        <v>132</v>
      </c>
      <c r="O592" t="s">
        <v>3107</v>
      </c>
      <c r="P592">
        <v>0</v>
      </c>
      <c r="Q592" t="s">
        <v>3075</v>
      </c>
      <c r="R592" t="s">
        <v>2464</v>
      </c>
      <c r="S592" t="s">
        <v>5374</v>
      </c>
      <c r="T592" t="s">
        <v>1576</v>
      </c>
      <c r="U592" t="s">
        <v>6888</v>
      </c>
      <c r="V592" s="17">
        <v>45562</v>
      </c>
      <c r="W592" s="17">
        <v>45567</v>
      </c>
      <c r="X592" s="17">
        <v>45658</v>
      </c>
      <c r="Y592">
        <v>-461</v>
      </c>
      <c r="Z592">
        <v>3</v>
      </c>
      <c r="AA592">
        <v>3.0333333333333332</v>
      </c>
      <c r="AB592">
        <v>1552.6666666666667</v>
      </c>
      <c r="AC592" s="17"/>
      <c r="AE592">
        <v>37198.800000000003</v>
      </c>
      <c r="AF592">
        <v>111596.4</v>
      </c>
      <c r="AG592">
        <v>37198.800000000003</v>
      </c>
      <c r="AH592">
        <v>111596.4</v>
      </c>
      <c r="AI592">
        <v>0</v>
      </c>
      <c r="AJ592">
        <v>0</v>
      </c>
      <c r="AW592">
        <v>0</v>
      </c>
      <c r="BJ592">
        <v>0</v>
      </c>
      <c r="BW592">
        <v>111596.4</v>
      </c>
      <c r="CG592">
        <v>37199</v>
      </c>
      <c r="CH592">
        <v>37198.800000000003</v>
      </c>
      <c r="CI592">
        <v>37198.800000000003</v>
      </c>
      <c r="CJ592">
        <v>0</v>
      </c>
      <c r="CW592">
        <v>0</v>
      </c>
      <c r="DJ592">
        <v>0</v>
      </c>
      <c r="DW592">
        <v>0</v>
      </c>
      <c r="EJ592">
        <v>0</v>
      </c>
    </row>
    <row r="593" spans="1:140" hidden="1" x14ac:dyDescent="0.35">
      <c r="A593" t="s">
        <v>3317</v>
      </c>
      <c r="B593" t="s">
        <v>249</v>
      </c>
      <c r="D593" t="s">
        <v>6889</v>
      </c>
      <c r="E593" t="s">
        <v>283</v>
      </c>
      <c r="F593" t="s">
        <v>4019</v>
      </c>
      <c r="G593" t="s">
        <v>4020</v>
      </c>
      <c r="H593" t="s">
        <v>6886</v>
      </c>
      <c r="I593" t="s">
        <v>5373</v>
      </c>
      <c r="J593" t="s">
        <v>3079</v>
      </c>
      <c r="K593" t="s">
        <v>3079</v>
      </c>
      <c r="L593" t="s">
        <v>179</v>
      </c>
      <c r="M593" t="s">
        <v>3069</v>
      </c>
      <c r="N593" t="s">
        <v>132</v>
      </c>
      <c r="O593" t="s">
        <v>3107</v>
      </c>
      <c r="P593">
        <v>0</v>
      </c>
      <c r="Q593" t="s">
        <v>3075</v>
      </c>
      <c r="R593" t="s">
        <v>2464</v>
      </c>
      <c r="S593" t="s">
        <v>5374</v>
      </c>
      <c r="T593" t="s">
        <v>1576</v>
      </c>
      <c r="U593" t="s">
        <v>6888</v>
      </c>
      <c r="V593" s="17">
        <v>45644</v>
      </c>
      <c r="W593" s="17">
        <v>45659</v>
      </c>
      <c r="X593" s="17">
        <v>45688</v>
      </c>
      <c r="Y593">
        <v>-431</v>
      </c>
      <c r="Z593">
        <v>1</v>
      </c>
      <c r="AA593">
        <v>0.96666666666666667</v>
      </c>
      <c r="AB593">
        <v>1551.6666666666667</v>
      </c>
      <c r="AC593" s="17"/>
      <c r="AE593">
        <v>37198.800000000003</v>
      </c>
      <c r="AF593">
        <v>37198.800000000003</v>
      </c>
      <c r="AG593">
        <v>37198.800000000003</v>
      </c>
      <c r="AH593">
        <v>37198.800000000003</v>
      </c>
      <c r="AI593">
        <v>0</v>
      </c>
      <c r="AJ593">
        <v>0</v>
      </c>
      <c r="AW593">
        <v>0</v>
      </c>
      <c r="BJ593">
        <v>0</v>
      </c>
      <c r="BW593">
        <v>0</v>
      </c>
      <c r="CJ593">
        <v>37198.800000000003</v>
      </c>
      <c r="CK593">
        <v>37198.800000000003</v>
      </c>
      <c r="CW593">
        <v>0</v>
      </c>
      <c r="DJ593">
        <v>0</v>
      </c>
      <c r="DW593">
        <v>0</v>
      </c>
      <c r="EJ593">
        <v>37198.800000000003</v>
      </c>
    </row>
    <row r="594" spans="1:140" hidden="1" x14ac:dyDescent="0.35">
      <c r="A594" t="s">
        <v>3317</v>
      </c>
      <c r="B594" t="s">
        <v>249</v>
      </c>
      <c r="D594" t="s">
        <v>6890</v>
      </c>
      <c r="E594" t="s">
        <v>283</v>
      </c>
      <c r="F594" t="s">
        <v>4019</v>
      </c>
      <c r="G594" t="s">
        <v>4020</v>
      </c>
      <c r="H594" t="s">
        <v>6886</v>
      </c>
      <c r="I594" t="s">
        <v>5373</v>
      </c>
      <c r="J594" t="s">
        <v>3079</v>
      </c>
      <c r="K594" t="s">
        <v>3079</v>
      </c>
      <c r="L594" t="s">
        <v>179</v>
      </c>
      <c r="M594" t="s">
        <v>3069</v>
      </c>
      <c r="N594" t="s">
        <v>132</v>
      </c>
      <c r="O594" t="s">
        <v>3107</v>
      </c>
      <c r="P594" t="s">
        <v>3879</v>
      </c>
      <c r="Q594" t="s">
        <v>3075</v>
      </c>
      <c r="R594" t="s">
        <v>2464</v>
      </c>
      <c r="S594" t="s">
        <v>5374</v>
      </c>
      <c r="T594" t="s">
        <v>1576</v>
      </c>
      <c r="U594" t="s">
        <v>6888</v>
      </c>
      <c r="V594" s="17">
        <v>45672</v>
      </c>
      <c r="W594" s="17">
        <v>45688</v>
      </c>
      <c r="X594" s="17">
        <v>45716</v>
      </c>
      <c r="Y594">
        <v>-403</v>
      </c>
      <c r="Z594">
        <v>1</v>
      </c>
      <c r="AA594">
        <v>0.93333333333333335</v>
      </c>
      <c r="AB594">
        <v>1550.7333333333333</v>
      </c>
      <c r="AC594" s="17"/>
      <c r="AE594">
        <v>37198.800000000003</v>
      </c>
      <c r="AF594">
        <v>37198.800000000003</v>
      </c>
      <c r="AG594">
        <v>37198.800000000003</v>
      </c>
      <c r="AH594">
        <v>37198.800000000003</v>
      </c>
      <c r="AI594">
        <v>0</v>
      </c>
      <c r="AJ594">
        <v>0</v>
      </c>
      <c r="AW594">
        <v>0</v>
      </c>
      <c r="BJ594">
        <v>0</v>
      </c>
      <c r="BW594">
        <v>0</v>
      </c>
      <c r="CJ594">
        <v>37198.800000000003</v>
      </c>
      <c r="CL594">
        <v>37198.800000000003</v>
      </c>
      <c r="CW594">
        <v>0</v>
      </c>
      <c r="DJ594">
        <v>0</v>
      </c>
      <c r="DW594">
        <v>0</v>
      </c>
      <c r="EJ594">
        <v>37198.800000000003</v>
      </c>
    </row>
    <row r="595" spans="1:140" hidden="1" x14ac:dyDescent="0.35">
      <c r="A595" t="s">
        <v>3317</v>
      </c>
      <c r="B595" t="s">
        <v>249</v>
      </c>
      <c r="D595" t="s">
        <v>6891</v>
      </c>
      <c r="E595" t="s">
        <v>283</v>
      </c>
      <c r="F595" t="s">
        <v>4019</v>
      </c>
      <c r="G595" t="s">
        <v>4020</v>
      </c>
      <c r="H595" t="s">
        <v>6886</v>
      </c>
      <c r="I595" t="s">
        <v>5373</v>
      </c>
      <c r="J595" t="s">
        <v>3079</v>
      </c>
      <c r="K595" t="s">
        <v>3079</v>
      </c>
      <c r="L595" t="s">
        <v>179</v>
      </c>
      <c r="M595" t="s">
        <v>3069</v>
      </c>
      <c r="N595" t="s">
        <v>132</v>
      </c>
      <c r="O595" t="s">
        <v>3107</v>
      </c>
      <c r="P595" t="s">
        <v>3879</v>
      </c>
      <c r="Q595" t="s">
        <v>3075</v>
      </c>
      <c r="R595" t="s">
        <v>2464</v>
      </c>
      <c r="S595" t="s">
        <v>5374</v>
      </c>
      <c r="T595" t="s">
        <v>1576</v>
      </c>
      <c r="U595" t="s">
        <v>6888</v>
      </c>
      <c r="V595" s="17">
        <v>45862</v>
      </c>
      <c r="W595" s="17">
        <v>45778</v>
      </c>
      <c r="X595" s="17">
        <v>45930</v>
      </c>
      <c r="Y595">
        <v>-189</v>
      </c>
      <c r="Z595">
        <v>5</v>
      </c>
      <c r="AA595">
        <v>5.0666666666666664</v>
      </c>
      <c r="AB595">
        <v>1543.6</v>
      </c>
      <c r="AC595" s="17"/>
      <c r="AE595">
        <v>37198.800000000003</v>
      </c>
      <c r="AF595">
        <v>185994</v>
      </c>
      <c r="AG595">
        <v>37198.800000000003</v>
      </c>
      <c r="AH595">
        <v>185994</v>
      </c>
      <c r="AI595">
        <v>0</v>
      </c>
      <c r="AJ595">
        <v>0</v>
      </c>
      <c r="AW595">
        <v>0</v>
      </c>
      <c r="BJ595">
        <v>0</v>
      </c>
      <c r="BW595">
        <v>0</v>
      </c>
      <c r="CJ595">
        <v>185994</v>
      </c>
      <c r="CO595">
        <v>37198.800000000003</v>
      </c>
      <c r="CP595">
        <v>37198.800000000003</v>
      </c>
      <c r="CQ595">
        <v>37198.800000000003</v>
      </c>
      <c r="CR595">
        <v>37198.800000000003</v>
      </c>
      <c r="CS595">
        <v>37198.800000000003</v>
      </c>
      <c r="CW595">
        <v>0</v>
      </c>
      <c r="DJ595">
        <v>0</v>
      </c>
      <c r="DW595">
        <v>0</v>
      </c>
      <c r="EJ595">
        <v>185994</v>
      </c>
    </row>
    <row r="596" spans="1:140" hidden="1" x14ac:dyDescent="0.35">
      <c r="A596" t="s">
        <v>3317</v>
      </c>
      <c r="B596" t="s">
        <v>249</v>
      </c>
      <c r="D596" t="s">
        <v>6892</v>
      </c>
      <c r="E596" t="s">
        <v>283</v>
      </c>
      <c r="F596" t="s">
        <v>4019</v>
      </c>
      <c r="G596" t="s">
        <v>4020</v>
      </c>
      <c r="H596" t="s">
        <v>6886</v>
      </c>
      <c r="I596" t="s">
        <v>5373</v>
      </c>
      <c r="J596" t="s">
        <v>3079</v>
      </c>
      <c r="K596" t="s">
        <v>3079</v>
      </c>
      <c r="L596" t="s">
        <v>179</v>
      </c>
      <c r="M596" t="s">
        <v>3069</v>
      </c>
      <c r="N596" t="s">
        <v>132</v>
      </c>
      <c r="O596" t="s">
        <v>3107</v>
      </c>
      <c r="P596" t="s">
        <v>3879</v>
      </c>
      <c r="Q596" t="s">
        <v>3075</v>
      </c>
      <c r="R596" t="s">
        <v>2464</v>
      </c>
      <c r="S596" t="s">
        <v>5374</v>
      </c>
      <c r="T596" t="s">
        <v>1576</v>
      </c>
      <c r="U596" t="s">
        <v>6888</v>
      </c>
      <c r="V596" s="17">
        <v>46039</v>
      </c>
      <c r="W596" s="17">
        <v>45930</v>
      </c>
      <c r="X596" s="17">
        <v>46142</v>
      </c>
      <c r="Y596">
        <v>23</v>
      </c>
      <c r="Z596">
        <v>4</v>
      </c>
      <c r="AA596">
        <v>7.0666666666666664</v>
      </c>
      <c r="AB596">
        <v>1536.5333333333333</v>
      </c>
      <c r="AC596" s="17"/>
      <c r="AE596">
        <v>0</v>
      </c>
      <c r="AF596">
        <v>148792</v>
      </c>
      <c r="AG596">
        <v>37198</v>
      </c>
      <c r="AH596">
        <v>148795.20000000001</v>
      </c>
      <c r="AI596">
        <v>3.2</v>
      </c>
      <c r="AJ596">
        <v>0</v>
      </c>
      <c r="AW596">
        <v>0</v>
      </c>
      <c r="BJ596">
        <v>0</v>
      </c>
      <c r="BW596">
        <v>0</v>
      </c>
      <c r="CJ596">
        <v>0</v>
      </c>
      <c r="CW596">
        <v>148795</v>
      </c>
      <c r="CX596">
        <v>37198.800000000003</v>
      </c>
      <c r="CY596">
        <v>37198.800000000003</v>
      </c>
      <c r="CZ596">
        <v>37198.800000000003</v>
      </c>
      <c r="DA596">
        <v>37198.800000000003</v>
      </c>
      <c r="DJ596">
        <v>0</v>
      </c>
      <c r="DW596">
        <v>0</v>
      </c>
      <c r="EJ596">
        <v>148795</v>
      </c>
    </row>
    <row r="597" spans="1:140" hidden="1" x14ac:dyDescent="0.35">
      <c r="A597" t="s">
        <v>3317</v>
      </c>
      <c r="B597" t="s">
        <v>249</v>
      </c>
      <c r="D597" t="s">
        <v>6893</v>
      </c>
      <c r="E597" t="s">
        <v>597</v>
      </c>
      <c r="F597" t="s">
        <v>4014</v>
      </c>
      <c r="G597" t="s">
        <v>4015</v>
      </c>
      <c r="H597" t="s">
        <v>6894</v>
      </c>
      <c r="I597" t="s">
        <v>5448</v>
      </c>
      <c r="J597" t="s">
        <v>3849</v>
      </c>
      <c r="K597" t="s">
        <v>3849</v>
      </c>
      <c r="L597" t="s">
        <v>89</v>
      </c>
      <c r="M597" t="s">
        <v>3088</v>
      </c>
      <c r="N597" t="s">
        <v>89</v>
      </c>
      <c r="O597" t="s">
        <v>3088</v>
      </c>
      <c r="P597" t="s">
        <v>3989</v>
      </c>
      <c r="Q597" t="s">
        <v>3852</v>
      </c>
      <c r="R597" t="s">
        <v>2464</v>
      </c>
      <c r="S597" t="s">
        <v>5374</v>
      </c>
      <c r="T597" t="s">
        <v>1576</v>
      </c>
      <c r="U597" t="s">
        <v>6895</v>
      </c>
      <c r="V597" s="17">
        <v>46001</v>
      </c>
      <c r="W597" s="17">
        <v>46001</v>
      </c>
      <c r="X597" s="17">
        <v>46091</v>
      </c>
      <c r="Y597">
        <v>-28</v>
      </c>
      <c r="Z597">
        <v>3</v>
      </c>
      <c r="AA597">
        <v>3</v>
      </c>
      <c r="AB597">
        <v>1538.2333333333333</v>
      </c>
      <c r="AC597" s="17"/>
      <c r="AE597">
        <v>0</v>
      </c>
      <c r="AF597">
        <v>976805.52</v>
      </c>
      <c r="AG597">
        <v>325601.84000000003</v>
      </c>
      <c r="AH597">
        <v>976805.52</v>
      </c>
      <c r="AI597">
        <v>0</v>
      </c>
      <c r="AJ597">
        <v>0</v>
      </c>
      <c r="AW597">
        <v>0</v>
      </c>
      <c r="BJ597">
        <v>0</v>
      </c>
      <c r="BW597">
        <v>0</v>
      </c>
      <c r="CJ597">
        <v>325601.84000000003</v>
      </c>
      <c r="CV597">
        <v>325601.84000000003</v>
      </c>
      <c r="CW597">
        <v>651204</v>
      </c>
      <c r="CX597">
        <v>325601.84000000003</v>
      </c>
      <c r="CY597">
        <v>325601.84000000003</v>
      </c>
      <c r="DJ597">
        <v>0</v>
      </c>
      <c r="DW597">
        <v>0</v>
      </c>
      <c r="EJ597">
        <v>976805.84000000008</v>
      </c>
    </row>
    <row r="598" spans="1:140" hidden="1" x14ac:dyDescent="0.35">
      <c r="A598" t="s">
        <v>3317</v>
      </c>
      <c r="B598" t="s">
        <v>249</v>
      </c>
      <c r="D598" t="s">
        <v>6896</v>
      </c>
      <c r="E598" t="s">
        <v>5209</v>
      </c>
      <c r="F598" t="s">
        <v>5210</v>
      </c>
      <c r="G598" t="s">
        <v>5209</v>
      </c>
      <c r="H598" t="s">
        <v>6897</v>
      </c>
      <c r="I598" t="s">
        <v>5368</v>
      </c>
      <c r="J598" t="s">
        <v>249</v>
      </c>
      <c r="K598" t="s">
        <v>5102</v>
      </c>
      <c r="M598" t="s">
        <v>249</v>
      </c>
      <c r="O598" t="s">
        <v>249</v>
      </c>
      <c r="P598" t="s">
        <v>3747</v>
      </c>
      <c r="V598" s="17"/>
      <c r="W598" s="17">
        <v>45898</v>
      </c>
      <c r="X598" s="17">
        <v>46110</v>
      </c>
      <c r="AC598" s="17"/>
      <c r="AE598">
        <v>17667.506000000001</v>
      </c>
      <c r="AF598">
        <v>123672.542</v>
      </c>
      <c r="AH598">
        <v>0</v>
      </c>
      <c r="AI598">
        <v>-123672.542</v>
      </c>
      <c r="AJ598">
        <v>0</v>
      </c>
      <c r="AW598">
        <v>0</v>
      </c>
      <c r="BJ598">
        <v>0</v>
      </c>
      <c r="BW598">
        <v>0</v>
      </c>
      <c r="CJ598">
        <v>0</v>
      </c>
      <c r="CW598">
        <v>0</v>
      </c>
      <c r="DJ598">
        <v>0</v>
      </c>
      <c r="DW598">
        <v>0</v>
      </c>
      <c r="EJ598">
        <v>0</v>
      </c>
    </row>
    <row r="599" spans="1:140" hidden="1" x14ac:dyDescent="0.35">
      <c r="A599" t="s">
        <v>3317</v>
      </c>
      <c r="B599" t="s">
        <v>249</v>
      </c>
      <c r="D599" t="s">
        <v>6898</v>
      </c>
      <c r="E599" t="s">
        <v>453</v>
      </c>
      <c r="F599" t="s">
        <v>4023</v>
      </c>
      <c r="G599" t="s">
        <v>4024</v>
      </c>
      <c r="H599" t="s">
        <v>6899</v>
      </c>
      <c r="I599" t="s">
        <v>5368</v>
      </c>
      <c r="J599" t="s">
        <v>3071</v>
      </c>
      <c r="K599" t="s">
        <v>3071</v>
      </c>
      <c r="L599" t="s">
        <v>452</v>
      </c>
      <c r="M599" t="s">
        <v>3069</v>
      </c>
      <c r="N599" t="s">
        <v>89</v>
      </c>
      <c r="O599" t="s">
        <v>249</v>
      </c>
      <c r="P599" t="s">
        <v>3747</v>
      </c>
      <c r="Q599" t="s">
        <v>3075</v>
      </c>
      <c r="R599" t="s">
        <v>2739</v>
      </c>
      <c r="S599" t="s">
        <v>5374</v>
      </c>
      <c r="T599" t="s">
        <v>1576</v>
      </c>
      <c r="U599" t="s">
        <v>6900</v>
      </c>
      <c r="V599" s="17">
        <v>45838</v>
      </c>
      <c r="W599" s="17">
        <v>45868</v>
      </c>
      <c r="X599" s="17">
        <v>46047</v>
      </c>
      <c r="Y599">
        <v>-82</v>
      </c>
      <c r="Z599">
        <v>6</v>
      </c>
      <c r="AA599">
        <v>5.9666666666666668</v>
      </c>
      <c r="AB599">
        <v>1540.3666666666666</v>
      </c>
      <c r="AC599" s="17"/>
      <c r="AE599">
        <v>28482.632799999999</v>
      </c>
      <c r="AF599">
        <v>512687.39</v>
      </c>
      <c r="AG599">
        <v>85447.898300000001</v>
      </c>
      <c r="AH599">
        <v>379262.17</v>
      </c>
      <c r="AI599">
        <v>-133425.22</v>
      </c>
      <c r="AJ599">
        <v>0</v>
      </c>
      <c r="AW599">
        <v>0</v>
      </c>
      <c r="BJ599">
        <v>0</v>
      </c>
      <c r="BW599">
        <v>0</v>
      </c>
      <c r="CJ599">
        <v>379262.17</v>
      </c>
      <c r="CQ599">
        <v>15662.74</v>
      </c>
      <c r="CR599">
        <v>83995.05</v>
      </c>
      <c r="CS599">
        <v>96554.67</v>
      </c>
      <c r="CT599">
        <v>99930.32</v>
      </c>
      <c r="CU599">
        <v>60432.800000000003</v>
      </c>
      <c r="CV599">
        <v>22686.59</v>
      </c>
      <c r="CW599">
        <v>0</v>
      </c>
      <c r="DJ599">
        <v>0</v>
      </c>
      <c r="DW599">
        <v>0</v>
      </c>
      <c r="EJ599">
        <v>379262.17</v>
      </c>
    </row>
    <row r="600" spans="1:140" hidden="1" x14ac:dyDescent="0.35">
      <c r="A600" t="s">
        <v>3317</v>
      </c>
      <c r="B600" t="s">
        <v>249</v>
      </c>
      <c r="D600" t="s">
        <v>6898</v>
      </c>
      <c r="E600" t="s">
        <v>453</v>
      </c>
      <c r="F600" t="s">
        <v>4023</v>
      </c>
      <c r="G600" t="s">
        <v>4353</v>
      </c>
      <c r="H600" t="s">
        <v>6899</v>
      </c>
      <c r="I600" t="s">
        <v>5368</v>
      </c>
      <c r="J600">
        <v>0</v>
      </c>
      <c r="K600" t="s">
        <v>4313</v>
      </c>
      <c r="L600" t="s">
        <v>452</v>
      </c>
      <c r="M600" t="s">
        <v>3069</v>
      </c>
      <c r="N600" t="s">
        <v>89</v>
      </c>
      <c r="O600" t="s">
        <v>249</v>
      </c>
      <c r="P600" t="s">
        <v>3747</v>
      </c>
      <c r="Q600" t="s">
        <v>3075</v>
      </c>
      <c r="R600" t="s">
        <v>2739</v>
      </c>
      <c r="S600" t="s">
        <v>5374</v>
      </c>
      <c r="T600" t="s">
        <v>1576</v>
      </c>
      <c r="U600" t="s">
        <v>6900</v>
      </c>
      <c r="V600" s="17">
        <v>45838</v>
      </c>
      <c r="W600" s="17">
        <v>45868</v>
      </c>
      <c r="X600" s="17">
        <v>46047</v>
      </c>
      <c r="Y600">
        <v>-82</v>
      </c>
      <c r="Z600">
        <v>6</v>
      </c>
      <c r="AA600">
        <v>5.9666666666666668</v>
      </c>
      <c r="AB600">
        <v>1540.3666666666666</v>
      </c>
      <c r="AC600" s="17"/>
      <c r="AE600">
        <v>28482.632799999999</v>
      </c>
      <c r="AF600">
        <v>512687.39</v>
      </c>
      <c r="AG600">
        <v>85447.898300000001</v>
      </c>
      <c r="AH600">
        <v>133425.22</v>
      </c>
      <c r="AI600">
        <v>-379262.17</v>
      </c>
      <c r="AJ600">
        <v>0</v>
      </c>
      <c r="AW600">
        <v>0</v>
      </c>
      <c r="BJ600">
        <v>0</v>
      </c>
      <c r="BW600">
        <v>0</v>
      </c>
      <c r="CJ600">
        <v>133425.22</v>
      </c>
      <c r="CQ600">
        <v>35119.24</v>
      </c>
      <c r="CR600">
        <v>57932.800000000003</v>
      </c>
      <c r="CS600">
        <v>40373.18</v>
      </c>
      <c r="CW600">
        <v>0</v>
      </c>
      <c r="DJ600">
        <v>0</v>
      </c>
      <c r="DW600">
        <v>0</v>
      </c>
      <c r="EJ600">
        <v>133425.22</v>
      </c>
    </row>
    <row r="601" spans="1:140" hidden="1" x14ac:dyDescent="0.35">
      <c r="A601" t="s">
        <v>3317</v>
      </c>
      <c r="B601" t="s">
        <v>249</v>
      </c>
      <c r="D601" t="s">
        <v>6901</v>
      </c>
      <c r="E601" t="s">
        <v>453</v>
      </c>
      <c r="F601" t="s">
        <v>4023</v>
      </c>
      <c r="G601" t="s">
        <v>4024</v>
      </c>
      <c r="H601" t="s">
        <v>6902</v>
      </c>
      <c r="I601" t="s">
        <v>5373</v>
      </c>
      <c r="J601" t="s">
        <v>3071</v>
      </c>
      <c r="K601" t="s">
        <v>3071</v>
      </c>
      <c r="L601" t="s">
        <v>452</v>
      </c>
      <c r="M601" t="s">
        <v>3069</v>
      </c>
      <c r="N601" t="s">
        <v>89</v>
      </c>
      <c r="O601" t="s">
        <v>249</v>
      </c>
      <c r="P601" t="s">
        <v>3747</v>
      </c>
      <c r="Q601" t="s">
        <v>3075</v>
      </c>
      <c r="R601" t="s">
        <v>2513</v>
      </c>
      <c r="S601" t="s">
        <v>5374</v>
      </c>
      <c r="T601" t="s">
        <v>2363</v>
      </c>
      <c r="U601" t="s">
        <v>6903</v>
      </c>
      <c r="V601" s="17">
        <v>45861</v>
      </c>
      <c r="W601" s="17">
        <v>45868</v>
      </c>
      <c r="X601" s="17">
        <v>45958</v>
      </c>
      <c r="Y601">
        <v>-171</v>
      </c>
      <c r="Z601">
        <v>3</v>
      </c>
      <c r="AA601">
        <v>3</v>
      </c>
      <c r="AB601">
        <v>1543.3333333333333</v>
      </c>
      <c r="AC601" s="17"/>
      <c r="AE601">
        <v>37149.116699999999</v>
      </c>
      <c r="AF601">
        <v>111447.35</v>
      </c>
      <c r="AG601">
        <v>37149.116699999999</v>
      </c>
      <c r="AH601">
        <v>111447.35</v>
      </c>
      <c r="AI601">
        <v>0</v>
      </c>
      <c r="AJ601">
        <v>0</v>
      </c>
      <c r="AW601">
        <v>0</v>
      </c>
      <c r="BJ601">
        <v>0</v>
      </c>
      <c r="BW601">
        <v>0</v>
      </c>
      <c r="CJ601">
        <v>111447.35</v>
      </c>
      <c r="CR601">
        <v>37982.449999999997</v>
      </c>
      <c r="CS601">
        <v>35482.449999999997</v>
      </c>
      <c r="CT601">
        <v>37982.449999999997</v>
      </c>
      <c r="CW601">
        <v>0</v>
      </c>
      <c r="DJ601">
        <v>0</v>
      </c>
      <c r="DW601">
        <v>0</v>
      </c>
      <c r="EJ601">
        <v>111447.35</v>
      </c>
    </row>
    <row r="602" spans="1:140" hidden="1" x14ac:dyDescent="0.35">
      <c r="A602" t="s">
        <v>3317</v>
      </c>
      <c r="B602" t="s">
        <v>249</v>
      </c>
      <c r="D602" t="s">
        <v>6904</v>
      </c>
      <c r="E602" t="s">
        <v>453</v>
      </c>
      <c r="F602" t="s">
        <v>4023</v>
      </c>
      <c r="G602" t="s">
        <v>4024</v>
      </c>
      <c r="H602" t="s">
        <v>6902</v>
      </c>
      <c r="I602" t="s">
        <v>5373</v>
      </c>
      <c r="J602" t="s">
        <v>3071</v>
      </c>
      <c r="K602" t="s">
        <v>3071</v>
      </c>
      <c r="L602" t="s">
        <v>452</v>
      </c>
      <c r="M602" t="s">
        <v>3069</v>
      </c>
      <c r="N602" t="s">
        <v>89</v>
      </c>
      <c r="O602" t="s">
        <v>249</v>
      </c>
      <c r="P602" t="s">
        <v>3747</v>
      </c>
      <c r="Q602" t="s">
        <v>3075</v>
      </c>
      <c r="R602" t="s">
        <v>2513</v>
      </c>
      <c r="S602" t="s">
        <v>5374</v>
      </c>
      <c r="T602" t="s">
        <v>1576</v>
      </c>
      <c r="U602" t="s">
        <v>6905</v>
      </c>
      <c r="V602" s="17">
        <v>45953</v>
      </c>
      <c r="W602" s="17">
        <v>45958</v>
      </c>
      <c r="X602" s="17">
        <v>46021</v>
      </c>
      <c r="Y602">
        <v>-108</v>
      </c>
      <c r="Z602">
        <v>2</v>
      </c>
      <c r="AA602">
        <v>2.1</v>
      </c>
      <c r="AB602">
        <v>1541.2333333333333</v>
      </c>
      <c r="AC602" s="17"/>
      <c r="AE602">
        <v>35482.449999999997</v>
      </c>
      <c r="AF602">
        <v>70964.899999999994</v>
      </c>
      <c r="AG602">
        <v>35482.449999999997</v>
      </c>
      <c r="AH602">
        <v>70964.899999999994</v>
      </c>
      <c r="AI602">
        <v>0</v>
      </c>
      <c r="AJ602">
        <v>0</v>
      </c>
      <c r="AW602">
        <v>0</v>
      </c>
      <c r="BJ602">
        <v>0</v>
      </c>
      <c r="BW602">
        <v>0</v>
      </c>
      <c r="CJ602">
        <v>70964.899999999994</v>
      </c>
      <c r="CU602">
        <v>35482.449999999997</v>
      </c>
      <c r="CV602">
        <v>35482.449999999997</v>
      </c>
      <c r="CW602">
        <v>0</v>
      </c>
      <c r="DJ602">
        <v>0</v>
      </c>
      <c r="DW602">
        <v>0</v>
      </c>
      <c r="EJ602">
        <v>70964.899999999994</v>
      </c>
    </row>
    <row r="603" spans="1:140" hidden="1" x14ac:dyDescent="0.35">
      <c r="A603" t="s">
        <v>3317</v>
      </c>
      <c r="B603" t="s">
        <v>249</v>
      </c>
      <c r="D603" t="s">
        <v>6906</v>
      </c>
      <c r="E603" t="s">
        <v>453</v>
      </c>
      <c r="F603" t="s">
        <v>4023</v>
      </c>
      <c r="G603" t="s">
        <v>4024</v>
      </c>
      <c r="H603" t="s">
        <v>6902</v>
      </c>
      <c r="I603" t="s">
        <v>5373</v>
      </c>
      <c r="J603" t="s">
        <v>3071</v>
      </c>
      <c r="K603" t="s">
        <v>3071</v>
      </c>
      <c r="L603" t="s">
        <v>452</v>
      </c>
      <c r="M603" t="s">
        <v>3069</v>
      </c>
      <c r="N603" t="s">
        <v>89</v>
      </c>
      <c r="O603" t="s">
        <v>249</v>
      </c>
      <c r="P603" t="s">
        <v>3747</v>
      </c>
      <c r="Q603" t="s">
        <v>3075</v>
      </c>
      <c r="R603" t="s">
        <v>2513</v>
      </c>
      <c r="S603" t="s">
        <v>5374</v>
      </c>
      <c r="T603" t="s">
        <v>1576</v>
      </c>
      <c r="U603" t="s">
        <v>6907</v>
      </c>
      <c r="V603" s="17">
        <v>45953</v>
      </c>
      <c r="W603" s="17">
        <v>45940</v>
      </c>
      <c r="X603" s="17">
        <v>46058</v>
      </c>
      <c r="Y603">
        <v>-71</v>
      </c>
      <c r="Z603">
        <v>4</v>
      </c>
      <c r="AA603">
        <v>3.9333333333333331</v>
      </c>
      <c r="AB603">
        <v>1540</v>
      </c>
      <c r="AC603" s="17"/>
      <c r="AE603">
        <v>39497.519999999997</v>
      </c>
      <c r="AF603">
        <v>157990.07999999999</v>
      </c>
      <c r="AG603">
        <v>39497.519999999997</v>
      </c>
      <c r="AH603">
        <v>157990.09</v>
      </c>
      <c r="AI603">
        <v>0.01</v>
      </c>
      <c r="AJ603">
        <v>0</v>
      </c>
      <c r="AW603">
        <v>0</v>
      </c>
      <c r="BJ603">
        <v>0</v>
      </c>
      <c r="BW603">
        <v>0</v>
      </c>
      <c r="CJ603">
        <v>140430.47</v>
      </c>
      <c r="CT603">
        <v>21937.9</v>
      </c>
      <c r="CU603">
        <v>61435.43</v>
      </c>
      <c r="CV603">
        <v>57057.14</v>
      </c>
      <c r="CW603">
        <v>17560</v>
      </c>
      <c r="CX603">
        <v>17559.62</v>
      </c>
      <c r="DJ603">
        <v>0</v>
      </c>
      <c r="DW603">
        <v>0</v>
      </c>
      <c r="EJ603">
        <v>157990.47</v>
      </c>
    </row>
    <row r="604" spans="1:140" hidden="1" x14ac:dyDescent="0.35">
      <c r="A604" t="s">
        <v>3317</v>
      </c>
      <c r="B604" t="s">
        <v>249</v>
      </c>
      <c r="D604" t="s">
        <v>6908</v>
      </c>
      <c r="E604" t="s">
        <v>453</v>
      </c>
      <c r="F604" t="s">
        <v>4023</v>
      </c>
      <c r="G604" t="s">
        <v>4024</v>
      </c>
      <c r="H604" t="s">
        <v>6902</v>
      </c>
      <c r="I604" t="s">
        <v>5373</v>
      </c>
      <c r="J604" t="s">
        <v>3071</v>
      </c>
      <c r="K604" t="s">
        <v>3071</v>
      </c>
      <c r="L604" t="s">
        <v>452</v>
      </c>
      <c r="M604" t="s">
        <v>3069</v>
      </c>
      <c r="N604" t="s">
        <v>89</v>
      </c>
      <c r="O604" t="s">
        <v>249</v>
      </c>
      <c r="P604" t="s">
        <v>3747</v>
      </c>
      <c r="Q604" t="s">
        <v>3075</v>
      </c>
      <c r="R604" t="s">
        <v>2513</v>
      </c>
      <c r="S604" t="s">
        <v>5374</v>
      </c>
      <c r="T604" t="s">
        <v>1576</v>
      </c>
      <c r="U604" t="s">
        <v>6905</v>
      </c>
      <c r="V604" s="17">
        <v>46007</v>
      </c>
      <c r="W604" s="17">
        <v>46021</v>
      </c>
      <c r="X604" s="17">
        <v>46081</v>
      </c>
      <c r="Y604">
        <v>-48</v>
      </c>
      <c r="Z604">
        <v>2</v>
      </c>
      <c r="AA604">
        <v>2</v>
      </c>
      <c r="AB604">
        <v>1539.2333333333333</v>
      </c>
      <c r="AC604" s="17"/>
      <c r="AE604">
        <v>35482.449999999997</v>
      </c>
      <c r="AF604">
        <v>70964.899999999994</v>
      </c>
      <c r="AG604">
        <v>35482.449999999997</v>
      </c>
      <c r="AH604">
        <v>70964.899999999994</v>
      </c>
      <c r="AI604">
        <v>0</v>
      </c>
      <c r="AJ604">
        <v>0</v>
      </c>
      <c r="AW604">
        <v>0</v>
      </c>
      <c r="BJ604">
        <v>0</v>
      </c>
      <c r="BW604">
        <v>0</v>
      </c>
      <c r="CJ604">
        <v>0</v>
      </c>
      <c r="CW604">
        <v>70965</v>
      </c>
      <c r="CX604">
        <v>35482.449999999997</v>
      </c>
      <c r="CY604">
        <v>35482.449999999997</v>
      </c>
      <c r="DJ604">
        <v>0</v>
      </c>
      <c r="DW604">
        <v>0</v>
      </c>
      <c r="EJ604">
        <v>70965</v>
      </c>
    </row>
    <row r="605" spans="1:140" hidden="1" x14ac:dyDescent="0.35">
      <c r="A605" t="s">
        <v>3317</v>
      </c>
      <c r="B605" t="s">
        <v>249</v>
      </c>
      <c r="D605" t="s">
        <v>6909</v>
      </c>
      <c r="E605" t="s">
        <v>453</v>
      </c>
      <c r="F605" t="s">
        <v>4023</v>
      </c>
      <c r="G605" t="s">
        <v>4024</v>
      </c>
      <c r="H605" t="s">
        <v>6902</v>
      </c>
      <c r="I605" t="s">
        <v>5373</v>
      </c>
      <c r="J605" t="s">
        <v>3071</v>
      </c>
      <c r="K605" t="s">
        <v>3071</v>
      </c>
      <c r="L605" t="s">
        <v>452</v>
      </c>
      <c r="M605" t="s">
        <v>3069</v>
      </c>
      <c r="N605" t="s">
        <v>89</v>
      </c>
      <c r="O605" t="s">
        <v>249</v>
      </c>
      <c r="P605" t="s">
        <v>3747</v>
      </c>
      <c r="Q605" t="s">
        <v>3075</v>
      </c>
      <c r="R605" t="s">
        <v>2513</v>
      </c>
      <c r="S605" t="s">
        <v>5374</v>
      </c>
      <c r="T605" t="s">
        <v>1576</v>
      </c>
      <c r="U605" t="s">
        <v>6907</v>
      </c>
      <c r="V605" s="17">
        <v>46007</v>
      </c>
      <c r="W605" s="17">
        <v>46047</v>
      </c>
      <c r="X605" s="17">
        <v>46121</v>
      </c>
      <c r="Y605">
        <v>-8</v>
      </c>
      <c r="Z605">
        <v>2.5</v>
      </c>
      <c r="AA605">
        <v>2.4666666666666668</v>
      </c>
      <c r="AB605">
        <v>1537.9</v>
      </c>
      <c r="AC605" s="17"/>
      <c r="AE605">
        <v>43875.806900000003</v>
      </c>
      <c r="AF605">
        <v>109689.5171</v>
      </c>
      <c r="AG605">
        <v>43875.806799999998</v>
      </c>
      <c r="AH605">
        <v>109689.52</v>
      </c>
      <c r="AI605">
        <v>2.8999999999999998E-3</v>
      </c>
      <c r="AJ605">
        <v>0</v>
      </c>
      <c r="AW605">
        <v>0</v>
      </c>
      <c r="BJ605">
        <v>0</v>
      </c>
      <c r="BW605">
        <v>0</v>
      </c>
      <c r="CJ605">
        <v>21937.9</v>
      </c>
      <c r="CV605">
        <v>21937.9</v>
      </c>
      <c r="CW605">
        <v>87752</v>
      </c>
      <c r="CX605">
        <v>43875.81</v>
      </c>
      <c r="CY605">
        <v>43875.81</v>
      </c>
      <c r="DJ605">
        <v>0</v>
      </c>
      <c r="DW605">
        <v>0</v>
      </c>
      <c r="EJ605">
        <v>109689.9</v>
      </c>
    </row>
    <row r="606" spans="1:140" hidden="1" x14ac:dyDescent="0.35">
      <c r="A606" t="s">
        <v>3317</v>
      </c>
      <c r="B606" t="s">
        <v>249</v>
      </c>
      <c r="D606" t="s">
        <v>6910</v>
      </c>
      <c r="E606" t="s">
        <v>453</v>
      </c>
      <c r="F606" t="s">
        <v>4023</v>
      </c>
      <c r="G606" t="s">
        <v>4024</v>
      </c>
      <c r="H606" t="s">
        <v>6902</v>
      </c>
      <c r="I606" t="s">
        <v>5373</v>
      </c>
      <c r="J606" t="s">
        <v>3071</v>
      </c>
      <c r="K606" t="s">
        <v>3071</v>
      </c>
      <c r="L606" t="s">
        <v>452</v>
      </c>
      <c r="M606" t="s">
        <v>3069</v>
      </c>
      <c r="N606" t="s">
        <v>89</v>
      </c>
      <c r="O606" t="s">
        <v>249</v>
      </c>
      <c r="P606" t="s">
        <v>3088</v>
      </c>
      <c r="Q606" t="s">
        <v>3075</v>
      </c>
      <c r="R606" t="s">
        <v>1580</v>
      </c>
      <c r="S606" t="s">
        <v>5374</v>
      </c>
      <c r="T606" t="s">
        <v>1576</v>
      </c>
      <c r="U606" t="s">
        <v>6911</v>
      </c>
      <c r="V606" s="17">
        <v>46073</v>
      </c>
      <c r="W606" s="17">
        <v>46121</v>
      </c>
      <c r="X606" s="17">
        <v>46243</v>
      </c>
      <c r="Y606">
        <v>114</v>
      </c>
      <c r="Z606">
        <v>4</v>
      </c>
      <c r="AA606">
        <v>4.0666666666666664</v>
      </c>
      <c r="AB606">
        <v>1533.8333333333333</v>
      </c>
      <c r="AC606" s="17"/>
      <c r="AE606">
        <v>43875.807500000003</v>
      </c>
      <c r="AF606">
        <v>175503.23</v>
      </c>
      <c r="AG606">
        <v>43875.807500000003</v>
      </c>
      <c r="AH606">
        <v>175503.24</v>
      </c>
      <c r="AI606">
        <v>0.01</v>
      </c>
      <c r="AJ606">
        <v>0</v>
      </c>
      <c r="AW606">
        <v>0</v>
      </c>
      <c r="BJ606">
        <v>0</v>
      </c>
      <c r="BW606">
        <v>0</v>
      </c>
      <c r="CJ606">
        <v>0</v>
      </c>
      <c r="CW606">
        <v>175503</v>
      </c>
      <c r="CZ606">
        <v>43875.81</v>
      </c>
      <c r="DA606">
        <v>43875.81</v>
      </c>
      <c r="DB606">
        <v>43875.81</v>
      </c>
      <c r="DC606">
        <v>43875.81</v>
      </c>
      <c r="DJ606">
        <v>0</v>
      </c>
      <c r="DW606">
        <v>0</v>
      </c>
      <c r="EJ606">
        <v>175503</v>
      </c>
    </row>
    <row r="607" spans="1:140" hidden="1" x14ac:dyDescent="0.35">
      <c r="A607" t="s">
        <v>3317</v>
      </c>
      <c r="B607" t="s">
        <v>249</v>
      </c>
      <c r="D607" t="s">
        <v>6912</v>
      </c>
      <c r="E607" t="s">
        <v>453</v>
      </c>
      <c r="F607" t="s">
        <v>4023</v>
      </c>
      <c r="G607" t="s">
        <v>4024</v>
      </c>
      <c r="H607" t="s">
        <v>6902</v>
      </c>
      <c r="I607" t="s">
        <v>5373</v>
      </c>
      <c r="J607" t="s">
        <v>3071</v>
      </c>
      <c r="K607" t="s">
        <v>3071</v>
      </c>
      <c r="L607" t="s">
        <v>452</v>
      </c>
      <c r="M607" t="s">
        <v>3069</v>
      </c>
      <c r="N607" t="s">
        <v>89</v>
      </c>
      <c r="O607" t="s">
        <v>249</v>
      </c>
      <c r="P607" t="s">
        <v>3088</v>
      </c>
      <c r="Q607" t="s">
        <v>3075</v>
      </c>
      <c r="R607" t="s">
        <v>1580</v>
      </c>
      <c r="S607" t="s">
        <v>5374</v>
      </c>
      <c r="T607" t="s">
        <v>1576</v>
      </c>
      <c r="U607" t="s">
        <v>6913</v>
      </c>
      <c r="V607" s="17">
        <v>46073</v>
      </c>
      <c r="W607" s="17">
        <v>46081</v>
      </c>
      <c r="X607" s="17">
        <v>46111</v>
      </c>
      <c r="Y607">
        <v>-18</v>
      </c>
      <c r="Z607">
        <v>1</v>
      </c>
      <c r="AA607">
        <v>1</v>
      </c>
      <c r="AB607">
        <v>1538.2333333333333</v>
      </c>
      <c r="AC607" s="17"/>
      <c r="AE607">
        <v>35482.449999999997</v>
      </c>
      <c r="AF607">
        <v>35482.449999999997</v>
      </c>
      <c r="AG607">
        <v>35482.449999999997</v>
      </c>
      <c r="AH607">
        <v>35482.449999999997</v>
      </c>
      <c r="AI607">
        <v>0</v>
      </c>
      <c r="AJ607">
        <v>0</v>
      </c>
      <c r="AW607">
        <v>0</v>
      </c>
      <c r="BJ607">
        <v>0</v>
      </c>
      <c r="BW607">
        <v>0</v>
      </c>
      <c r="CJ607">
        <v>0</v>
      </c>
      <c r="CW607">
        <v>35482</v>
      </c>
      <c r="CZ607">
        <v>35482.449999999997</v>
      </c>
      <c r="DJ607">
        <v>0</v>
      </c>
      <c r="DW607">
        <v>0</v>
      </c>
      <c r="EJ607">
        <v>35482</v>
      </c>
    </row>
    <row r="608" spans="1:140" hidden="1" x14ac:dyDescent="0.35">
      <c r="A608" t="s">
        <v>3317</v>
      </c>
      <c r="D608" t="s">
        <v>6914</v>
      </c>
      <c r="E608" t="s">
        <v>4027</v>
      </c>
      <c r="F608" t="s">
        <v>4028</v>
      </c>
      <c r="G608" t="s">
        <v>4029</v>
      </c>
      <c r="H608" t="s">
        <v>6915</v>
      </c>
      <c r="I608" t="s">
        <v>5368</v>
      </c>
      <c r="J608" t="s">
        <v>3696</v>
      </c>
      <c r="K608" t="s">
        <v>3696</v>
      </c>
      <c r="L608" t="s">
        <v>637</v>
      </c>
      <c r="M608" t="s">
        <v>4030</v>
      </c>
      <c r="N608" t="s">
        <v>637</v>
      </c>
      <c r="O608" t="s">
        <v>4031</v>
      </c>
      <c r="P608" t="s">
        <v>3747</v>
      </c>
      <c r="Q608" t="s">
        <v>3075</v>
      </c>
      <c r="R608" t="s">
        <v>2464</v>
      </c>
      <c r="S608" t="s">
        <v>5374</v>
      </c>
      <c r="T608" t="s">
        <v>1576</v>
      </c>
      <c r="U608" t="s">
        <v>6916</v>
      </c>
      <c r="V608" s="17">
        <v>45895</v>
      </c>
      <c r="W608" s="17">
        <v>45902</v>
      </c>
      <c r="X608" s="17">
        <v>46083</v>
      </c>
      <c r="Y608">
        <v>-66</v>
      </c>
      <c r="Z608">
        <v>6</v>
      </c>
      <c r="AA608">
        <v>6.0333333333333332</v>
      </c>
      <c r="AB608">
        <v>1540.5</v>
      </c>
      <c r="AC608" s="17"/>
      <c r="AE608">
        <v>34300</v>
      </c>
      <c r="AF608">
        <v>205800</v>
      </c>
      <c r="AG608">
        <v>34300</v>
      </c>
      <c r="AH608">
        <v>205800</v>
      </c>
      <c r="AI608">
        <v>0</v>
      </c>
      <c r="AJ608">
        <v>0</v>
      </c>
      <c r="AK608">
        <v>0</v>
      </c>
      <c r="AL608">
        <v>0</v>
      </c>
      <c r="AM608">
        <v>0</v>
      </c>
      <c r="AN608">
        <v>137200</v>
      </c>
      <c r="AW608">
        <v>34300</v>
      </c>
      <c r="AX608">
        <v>34300</v>
      </c>
      <c r="AY608">
        <v>34300</v>
      </c>
      <c r="AZ608">
        <v>34300</v>
      </c>
      <c r="BA608">
        <v>68600</v>
      </c>
      <c r="BB608">
        <v>34300</v>
      </c>
      <c r="BC608">
        <v>34300</v>
      </c>
      <c r="BN608">
        <v>0</v>
      </c>
      <c r="CA608">
        <v>0</v>
      </c>
      <c r="CW608">
        <v>0</v>
      </c>
      <c r="DJ608">
        <v>0</v>
      </c>
      <c r="DW608">
        <v>0</v>
      </c>
      <c r="EJ608">
        <v>0</v>
      </c>
    </row>
    <row r="609" spans="1:140" hidden="1" x14ac:dyDescent="0.35">
      <c r="A609" t="s">
        <v>3317</v>
      </c>
      <c r="D609" t="s">
        <v>6917</v>
      </c>
      <c r="E609" t="s">
        <v>4221</v>
      </c>
      <c r="F609" t="s">
        <v>4222</v>
      </c>
      <c r="G609" t="s">
        <v>6918</v>
      </c>
      <c r="H609" t="s">
        <v>6919</v>
      </c>
      <c r="I609" t="s">
        <v>5368</v>
      </c>
      <c r="J609" t="s">
        <v>3108</v>
      </c>
      <c r="K609" t="s">
        <v>3079</v>
      </c>
      <c r="L609" t="s">
        <v>153</v>
      </c>
      <c r="M609" t="s">
        <v>3917</v>
      </c>
      <c r="N609" t="s">
        <v>153</v>
      </c>
      <c r="O609" t="s">
        <v>3918</v>
      </c>
      <c r="P609" t="s">
        <v>3856</v>
      </c>
      <c r="Q609" t="s">
        <v>3075</v>
      </c>
      <c r="R609" t="s">
        <v>2464</v>
      </c>
      <c r="S609" t="s">
        <v>5374</v>
      </c>
      <c r="T609" t="s">
        <v>2363</v>
      </c>
      <c r="U609" t="s">
        <v>6920</v>
      </c>
      <c r="V609" s="17">
        <v>46092</v>
      </c>
      <c r="W609" s="17">
        <v>46092</v>
      </c>
      <c r="X609" s="17">
        <v>46123</v>
      </c>
      <c r="Y609">
        <v>-26</v>
      </c>
      <c r="Z609">
        <v>1</v>
      </c>
      <c r="AA609">
        <v>1.0333333333333334</v>
      </c>
      <c r="AB609">
        <v>1539.1666666666667</v>
      </c>
      <c r="AC609" s="17"/>
      <c r="AE609">
        <v>9855.42</v>
      </c>
      <c r="AF609">
        <v>9855.42</v>
      </c>
      <c r="AG609">
        <v>9855.42</v>
      </c>
      <c r="AH609">
        <v>9855.42</v>
      </c>
      <c r="AI609">
        <v>0</v>
      </c>
      <c r="AJ609">
        <v>0</v>
      </c>
      <c r="AK609">
        <v>0</v>
      </c>
      <c r="AL609">
        <v>0</v>
      </c>
      <c r="AM609">
        <v>0</v>
      </c>
      <c r="AN609">
        <v>0</v>
      </c>
      <c r="BA609">
        <v>9855.42</v>
      </c>
      <c r="BD609">
        <v>9855.42</v>
      </c>
      <c r="BN609">
        <v>0</v>
      </c>
      <c r="CA609">
        <v>0</v>
      </c>
      <c r="CW609">
        <v>0</v>
      </c>
      <c r="DJ609">
        <v>0</v>
      </c>
      <c r="DW609">
        <v>0</v>
      </c>
      <c r="EJ609">
        <v>0</v>
      </c>
    </row>
    <row r="610" spans="1:140" hidden="1" x14ac:dyDescent="0.35">
      <c r="A610" t="s">
        <v>3317</v>
      </c>
      <c r="D610" t="s">
        <v>6921</v>
      </c>
      <c r="E610" t="s">
        <v>5003</v>
      </c>
      <c r="F610" t="s">
        <v>5004</v>
      </c>
      <c r="G610" t="s">
        <v>5005</v>
      </c>
      <c r="H610" t="s">
        <v>6922</v>
      </c>
      <c r="I610" t="s">
        <v>5368</v>
      </c>
      <c r="J610" t="s">
        <v>3203</v>
      </c>
      <c r="K610" t="s">
        <v>3203</v>
      </c>
      <c r="L610" t="s">
        <v>132</v>
      </c>
      <c r="M610" t="s">
        <v>3997</v>
      </c>
      <c r="N610" t="s">
        <v>132</v>
      </c>
      <c r="O610" t="s">
        <v>3070</v>
      </c>
      <c r="P610" t="s">
        <v>3879</v>
      </c>
      <c r="Q610" t="s">
        <v>3852</v>
      </c>
      <c r="R610" t="s">
        <v>4394</v>
      </c>
      <c r="S610" t="s">
        <v>5374</v>
      </c>
      <c r="T610" t="s">
        <v>1576</v>
      </c>
      <c r="U610" t="s">
        <v>6923</v>
      </c>
      <c r="V610" s="17">
        <v>45803</v>
      </c>
      <c r="W610" s="17">
        <v>45803</v>
      </c>
      <c r="X610" s="17">
        <v>45895</v>
      </c>
      <c r="Y610">
        <v>-254</v>
      </c>
      <c r="Z610">
        <v>3</v>
      </c>
      <c r="AA610">
        <v>3.0666666666666669</v>
      </c>
      <c r="AB610">
        <v>1546.7666666666667</v>
      </c>
      <c r="AC610" s="17"/>
      <c r="AE610">
        <v>78333.333299999998</v>
      </c>
      <c r="AF610">
        <v>235000</v>
      </c>
      <c r="AG610">
        <v>78333.333299999998</v>
      </c>
      <c r="AH610">
        <v>235000</v>
      </c>
      <c r="AI610">
        <v>0</v>
      </c>
      <c r="AJ610">
        <v>0</v>
      </c>
      <c r="AK610">
        <v>0</v>
      </c>
      <c r="AL610">
        <v>0</v>
      </c>
      <c r="AM610">
        <v>0</v>
      </c>
      <c r="AN610">
        <v>235000</v>
      </c>
      <c r="AU610">
        <v>50210.526299999998</v>
      </c>
      <c r="AV610">
        <v>22759.8</v>
      </c>
      <c r="AW610">
        <v>137049.27369999999</v>
      </c>
      <c r="AX610">
        <v>24980.400000000001</v>
      </c>
      <c r="BA610">
        <v>0</v>
      </c>
      <c r="BN610">
        <v>0</v>
      </c>
      <c r="CA610">
        <v>0</v>
      </c>
      <c r="CW610">
        <v>0</v>
      </c>
      <c r="DJ610">
        <v>0</v>
      </c>
      <c r="DW610">
        <v>0</v>
      </c>
      <c r="EJ610">
        <v>0</v>
      </c>
    </row>
    <row r="611" spans="1:140" hidden="1" x14ac:dyDescent="0.35">
      <c r="A611" t="s">
        <v>3317</v>
      </c>
      <c r="D611" t="s">
        <v>6924</v>
      </c>
      <c r="E611" t="s">
        <v>4371</v>
      </c>
      <c r="F611" t="s">
        <v>4372</v>
      </c>
      <c r="G611" t="s">
        <v>4373</v>
      </c>
      <c r="H611" t="s">
        <v>6925</v>
      </c>
      <c r="I611" t="s">
        <v>5368</v>
      </c>
      <c r="J611" t="s">
        <v>3849</v>
      </c>
      <c r="K611" t="s">
        <v>4313</v>
      </c>
      <c r="L611" t="s">
        <v>4374</v>
      </c>
      <c r="M611" t="s">
        <v>3747</v>
      </c>
      <c r="N611" t="s">
        <v>4374</v>
      </c>
      <c r="O611" t="s">
        <v>3747</v>
      </c>
      <c r="P611" t="s">
        <v>3747</v>
      </c>
      <c r="Q611" t="s">
        <v>3852</v>
      </c>
      <c r="R611" t="s">
        <v>2739</v>
      </c>
      <c r="S611" t="s">
        <v>5452</v>
      </c>
      <c r="T611" t="s">
        <v>2363</v>
      </c>
      <c r="U611" t="s">
        <v>6926</v>
      </c>
      <c r="V611" s="17">
        <v>46057</v>
      </c>
      <c r="W611" s="17">
        <v>46078</v>
      </c>
      <c r="X611" s="17">
        <v>46122</v>
      </c>
      <c r="Y611">
        <v>-27</v>
      </c>
      <c r="Z611">
        <v>2</v>
      </c>
      <c r="AA611">
        <v>1.4666666666666666</v>
      </c>
      <c r="AB611">
        <v>1539.2</v>
      </c>
      <c r="AC611" s="17"/>
      <c r="AE611">
        <v>19170.39</v>
      </c>
      <c r="AF611">
        <v>115022.34</v>
      </c>
      <c r="AG611">
        <v>57511.17</v>
      </c>
      <c r="AH611">
        <v>90772.35</v>
      </c>
      <c r="AI611">
        <v>-24249.99</v>
      </c>
      <c r="AJ611">
        <v>0</v>
      </c>
      <c r="AK611">
        <v>0</v>
      </c>
      <c r="AL611">
        <v>0</v>
      </c>
      <c r="AM611">
        <v>0</v>
      </c>
      <c r="AN611">
        <v>0</v>
      </c>
      <c r="BA611">
        <v>90772.35</v>
      </c>
      <c r="BC611">
        <v>65229.83</v>
      </c>
      <c r="BD611">
        <v>25542.52</v>
      </c>
      <c r="BN611">
        <v>0</v>
      </c>
      <c r="CA611">
        <v>0</v>
      </c>
      <c r="CW611">
        <v>0</v>
      </c>
      <c r="DJ611">
        <v>0</v>
      </c>
      <c r="DW611">
        <v>0</v>
      </c>
      <c r="EJ611">
        <v>0</v>
      </c>
    </row>
    <row r="612" spans="1:140" hidden="1" x14ac:dyDescent="0.35">
      <c r="A612" t="s">
        <v>4365</v>
      </c>
      <c r="B612" t="s">
        <v>249</v>
      </c>
      <c r="D612" t="s">
        <v>6927</v>
      </c>
      <c r="E612" t="s">
        <v>4362</v>
      </c>
      <c r="F612" t="s">
        <v>4363</v>
      </c>
      <c r="G612" t="s">
        <v>4364</v>
      </c>
      <c r="H612" t="s">
        <v>6928</v>
      </c>
      <c r="I612" t="s">
        <v>5368</v>
      </c>
      <c r="J612" t="s">
        <v>3071</v>
      </c>
      <c r="K612" t="s">
        <v>4313</v>
      </c>
      <c r="L612" t="s">
        <v>4366</v>
      </c>
      <c r="M612" t="s">
        <v>3153</v>
      </c>
      <c r="N612" t="s">
        <v>4367</v>
      </c>
      <c r="O612" t="s">
        <v>249</v>
      </c>
      <c r="P612" t="s">
        <v>4368</v>
      </c>
      <c r="Q612" t="s">
        <v>3075</v>
      </c>
      <c r="R612" t="s">
        <v>2513</v>
      </c>
      <c r="S612" t="s">
        <v>5374</v>
      </c>
      <c r="T612" t="s">
        <v>1576</v>
      </c>
      <c r="U612" t="s">
        <v>6929</v>
      </c>
      <c r="V612" s="17">
        <v>45919</v>
      </c>
      <c r="W612" s="17">
        <v>45919</v>
      </c>
      <c r="X612" s="17">
        <v>45949</v>
      </c>
      <c r="Y612">
        <v>-200</v>
      </c>
      <c r="Z612">
        <v>1</v>
      </c>
      <c r="AA612">
        <v>1</v>
      </c>
      <c r="AB612">
        <v>1544.9666666666667</v>
      </c>
      <c r="AC612" s="17"/>
      <c r="AE612">
        <v>0</v>
      </c>
      <c r="AF612">
        <v>32500</v>
      </c>
      <c r="AG612">
        <v>32500</v>
      </c>
      <c r="AH612">
        <v>32500</v>
      </c>
      <c r="AI612">
        <v>0</v>
      </c>
      <c r="AJ612">
        <v>0</v>
      </c>
      <c r="AW612">
        <v>0</v>
      </c>
      <c r="BJ612">
        <v>0</v>
      </c>
      <c r="BW612">
        <v>0</v>
      </c>
      <c r="CJ612">
        <v>32500</v>
      </c>
      <c r="CT612">
        <v>32500</v>
      </c>
      <c r="CW612">
        <v>0</v>
      </c>
      <c r="DJ612">
        <v>0</v>
      </c>
      <c r="DW612">
        <v>0</v>
      </c>
      <c r="EJ612">
        <v>32500</v>
      </c>
    </row>
    <row r="613" spans="1:140" hidden="1" x14ac:dyDescent="0.35">
      <c r="A613" t="s">
        <v>3317</v>
      </c>
      <c r="B613" t="s">
        <v>5365</v>
      </c>
      <c r="D613" t="s">
        <v>6930</v>
      </c>
      <c r="E613" t="s">
        <v>582</v>
      </c>
      <c r="F613" t="s">
        <v>4129</v>
      </c>
      <c r="G613" t="s">
        <v>4130</v>
      </c>
      <c r="H613" t="s">
        <v>6931</v>
      </c>
      <c r="I613" t="s">
        <v>5368</v>
      </c>
      <c r="J613" t="s">
        <v>3071</v>
      </c>
      <c r="K613" t="s">
        <v>3071</v>
      </c>
      <c r="L613" t="s">
        <v>98</v>
      </c>
      <c r="M613" t="s">
        <v>3087</v>
      </c>
      <c r="N613" t="s">
        <v>89</v>
      </c>
      <c r="O613" t="s">
        <v>3107</v>
      </c>
      <c r="P613" t="s">
        <v>3088</v>
      </c>
      <c r="Q613" t="s">
        <v>3075</v>
      </c>
      <c r="R613" t="s">
        <v>2513</v>
      </c>
      <c r="S613" t="s">
        <v>5374</v>
      </c>
      <c r="T613" t="s">
        <v>1576</v>
      </c>
      <c r="U613" t="s">
        <v>6932</v>
      </c>
      <c r="V613" s="17">
        <v>45988</v>
      </c>
      <c r="W613" s="17">
        <v>45985</v>
      </c>
      <c r="X613" s="17">
        <v>46136</v>
      </c>
      <c r="Y613">
        <v>-24</v>
      </c>
      <c r="Z613">
        <v>5</v>
      </c>
      <c r="AA613">
        <v>5.0333333333333332</v>
      </c>
      <c r="AB613">
        <v>1539.4666666666667</v>
      </c>
      <c r="AC613" s="17"/>
      <c r="AE613">
        <v>0</v>
      </c>
      <c r="AF613">
        <v>175000</v>
      </c>
      <c r="AG613">
        <v>35000</v>
      </c>
      <c r="AH613">
        <v>175000</v>
      </c>
      <c r="AI613">
        <v>0</v>
      </c>
      <c r="AJ613">
        <v>0</v>
      </c>
      <c r="AW613">
        <v>0</v>
      </c>
      <c r="BJ613">
        <v>0</v>
      </c>
      <c r="BW613">
        <v>0</v>
      </c>
      <c r="CJ613">
        <v>35000</v>
      </c>
      <c r="CV613">
        <v>35000</v>
      </c>
      <c r="CW613">
        <v>140000</v>
      </c>
      <c r="CX613">
        <v>35000</v>
      </c>
      <c r="CY613">
        <v>35000</v>
      </c>
      <c r="CZ613">
        <v>35000</v>
      </c>
      <c r="DA613">
        <v>35000</v>
      </c>
      <c r="DJ613">
        <v>0</v>
      </c>
      <c r="DW613">
        <v>0</v>
      </c>
      <c r="EJ613">
        <v>175000</v>
      </c>
    </row>
    <row r="614" spans="1:140" hidden="1" x14ac:dyDescent="0.35">
      <c r="A614" t="s">
        <v>3317</v>
      </c>
      <c r="B614" t="s">
        <v>5462</v>
      </c>
      <c r="D614" t="s">
        <v>6933</v>
      </c>
      <c r="E614" t="s">
        <v>417</v>
      </c>
      <c r="F614" t="s">
        <v>4110</v>
      </c>
      <c r="G614" t="s">
        <v>4111</v>
      </c>
      <c r="H614" t="s">
        <v>6934</v>
      </c>
      <c r="I614" t="s">
        <v>5373</v>
      </c>
      <c r="J614" t="s">
        <v>3849</v>
      </c>
      <c r="K614" t="s">
        <v>3849</v>
      </c>
      <c r="L614" t="s">
        <v>4112</v>
      </c>
      <c r="M614" t="s">
        <v>3088</v>
      </c>
      <c r="N614" t="s">
        <v>4112</v>
      </c>
      <c r="O614" t="s">
        <v>3088</v>
      </c>
      <c r="P614" t="s">
        <v>3088</v>
      </c>
      <c r="Q614" t="s">
        <v>3852</v>
      </c>
      <c r="R614" t="s">
        <v>1580</v>
      </c>
      <c r="S614" t="s">
        <v>5374</v>
      </c>
      <c r="T614" t="s">
        <v>1576</v>
      </c>
      <c r="U614" t="s">
        <v>5604</v>
      </c>
      <c r="V614" s="17">
        <v>45995</v>
      </c>
      <c r="W614" s="17">
        <v>45996</v>
      </c>
      <c r="X614" s="17">
        <v>46175</v>
      </c>
      <c r="Y614">
        <v>15</v>
      </c>
      <c r="Z614">
        <v>6</v>
      </c>
      <c r="AA614">
        <v>5.9666666666666668</v>
      </c>
      <c r="AB614">
        <v>1538.1666666666667</v>
      </c>
      <c r="AC614" s="17"/>
      <c r="AE614">
        <v>58333.333299999998</v>
      </c>
      <c r="AF614">
        <v>350000</v>
      </c>
      <c r="AG614">
        <v>58333.333299999998</v>
      </c>
      <c r="AH614">
        <v>348986.33</v>
      </c>
      <c r="AI614">
        <v>-1013.67</v>
      </c>
      <c r="AJ614">
        <v>0</v>
      </c>
      <c r="AW614">
        <v>0</v>
      </c>
      <c r="BJ614">
        <v>0</v>
      </c>
      <c r="BW614">
        <v>0</v>
      </c>
      <c r="CJ614">
        <v>63486.15</v>
      </c>
      <c r="CV614">
        <v>63486.15</v>
      </c>
      <c r="CW614">
        <v>285500</v>
      </c>
      <c r="CX614">
        <v>63486.15</v>
      </c>
      <c r="CY614">
        <v>63486.15</v>
      </c>
      <c r="CZ614">
        <v>63486.15</v>
      </c>
      <c r="DA614">
        <v>63486.15</v>
      </c>
      <c r="DB614">
        <v>31555.58</v>
      </c>
      <c r="DJ614">
        <v>0</v>
      </c>
      <c r="DW614">
        <v>0</v>
      </c>
      <c r="EJ614">
        <v>348986.15</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DBBF2-BD83-4D5E-AE14-68CA00696B04}">
  <sheetPr>
    <tabColor rgb="FFFF0000"/>
  </sheetPr>
  <dimension ref="A1:M106"/>
  <sheetViews>
    <sheetView workbookViewId="0">
      <pane xSplit="1" ySplit="1" topLeftCell="B65" activePane="bottomRight" state="frozen"/>
      <selection activeCell="P355" sqref="P355"/>
      <selection pane="topRight" activeCell="P355" sqref="P355"/>
      <selection pane="bottomLeft" activeCell="P355" sqref="P355"/>
      <selection pane="bottomRight" activeCell="P355" sqref="P355"/>
    </sheetView>
  </sheetViews>
  <sheetFormatPr defaultRowHeight="14.5" x14ac:dyDescent="0.35"/>
  <cols>
    <col min="1" max="1" width="28" customWidth="1"/>
    <col min="2" max="2" width="45.81640625" customWidth="1"/>
    <col min="3" max="3" width="28.81640625" customWidth="1"/>
    <col min="4" max="4" width="22.54296875" customWidth="1"/>
    <col min="5" max="5" width="45.26953125" customWidth="1"/>
    <col min="6" max="6" width="20.26953125" bestFit="1" customWidth="1"/>
    <col min="7" max="7" width="21.26953125" bestFit="1" customWidth="1"/>
    <col min="8" max="8" width="38.1796875" customWidth="1"/>
    <col min="9" max="9" width="25" customWidth="1"/>
    <col min="10" max="10" width="23.7265625" customWidth="1"/>
    <col min="11" max="11" width="29.81640625" customWidth="1"/>
    <col min="12" max="12" width="22" bestFit="1" customWidth="1"/>
    <col min="13" max="13" width="13.26953125" bestFit="1" customWidth="1"/>
  </cols>
  <sheetData>
    <row r="1" spans="1:13" x14ac:dyDescent="0.35">
      <c r="A1" s="50" t="s">
        <v>6935</v>
      </c>
      <c r="B1" s="50" t="s">
        <v>6936</v>
      </c>
      <c r="C1" s="50" t="s">
        <v>6937</v>
      </c>
      <c r="D1" s="50" t="s">
        <v>5368</v>
      </c>
      <c r="E1" s="50" t="s">
        <v>6938</v>
      </c>
      <c r="F1" s="50" t="s">
        <v>6939</v>
      </c>
      <c r="G1" s="50" t="s">
        <v>6940</v>
      </c>
      <c r="H1" s="50" t="s">
        <v>6941</v>
      </c>
      <c r="I1" s="50" t="s">
        <v>6942</v>
      </c>
      <c r="J1" s="50" t="s">
        <v>6943</v>
      </c>
      <c r="K1" s="50" t="s">
        <v>2237</v>
      </c>
      <c r="L1" s="50" t="s">
        <v>6944</v>
      </c>
      <c r="M1" s="50" t="s">
        <v>6945</v>
      </c>
    </row>
    <row r="2" spans="1:13" x14ac:dyDescent="0.35">
      <c r="A2" s="51" t="s">
        <v>88</v>
      </c>
      <c r="B2" t="s">
        <v>6946</v>
      </c>
      <c r="C2" t="s">
        <v>6947</v>
      </c>
      <c r="D2" s="26"/>
      <c r="E2" s="52" t="s">
        <v>6948</v>
      </c>
      <c r="F2" t="s">
        <v>6949</v>
      </c>
      <c r="G2" t="s">
        <v>6950</v>
      </c>
      <c r="H2" t="s">
        <v>6951</v>
      </c>
      <c r="I2" s="26"/>
    </row>
    <row r="3" spans="1:13" x14ac:dyDescent="0.35">
      <c r="A3" s="51" t="s">
        <v>88</v>
      </c>
      <c r="B3" t="s">
        <v>6946</v>
      </c>
      <c r="D3" s="26"/>
      <c r="E3" s="52" t="s">
        <v>6952</v>
      </c>
      <c r="H3" t="s">
        <v>6953</v>
      </c>
      <c r="I3" s="26"/>
    </row>
    <row r="4" spans="1:13" x14ac:dyDescent="0.35">
      <c r="A4" s="51" t="s">
        <v>88</v>
      </c>
      <c r="B4" t="s">
        <v>6954</v>
      </c>
      <c r="C4" t="s">
        <v>6955</v>
      </c>
      <c r="D4" s="26"/>
      <c r="E4" s="52" t="s">
        <v>6948</v>
      </c>
      <c r="F4" t="s">
        <v>6949</v>
      </c>
      <c r="G4" t="s">
        <v>6956</v>
      </c>
      <c r="H4" t="s">
        <v>6951</v>
      </c>
      <c r="I4" s="26"/>
    </row>
    <row r="5" spans="1:13" x14ac:dyDescent="0.35">
      <c r="A5" s="51" t="s">
        <v>88</v>
      </c>
      <c r="B5" t="s">
        <v>6954</v>
      </c>
      <c r="D5" s="26"/>
      <c r="E5" s="52" t="s">
        <v>6952</v>
      </c>
      <c r="H5" t="s">
        <v>6953</v>
      </c>
      <c r="I5" s="26"/>
    </row>
    <row r="6" spans="1:13" x14ac:dyDescent="0.35">
      <c r="A6" s="51" t="s">
        <v>88</v>
      </c>
      <c r="B6" t="s">
        <v>6954</v>
      </c>
      <c r="D6" s="26"/>
      <c r="E6" s="52" t="s">
        <v>6957</v>
      </c>
      <c r="H6" t="s">
        <v>6958</v>
      </c>
      <c r="I6" s="26"/>
    </row>
    <row r="7" spans="1:13" x14ac:dyDescent="0.35">
      <c r="A7" s="51" t="s">
        <v>88</v>
      </c>
      <c r="B7" t="s">
        <v>6959</v>
      </c>
      <c r="C7" t="s">
        <v>6960</v>
      </c>
      <c r="D7" s="26"/>
      <c r="E7" s="52" t="s">
        <v>6961</v>
      </c>
      <c r="H7" t="s">
        <v>6962</v>
      </c>
      <c r="I7" s="26"/>
    </row>
    <row r="8" spans="1:13" x14ac:dyDescent="0.35">
      <c r="A8" s="51" t="s">
        <v>88</v>
      </c>
      <c r="B8" t="s">
        <v>6959</v>
      </c>
      <c r="C8" t="s">
        <v>6960</v>
      </c>
      <c r="D8" s="26" t="s">
        <v>3474</v>
      </c>
      <c r="E8" s="52" t="s">
        <v>6963</v>
      </c>
      <c r="F8" t="s">
        <v>6964</v>
      </c>
      <c r="H8" t="s">
        <v>6965</v>
      </c>
      <c r="I8" s="26" t="s">
        <v>6966</v>
      </c>
    </row>
    <row r="9" spans="1:13" x14ac:dyDescent="0.35">
      <c r="A9" s="51" t="s">
        <v>6967</v>
      </c>
      <c r="B9" t="s">
        <v>6968</v>
      </c>
      <c r="D9" s="26"/>
      <c r="E9" s="52" t="s">
        <v>6969</v>
      </c>
      <c r="H9" t="s">
        <v>6970</v>
      </c>
      <c r="I9" s="26"/>
    </row>
    <row r="10" spans="1:13" x14ac:dyDescent="0.35">
      <c r="A10" s="51" t="s">
        <v>261</v>
      </c>
      <c r="B10" t="s">
        <v>6971</v>
      </c>
      <c r="C10" t="s">
        <v>6972</v>
      </c>
      <c r="D10" s="26"/>
      <c r="E10" s="52" t="s">
        <v>6973</v>
      </c>
      <c r="F10">
        <v>31996177427</v>
      </c>
      <c r="H10" t="s">
        <v>6974</v>
      </c>
      <c r="I10" s="26"/>
    </row>
    <row r="11" spans="1:13" x14ac:dyDescent="0.35">
      <c r="A11" s="51" t="s">
        <v>235</v>
      </c>
      <c r="B11" t="s">
        <v>6975</v>
      </c>
      <c r="D11" s="26"/>
      <c r="E11" s="52" t="s">
        <v>6976</v>
      </c>
      <c r="H11" t="s">
        <v>6977</v>
      </c>
      <c r="I11" s="26"/>
    </row>
    <row r="12" spans="1:13" x14ac:dyDescent="0.35">
      <c r="A12" s="51" t="s">
        <v>98</v>
      </c>
      <c r="B12" t="s">
        <v>6978</v>
      </c>
      <c r="C12" t="s">
        <v>6979</v>
      </c>
      <c r="D12" s="26"/>
      <c r="E12" s="52" t="s">
        <v>6980</v>
      </c>
      <c r="F12" t="s">
        <v>6981</v>
      </c>
      <c r="H12" t="s">
        <v>6982</v>
      </c>
      <c r="I12" s="26"/>
    </row>
    <row r="13" spans="1:13" x14ac:dyDescent="0.35">
      <c r="A13" s="51" t="s">
        <v>98</v>
      </c>
      <c r="B13" t="s">
        <v>6983</v>
      </c>
      <c r="C13" t="s">
        <v>6984</v>
      </c>
      <c r="D13" s="26"/>
      <c r="E13" s="52" t="s">
        <v>6985</v>
      </c>
      <c r="F13" t="s">
        <v>6986</v>
      </c>
      <c r="H13" t="s">
        <v>6987</v>
      </c>
      <c r="I13" s="26"/>
    </row>
    <row r="14" spans="1:13" x14ac:dyDescent="0.35">
      <c r="A14" s="51" t="s">
        <v>897</v>
      </c>
      <c r="B14" t="s">
        <v>6988</v>
      </c>
      <c r="D14" s="26"/>
      <c r="E14" s="52" t="s">
        <v>6989</v>
      </c>
      <c r="H14" t="s">
        <v>6990</v>
      </c>
      <c r="I14" s="26"/>
    </row>
    <row r="15" spans="1:13" ht="13.9" customHeight="1" x14ac:dyDescent="0.35">
      <c r="A15" s="51" t="s">
        <v>897</v>
      </c>
      <c r="B15" t="s">
        <v>6988</v>
      </c>
      <c r="D15" s="26"/>
      <c r="E15" s="52" t="s">
        <v>6991</v>
      </c>
      <c r="H15" t="s">
        <v>6992</v>
      </c>
      <c r="I15" s="26"/>
    </row>
    <row r="16" spans="1:13" x14ac:dyDescent="0.35">
      <c r="A16" s="51" t="s">
        <v>196</v>
      </c>
      <c r="B16" t="s">
        <v>6993</v>
      </c>
      <c r="D16" s="26"/>
      <c r="E16" s="52" t="s">
        <v>6994</v>
      </c>
      <c r="H16" t="s">
        <v>6995</v>
      </c>
      <c r="I16" s="26"/>
    </row>
    <row r="17" spans="1:9" x14ac:dyDescent="0.35">
      <c r="A17" s="51" t="s">
        <v>917</v>
      </c>
      <c r="B17" t="s">
        <v>6996</v>
      </c>
      <c r="D17" s="26"/>
      <c r="E17" s="52" t="s">
        <v>6997</v>
      </c>
      <c r="F17" t="s">
        <v>6998</v>
      </c>
      <c r="H17" t="s">
        <v>6999</v>
      </c>
      <c r="I17" s="26"/>
    </row>
    <row r="18" spans="1:9" x14ac:dyDescent="0.35">
      <c r="A18" s="51" t="s">
        <v>896</v>
      </c>
      <c r="B18" t="s">
        <v>3492</v>
      </c>
      <c r="C18" t="s">
        <v>7000</v>
      </c>
      <c r="D18" s="26" t="s">
        <v>7001</v>
      </c>
      <c r="E18" s="52" t="s">
        <v>7002</v>
      </c>
      <c r="F18" t="s">
        <v>7003</v>
      </c>
      <c r="H18" t="s">
        <v>7004</v>
      </c>
      <c r="I18" s="26"/>
    </row>
    <row r="19" spans="1:9" x14ac:dyDescent="0.35">
      <c r="A19" s="51" t="s">
        <v>896</v>
      </c>
      <c r="B19" t="s">
        <v>7005</v>
      </c>
      <c r="C19" t="s">
        <v>7006</v>
      </c>
      <c r="D19" s="26" t="s">
        <v>7007</v>
      </c>
      <c r="E19" s="52" t="s">
        <v>7008</v>
      </c>
      <c r="F19" t="s">
        <v>7009</v>
      </c>
      <c r="H19" t="s">
        <v>7010</v>
      </c>
      <c r="I19" s="26"/>
    </row>
    <row r="20" spans="1:9" x14ac:dyDescent="0.35">
      <c r="A20" t="s">
        <v>930</v>
      </c>
      <c r="B20" t="s">
        <v>931</v>
      </c>
      <c r="C20" t="s">
        <v>7011</v>
      </c>
      <c r="D20" s="26"/>
      <c r="E20" s="52" t="s">
        <v>7012</v>
      </c>
      <c r="F20" s="53" t="s">
        <v>7013</v>
      </c>
      <c r="G20" t="s">
        <v>7014</v>
      </c>
      <c r="H20" t="s">
        <v>7015</v>
      </c>
      <c r="I20" s="26"/>
    </row>
    <row r="21" spans="1:9" x14ac:dyDescent="0.35">
      <c r="A21" s="51" t="s">
        <v>7016</v>
      </c>
      <c r="B21" t="s">
        <v>7017</v>
      </c>
      <c r="C21" t="s">
        <v>6947</v>
      </c>
      <c r="D21" s="26"/>
      <c r="E21" s="52" t="s">
        <v>7018</v>
      </c>
      <c r="F21" t="s">
        <v>7019</v>
      </c>
      <c r="G21" t="s">
        <v>7020</v>
      </c>
      <c r="H21" t="s">
        <v>7021</v>
      </c>
      <c r="I21" s="26"/>
    </row>
    <row r="22" spans="1:9" x14ac:dyDescent="0.35">
      <c r="A22" s="51" t="s">
        <v>876</v>
      </c>
      <c r="B22" t="s">
        <v>7022</v>
      </c>
      <c r="C22" t="s">
        <v>7023</v>
      </c>
      <c r="D22" s="26"/>
      <c r="E22" s="52" t="s">
        <v>7024</v>
      </c>
      <c r="F22" t="s">
        <v>7025</v>
      </c>
      <c r="H22" t="s">
        <v>7026</v>
      </c>
      <c r="I22" s="26"/>
    </row>
    <row r="23" spans="1:9" x14ac:dyDescent="0.35">
      <c r="A23" s="51" t="s">
        <v>876</v>
      </c>
      <c r="B23" t="s">
        <v>7022</v>
      </c>
      <c r="C23" t="s">
        <v>7023</v>
      </c>
      <c r="D23" s="26"/>
      <c r="E23" s="52" t="s">
        <v>7027</v>
      </c>
      <c r="F23" t="s">
        <v>7028</v>
      </c>
      <c r="H23" t="s">
        <v>7029</v>
      </c>
      <c r="I23" s="26"/>
    </row>
    <row r="24" spans="1:9" x14ac:dyDescent="0.35">
      <c r="A24" s="51" t="s">
        <v>876</v>
      </c>
      <c r="B24" t="s">
        <v>7022</v>
      </c>
      <c r="C24" t="s">
        <v>7023</v>
      </c>
      <c r="D24" s="26"/>
      <c r="E24" s="52" t="s">
        <v>7030</v>
      </c>
      <c r="F24" t="s">
        <v>7031</v>
      </c>
      <c r="H24" t="s">
        <v>7032</v>
      </c>
      <c r="I24" s="26"/>
    </row>
    <row r="25" spans="1:9" x14ac:dyDescent="0.35">
      <c r="A25" s="51" t="s">
        <v>876</v>
      </c>
      <c r="B25" t="s">
        <v>7022</v>
      </c>
      <c r="C25" t="s">
        <v>7033</v>
      </c>
      <c r="D25" s="26"/>
      <c r="E25" s="52" t="s">
        <v>7034</v>
      </c>
      <c r="F25" t="s">
        <v>7035</v>
      </c>
      <c r="H25" t="s">
        <v>7036</v>
      </c>
      <c r="I25" s="26"/>
    </row>
    <row r="26" spans="1:9" x14ac:dyDescent="0.35">
      <c r="A26" s="51" t="s">
        <v>876</v>
      </c>
      <c r="B26" t="s">
        <v>7022</v>
      </c>
      <c r="C26" t="s">
        <v>7033</v>
      </c>
      <c r="D26" s="26"/>
      <c r="E26" s="52" t="s">
        <v>7024</v>
      </c>
      <c r="F26" t="s">
        <v>7025</v>
      </c>
      <c r="H26" t="s">
        <v>7026</v>
      </c>
      <c r="I26" s="26"/>
    </row>
    <row r="27" spans="1:9" x14ac:dyDescent="0.35">
      <c r="A27" s="51" t="s">
        <v>876</v>
      </c>
      <c r="B27" t="s">
        <v>7022</v>
      </c>
      <c r="C27" t="s">
        <v>7033</v>
      </c>
      <c r="D27" s="26"/>
      <c r="E27" s="52" t="s">
        <v>7037</v>
      </c>
      <c r="F27" t="s">
        <v>7038</v>
      </c>
      <c r="H27" t="s">
        <v>7039</v>
      </c>
      <c r="I27" s="26" t="s">
        <v>7040</v>
      </c>
    </row>
    <row r="28" spans="1:9" x14ac:dyDescent="0.35">
      <c r="A28" s="51" t="s">
        <v>7016</v>
      </c>
      <c r="B28" t="s">
        <v>7041</v>
      </c>
      <c r="C28" t="s">
        <v>7011</v>
      </c>
      <c r="D28" s="26"/>
      <c r="E28" s="52" t="s">
        <v>7042</v>
      </c>
      <c r="F28" t="s">
        <v>7043</v>
      </c>
      <c r="G28" t="s">
        <v>7020</v>
      </c>
      <c r="H28" t="s">
        <v>7044</v>
      </c>
      <c r="I28" s="26"/>
    </row>
    <row r="29" spans="1:9" x14ac:dyDescent="0.35">
      <c r="A29" s="51" t="s">
        <v>897</v>
      </c>
      <c r="B29" t="s">
        <v>6959</v>
      </c>
      <c r="C29" t="s">
        <v>6972</v>
      </c>
      <c r="D29" s="26"/>
      <c r="E29" s="52" t="s">
        <v>7045</v>
      </c>
      <c r="F29" t="s">
        <v>7046</v>
      </c>
      <c r="H29" t="s">
        <v>7047</v>
      </c>
      <c r="I29" s="26"/>
    </row>
    <row r="30" spans="1:9" x14ac:dyDescent="0.35">
      <c r="A30" s="51" t="s">
        <v>153</v>
      </c>
      <c r="B30" t="s">
        <v>7048</v>
      </c>
      <c r="C30" t="s">
        <v>7048</v>
      </c>
      <c r="D30" s="26"/>
      <c r="E30" s="52" t="s">
        <v>7049</v>
      </c>
      <c r="F30" t="s">
        <v>7050</v>
      </c>
      <c r="H30" t="s">
        <v>7051</v>
      </c>
      <c r="I30" s="26"/>
    </row>
    <row r="31" spans="1:9" x14ac:dyDescent="0.35">
      <c r="A31" s="51" t="s">
        <v>235</v>
      </c>
      <c r="B31" t="s">
        <v>7052</v>
      </c>
      <c r="C31" t="s">
        <v>6979</v>
      </c>
      <c r="D31" s="26"/>
      <c r="E31" s="52" t="s">
        <v>7053</v>
      </c>
      <c r="F31" t="s">
        <v>7054</v>
      </c>
      <c r="H31" t="s">
        <v>7055</v>
      </c>
      <c r="I31" s="26" t="s">
        <v>7056</v>
      </c>
    </row>
    <row r="32" spans="1:9" x14ac:dyDescent="0.35">
      <c r="A32" s="51" t="s">
        <v>125</v>
      </c>
      <c r="B32" t="s">
        <v>7057</v>
      </c>
      <c r="C32" t="s">
        <v>7058</v>
      </c>
      <c r="D32" s="26"/>
      <c r="E32" s="52" t="s">
        <v>7059</v>
      </c>
      <c r="H32" t="s">
        <v>7060</v>
      </c>
      <c r="I32" s="26"/>
    </row>
    <row r="33" spans="1:9" x14ac:dyDescent="0.35">
      <c r="A33" s="51" t="s">
        <v>125</v>
      </c>
      <c r="B33" t="s">
        <v>7061</v>
      </c>
      <c r="C33" t="s">
        <v>682</v>
      </c>
      <c r="D33" s="26"/>
      <c r="E33" s="52" t="s">
        <v>7062</v>
      </c>
      <c r="F33" t="s">
        <v>7063</v>
      </c>
      <c r="H33" t="s">
        <v>7064</v>
      </c>
      <c r="I33" s="26" t="s">
        <v>7056</v>
      </c>
    </row>
    <row r="34" spans="1:9" x14ac:dyDescent="0.35">
      <c r="A34" s="51" t="s">
        <v>98</v>
      </c>
      <c r="B34" t="s">
        <v>7005</v>
      </c>
      <c r="C34" t="s">
        <v>7006</v>
      </c>
      <c r="D34" s="26" t="s">
        <v>7007</v>
      </c>
      <c r="E34" s="52" t="s">
        <v>7065</v>
      </c>
      <c r="H34" t="s">
        <v>7066</v>
      </c>
      <c r="I34" s="26" t="s">
        <v>7067</v>
      </c>
    </row>
    <row r="35" spans="1:9" x14ac:dyDescent="0.35">
      <c r="A35" s="51" t="s">
        <v>98</v>
      </c>
      <c r="B35" t="s">
        <v>3492</v>
      </c>
      <c r="C35" t="s">
        <v>7000</v>
      </c>
      <c r="D35" s="26" t="s">
        <v>7001</v>
      </c>
      <c r="E35" s="52" t="s">
        <v>7065</v>
      </c>
      <c r="H35" t="s">
        <v>7066</v>
      </c>
      <c r="I35" s="26" t="s">
        <v>7067</v>
      </c>
    </row>
    <row r="36" spans="1:9" x14ac:dyDescent="0.35">
      <c r="A36" s="51" t="s">
        <v>88</v>
      </c>
      <c r="B36" t="s">
        <v>7068</v>
      </c>
      <c r="C36" t="s">
        <v>6972</v>
      </c>
      <c r="D36" s="26" t="s">
        <v>3478</v>
      </c>
      <c r="E36" s="52" t="s">
        <v>7069</v>
      </c>
      <c r="F36" t="s">
        <v>7070</v>
      </c>
      <c r="H36" t="s">
        <v>7071</v>
      </c>
      <c r="I36" s="26" t="s">
        <v>6966</v>
      </c>
    </row>
    <row r="37" spans="1:9" x14ac:dyDescent="0.35">
      <c r="A37" s="51" t="s">
        <v>7072</v>
      </c>
      <c r="B37" t="s">
        <v>7073</v>
      </c>
      <c r="C37" t="s">
        <v>913</v>
      </c>
      <c r="D37" s="26"/>
      <c r="E37" s="52" t="s">
        <v>7074</v>
      </c>
      <c r="F37" t="s">
        <v>7075</v>
      </c>
      <c r="H37" t="s">
        <v>7076</v>
      </c>
      <c r="I37" s="26"/>
    </row>
    <row r="38" spans="1:9" x14ac:dyDescent="0.35">
      <c r="A38" s="51" t="s">
        <v>153</v>
      </c>
      <c r="B38" t="s">
        <v>7077</v>
      </c>
      <c r="C38" t="s">
        <v>7077</v>
      </c>
      <c r="D38" s="26"/>
      <c r="E38" s="52" t="s">
        <v>7078</v>
      </c>
      <c r="H38" t="s">
        <v>7079</v>
      </c>
      <c r="I38" s="26" t="s">
        <v>7056</v>
      </c>
    </row>
    <row r="39" spans="1:9" x14ac:dyDescent="0.35">
      <c r="A39" s="51" t="s">
        <v>153</v>
      </c>
      <c r="B39" t="s">
        <v>7077</v>
      </c>
      <c r="C39" t="s">
        <v>7077</v>
      </c>
      <c r="D39" s="26"/>
      <c r="E39" s="52" t="s">
        <v>7080</v>
      </c>
      <c r="H39" t="s">
        <v>7081</v>
      </c>
      <c r="I39" s="26" t="s">
        <v>7067</v>
      </c>
    </row>
    <row r="40" spans="1:9" x14ac:dyDescent="0.35">
      <c r="A40" s="51" t="s">
        <v>153</v>
      </c>
      <c r="B40" t="s">
        <v>7048</v>
      </c>
      <c r="C40" t="s">
        <v>7048</v>
      </c>
      <c r="D40" s="26"/>
      <c r="E40" s="52" t="s">
        <v>7082</v>
      </c>
      <c r="F40" t="s">
        <v>7083</v>
      </c>
      <c r="H40" t="s">
        <v>7084</v>
      </c>
    </row>
    <row r="41" spans="1:9" x14ac:dyDescent="0.35">
      <c r="A41" s="51" t="s">
        <v>7085</v>
      </c>
      <c r="B41" t="s">
        <v>7086</v>
      </c>
      <c r="C41" t="s">
        <v>7087</v>
      </c>
      <c r="D41" s="26" t="s">
        <v>7088</v>
      </c>
      <c r="E41" s="52" t="s">
        <v>6991</v>
      </c>
      <c r="F41" t="s">
        <v>7089</v>
      </c>
      <c r="H41" t="s">
        <v>6992</v>
      </c>
    </row>
    <row r="42" spans="1:9" x14ac:dyDescent="0.35">
      <c r="A42" s="51" t="s">
        <v>897</v>
      </c>
      <c r="B42" t="s">
        <v>7086</v>
      </c>
      <c r="C42" t="s">
        <v>7087</v>
      </c>
      <c r="D42" s="26" t="s">
        <v>7088</v>
      </c>
      <c r="E42" s="52" t="s">
        <v>7090</v>
      </c>
      <c r="F42" t="s">
        <v>7091</v>
      </c>
      <c r="H42" t="s">
        <v>7092</v>
      </c>
    </row>
    <row r="43" spans="1:9" x14ac:dyDescent="0.35">
      <c r="A43" s="51" t="s">
        <v>7093</v>
      </c>
      <c r="B43" t="s">
        <v>7094</v>
      </c>
      <c r="C43" t="s">
        <v>7095</v>
      </c>
      <c r="E43" s="52" t="s">
        <v>7096</v>
      </c>
      <c r="H43" t="s">
        <v>7097</v>
      </c>
    </row>
    <row r="44" spans="1:9" x14ac:dyDescent="0.35">
      <c r="A44" s="51" t="s">
        <v>235</v>
      </c>
      <c r="B44" t="s">
        <v>7098</v>
      </c>
      <c r="C44" t="s">
        <v>3379</v>
      </c>
      <c r="E44" s="52" t="s">
        <v>7099</v>
      </c>
      <c r="F44" t="s">
        <v>7100</v>
      </c>
      <c r="H44" t="s">
        <v>7101</v>
      </c>
    </row>
    <row r="45" spans="1:9" x14ac:dyDescent="0.35">
      <c r="A45" s="51" t="s">
        <v>235</v>
      </c>
      <c r="B45" t="s">
        <v>7098</v>
      </c>
      <c r="C45" t="s">
        <v>3379</v>
      </c>
      <c r="E45" s="52" t="s">
        <v>7102</v>
      </c>
      <c r="H45" t="s">
        <v>7103</v>
      </c>
    </row>
    <row r="46" spans="1:9" x14ac:dyDescent="0.35">
      <c r="A46" s="51" t="s">
        <v>235</v>
      </c>
      <c r="B46" t="s">
        <v>7098</v>
      </c>
      <c r="C46" t="s">
        <v>3379</v>
      </c>
      <c r="E46" s="52" t="s">
        <v>7104</v>
      </c>
      <c r="F46" t="s">
        <v>7105</v>
      </c>
      <c r="H46" t="s">
        <v>7106</v>
      </c>
    </row>
    <row r="47" spans="1:9" x14ac:dyDescent="0.35">
      <c r="A47" s="51" t="s">
        <v>125</v>
      </c>
      <c r="B47" t="s">
        <v>7061</v>
      </c>
      <c r="C47" t="s">
        <v>682</v>
      </c>
      <c r="E47" s="52" t="s">
        <v>7107</v>
      </c>
      <c r="H47" t="s">
        <v>7108</v>
      </c>
      <c r="I47" s="26" t="s">
        <v>7109</v>
      </c>
    </row>
    <row r="48" spans="1:9" x14ac:dyDescent="0.35">
      <c r="A48" s="51" t="s">
        <v>125</v>
      </c>
      <c r="B48" t="s">
        <v>7061</v>
      </c>
      <c r="C48" t="s">
        <v>682</v>
      </c>
      <c r="E48" s="52" t="s">
        <v>7110</v>
      </c>
      <c r="H48" t="s">
        <v>7111</v>
      </c>
      <c r="I48" s="26" t="s">
        <v>7067</v>
      </c>
    </row>
    <row r="49" spans="1:13" x14ac:dyDescent="0.35">
      <c r="A49" s="51" t="s">
        <v>235</v>
      </c>
      <c r="B49" t="s">
        <v>7073</v>
      </c>
      <c r="C49" t="s">
        <v>3379</v>
      </c>
      <c r="E49" s="52" t="s">
        <v>7112</v>
      </c>
      <c r="F49" t="s">
        <v>7113</v>
      </c>
      <c r="H49" t="s">
        <v>7114</v>
      </c>
      <c r="I49" t="s">
        <v>7115</v>
      </c>
    </row>
    <row r="50" spans="1:13" x14ac:dyDescent="0.35">
      <c r="A50" s="51" t="s">
        <v>235</v>
      </c>
      <c r="B50" t="s">
        <v>7073</v>
      </c>
      <c r="C50" t="s">
        <v>3379</v>
      </c>
      <c r="E50" s="52" t="s">
        <v>7116</v>
      </c>
      <c r="F50" t="s">
        <v>7117</v>
      </c>
      <c r="H50" t="s">
        <v>7118</v>
      </c>
      <c r="I50" t="s">
        <v>7115</v>
      </c>
    </row>
    <row r="51" spans="1:13" x14ac:dyDescent="0.35">
      <c r="A51" s="51" t="s">
        <v>261</v>
      </c>
      <c r="B51" t="s">
        <v>6971</v>
      </c>
      <c r="C51" t="s">
        <v>6972</v>
      </c>
      <c r="E51" s="52" t="s">
        <v>7119</v>
      </c>
      <c r="H51" t="s">
        <v>7120</v>
      </c>
    </row>
    <row r="52" spans="1:13" x14ac:dyDescent="0.35">
      <c r="A52" s="51" t="s">
        <v>261</v>
      </c>
      <c r="B52" t="s">
        <v>6971</v>
      </c>
      <c r="C52" t="s">
        <v>6972</v>
      </c>
      <c r="E52" s="52" t="s">
        <v>7121</v>
      </c>
      <c r="H52" t="s">
        <v>7122</v>
      </c>
    </row>
    <row r="53" spans="1:13" x14ac:dyDescent="0.35">
      <c r="A53" s="51" t="s">
        <v>795</v>
      </c>
      <c r="B53" t="s">
        <v>7052</v>
      </c>
      <c r="C53" t="s">
        <v>6979</v>
      </c>
      <c r="E53" s="52" t="s">
        <v>7123</v>
      </c>
      <c r="F53" t="s">
        <v>7124</v>
      </c>
      <c r="H53" t="s">
        <v>7125</v>
      </c>
      <c r="I53" t="s">
        <v>7067</v>
      </c>
    </row>
    <row r="54" spans="1:13" x14ac:dyDescent="0.35">
      <c r="A54" s="51" t="s">
        <v>795</v>
      </c>
      <c r="B54" t="s">
        <v>7052</v>
      </c>
      <c r="C54" t="s">
        <v>6979</v>
      </c>
      <c r="E54" s="52" t="s">
        <v>7126</v>
      </c>
      <c r="F54" t="s">
        <v>7127</v>
      </c>
      <c r="H54" t="s">
        <v>7128</v>
      </c>
    </row>
    <row r="55" spans="1:13" x14ac:dyDescent="0.35">
      <c r="A55" s="51" t="s">
        <v>897</v>
      </c>
      <c r="B55" t="s">
        <v>7129</v>
      </c>
      <c r="C55" t="s">
        <v>6960</v>
      </c>
      <c r="D55" t="s">
        <v>3843</v>
      </c>
      <c r="E55" s="52" t="s">
        <v>7130</v>
      </c>
      <c r="F55" t="s">
        <v>7089</v>
      </c>
      <c r="H55" t="s">
        <v>7131</v>
      </c>
      <c r="I55" t="s">
        <v>7132</v>
      </c>
    </row>
    <row r="56" spans="1:13" x14ac:dyDescent="0.35">
      <c r="A56" s="51" t="s">
        <v>897</v>
      </c>
      <c r="B56" t="s">
        <v>7129</v>
      </c>
      <c r="C56" t="s">
        <v>6960</v>
      </c>
      <c r="D56" t="s">
        <v>3843</v>
      </c>
      <c r="E56" s="52" t="s">
        <v>7133</v>
      </c>
      <c r="F56" t="s">
        <v>7134</v>
      </c>
      <c r="H56" t="s">
        <v>7135</v>
      </c>
      <c r="I56" t="s">
        <v>7136</v>
      </c>
    </row>
    <row r="57" spans="1:13" x14ac:dyDescent="0.35">
      <c r="A57" s="51" t="s">
        <v>897</v>
      </c>
      <c r="B57" t="s">
        <v>7086</v>
      </c>
      <c r="C57" t="s">
        <v>6972</v>
      </c>
      <c r="D57" t="s">
        <v>3780</v>
      </c>
      <c r="E57" s="52" t="s">
        <v>7137</v>
      </c>
      <c r="F57" s="54" t="s">
        <v>7138</v>
      </c>
      <c r="H57" t="s">
        <v>7139</v>
      </c>
      <c r="I57" t="s">
        <v>7140</v>
      </c>
    </row>
    <row r="58" spans="1:13" x14ac:dyDescent="0.35">
      <c r="A58" s="51" t="s">
        <v>897</v>
      </c>
      <c r="B58" t="s">
        <v>7086</v>
      </c>
      <c r="C58" t="s">
        <v>6972</v>
      </c>
      <c r="D58" t="s">
        <v>3780</v>
      </c>
      <c r="E58" s="52" t="s">
        <v>7141</v>
      </c>
      <c r="F58" t="s">
        <v>7142</v>
      </c>
      <c r="H58" t="s">
        <v>7143</v>
      </c>
    </row>
    <row r="59" spans="1:13" x14ac:dyDescent="0.35">
      <c r="A59" s="51" t="s">
        <v>174</v>
      </c>
      <c r="B59" t="s">
        <v>7144</v>
      </c>
      <c r="C59" t="s">
        <v>7145</v>
      </c>
      <c r="D59" t="s">
        <v>3651</v>
      </c>
      <c r="E59" s="52" t="s">
        <v>7146</v>
      </c>
      <c r="F59" t="s">
        <v>7147</v>
      </c>
      <c r="H59" t="s">
        <v>7148</v>
      </c>
      <c r="I59" t="s">
        <v>7132</v>
      </c>
    </row>
    <row r="60" spans="1:13" x14ac:dyDescent="0.35">
      <c r="A60" s="51" t="s">
        <v>212</v>
      </c>
      <c r="B60" t="s">
        <v>7149</v>
      </c>
      <c r="C60" t="s">
        <v>7150</v>
      </c>
      <c r="D60" t="s">
        <v>3803</v>
      </c>
      <c r="E60" s="52" t="s">
        <v>7151</v>
      </c>
      <c r="F60" t="s">
        <v>7152</v>
      </c>
      <c r="H60" t="s">
        <v>7153</v>
      </c>
      <c r="I60" t="s">
        <v>7154</v>
      </c>
    </row>
    <row r="61" spans="1:13" x14ac:dyDescent="0.35">
      <c r="A61" s="51" t="s">
        <v>970</v>
      </c>
      <c r="B61" t="s">
        <v>971</v>
      </c>
      <c r="C61" t="s">
        <v>972</v>
      </c>
      <c r="D61" t="s">
        <v>3656</v>
      </c>
      <c r="E61" s="52" t="s">
        <v>7155</v>
      </c>
      <c r="F61" t="s">
        <v>7156</v>
      </c>
      <c r="G61" t="s">
        <v>7157</v>
      </c>
      <c r="H61" t="s">
        <v>7158</v>
      </c>
      <c r="M61" t="s">
        <v>7159</v>
      </c>
    </row>
    <row r="62" spans="1:13" x14ac:dyDescent="0.35">
      <c r="A62" s="51" t="s">
        <v>235</v>
      </c>
      <c r="B62" t="s">
        <v>7160</v>
      </c>
      <c r="C62" t="s">
        <v>958</v>
      </c>
      <c r="D62" t="s">
        <v>3910</v>
      </c>
      <c r="E62" s="52" t="s">
        <v>7161</v>
      </c>
      <c r="F62" t="s">
        <v>7162</v>
      </c>
      <c r="H62" t="s">
        <v>7163</v>
      </c>
      <c r="I62" t="s">
        <v>7164</v>
      </c>
    </row>
    <row r="63" spans="1:13" x14ac:dyDescent="0.35">
      <c r="A63" t="s">
        <v>395</v>
      </c>
      <c r="B63" t="s">
        <v>3492</v>
      </c>
      <c r="C63" t="s">
        <v>950</v>
      </c>
      <c r="D63" t="s">
        <v>3430</v>
      </c>
      <c r="E63" s="52" t="s">
        <v>7165</v>
      </c>
      <c r="F63" t="s">
        <v>7166</v>
      </c>
      <c r="H63" t="s">
        <v>7167</v>
      </c>
    </row>
    <row r="64" spans="1:13" x14ac:dyDescent="0.35">
      <c r="A64" s="51" t="s">
        <v>996</v>
      </c>
      <c r="B64" t="s">
        <v>7057</v>
      </c>
      <c r="C64" t="s">
        <v>682</v>
      </c>
      <c r="D64" t="s">
        <v>3889</v>
      </c>
      <c r="E64" s="52" t="s">
        <v>7168</v>
      </c>
      <c r="F64" t="s">
        <v>7169</v>
      </c>
      <c r="H64" t="s">
        <v>7170</v>
      </c>
      <c r="I64" t="s">
        <v>7132</v>
      </c>
    </row>
    <row r="65" spans="1:9" x14ac:dyDescent="0.35">
      <c r="A65" s="51" t="s">
        <v>996</v>
      </c>
      <c r="B65" t="s">
        <v>7057</v>
      </c>
      <c r="C65" t="s">
        <v>682</v>
      </c>
      <c r="D65" t="s">
        <v>3889</v>
      </c>
      <c r="E65" s="52" t="s">
        <v>7171</v>
      </c>
      <c r="F65" t="s">
        <v>7172</v>
      </c>
      <c r="G65" t="s">
        <v>7173</v>
      </c>
      <c r="H65" t="s">
        <v>7174</v>
      </c>
      <c r="I65" t="s">
        <v>7175</v>
      </c>
    </row>
    <row r="66" spans="1:9" x14ac:dyDescent="0.35">
      <c r="A66" s="51" t="s">
        <v>996</v>
      </c>
      <c r="B66" t="s">
        <v>7057</v>
      </c>
      <c r="C66" t="s">
        <v>682</v>
      </c>
      <c r="D66" t="s">
        <v>3889</v>
      </c>
      <c r="E66" s="52" t="s">
        <v>7176</v>
      </c>
      <c r="F66" t="s">
        <v>7177</v>
      </c>
      <c r="H66" t="s">
        <v>7178</v>
      </c>
      <c r="I66" t="s">
        <v>7132</v>
      </c>
    </row>
    <row r="67" spans="1:9" x14ac:dyDescent="0.35">
      <c r="A67" s="51" t="s">
        <v>7179</v>
      </c>
      <c r="B67" t="s">
        <v>3492</v>
      </c>
      <c r="C67" t="s">
        <v>7180</v>
      </c>
      <c r="D67" t="s">
        <v>4074</v>
      </c>
      <c r="E67" s="52" t="s">
        <v>7181</v>
      </c>
      <c r="F67" t="s">
        <v>7182</v>
      </c>
      <c r="H67" t="s">
        <v>7183</v>
      </c>
      <c r="I67" t="s">
        <v>7040</v>
      </c>
    </row>
    <row r="68" spans="1:9" x14ac:dyDescent="0.35">
      <c r="A68" s="51" t="s">
        <v>7184</v>
      </c>
      <c r="B68" t="s">
        <v>7086</v>
      </c>
      <c r="C68" t="s">
        <v>6972</v>
      </c>
      <c r="D68" t="s">
        <v>4920</v>
      </c>
      <c r="E68" s="52" t="s">
        <v>7185</v>
      </c>
      <c r="F68" t="s">
        <v>7186</v>
      </c>
      <c r="H68" t="s">
        <v>7187</v>
      </c>
      <c r="I68" t="s">
        <v>7040</v>
      </c>
    </row>
    <row r="69" spans="1:9" x14ac:dyDescent="0.35">
      <c r="A69" s="51" t="s">
        <v>98</v>
      </c>
      <c r="B69" t="s">
        <v>7005</v>
      </c>
      <c r="C69" t="s">
        <v>7006</v>
      </c>
      <c r="D69" s="26" t="s">
        <v>7007</v>
      </c>
      <c r="E69" s="52" t="s">
        <v>7188</v>
      </c>
      <c r="F69" t="s">
        <v>7189</v>
      </c>
      <c r="H69" t="s">
        <v>7190</v>
      </c>
    </row>
    <row r="70" spans="1:9" x14ac:dyDescent="0.35">
      <c r="A70" s="51" t="s">
        <v>7191</v>
      </c>
      <c r="B70" t="s">
        <v>7192</v>
      </c>
      <c r="C70" t="s">
        <v>6972</v>
      </c>
      <c r="D70" t="s">
        <v>3799</v>
      </c>
      <c r="E70" s="52" t="s">
        <v>7193</v>
      </c>
      <c r="F70" t="s">
        <v>7194</v>
      </c>
      <c r="H70" t="s">
        <v>7195</v>
      </c>
      <c r="I70" t="s">
        <v>7196</v>
      </c>
    </row>
    <row r="71" spans="1:9" x14ac:dyDescent="0.35">
      <c r="A71" s="51" t="s">
        <v>1012</v>
      </c>
      <c r="B71" t="s">
        <v>7197</v>
      </c>
      <c r="C71" t="s">
        <v>7197</v>
      </c>
      <c r="D71" t="s">
        <v>7198</v>
      </c>
      <c r="E71" s="52" t="s">
        <v>7199</v>
      </c>
      <c r="F71" t="s">
        <v>7200</v>
      </c>
      <c r="H71" t="s">
        <v>7201</v>
      </c>
      <c r="I71" t="s">
        <v>7067</v>
      </c>
    </row>
    <row r="72" spans="1:9" x14ac:dyDescent="0.35">
      <c r="A72" s="51" t="s">
        <v>153</v>
      </c>
      <c r="B72" t="s">
        <v>7202</v>
      </c>
      <c r="C72" t="s">
        <v>7202</v>
      </c>
      <c r="D72" t="s">
        <v>3915</v>
      </c>
      <c r="E72" s="52" t="s">
        <v>7203</v>
      </c>
      <c r="H72" t="s">
        <v>7204</v>
      </c>
    </row>
    <row r="73" spans="1:9" x14ac:dyDescent="0.35">
      <c r="A73" s="51" t="s">
        <v>179</v>
      </c>
      <c r="B73" t="s">
        <v>455</v>
      </c>
      <c r="C73" t="s">
        <v>7205</v>
      </c>
      <c r="D73" t="s">
        <v>3774</v>
      </c>
      <c r="E73" s="52" t="s">
        <v>7206</v>
      </c>
      <c r="F73" t="s">
        <v>7207</v>
      </c>
      <c r="H73" t="s">
        <v>7208</v>
      </c>
    </row>
    <row r="74" spans="1:9" x14ac:dyDescent="0.35">
      <c r="A74" s="51" t="s">
        <v>395</v>
      </c>
      <c r="B74" t="s">
        <v>7209</v>
      </c>
      <c r="C74" t="s">
        <v>7209</v>
      </c>
      <c r="D74" t="s">
        <v>397</v>
      </c>
      <c r="E74" s="55" t="s">
        <v>7210</v>
      </c>
      <c r="F74" t="s">
        <v>7211</v>
      </c>
      <c r="H74" t="s">
        <v>7212</v>
      </c>
    </row>
    <row r="75" spans="1:9" x14ac:dyDescent="0.35">
      <c r="A75" s="51" t="s">
        <v>917</v>
      </c>
      <c r="B75" t="s">
        <v>6996</v>
      </c>
      <c r="E75" s="52" t="s">
        <v>7213</v>
      </c>
      <c r="F75" t="s">
        <v>7214</v>
      </c>
      <c r="H75" t="s">
        <v>7215</v>
      </c>
      <c r="I75" t="s">
        <v>7216</v>
      </c>
    </row>
    <row r="76" spans="1:9" x14ac:dyDescent="0.35">
      <c r="A76" s="51" t="s">
        <v>917</v>
      </c>
      <c r="B76" t="s">
        <v>6996</v>
      </c>
      <c r="E76" s="52" t="s">
        <v>7217</v>
      </c>
      <c r="F76" t="s">
        <v>7218</v>
      </c>
      <c r="H76" t="s">
        <v>7219</v>
      </c>
      <c r="I76" t="s">
        <v>7220</v>
      </c>
    </row>
    <row r="77" spans="1:9" x14ac:dyDescent="0.35">
      <c r="A77" s="51" t="s">
        <v>226</v>
      </c>
      <c r="E77" s="52" t="s">
        <v>7221</v>
      </c>
      <c r="F77" t="s">
        <v>7222</v>
      </c>
      <c r="H77" t="s">
        <v>7223</v>
      </c>
      <c r="I77" t="s">
        <v>7164</v>
      </c>
    </row>
    <row r="78" spans="1:9" x14ac:dyDescent="0.35">
      <c r="E78" s="52"/>
    </row>
    <row r="79" spans="1:9" x14ac:dyDescent="0.35">
      <c r="E79" s="52"/>
    </row>
    <row r="80" spans="1:9" x14ac:dyDescent="0.35">
      <c r="E80" s="52"/>
    </row>
    <row r="81" spans="5:5" x14ac:dyDescent="0.35">
      <c r="E81" s="52"/>
    </row>
    <row r="82" spans="5:5" x14ac:dyDescent="0.35">
      <c r="E82" s="52"/>
    </row>
    <row r="83" spans="5:5" x14ac:dyDescent="0.35">
      <c r="E83" s="52"/>
    </row>
    <row r="84" spans="5:5" x14ac:dyDescent="0.35">
      <c r="E84" s="52"/>
    </row>
    <row r="85" spans="5:5" x14ac:dyDescent="0.35">
      <c r="E85" s="52"/>
    </row>
    <row r="86" spans="5:5" x14ac:dyDescent="0.35">
      <c r="E86" s="52"/>
    </row>
    <row r="87" spans="5:5" x14ac:dyDescent="0.35">
      <c r="E87" s="52"/>
    </row>
    <row r="88" spans="5:5" x14ac:dyDescent="0.35">
      <c r="E88" s="52"/>
    </row>
    <row r="89" spans="5:5" x14ac:dyDescent="0.35">
      <c r="E89" s="52"/>
    </row>
    <row r="90" spans="5:5" x14ac:dyDescent="0.35">
      <c r="E90" s="52"/>
    </row>
    <row r="91" spans="5:5" x14ac:dyDescent="0.35">
      <c r="E91" s="52"/>
    </row>
    <row r="92" spans="5:5" x14ac:dyDescent="0.35">
      <c r="E92" s="52"/>
    </row>
    <row r="93" spans="5:5" x14ac:dyDescent="0.35">
      <c r="E93" s="52"/>
    </row>
    <row r="94" spans="5:5" x14ac:dyDescent="0.35">
      <c r="E94" s="52"/>
    </row>
    <row r="95" spans="5:5" x14ac:dyDescent="0.35">
      <c r="E95" s="52"/>
    </row>
    <row r="96" spans="5:5" x14ac:dyDescent="0.35">
      <c r="E96" s="52"/>
    </row>
    <row r="97" spans="5:5" x14ac:dyDescent="0.35">
      <c r="E97" s="52"/>
    </row>
    <row r="98" spans="5:5" x14ac:dyDescent="0.35">
      <c r="E98" s="52"/>
    </row>
    <row r="99" spans="5:5" x14ac:dyDescent="0.35">
      <c r="E99" s="52"/>
    </row>
    <row r="100" spans="5:5" x14ac:dyDescent="0.35">
      <c r="E100" s="52"/>
    </row>
    <row r="101" spans="5:5" x14ac:dyDescent="0.35">
      <c r="E101" s="52"/>
    </row>
    <row r="102" spans="5:5" x14ac:dyDescent="0.35">
      <c r="E102" s="52"/>
    </row>
    <row r="103" spans="5:5" x14ac:dyDescent="0.35">
      <c r="E103" s="52"/>
    </row>
    <row r="104" spans="5:5" x14ac:dyDescent="0.35">
      <c r="E104" s="52"/>
    </row>
    <row r="105" spans="5:5" x14ac:dyDescent="0.35">
      <c r="E105" s="52"/>
    </row>
    <row r="106" spans="5:5" x14ac:dyDescent="0.35">
      <c r="E106" s="52"/>
    </row>
  </sheetData>
  <autoFilter ref="A1:M74" xr:uid="{552E3320-5E4A-4B1C-AA4E-4677629F5769}"/>
  <hyperlinks>
    <hyperlink ref="E2" r:id="rId1" xr:uid="{290A323E-D2D1-4393-BF48-24928487728E}"/>
    <hyperlink ref="E3" r:id="rId2" display="mailto:vinicius.prista@imcsaste.com.br" xr:uid="{9E11A352-4BF9-4FFC-B816-11E9FAA8BE8D}"/>
    <hyperlink ref="E5" r:id="rId3" display="mailto:vinicius.prista@imcsaste.com.br" xr:uid="{1D76487B-1D34-4A4E-953B-AFF53987DB6D}"/>
    <hyperlink ref="E4" r:id="rId4" xr:uid="{FF6A4C42-2CE3-4F5F-A155-67312F709C63}"/>
    <hyperlink ref="E6" r:id="rId5" display="mailto:lucas.sousa@imcsaste.com.br" xr:uid="{A4AC9175-4916-4A3C-8D3A-DD90B1629301}"/>
    <hyperlink ref="E7" r:id="rId6" display="mailto:adriana.rodrigues@imcsaste.com.br" xr:uid="{2332B946-9FF7-41BE-9BB4-E2195C971C93}"/>
    <hyperlink ref="E8" r:id="rId7" display="mailto:rita.barros@imcsaste.com.br" xr:uid="{3C55AA10-E508-4D82-B6D7-6AD72296477A}"/>
    <hyperlink ref="E9" r:id="rId8" display="mailto:joao.mota@nobregapimenta.com.br" xr:uid="{6B5FAA98-0772-4859-9FB8-895B779DF37B}"/>
    <hyperlink ref="E10" r:id="rId9" xr:uid="{623CAE82-5655-4A44-BC18-55DEAC642D1B}"/>
    <hyperlink ref="E11" r:id="rId10" xr:uid="{833F2770-108C-4A50-B06A-3C6103449575}"/>
    <hyperlink ref="E12" r:id="rId11" xr:uid="{1AC92E6D-12F0-4E26-8E9A-0C8FEB9B14AF}"/>
    <hyperlink ref="E13" r:id="rId12" display="mailto:jonathan@salumconstrucoes.com.br" xr:uid="{DB000233-FA81-4F88-9278-CCA38B5868A5}"/>
    <hyperlink ref="E14" r:id="rId13" display="mailto:wanderson.lima@terrabel.com.br" xr:uid="{DE92E777-E358-4D93-A28C-23535C207AF4}"/>
    <hyperlink ref="E15" r:id="rId14" display="mailto:keli.fernandes@terrabel.com.br" xr:uid="{10ED0F64-B84A-45D3-9C28-821707DA8B6B}"/>
    <hyperlink ref="E16" r:id="rId15" display="mailto:seg08@construtoravaleverde.com.br" xr:uid="{DABE72E5-83E0-4374-A72D-66679821A3D1}"/>
    <hyperlink ref="E28" r:id="rId16" display="mailto:claudio@parex.com.br" xr:uid="{57D5E1C1-90BF-4C9B-A3DC-579B401B29F8}"/>
    <hyperlink ref="E22" r:id="rId17" xr:uid="{FED44D86-2C1F-46C7-A21F-ECCEAB4003E8}"/>
    <hyperlink ref="E23" r:id="rId18" xr:uid="{F0764B1E-5A88-4139-96AB-D4A0FE204D2F}"/>
    <hyperlink ref="E19" r:id="rId19" xr:uid="{315B05BC-C7BB-4573-AE00-908FA9D7FBAC}"/>
    <hyperlink ref="E18" r:id="rId20" xr:uid="{E3A966EB-BD0E-439E-8382-36CBF6464860}"/>
    <hyperlink ref="E29" r:id="rId21" xr:uid="{9C9E1D46-572A-439C-8CD0-9D5D6EA14A95}"/>
    <hyperlink ref="E30" r:id="rId22" xr:uid="{F78AD482-E927-43C6-A44D-E41C4E461929}"/>
    <hyperlink ref="E31" r:id="rId23" xr:uid="{1E814249-8742-43B0-9C91-C5BA23B8FDB4}"/>
    <hyperlink ref="E34" r:id="rId24" xr:uid="{1A03D89B-3A48-4039-BA94-D5E12B628298}"/>
    <hyperlink ref="E35" r:id="rId25" xr:uid="{5819E441-DF25-456C-86AE-BE0AB4DAC507}"/>
    <hyperlink ref="E36" r:id="rId26" xr:uid="{3D4C1861-5493-4A4A-84C8-A00B083A31DD}"/>
    <hyperlink ref="E37" r:id="rId27" xr:uid="{3B3BB7D8-758D-447E-B97A-B506CB7F4714}"/>
    <hyperlink ref="E38" r:id="rId28" xr:uid="{5EA072BB-0433-4291-B2F6-372CDCED09B1}"/>
    <hyperlink ref="E39" r:id="rId29" xr:uid="{84E71E99-74D9-42B4-A670-B822ED38FACE}"/>
    <hyperlink ref="E40" r:id="rId30" xr:uid="{4ADE36AC-57F1-4907-9290-623C596C0200}"/>
    <hyperlink ref="E43" r:id="rId31" xr:uid="{9056F0FF-BCB8-476C-9932-71DDA5646146}"/>
    <hyperlink ref="E51" r:id="rId32" xr:uid="{6C294CC2-FD98-4E18-914B-E629F66D6D7C}"/>
    <hyperlink ref="E60" r:id="rId33" xr:uid="{EF462D46-9E34-4E8A-8E8A-14D4306A7950}"/>
    <hyperlink ref="E59" r:id="rId34" xr:uid="{ADE7E10D-00E2-48CE-896E-CB69690A0DD1}"/>
    <hyperlink ref="E62" r:id="rId35" xr:uid="{A3286A7C-8E75-4398-8E85-11BB796DB80E}"/>
    <hyperlink ref="E63" r:id="rId36" xr:uid="{C1B346FA-3D4C-4AC3-AA1B-03D3C7B64C7D}"/>
    <hyperlink ref="E69" r:id="rId37" xr:uid="{E9382F20-49BE-4029-8F7F-7392F0936C16}"/>
    <hyperlink ref="E17" r:id="rId38" xr:uid="{70D82FC0-B666-4CB9-9F9D-680083DB1A8C}"/>
    <hyperlink ref="E71" r:id="rId39" xr:uid="{CAF581C9-C119-41CB-BCF5-3114F4706B89}"/>
    <hyperlink ref="E68" r:id="rId40" xr:uid="{A3A6A358-B922-4694-BD19-66A71E4B6FCB}"/>
    <hyperlink ref="E70" r:id="rId41" xr:uid="{166C9D4D-6049-4143-B7A9-F92C47A69773}"/>
    <hyperlink ref="E72" r:id="rId42" xr:uid="{CC7659F3-A962-4514-9515-D61747466F2C}"/>
    <hyperlink ref="E73" r:id="rId43" xr:uid="{D5AF04F0-49F4-4B8D-84B8-7FDCD1F38138}"/>
    <hyperlink ref="E75" r:id="rId44" xr:uid="{16F4669E-5D73-45A0-9FDE-4A2E1055C11E}"/>
    <hyperlink ref="E76" r:id="rId45" xr:uid="{86FCFCEE-D863-4636-8C18-54421824A8D9}"/>
    <hyperlink ref="E77" r:id="rId46" xr:uid="{87BAB714-753A-4FBC-947E-7C01D62A3C74}"/>
  </hyperlinks>
  <pageMargins left="0.7" right="0.7" top="0.75" bottom="0.75" header="0.3" footer="0.3"/>
  <pageSetup paperSize="9" orientation="portrait" r:id="rId4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324E4-784B-48DC-94ED-E861AB24498C}">
  <dimension ref="A1:G26"/>
  <sheetViews>
    <sheetView topLeftCell="C4" workbookViewId="0">
      <selection activeCell="C20" sqref="C20"/>
    </sheetView>
  </sheetViews>
  <sheetFormatPr defaultRowHeight="14.5" x14ac:dyDescent="0.35"/>
  <cols>
    <col min="1" max="1" width="27.26953125" customWidth="1"/>
    <col min="2" max="2" width="59.7265625" customWidth="1"/>
    <col min="3" max="3" width="39.1796875" customWidth="1"/>
    <col min="4" max="5" width="27.26953125" customWidth="1"/>
    <col min="6" max="6" width="84.26953125" customWidth="1"/>
  </cols>
  <sheetData>
    <row r="1" spans="1:6" x14ac:dyDescent="0.35">
      <c r="A1" s="50" t="s">
        <v>7224</v>
      </c>
      <c r="B1" s="50" t="s">
        <v>7225</v>
      </c>
      <c r="C1" s="50" t="s">
        <v>7226</v>
      </c>
      <c r="D1" s="50" t="s">
        <v>7227</v>
      </c>
      <c r="E1" s="50" t="s">
        <v>1316</v>
      </c>
      <c r="F1" s="50" t="s">
        <v>7228</v>
      </c>
    </row>
    <row r="2" spans="1:6" x14ac:dyDescent="0.35">
      <c r="A2" s="26" t="s">
        <v>7229</v>
      </c>
      <c r="B2" s="56" t="s">
        <v>7230</v>
      </c>
      <c r="C2" s="56" t="s">
        <v>2597</v>
      </c>
      <c r="D2" s="26" t="s">
        <v>7231</v>
      </c>
      <c r="E2" s="26" t="s">
        <v>3109</v>
      </c>
      <c r="F2" s="57" t="s">
        <v>7232</v>
      </c>
    </row>
    <row r="3" spans="1:6" x14ac:dyDescent="0.35">
      <c r="A3" s="26" t="s">
        <v>7233</v>
      </c>
      <c r="B3" s="56" t="s">
        <v>7234</v>
      </c>
      <c r="C3" s="56" t="s">
        <v>7235</v>
      </c>
      <c r="D3" s="26" t="s">
        <v>7236</v>
      </c>
      <c r="E3" s="26" t="s">
        <v>3109</v>
      </c>
      <c r="F3" s="57" t="s">
        <v>7237</v>
      </c>
    </row>
    <row r="4" spans="1:6" ht="29" x14ac:dyDescent="0.35">
      <c r="A4" s="26" t="s">
        <v>7238</v>
      </c>
      <c r="B4" s="58" t="s">
        <v>7239</v>
      </c>
      <c r="C4" s="59" t="s">
        <v>7240</v>
      </c>
      <c r="D4" s="26" t="s">
        <v>7241</v>
      </c>
      <c r="E4" s="26" t="s">
        <v>3109</v>
      </c>
      <c r="F4" s="57" t="s">
        <v>7242</v>
      </c>
    </row>
    <row r="5" spans="1:6" x14ac:dyDescent="0.35">
      <c r="A5" s="26" t="s">
        <v>7243</v>
      </c>
      <c r="B5" s="56" t="s">
        <v>7244</v>
      </c>
      <c r="C5" s="56" t="s">
        <v>7245</v>
      </c>
      <c r="D5" s="26" t="s">
        <v>7246</v>
      </c>
      <c r="E5" s="26" t="s">
        <v>7247</v>
      </c>
      <c r="F5" s="57" t="s">
        <v>7248</v>
      </c>
    </row>
    <row r="6" spans="1:6" ht="29" x14ac:dyDescent="0.35">
      <c r="A6" s="26" t="s">
        <v>7249</v>
      </c>
      <c r="B6" s="60" t="s">
        <v>7250</v>
      </c>
      <c r="C6" s="26" t="s">
        <v>3825</v>
      </c>
      <c r="D6" s="26" t="s">
        <v>3825</v>
      </c>
      <c r="E6" s="26" t="s">
        <v>3825</v>
      </c>
      <c r="F6" s="57" t="s">
        <v>7251</v>
      </c>
    </row>
    <row r="7" spans="1:6" x14ac:dyDescent="0.35">
      <c r="A7" s="26" t="s">
        <v>7229</v>
      </c>
      <c r="B7" s="56" t="s">
        <v>7230</v>
      </c>
      <c r="C7" s="52" t="s">
        <v>2069</v>
      </c>
      <c r="D7" s="26" t="s">
        <v>7252</v>
      </c>
      <c r="E7" s="26" t="s">
        <v>7253</v>
      </c>
      <c r="F7" s="57" t="s">
        <v>7232</v>
      </c>
    </row>
    <row r="8" spans="1:6" x14ac:dyDescent="0.35">
      <c r="A8" s="26" t="s">
        <v>7229</v>
      </c>
      <c r="B8" s="56" t="s">
        <v>7230</v>
      </c>
      <c r="C8" s="52" t="s">
        <v>2472</v>
      </c>
      <c r="D8" s="26" t="s">
        <v>7254</v>
      </c>
      <c r="E8" s="26" t="s">
        <v>7253</v>
      </c>
      <c r="F8" s="57" t="s">
        <v>7232</v>
      </c>
    </row>
    <row r="9" spans="1:6" x14ac:dyDescent="0.35">
      <c r="A9" s="26" t="s">
        <v>7255</v>
      </c>
      <c r="B9" s="60" t="s">
        <v>7256</v>
      </c>
      <c r="C9" s="61" t="s">
        <v>7257</v>
      </c>
      <c r="D9" s="26" t="s">
        <v>7254</v>
      </c>
      <c r="E9" s="26" t="s">
        <v>7253</v>
      </c>
      <c r="F9" s="57" t="s">
        <v>7258</v>
      </c>
    </row>
    <row r="10" spans="1:6" x14ac:dyDescent="0.35">
      <c r="A10" s="26" t="s">
        <v>7259</v>
      </c>
      <c r="B10" s="60" t="s">
        <v>7260</v>
      </c>
      <c r="C10" s="60" t="s">
        <v>2472</v>
      </c>
      <c r="D10" s="62" t="s">
        <v>7261</v>
      </c>
      <c r="F10" s="57" t="s">
        <v>7262</v>
      </c>
    </row>
    <row r="11" spans="1:6" x14ac:dyDescent="0.35">
      <c r="A11" s="26" t="s">
        <v>7229</v>
      </c>
      <c r="B11" s="56" t="s">
        <v>7230</v>
      </c>
      <c r="C11" s="52" t="s">
        <v>2393</v>
      </c>
      <c r="D11" s="56" t="s">
        <v>7263</v>
      </c>
    </row>
    <row r="12" spans="1:6" x14ac:dyDescent="0.35">
      <c r="A12" s="26" t="s">
        <v>7229</v>
      </c>
      <c r="B12" s="56" t="s">
        <v>7230</v>
      </c>
      <c r="C12" t="s">
        <v>2374</v>
      </c>
      <c r="D12" s="26" t="s">
        <v>7254</v>
      </c>
      <c r="F12" s="57" t="s">
        <v>7232</v>
      </c>
    </row>
    <row r="13" spans="1:6" x14ac:dyDescent="0.35">
      <c r="A13" s="26" t="s">
        <v>7264</v>
      </c>
      <c r="B13" s="60" t="s">
        <v>7265</v>
      </c>
      <c r="C13" s="62" t="s">
        <v>7266</v>
      </c>
      <c r="D13" s="62" t="s">
        <v>7267</v>
      </c>
    </row>
    <row r="14" spans="1:6" x14ac:dyDescent="0.35">
      <c r="A14" s="26" t="s">
        <v>7268</v>
      </c>
      <c r="B14" s="60" t="s">
        <v>7269</v>
      </c>
      <c r="C14" s="62" t="s">
        <v>7270</v>
      </c>
      <c r="D14" s="62" t="s">
        <v>7254</v>
      </c>
      <c r="E14" s="62"/>
      <c r="F14" s="57" t="s">
        <v>7271</v>
      </c>
    </row>
    <row r="15" spans="1:6" x14ac:dyDescent="0.35">
      <c r="A15" s="62" t="s">
        <v>7272</v>
      </c>
      <c r="B15" s="62" t="s">
        <v>7273</v>
      </c>
      <c r="C15" s="60" t="s">
        <v>2472</v>
      </c>
      <c r="D15" s="62" t="s">
        <v>7254</v>
      </c>
      <c r="E15" s="62"/>
      <c r="F15" s="63" t="s">
        <v>7274</v>
      </c>
    </row>
    <row r="16" spans="1:6" x14ac:dyDescent="0.35">
      <c r="A16" s="26" t="s">
        <v>7268</v>
      </c>
      <c r="B16" s="60" t="s">
        <v>7269</v>
      </c>
      <c r="C16" s="62" t="s">
        <v>7275</v>
      </c>
      <c r="D16" s="62" t="s">
        <v>7254</v>
      </c>
      <c r="E16" s="62"/>
      <c r="F16" s="57" t="s">
        <v>7271</v>
      </c>
    </row>
    <row r="17" spans="1:7" ht="13.9" customHeight="1" x14ac:dyDescent="0.35">
      <c r="A17" s="62" t="s">
        <v>7276</v>
      </c>
      <c r="B17" s="60" t="s">
        <v>7277</v>
      </c>
      <c r="C17" s="62" t="s">
        <v>7278</v>
      </c>
      <c r="D17" s="62" t="s">
        <v>7254</v>
      </c>
      <c r="E17" s="62"/>
      <c r="F17" s="57" t="s">
        <v>7279</v>
      </c>
    </row>
    <row r="18" spans="1:7" x14ac:dyDescent="0.35">
      <c r="A18" s="62" t="s">
        <v>7280</v>
      </c>
      <c r="B18" s="60" t="s">
        <v>7281</v>
      </c>
      <c r="C18" s="60" t="s">
        <v>2472</v>
      </c>
      <c r="D18" s="62" t="s">
        <v>7282</v>
      </c>
      <c r="E18" s="62"/>
      <c r="F18" s="57" t="s">
        <v>7283</v>
      </c>
    </row>
    <row r="19" spans="1:7" x14ac:dyDescent="0.35">
      <c r="A19" s="62" t="s">
        <v>7284</v>
      </c>
      <c r="B19" s="60" t="s">
        <v>7285</v>
      </c>
      <c r="C19" s="60" t="s">
        <v>7286</v>
      </c>
      <c r="D19" s="62" t="s">
        <v>7287</v>
      </c>
      <c r="E19" s="62"/>
      <c r="F19" s="57" t="s">
        <v>7288</v>
      </c>
    </row>
    <row r="20" spans="1:7" x14ac:dyDescent="0.35">
      <c r="A20" s="62" t="s">
        <v>7289</v>
      </c>
      <c r="B20" s="60" t="s">
        <v>7290</v>
      </c>
      <c r="C20" s="60" t="s">
        <v>2472</v>
      </c>
      <c r="D20" s="62" t="s">
        <v>7287</v>
      </c>
      <c r="E20" s="62"/>
      <c r="F20" s="57" t="s">
        <v>7291</v>
      </c>
    </row>
    <row r="21" spans="1:7" x14ac:dyDescent="0.35">
      <c r="A21" s="62" t="s">
        <v>7292</v>
      </c>
      <c r="B21" s="60" t="s">
        <v>7293</v>
      </c>
      <c r="C21" s="62">
        <v>4714</v>
      </c>
      <c r="D21" s="60" t="s">
        <v>7294</v>
      </c>
      <c r="E21" s="62"/>
      <c r="F21" s="63" t="s">
        <v>7295</v>
      </c>
    </row>
    <row r="22" spans="1:7" x14ac:dyDescent="0.35">
      <c r="A22" s="62" t="s">
        <v>7296</v>
      </c>
      <c r="B22" s="60" t="s">
        <v>7297</v>
      </c>
      <c r="C22" s="62" t="s">
        <v>7298</v>
      </c>
      <c r="D22" s="62" t="s">
        <v>7299</v>
      </c>
      <c r="E22" s="62" t="s">
        <v>7300</v>
      </c>
      <c r="F22" s="63" t="s">
        <v>7301</v>
      </c>
      <c r="G22" s="52" t="s">
        <v>7302</v>
      </c>
    </row>
    <row r="23" spans="1:7" x14ac:dyDescent="0.35">
      <c r="A23" s="62"/>
      <c r="B23" s="62"/>
      <c r="C23" s="62"/>
      <c r="D23" s="62"/>
      <c r="E23" s="62"/>
    </row>
    <row r="24" spans="1:7" x14ac:dyDescent="0.35">
      <c r="A24" s="62"/>
      <c r="B24" s="62"/>
      <c r="C24" s="62"/>
      <c r="D24" s="62"/>
      <c r="E24" s="62"/>
    </row>
    <row r="25" spans="1:7" x14ac:dyDescent="0.35">
      <c r="A25" s="62"/>
      <c r="B25" s="62"/>
      <c r="C25" s="62"/>
      <c r="D25" s="62"/>
      <c r="E25" s="62"/>
    </row>
    <row r="26" spans="1:7" x14ac:dyDescent="0.35">
      <c r="A26" s="62"/>
      <c r="B26" s="62"/>
      <c r="C26" s="62"/>
      <c r="D26" s="62"/>
      <c r="E26" s="62"/>
    </row>
  </sheetData>
  <autoFilter ref="A1:F1" xr:uid="{032335DB-A84B-4543-BECC-F45A6B6192A8}"/>
  <hyperlinks>
    <hyperlink ref="C3" r:id="rId1" xr:uid="{776C8200-E117-494A-994B-9566FCB34100}"/>
    <hyperlink ref="C2" r:id="rId2" xr:uid="{441EA217-7842-4E8A-BA45-AB76142849C5}"/>
    <hyperlink ref="B3" r:id="rId3" xr:uid="{DB38418D-BE35-486E-BB2F-0F9E0F04CBD9}"/>
    <hyperlink ref="B4" r:id="rId4" xr:uid="{7A371031-9CCC-4FCE-BC32-0B5E12A27022}"/>
    <hyperlink ref="B5" r:id="rId5" xr:uid="{326DF8E8-1B0D-44E8-BC43-12CCD99601DC}"/>
    <hyperlink ref="C5" r:id="rId6" xr:uid="{AD0AEF24-DD7E-4BBA-A06A-A667CE95D9D7}"/>
    <hyperlink ref="B2" r:id="rId7" xr:uid="{B0A3EFEA-01A3-4B37-84DD-E69C4FB846D7}"/>
    <hyperlink ref="B7" r:id="rId8" xr:uid="{92A27E1A-EBF4-429C-9AC2-22F980BF1BFE}"/>
    <hyperlink ref="C7" r:id="rId9" xr:uid="{6FA10407-C653-413A-856A-286748278614}"/>
    <hyperlink ref="B8" r:id="rId10" xr:uid="{C81931F5-258E-41CF-8F19-9F46647EC6D3}"/>
    <hyperlink ref="C8" r:id="rId11" xr:uid="{696F2B20-C7E8-4031-B3E3-6E236E2A81DF}"/>
    <hyperlink ref="B9" r:id="rId12" xr:uid="{EF38814E-840E-470B-B54B-E1E89B25EBD2}"/>
    <hyperlink ref="C10" r:id="rId13" xr:uid="{54FAAD1D-2491-405C-8A18-E1EAE8B6DDBB}"/>
    <hyperlink ref="B10" r:id="rId14" xr:uid="{E7025366-FE97-4C86-AC63-ABD15FC6DA20}"/>
    <hyperlink ref="B6" r:id="rId15" display="https://vale-forms.valeglobal.net/public?id=h81WgFWg7dkhWYiGIHrUjQ%3D%3D&amp;lang=pt-BR" xr:uid="{29F1421C-3855-40FC-B8F6-9ACCF78D557D}"/>
    <hyperlink ref="B11" r:id="rId16" xr:uid="{EFB857FD-D8DF-4BCE-B6A8-1FB0D9083407}"/>
    <hyperlink ref="C11" r:id="rId17" xr:uid="{4FD293C6-5C77-439C-8AAF-414BECC13253}"/>
    <hyperlink ref="D11" r:id="rId18" xr:uid="{95A8DA7C-85B5-45E1-A774-8364465D53EC}"/>
    <hyperlink ref="B12" r:id="rId19" xr:uid="{EA65A011-CF3A-48E7-8DEA-91FAD7344595}"/>
    <hyperlink ref="B13" r:id="rId20" xr:uid="{C3BA3E4F-7CE7-4BE2-8608-75E0837B2996}"/>
    <hyperlink ref="B14" r:id="rId21" xr:uid="{7CEB0312-369B-4772-B0E6-A249E2C9DB1A}"/>
    <hyperlink ref="C15" r:id="rId22" xr:uid="{997D07AA-C65F-41A3-88E5-0898EC93D82E}"/>
    <hyperlink ref="B16" r:id="rId23" xr:uid="{9EBCA279-DF8A-48B6-B216-23DAEDBAC702}"/>
    <hyperlink ref="B17" r:id="rId24" xr:uid="{B40424DC-F3FD-4CF9-901E-D9B7AEB635DD}"/>
    <hyperlink ref="B18" r:id="rId25" xr:uid="{63457E4D-8EAD-4241-9310-FC4F99435FAF}"/>
    <hyperlink ref="C18" r:id="rId26" xr:uid="{4BED249C-17AE-4F8B-BFB2-FE53468EB362}"/>
    <hyperlink ref="B19" r:id="rId27" xr:uid="{C45F160B-F2EA-413A-8B30-E6104679FFDA}"/>
    <hyperlink ref="C19" r:id="rId28" xr:uid="{8AE2E85B-F8C5-4542-A39E-B5392FD8F2D3}"/>
    <hyperlink ref="B20" r:id="rId29" xr:uid="{CFA0C598-D433-48A9-870A-9997EF51D174}"/>
    <hyperlink ref="C20" r:id="rId30" xr:uid="{40596D89-D182-4ED2-8535-1694496FAC16}"/>
    <hyperlink ref="B21" r:id="rId31" xr:uid="{03938B98-C0B5-42BB-9AA3-2DD0ACE2C822}"/>
    <hyperlink ref="D21" r:id="rId32" xr:uid="{ACD02FFE-5EC2-4D62-941A-FAF7AECF0F08}"/>
    <hyperlink ref="B22" r:id="rId33" xr:uid="{BFB02EAB-5D35-4262-A417-53B77A0F69BE}"/>
    <hyperlink ref="G22" r:id="rId34" xr:uid="{C678C6A5-DC51-47BC-878B-4339D5DA125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25D2-B5EA-4AE7-B73C-0D2533DDEF93}">
  <dimension ref="A1:F27"/>
  <sheetViews>
    <sheetView workbookViewId="0">
      <selection activeCell="P26" sqref="P26"/>
    </sheetView>
  </sheetViews>
  <sheetFormatPr defaultRowHeight="14.5" x14ac:dyDescent="0.35"/>
  <cols>
    <col min="1" max="1" width="14.26953125" bestFit="1" customWidth="1"/>
    <col min="2" max="2" width="9.7265625" bestFit="1" customWidth="1"/>
    <col min="3" max="3" width="14.7265625" bestFit="1" customWidth="1"/>
    <col min="4" max="4" width="10.453125" bestFit="1" customWidth="1"/>
    <col min="5" max="5" width="16" bestFit="1" customWidth="1"/>
    <col min="6" max="6" width="12.81640625" bestFit="1" customWidth="1"/>
  </cols>
  <sheetData>
    <row r="1" spans="1:6" x14ac:dyDescent="0.35">
      <c r="A1" s="64" t="s">
        <v>7303</v>
      </c>
      <c r="B1" s="64" t="s">
        <v>3048</v>
      </c>
      <c r="C1" s="64" t="s">
        <v>7304</v>
      </c>
      <c r="D1" s="64" t="s">
        <v>7305</v>
      </c>
      <c r="E1" s="64" t="s">
        <v>7306</v>
      </c>
      <c r="F1" s="64" t="s">
        <v>7307</v>
      </c>
    </row>
    <row r="2" spans="1:6" x14ac:dyDescent="0.35">
      <c r="A2" s="65" t="s">
        <v>106</v>
      </c>
      <c r="B2" s="65" t="s">
        <v>7308</v>
      </c>
      <c r="C2" s="65" t="s">
        <v>7309</v>
      </c>
      <c r="D2" s="66">
        <v>45748</v>
      </c>
      <c r="E2" s="67" t="s">
        <v>1228</v>
      </c>
      <c r="F2" s="67">
        <v>45726</v>
      </c>
    </row>
    <row r="3" spans="1:6" x14ac:dyDescent="0.35">
      <c r="A3" s="65" t="s">
        <v>106</v>
      </c>
      <c r="B3" s="65" t="s">
        <v>7308</v>
      </c>
      <c r="C3" s="65" t="s">
        <v>7310</v>
      </c>
      <c r="D3" s="66">
        <v>45748</v>
      </c>
      <c r="E3" s="67" t="s">
        <v>1228</v>
      </c>
      <c r="F3" s="67">
        <v>45726</v>
      </c>
    </row>
    <row r="4" spans="1:6" x14ac:dyDescent="0.35">
      <c r="A4" s="65" t="s">
        <v>7311</v>
      </c>
      <c r="B4" s="65" t="s">
        <v>7312</v>
      </c>
      <c r="C4" s="65" t="s">
        <v>7309</v>
      </c>
      <c r="D4" s="67">
        <v>45798</v>
      </c>
      <c r="E4" s="67" t="s">
        <v>1228</v>
      </c>
      <c r="F4" s="67">
        <v>45723</v>
      </c>
    </row>
    <row r="5" spans="1:6" x14ac:dyDescent="0.35">
      <c r="A5" s="65" t="s">
        <v>7311</v>
      </c>
      <c r="B5" s="65" t="s">
        <v>7312</v>
      </c>
      <c r="C5" s="65" t="s">
        <v>7310</v>
      </c>
      <c r="D5" s="67">
        <v>45798</v>
      </c>
      <c r="E5" s="67" t="s">
        <v>1228</v>
      </c>
      <c r="F5" s="67">
        <v>45723</v>
      </c>
    </row>
    <row r="6" spans="1:6" x14ac:dyDescent="0.35">
      <c r="A6" s="65" t="s">
        <v>263</v>
      </c>
      <c r="B6" s="65" t="s">
        <v>7313</v>
      </c>
      <c r="C6" s="65" t="s">
        <v>7310</v>
      </c>
      <c r="D6" s="68" t="s">
        <v>7314</v>
      </c>
      <c r="E6" s="65" t="s">
        <v>1228</v>
      </c>
      <c r="F6" s="67">
        <v>45728</v>
      </c>
    </row>
    <row r="7" spans="1:6" x14ac:dyDescent="0.35">
      <c r="A7" s="65" t="s">
        <v>263</v>
      </c>
      <c r="B7" s="65" t="s">
        <v>7313</v>
      </c>
      <c r="C7" s="65" t="s">
        <v>7310</v>
      </c>
      <c r="D7" s="69" t="s">
        <v>7314</v>
      </c>
      <c r="E7" s="65" t="s">
        <v>1228</v>
      </c>
      <c r="F7" s="67">
        <v>45730</v>
      </c>
    </row>
    <row r="8" spans="1:6" x14ac:dyDescent="0.35">
      <c r="A8" s="65" t="s">
        <v>161</v>
      </c>
      <c r="B8" s="65" t="s">
        <v>7308</v>
      </c>
      <c r="C8" s="70" t="s">
        <v>7309</v>
      </c>
      <c r="D8" s="65"/>
      <c r="E8" s="71" t="s">
        <v>1228</v>
      </c>
      <c r="F8" s="67">
        <v>45694</v>
      </c>
    </row>
    <row r="9" spans="1:6" x14ac:dyDescent="0.35">
      <c r="A9" s="65" t="s">
        <v>161</v>
      </c>
      <c r="B9" s="65" t="s">
        <v>7308</v>
      </c>
      <c r="C9" s="70" t="s">
        <v>7310</v>
      </c>
      <c r="D9" s="65"/>
      <c r="E9" s="71" t="s">
        <v>1228</v>
      </c>
      <c r="F9" s="67">
        <v>45693</v>
      </c>
    </row>
    <row r="10" spans="1:6" x14ac:dyDescent="0.35">
      <c r="A10" s="65" t="s">
        <v>161</v>
      </c>
      <c r="B10" s="65" t="s">
        <v>7308</v>
      </c>
      <c r="C10" s="65" t="s">
        <v>7309</v>
      </c>
      <c r="D10" s="72"/>
      <c r="E10" s="65" t="s">
        <v>1228</v>
      </c>
      <c r="F10" s="67">
        <v>45747</v>
      </c>
    </row>
    <row r="11" spans="1:6" x14ac:dyDescent="0.35">
      <c r="A11" s="65" t="s">
        <v>161</v>
      </c>
      <c r="B11" s="65" t="s">
        <v>7308</v>
      </c>
      <c r="C11" s="65" t="s">
        <v>7310</v>
      </c>
      <c r="D11" s="65"/>
      <c r="E11" s="65" t="s">
        <v>1228</v>
      </c>
      <c r="F11" s="67">
        <v>45747</v>
      </c>
    </row>
    <row r="12" spans="1:6" x14ac:dyDescent="0.35">
      <c r="A12" s="65"/>
      <c r="B12" s="65"/>
      <c r="C12" s="65"/>
      <c r="D12" s="65"/>
      <c r="E12" s="65"/>
      <c r="F12" s="65"/>
    </row>
    <row r="13" spans="1:6" x14ac:dyDescent="0.35">
      <c r="A13" s="65"/>
      <c r="B13" s="65"/>
      <c r="C13" s="65"/>
      <c r="D13" s="65"/>
      <c r="E13" s="65"/>
      <c r="F13" s="65"/>
    </row>
    <row r="14" spans="1:6" x14ac:dyDescent="0.35">
      <c r="A14" s="65"/>
      <c r="B14" s="65"/>
      <c r="C14" s="65"/>
      <c r="D14" s="65"/>
      <c r="E14" s="65"/>
      <c r="F14" s="65"/>
    </row>
    <row r="15" spans="1:6" x14ac:dyDescent="0.35">
      <c r="A15" s="65"/>
      <c r="B15" s="65"/>
      <c r="C15" s="65"/>
      <c r="D15" s="65"/>
      <c r="E15" s="65"/>
      <c r="F15" s="65"/>
    </row>
    <row r="16" spans="1:6" x14ac:dyDescent="0.35">
      <c r="A16" s="65"/>
      <c r="B16" s="65"/>
      <c r="C16" s="65"/>
      <c r="D16" s="65"/>
      <c r="E16" s="65"/>
      <c r="F16" s="65"/>
    </row>
    <row r="17" spans="1:6" x14ac:dyDescent="0.35">
      <c r="A17" s="65"/>
      <c r="B17" s="65"/>
      <c r="C17" s="65"/>
      <c r="D17" s="65"/>
      <c r="E17" s="65"/>
      <c r="F17" s="65"/>
    </row>
    <row r="18" spans="1:6" x14ac:dyDescent="0.35">
      <c r="A18" s="65"/>
      <c r="B18" s="65"/>
      <c r="C18" s="65"/>
      <c r="D18" s="65"/>
      <c r="E18" s="65"/>
      <c r="F18" s="65"/>
    </row>
    <row r="19" spans="1:6" x14ac:dyDescent="0.35">
      <c r="A19" s="65"/>
      <c r="B19" s="65"/>
      <c r="C19" s="65"/>
      <c r="D19" s="65"/>
      <c r="E19" s="65"/>
      <c r="F19" s="65"/>
    </row>
    <row r="20" spans="1:6" x14ac:dyDescent="0.35">
      <c r="A20" s="65"/>
      <c r="B20" s="65"/>
      <c r="C20" s="65"/>
      <c r="D20" s="65"/>
      <c r="E20" s="65"/>
      <c r="F20" s="65"/>
    </row>
    <row r="21" spans="1:6" x14ac:dyDescent="0.35">
      <c r="A21" s="65"/>
      <c r="B21" s="65"/>
      <c r="C21" s="65"/>
      <c r="D21" s="65"/>
      <c r="E21" s="65"/>
      <c r="F21" s="65"/>
    </row>
    <row r="22" spans="1:6" x14ac:dyDescent="0.35">
      <c r="A22" s="65"/>
      <c r="B22" s="65"/>
      <c r="C22" s="65"/>
      <c r="D22" s="65"/>
      <c r="E22" s="65"/>
      <c r="F22" s="65"/>
    </row>
    <row r="23" spans="1:6" x14ac:dyDescent="0.35">
      <c r="A23" s="65"/>
      <c r="B23" s="65"/>
      <c r="C23" s="65"/>
      <c r="D23" s="65"/>
      <c r="E23" s="65"/>
      <c r="F23" s="65"/>
    </row>
    <row r="24" spans="1:6" x14ac:dyDescent="0.35">
      <c r="A24" s="65"/>
      <c r="B24" s="65"/>
      <c r="C24" s="65"/>
      <c r="D24" s="65"/>
      <c r="E24" s="65"/>
      <c r="F24" s="65"/>
    </row>
    <row r="25" spans="1:6" x14ac:dyDescent="0.35">
      <c r="A25" s="65"/>
      <c r="B25" s="65"/>
      <c r="C25" s="65"/>
      <c r="D25" s="65"/>
      <c r="E25" s="65"/>
      <c r="F25" s="65"/>
    </row>
    <row r="26" spans="1:6" x14ac:dyDescent="0.35">
      <c r="A26" s="65"/>
      <c r="B26" s="65"/>
      <c r="C26" s="65"/>
      <c r="D26" s="65"/>
      <c r="E26" s="65"/>
      <c r="F26" s="65"/>
    </row>
    <row r="27" spans="1:6" x14ac:dyDescent="0.35">
      <c r="A27" s="65"/>
      <c r="B27" s="65"/>
      <c r="C27" s="65"/>
      <c r="D27" s="65"/>
      <c r="E27" s="65"/>
      <c r="F27" s="65"/>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40a5ec-1eb4-441e-bd31-7fbe6d0b7dc4">
      <Terms xmlns="http://schemas.microsoft.com/office/infopath/2007/PartnerControls"/>
    </lcf76f155ced4ddcb4097134ff3c332f>
    <TaxCatchAll xmlns="257dc6a1-db66-4376-ab10-64f13bac24e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817BA8EDD1F848A6B77F437942C447" ma:contentTypeVersion="18" ma:contentTypeDescription="Create a new document." ma:contentTypeScope="" ma:versionID="8ca029b795fbd1fc63b6fef3c0f14595">
  <xsd:schema xmlns:xsd="http://www.w3.org/2001/XMLSchema" xmlns:xs="http://www.w3.org/2001/XMLSchema" xmlns:p="http://schemas.microsoft.com/office/2006/metadata/properties" xmlns:ns2="a340a5ec-1eb4-441e-bd31-7fbe6d0b7dc4" xmlns:ns3="257dc6a1-db66-4376-ab10-64f13bac24ef" targetNamespace="http://schemas.microsoft.com/office/2006/metadata/properties" ma:root="true" ma:fieldsID="93ca6e86e0e0fe7458924adc9d3282e7" ns2:_="" ns3:_="">
    <xsd:import namespace="a340a5ec-1eb4-441e-bd31-7fbe6d0b7dc4"/>
    <xsd:import namespace="257dc6a1-db66-4376-ab10-64f13bac24e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40a5ec-1eb4-441e-bd31-7fbe6d0b7d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201f610-fd22-46d6-9aa9-19573a56381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7dc6a1-db66-4376-ab10-64f13bac24e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d3b4027-76b4-4703-a8da-4d424566122c}" ma:internalName="TaxCatchAll" ma:showField="CatchAllData" ma:web="257dc6a1-db66-4376-ab10-64f13bac24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CABF60-3EF4-428B-8208-F8B9F58398B4}">
  <ds:schemaRefs>
    <ds:schemaRef ds:uri="http://schemas.microsoft.com/office/2006/metadata/properties"/>
    <ds:schemaRef ds:uri="http://schemas.microsoft.com/office/infopath/2007/PartnerControls"/>
    <ds:schemaRef ds:uri="a340a5ec-1eb4-441e-bd31-7fbe6d0b7dc4"/>
    <ds:schemaRef ds:uri="257dc6a1-db66-4376-ab10-64f13bac24ef"/>
  </ds:schemaRefs>
</ds:datastoreItem>
</file>

<file path=customXml/itemProps2.xml><?xml version="1.0" encoding="utf-8"?>
<ds:datastoreItem xmlns:ds="http://schemas.openxmlformats.org/officeDocument/2006/customXml" ds:itemID="{B5232F5D-7973-48B6-B3A9-2CBFF8857C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40a5ec-1eb4-441e-bd31-7fbe6d0b7dc4"/>
    <ds:schemaRef ds:uri="257dc6a1-db66-4376-ab10-64f13bac24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643BFF-B5C0-4559-AB97-3C205D99E7BC}">
  <ds:schemaRefs>
    <ds:schemaRef ds:uri="http://schemas.microsoft.com/DataMashup"/>
  </ds:schemaRefs>
</ds:datastoreItem>
</file>

<file path=customXml/itemProps4.xml><?xml version="1.0" encoding="utf-8"?>
<ds:datastoreItem xmlns:ds="http://schemas.openxmlformats.org/officeDocument/2006/customXml" ds:itemID="{887EBCDD-2851-48EE-BA21-CA8ACAC6EB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MOB.PESSOAS</vt:lpstr>
      <vt:lpstr>MOB.EMPRESAS</vt:lpstr>
      <vt:lpstr>DESMOB. PESSOAS</vt:lpstr>
      <vt:lpstr>TabControleEfetivo</vt:lpstr>
      <vt:lpstr>Liderança</vt:lpstr>
      <vt:lpstr>LIDERANÇA2</vt:lpstr>
      <vt:lpstr>Controle_Projetos</vt:lpstr>
      <vt:lpstr>GERAL_CONTRATOS</vt:lpstr>
      <vt:lpstr>CONTATO CLIENTES</vt:lpstr>
      <vt:lpstr>GERENCIAMENTO LOGIN E SENHA</vt:lpstr>
      <vt:lpstr>Atualização de Anexo 06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Júlia Brandão</dc:creator>
  <cp:keywords/>
  <dc:description/>
  <cp:lastModifiedBy>Andre Luiz Costa Guimarães</cp:lastModifiedBy>
  <cp:revision/>
  <dcterms:created xsi:type="dcterms:W3CDTF">2025-11-05T12:56:12Z</dcterms:created>
  <dcterms:modified xsi:type="dcterms:W3CDTF">2026-09-09T12:51:09Z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0x0101006C817BA8EDD1F848A6B77F437942C447</vt:lpwstr>
  </property>
  <property fmtid="{D5CDD505-2E9C-101B-9397-08002B2CF9AE}" pid="3" name="MediaServiceImageTags">
    <vt:lpwstr/>
  </property>
</Properties>
</file>