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7" activeTab="10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  <sheet name="final" sheetId="18" r:id="rId11"/>
    <sheet name="price_Illustrate" sheetId="1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8" l="1"/>
  <c r="F32" i="18"/>
  <c r="F33" i="18"/>
  <c r="F34" i="18"/>
  <c r="F35" i="18"/>
  <c r="F36" i="18"/>
  <c r="F37" i="18"/>
  <c r="F38" i="18"/>
  <c r="F39" i="18"/>
  <c r="F40" i="18"/>
  <c r="F42" i="18"/>
  <c r="F43" i="18"/>
  <c r="F44" i="18"/>
  <c r="F45" i="18"/>
  <c r="F46" i="18"/>
  <c r="F47" i="18"/>
  <c r="F48" i="18"/>
  <c r="F49" i="18"/>
  <c r="F50" i="18"/>
  <c r="F51" i="18"/>
  <c r="F52" i="18"/>
  <c r="F21" i="18"/>
  <c r="F22" i="18"/>
  <c r="F23" i="18"/>
  <c r="F24" i="18"/>
  <c r="F25" i="18"/>
  <c r="F26" i="18"/>
  <c r="F27" i="18"/>
  <c r="F28" i="18"/>
  <c r="F29" i="18"/>
  <c r="F30" i="18"/>
  <c r="F19" i="18"/>
  <c r="F20" i="18"/>
  <c r="F18" i="18"/>
  <c r="R26" i="18" l="1"/>
  <c r="R27" i="18"/>
  <c r="R28" i="18"/>
  <c r="R29" i="18"/>
  <c r="R18" i="18"/>
  <c r="R19" i="18"/>
  <c r="R20" i="18"/>
  <c r="R21" i="18"/>
  <c r="R22" i="18"/>
  <c r="R23" i="18"/>
  <c r="R24" i="18"/>
  <c r="R25" i="18"/>
  <c r="R17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20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19" i="18"/>
  <c r="I19" i="18" s="1"/>
  <c r="G18" i="18"/>
  <c r="C19" i="18"/>
  <c r="Q19" i="18" s="1"/>
  <c r="C20" i="18"/>
  <c r="Q20" i="18" s="1"/>
  <c r="C21" i="18"/>
  <c r="Q21" i="18" s="1"/>
  <c r="C22" i="18"/>
  <c r="C23" i="18"/>
  <c r="Q23" i="18" s="1"/>
  <c r="C24" i="18"/>
  <c r="C25" i="18"/>
  <c r="Q25" i="18" s="1"/>
  <c r="C26" i="18"/>
  <c r="Q26" i="18" s="1"/>
  <c r="C27" i="18"/>
  <c r="Q27" i="18" s="1"/>
  <c r="C28" i="18"/>
  <c r="C29" i="18"/>
  <c r="C30" i="18"/>
  <c r="C31" i="18"/>
  <c r="Q31" i="18" s="1"/>
  <c r="C32" i="18"/>
  <c r="C33" i="18"/>
  <c r="C34" i="18"/>
  <c r="C35" i="18"/>
  <c r="Q35" i="18" s="1"/>
  <c r="C36" i="18"/>
  <c r="C37" i="18"/>
  <c r="R37" i="18" s="1"/>
  <c r="C38" i="18"/>
  <c r="C39" i="18"/>
  <c r="Q39" i="18" s="1"/>
  <c r="C40" i="18"/>
  <c r="C41" i="18"/>
  <c r="C42" i="18"/>
  <c r="Q42" i="18" s="1"/>
  <c r="C43" i="18"/>
  <c r="Q43" i="18" s="1"/>
  <c r="C44" i="18"/>
  <c r="C45" i="18"/>
  <c r="C46" i="18"/>
  <c r="Q46" i="18" s="1"/>
  <c r="C47" i="18"/>
  <c r="C48" i="18"/>
  <c r="Q48" i="18" s="1"/>
  <c r="C49" i="18"/>
  <c r="Q49" i="18" s="1"/>
  <c r="C50" i="18"/>
  <c r="Q50" i="18" s="1"/>
  <c r="C51" i="18"/>
  <c r="Q51" i="18" s="1"/>
  <c r="C52" i="18"/>
  <c r="C18" i="18"/>
  <c r="Q18" i="18" s="1"/>
  <c r="P18" i="18"/>
  <c r="P17" i="18"/>
  <c r="H26" i="18"/>
  <c r="K26" i="18" s="1"/>
  <c r="O52" i="18"/>
  <c r="O51" i="18"/>
  <c r="O50" i="18"/>
  <c r="O49" i="18"/>
  <c r="O48" i="18"/>
  <c r="O47" i="18"/>
  <c r="O46" i="18"/>
  <c r="O45" i="18"/>
  <c r="O44" i="18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N19" i="18"/>
  <c r="N60" i="18"/>
  <c r="Q52" i="18"/>
  <c r="Q45" i="18"/>
  <c r="P41" i="18"/>
  <c r="P40" i="18"/>
  <c r="P39" i="18"/>
  <c r="P38" i="18"/>
  <c r="P37" i="18"/>
  <c r="T37" i="18" s="1"/>
  <c r="P36" i="18"/>
  <c r="R36" i="18"/>
  <c r="P35" i="18"/>
  <c r="T35" i="18" s="1"/>
  <c r="P34" i="18"/>
  <c r="P33" i="18"/>
  <c r="R33" i="18"/>
  <c r="P32" i="18"/>
  <c r="P31" i="18"/>
  <c r="P30" i="18"/>
  <c r="P29" i="18"/>
  <c r="P28" i="18"/>
  <c r="T28" i="18" s="1"/>
  <c r="P27" i="18"/>
  <c r="P26" i="18"/>
  <c r="Q24" i="18"/>
  <c r="O19" i="18"/>
  <c r="T18" i="18"/>
  <c r="Q17" i="18"/>
  <c r="J36" i="14"/>
  <c r="J37" i="14" s="1"/>
  <c r="J38" i="14" s="1"/>
  <c r="G36" i="14"/>
  <c r="M6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20" i="14"/>
  <c r="N46" i="14"/>
  <c r="N47" i="14"/>
  <c r="N48" i="14"/>
  <c r="N49" i="14"/>
  <c r="N50" i="14"/>
  <c r="N51" i="14"/>
  <c r="N52" i="14"/>
  <c r="N19" i="14"/>
  <c r="J51" i="14"/>
  <c r="J52" i="14"/>
  <c r="F41" i="18" l="1"/>
  <c r="R41" i="18" s="1"/>
  <c r="S21" i="18"/>
  <c r="P19" i="18"/>
  <c r="G20" i="18"/>
  <c r="I20" i="18" s="1"/>
  <c r="T39" i="18"/>
  <c r="T41" i="18"/>
  <c r="T27" i="18"/>
  <c r="S26" i="18"/>
  <c r="V26" i="18"/>
  <c r="H27" i="18"/>
  <c r="K27" i="18" s="1"/>
  <c r="H28" i="18" s="1"/>
  <c r="T33" i="18"/>
  <c r="T31" i="18"/>
  <c r="Q37" i="18"/>
  <c r="Q33" i="18"/>
  <c r="Q29" i="18"/>
  <c r="Q30" i="18"/>
  <c r="R30" i="18"/>
  <c r="Q44" i="18"/>
  <c r="S44" i="18" s="1"/>
  <c r="Q34" i="18"/>
  <c r="R34" i="18"/>
  <c r="R40" i="18"/>
  <c r="Q40" i="18"/>
  <c r="Q38" i="18"/>
  <c r="R38" i="18"/>
  <c r="Q28" i="18"/>
  <c r="R32" i="18"/>
  <c r="Q32" i="18"/>
  <c r="T19" i="18"/>
  <c r="Q36" i="18"/>
  <c r="S25" i="18"/>
  <c r="T36" i="18"/>
  <c r="Q47" i="18"/>
  <c r="S48" i="18" s="1"/>
  <c r="T32" i="18"/>
  <c r="T29" i="18"/>
  <c r="T40" i="18"/>
  <c r="Q22" i="18"/>
  <c r="S22" i="18" s="1"/>
  <c r="S43" i="18"/>
  <c r="S50" i="18"/>
  <c r="S46" i="18"/>
  <c r="W26" i="18"/>
  <c r="S51" i="18"/>
  <c r="S24" i="18"/>
  <c r="S18" i="18"/>
  <c r="S20" i="18"/>
  <c r="R31" i="18"/>
  <c r="R35" i="18"/>
  <c r="R39" i="18"/>
  <c r="S49" i="18"/>
  <c r="S52" i="18"/>
  <c r="T30" i="18"/>
  <c r="T34" i="18"/>
  <c r="T38" i="18"/>
  <c r="G37" i="14"/>
  <c r="Q41" i="18" l="1"/>
  <c r="S42" i="18" s="1"/>
  <c r="S37" i="18"/>
  <c r="S41" i="18"/>
  <c r="V27" i="18"/>
  <c r="W27" i="18" s="1"/>
  <c r="S33" i="18"/>
  <c r="S30" i="18"/>
  <c r="P20" i="18"/>
  <c r="T20" i="18" s="1"/>
  <c r="G21" i="18"/>
  <c r="I21" i="18" s="1"/>
  <c r="S23" i="18"/>
  <c r="S29" i="18"/>
  <c r="S47" i="18"/>
  <c r="S45" i="18"/>
  <c r="S38" i="18"/>
  <c r="S40" i="18"/>
  <c r="S39" i="18"/>
  <c r="S32" i="18"/>
  <c r="S31" i="18"/>
  <c r="S34" i="18"/>
  <c r="S36" i="18"/>
  <c r="S35" i="18"/>
  <c r="S28" i="18"/>
  <c r="S27" i="18"/>
  <c r="S19" i="18"/>
  <c r="F18" i="14"/>
  <c r="P21" i="18" l="1"/>
  <c r="T21" i="18" s="1"/>
  <c r="G22" i="18"/>
  <c r="I22" i="18" s="1"/>
  <c r="K28" i="18"/>
  <c r="H29" i="18" s="1"/>
  <c r="W51" i="14"/>
  <c r="W52" i="14"/>
  <c r="M27" i="14"/>
  <c r="M28" i="14"/>
  <c r="M29" i="14"/>
  <c r="M30" i="14"/>
  <c r="M31" i="14"/>
  <c r="M32" i="14"/>
  <c r="M33" i="14"/>
  <c r="M34" i="14"/>
  <c r="M35" i="14"/>
  <c r="G35" i="14" s="1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6" i="14"/>
  <c r="G26" i="14" s="1"/>
  <c r="J26" i="14" s="1"/>
  <c r="M21" i="14"/>
  <c r="M22" i="14"/>
  <c r="M23" i="14"/>
  <c r="M24" i="14"/>
  <c r="M25" i="14"/>
  <c r="M20" i="14"/>
  <c r="M19" i="14"/>
  <c r="P22" i="18" l="1"/>
  <c r="T22" i="18" s="1"/>
  <c r="G23" i="18"/>
  <c r="I23" i="18" s="1"/>
  <c r="V28" i="18"/>
  <c r="W28" i="18" s="1"/>
  <c r="K29" i="18"/>
  <c r="H30" i="18" s="1"/>
  <c r="C52" i="14"/>
  <c r="E52" i="14" s="1"/>
  <c r="P52" i="14" s="1"/>
  <c r="C51" i="14"/>
  <c r="E51" i="14" s="1"/>
  <c r="P51" i="14" s="1"/>
  <c r="C50" i="14"/>
  <c r="E50" i="14" s="1"/>
  <c r="P50" i="14" s="1"/>
  <c r="C49" i="14"/>
  <c r="E49" i="14" s="1"/>
  <c r="P49" i="14" s="1"/>
  <c r="C48" i="14"/>
  <c r="E48" i="14" s="1"/>
  <c r="P48" i="14" s="1"/>
  <c r="C47" i="14"/>
  <c r="E47" i="14" s="1"/>
  <c r="P47" i="14" s="1"/>
  <c r="C46" i="14"/>
  <c r="E46" i="14" s="1"/>
  <c r="P46" i="14" s="1"/>
  <c r="C45" i="14"/>
  <c r="E45" i="14" s="1"/>
  <c r="P45" i="14" s="1"/>
  <c r="C44" i="14"/>
  <c r="E44" i="14" s="1"/>
  <c r="P44" i="14" s="1"/>
  <c r="C43" i="14"/>
  <c r="E43" i="14" s="1"/>
  <c r="P43" i="14" s="1"/>
  <c r="C42" i="14"/>
  <c r="E42" i="14" s="1"/>
  <c r="P42" i="14" s="1"/>
  <c r="C41" i="14"/>
  <c r="E41" i="14" s="1"/>
  <c r="P41" i="14" s="1"/>
  <c r="C40" i="14"/>
  <c r="E40" i="14" s="1"/>
  <c r="P40" i="14" s="1"/>
  <c r="C39" i="14"/>
  <c r="E39" i="14" s="1"/>
  <c r="P39" i="14" s="1"/>
  <c r="C38" i="14"/>
  <c r="E38" i="14" s="1"/>
  <c r="P38" i="14" s="1"/>
  <c r="C37" i="14"/>
  <c r="E37" i="14" s="1"/>
  <c r="P37" i="14" s="1"/>
  <c r="C36" i="14"/>
  <c r="E36" i="14" s="1"/>
  <c r="P36" i="14" s="1"/>
  <c r="C35" i="14"/>
  <c r="E35" i="14" s="1"/>
  <c r="P35" i="14" s="1"/>
  <c r="C34" i="14"/>
  <c r="E34" i="14" s="1"/>
  <c r="P34" i="14" s="1"/>
  <c r="C33" i="14"/>
  <c r="E33" i="14" s="1"/>
  <c r="P33" i="14" s="1"/>
  <c r="C32" i="14"/>
  <c r="E32" i="14" s="1"/>
  <c r="P32" i="14" s="1"/>
  <c r="F19" i="14"/>
  <c r="H19" i="14" s="1"/>
  <c r="P23" i="18" l="1"/>
  <c r="T23" i="18" s="1"/>
  <c r="G24" i="18"/>
  <c r="I24" i="18" s="1"/>
  <c r="V29" i="18"/>
  <c r="W29" i="18" s="1"/>
  <c r="H31" i="18"/>
  <c r="K31" i="18" s="1"/>
  <c r="K30" i="18"/>
  <c r="R49" i="14"/>
  <c r="R42" i="14"/>
  <c r="R46" i="14"/>
  <c r="R44" i="14"/>
  <c r="R36" i="14"/>
  <c r="R48" i="14"/>
  <c r="R43" i="14"/>
  <c r="R50" i="14"/>
  <c r="R51" i="14"/>
  <c r="R45" i="14"/>
  <c r="R47" i="14"/>
  <c r="R52" i="14"/>
  <c r="R37" i="14"/>
  <c r="R33" i="14"/>
  <c r="R34" i="14"/>
  <c r="R38" i="14"/>
  <c r="R41" i="14"/>
  <c r="R35" i="14"/>
  <c r="R39" i="14"/>
  <c r="R40" i="14"/>
  <c r="V31" i="18" l="1"/>
  <c r="H32" i="18"/>
  <c r="K32" i="18" s="1"/>
  <c r="P24" i="18"/>
  <c r="T24" i="18" s="1"/>
  <c r="G25" i="18"/>
  <c r="I25" i="18" s="1"/>
  <c r="V30" i="18"/>
  <c r="W30" i="18" s="1"/>
  <c r="W31" i="18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P25" i="18" l="1"/>
  <c r="G26" i="18"/>
  <c r="G27" i="18"/>
  <c r="J25" i="18"/>
  <c r="J26" i="18"/>
  <c r="V32" i="18"/>
  <c r="W32" i="18" s="1"/>
  <c r="H33" i="18"/>
  <c r="U26" i="18"/>
  <c r="J58" i="13"/>
  <c r="L58" i="13" s="1"/>
  <c r="M58" i="13" s="1"/>
  <c r="F58" i="13"/>
  <c r="H58" i="13"/>
  <c r="K58" i="13"/>
  <c r="C28" i="14"/>
  <c r="E28" i="14" s="1"/>
  <c r="P28" i="14" s="1"/>
  <c r="C29" i="14"/>
  <c r="E29" i="14" s="1"/>
  <c r="P29" i="14" s="1"/>
  <c r="C30" i="14"/>
  <c r="E30" i="14" s="1"/>
  <c r="P30" i="14" s="1"/>
  <c r="C31" i="14"/>
  <c r="E31" i="14" s="1"/>
  <c r="P31" i="14" s="1"/>
  <c r="C27" i="14"/>
  <c r="E27" i="14" s="1"/>
  <c r="P27" i="14" s="1"/>
  <c r="H34" i="18" l="1"/>
  <c r="K33" i="18"/>
  <c r="V33" i="18" s="1"/>
  <c r="W33" i="18" s="1"/>
  <c r="T25" i="18"/>
  <c r="T26" i="18"/>
  <c r="J28" i="18"/>
  <c r="J27" i="18"/>
  <c r="R32" i="14"/>
  <c r="R31" i="14"/>
  <c r="R30" i="14"/>
  <c r="R29" i="14"/>
  <c r="R28" i="14"/>
  <c r="F20" i="14"/>
  <c r="H20" i="14" s="1"/>
  <c r="Q17" i="14"/>
  <c r="P17" i="14"/>
  <c r="O17" i="14"/>
  <c r="C19" i="14"/>
  <c r="E19" i="14" s="1"/>
  <c r="P19" i="14" s="1"/>
  <c r="C20" i="14"/>
  <c r="E20" i="14" s="1"/>
  <c r="P20" i="14" s="1"/>
  <c r="C21" i="14"/>
  <c r="E21" i="14" s="1"/>
  <c r="P21" i="14" s="1"/>
  <c r="R21" i="14" s="1"/>
  <c r="C22" i="14"/>
  <c r="E22" i="14" s="1"/>
  <c r="P22" i="14" s="1"/>
  <c r="C23" i="14"/>
  <c r="E23" i="14" s="1"/>
  <c r="P23" i="14" s="1"/>
  <c r="C24" i="14"/>
  <c r="E24" i="14" s="1"/>
  <c r="P24" i="14" s="1"/>
  <c r="C25" i="14"/>
  <c r="E25" i="14" s="1"/>
  <c r="P25" i="14" s="1"/>
  <c r="R25" i="14" s="1"/>
  <c r="C26" i="14"/>
  <c r="E26" i="14" s="1"/>
  <c r="P26" i="14" s="1"/>
  <c r="C18" i="14"/>
  <c r="E18" i="14" s="1"/>
  <c r="Q18" i="14" s="1"/>
  <c r="O18" i="14"/>
  <c r="H35" i="18" l="1"/>
  <c r="K35" i="18" s="1"/>
  <c r="K34" i="18"/>
  <c r="U28" i="18"/>
  <c r="J29" i="18"/>
  <c r="U27" i="18"/>
  <c r="R26" i="14"/>
  <c r="R22" i="14"/>
  <c r="S18" i="14"/>
  <c r="R23" i="14"/>
  <c r="P18" i="14"/>
  <c r="R18" i="14" s="1"/>
  <c r="F21" i="14"/>
  <c r="H21" i="14" s="1"/>
  <c r="R24" i="14"/>
  <c r="R27" i="14"/>
  <c r="R20" i="14"/>
  <c r="O19" i="14"/>
  <c r="S19" i="14" s="1"/>
  <c r="Q19" i="14"/>
  <c r="H36" i="18" l="1"/>
  <c r="K36" i="18"/>
  <c r="V35" i="18"/>
  <c r="V34" i="18"/>
  <c r="W34" i="18" s="1"/>
  <c r="U29" i="18"/>
  <c r="W35" i="18"/>
  <c r="R19" i="14"/>
  <c r="Q20" i="14"/>
  <c r="O20" i="14"/>
  <c r="S20" i="14" s="1"/>
  <c r="F22" i="14"/>
  <c r="H22" i="14" s="1"/>
  <c r="K37" i="18" l="1"/>
  <c r="H37" i="18"/>
  <c r="J30" i="18"/>
  <c r="J31" i="18"/>
  <c r="F23" i="14"/>
  <c r="H23" i="14" s="1"/>
  <c r="O21" i="14"/>
  <c r="S21" i="14" s="1"/>
  <c r="Q21" i="14"/>
  <c r="K38" i="18" l="1"/>
  <c r="H38" i="18"/>
  <c r="V36" i="18"/>
  <c r="W36" i="18" s="1"/>
  <c r="J32" i="18"/>
  <c r="U31" i="18"/>
  <c r="U30" i="18"/>
  <c r="F24" i="14"/>
  <c r="H24" i="14" s="1"/>
  <c r="Q22" i="14"/>
  <c r="O22" i="14"/>
  <c r="S22" i="14" s="1"/>
  <c r="H39" i="18" l="1"/>
  <c r="K39" i="18"/>
  <c r="V37" i="18"/>
  <c r="W37" i="18" s="1"/>
  <c r="U32" i="18"/>
  <c r="F25" i="14"/>
  <c r="G27" i="14"/>
  <c r="J27" i="14" s="1"/>
  <c r="Q23" i="14"/>
  <c r="O23" i="14"/>
  <c r="S23" i="14" s="1"/>
  <c r="K40" i="18" l="1"/>
  <c r="H41" i="18" s="1"/>
  <c r="K41" i="18" s="1"/>
  <c r="H42" i="18" s="1"/>
  <c r="H40" i="18"/>
  <c r="V38" i="18"/>
  <c r="W38" i="18" s="1"/>
  <c r="J34" i="18"/>
  <c r="J33" i="18"/>
  <c r="I25" i="14"/>
  <c r="H25" i="14"/>
  <c r="G28" i="14"/>
  <c r="J28" i="14" s="1"/>
  <c r="W26" i="14"/>
  <c r="X26" i="14" s="1"/>
  <c r="I26" i="14"/>
  <c r="Q24" i="14"/>
  <c r="O24" i="14"/>
  <c r="S24" i="14" s="1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K42" i="18" l="1"/>
  <c r="H43" i="18"/>
  <c r="V39" i="18"/>
  <c r="W39" i="18" s="1"/>
  <c r="U33" i="18"/>
  <c r="U34" i="18"/>
  <c r="F26" i="14"/>
  <c r="F27" i="14" s="1"/>
  <c r="I28" i="14" s="1"/>
  <c r="F28" i="14" s="1"/>
  <c r="W27" i="14"/>
  <c r="X27" i="14" s="1"/>
  <c r="Q25" i="14"/>
  <c r="O25" i="14"/>
  <c r="S25" i="14" s="1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H44" i="18" l="1"/>
  <c r="K43" i="18"/>
  <c r="V40" i="18"/>
  <c r="W40" i="18" s="1"/>
  <c r="J36" i="18"/>
  <c r="J35" i="18"/>
  <c r="I27" i="14"/>
  <c r="W28" i="14"/>
  <c r="X28" i="14" s="1"/>
  <c r="G29" i="14"/>
  <c r="J29" i="14" s="1"/>
  <c r="I29" i="14"/>
  <c r="F29" i="14" s="1"/>
  <c r="F30" i="14" s="1"/>
  <c r="F56" i="13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T26" i="14"/>
  <c r="U26" i="14"/>
  <c r="V26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O26" i="14"/>
  <c r="S26" i="14" s="1"/>
  <c r="Q26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H45" i="18" l="1"/>
  <c r="K44" i="18"/>
  <c r="V41" i="18"/>
  <c r="W41" i="18" s="1"/>
  <c r="U35" i="18"/>
  <c r="U36" i="18"/>
  <c r="J37" i="18"/>
  <c r="W29" i="14"/>
  <c r="X29" i="14" s="1"/>
  <c r="G30" i="14"/>
  <c r="I30" i="14"/>
  <c r="L124" i="13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Q27" i="14"/>
  <c r="O27" i="14"/>
  <c r="S27" i="14" s="1"/>
  <c r="T27" i="14"/>
  <c r="U27" i="14"/>
  <c r="V27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V42" i="18" l="1"/>
  <c r="W42" i="18" s="1"/>
  <c r="U37" i="18"/>
  <c r="J30" i="14"/>
  <c r="G31" i="14"/>
  <c r="J31" i="14"/>
  <c r="I31" i="14"/>
  <c r="F31" i="14" s="1"/>
  <c r="O28" i="14"/>
  <c r="S28" i="14" s="1"/>
  <c r="Q28" i="14"/>
  <c r="T28" i="14"/>
  <c r="U28" i="14"/>
  <c r="V28" i="14" s="1"/>
  <c r="K21" i="11"/>
  <c r="K23" i="11"/>
  <c r="R23" i="11" s="1"/>
  <c r="L23" i="11"/>
  <c r="L21" i="11"/>
  <c r="V43" i="18" l="1"/>
  <c r="W43" i="18" s="1"/>
  <c r="J38" i="18"/>
  <c r="J39" i="18"/>
  <c r="G32" i="14"/>
  <c r="W30" i="14"/>
  <c r="X30" i="14" s="1"/>
  <c r="I32" i="14"/>
  <c r="F32" i="14" s="1"/>
  <c r="F33" i="14" s="1"/>
  <c r="U29" i="14"/>
  <c r="V29" i="14" s="1"/>
  <c r="T29" i="14"/>
  <c r="Q29" i="14"/>
  <c r="O29" i="14"/>
  <c r="S29" i="14" s="1"/>
  <c r="S23" i="11"/>
  <c r="Q23" i="11"/>
  <c r="E1" i="11"/>
  <c r="D50" i="11"/>
  <c r="D51" i="11"/>
  <c r="D52" i="11"/>
  <c r="P20" i="11"/>
  <c r="O20" i="11"/>
  <c r="I20" i="11"/>
  <c r="H20" i="11"/>
  <c r="V44" i="18" l="1"/>
  <c r="W44" i="18" s="1"/>
  <c r="J40" i="18"/>
  <c r="U39" i="18"/>
  <c r="U38" i="18"/>
  <c r="J32" i="14"/>
  <c r="G33" i="14"/>
  <c r="G34" i="14" s="1"/>
  <c r="J33" i="14"/>
  <c r="W31" i="14"/>
  <c r="X31" i="14" s="1"/>
  <c r="T32" i="14"/>
  <c r="U32" i="14"/>
  <c r="V32" i="14" s="1"/>
  <c r="Q30" i="14"/>
  <c r="O30" i="14"/>
  <c r="S30" i="14" s="1"/>
  <c r="U30" i="14"/>
  <c r="V30" i="14" s="1"/>
  <c r="T30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K45" i="18" l="1"/>
  <c r="H46" i="18" s="1"/>
  <c r="H47" i="18" s="1"/>
  <c r="H48" i="18" s="1"/>
  <c r="H49" i="18" s="1"/>
  <c r="H50" i="18" s="1"/>
  <c r="H51" i="18" s="1"/>
  <c r="H52" i="18" s="1"/>
  <c r="U40" i="18"/>
  <c r="J41" i="18"/>
  <c r="J34" i="14"/>
  <c r="W32" i="14"/>
  <c r="X32" i="14" s="1"/>
  <c r="I33" i="14"/>
  <c r="O32" i="14"/>
  <c r="Q32" i="14"/>
  <c r="Q31" i="14"/>
  <c r="O31" i="14"/>
  <c r="S31" i="14" s="1"/>
  <c r="T31" i="14"/>
  <c r="U31" i="14"/>
  <c r="V31" i="14" s="1"/>
  <c r="R20" i="11"/>
  <c r="S20" i="11" s="1"/>
  <c r="R21" i="11"/>
  <c r="S21" i="11" s="1"/>
  <c r="Q21" i="11"/>
  <c r="Q20" i="11"/>
  <c r="Q19" i="11"/>
  <c r="R19" i="11" s="1"/>
  <c r="S19" i="11" s="1"/>
  <c r="D41" i="11"/>
  <c r="K46" i="18" l="1"/>
  <c r="V45" i="18"/>
  <c r="W45" i="18" s="1"/>
  <c r="J42" i="18"/>
  <c r="U41" i="18"/>
  <c r="J35" i="14"/>
  <c r="I34" i="14"/>
  <c r="F34" i="14" s="1"/>
  <c r="F35" i="14" s="1"/>
  <c r="U33" i="14"/>
  <c r="V33" i="14" s="1"/>
  <c r="T33" i="14"/>
  <c r="S32" i="14"/>
  <c r="Q33" i="14"/>
  <c r="O33" i="14"/>
  <c r="S33" i="14" s="1"/>
  <c r="H22" i="1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V46" i="18" l="1"/>
  <c r="W46" i="18" s="1"/>
  <c r="U42" i="18"/>
  <c r="W33" i="14"/>
  <c r="X33" i="14" s="1"/>
  <c r="U34" i="14"/>
  <c r="V34" i="14" s="1"/>
  <c r="T34" i="14"/>
  <c r="Q34" i="14"/>
  <c r="O34" i="14"/>
  <c r="S34" i="14" s="1"/>
  <c r="L24" i="1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K47" i="18" l="1"/>
  <c r="J43" i="18"/>
  <c r="J44" i="18"/>
  <c r="W34" i="14"/>
  <c r="X34" i="14" s="1"/>
  <c r="O35" i="14"/>
  <c r="S35" i="14" s="1"/>
  <c r="I35" i="14"/>
  <c r="K24" i="1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V47" i="18" l="1"/>
  <c r="W47" i="18" s="1"/>
  <c r="K48" i="18"/>
  <c r="U44" i="18"/>
  <c r="J45" i="18"/>
  <c r="U43" i="18"/>
  <c r="Q35" i="14"/>
  <c r="U35" i="14"/>
  <c r="V35" i="14" s="1"/>
  <c r="T35" i="14"/>
  <c r="I36" i="14"/>
  <c r="F36" i="14" s="1"/>
  <c r="LZ36" i="8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V48" i="18" l="1"/>
  <c r="W48" i="18" s="1"/>
  <c r="K49" i="18"/>
  <c r="J46" i="18"/>
  <c r="U45" i="18"/>
  <c r="W35" i="14"/>
  <c r="X35" i="14" s="1"/>
  <c r="O36" i="14"/>
  <c r="S36" i="14" s="1"/>
  <c r="T36" i="14"/>
  <c r="U36" i="14"/>
  <c r="V36" i="14" s="1"/>
  <c r="Q36" i="14"/>
  <c r="G35" i="9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V49" i="18" l="1"/>
  <c r="W49" i="18" s="1"/>
  <c r="K50" i="18"/>
  <c r="J47" i="18"/>
  <c r="U46" i="18"/>
  <c r="G38" i="14"/>
  <c r="W36" i="14"/>
  <c r="X36" i="14" s="1"/>
  <c r="I37" i="14"/>
  <c r="F37" i="14" s="1"/>
  <c r="F38" i="14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V50" i="18" l="1"/>
  <c r="W50" i="18" s="1"/>
  <c r="K51" i="18"/>
  <c r="U47" i="18"/>
  <c r="J48" i="18"/>
  <c r="G39" i="14"/>
  <c r="G40" i="14" s="1"/>
  <c r="W37" i="14"/>
  <c r="X37" i="14" s="1"/>
  <c r="Q37" i="14"/>
  <c r="O37" i="14"/>
  <c r="S37" i="14" s="1"/>
  <c r="T37" i="14"/>
  <c r="U37" i="14"/>
  <c r="V37" i="14" s="1"/>
  <c r="E46" i="9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V51" i="18" l="1"/>
  <c r="W51" i="18" s="1"/>
  <c r="K52" i="18"/>
  <c r="V52" i="18" s="1"/>
  <c r="W52" i="18" s="1"/>
  <c r="U48" i="18"/>
  <c r="J49" i="18"/>
  <c r="J39" i="14"/>
  <c r="J40" i="14"/>
  <c r="W38" i="14"/>
  <c r="X38" i="14" s="1"/>
  <c r="I38" i="14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U49" i="18" l="1"/>
  <c r="U38" i="14"/>
  <c r="V38" i="14" s="1"/>
  <c r="T38" i="14"/>
  <c r="I39" i="14"/>
  <c r="F39" i="14" s="1"/>
  <c r="Q38" i="14"/>
  <c r="O38" i="14"/>
  <c r="S38" i="14" s="1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J50" i="18" l="1"/>
  <c r="J51" i="18"/>
  <c r="W39" i="14"/>
  <c r="X39" i="14" s="1"/>
  <c r="G41" i="14"/>
  <c r="J41" i="14" s="1"/>
  <c r="O39" i="14"/>
  <c r="S39" i="14" s="1"/>
  <c r="Q39" i="14"/>
  <c r="T39" i="14"/>
  <c r="U39" i="14"/>
  <c r="V39" i="14" s="1"/>
  <c r="F24" i="7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J52" i="18" l="1"/>
  <c r="U51" i="18"/>
  <c r="U50" i="18"/>
  <c r="W40" i="14"/>
  <c r="X40" i="14" s="1"/>
  <c r="I40" i="14"/>
  <c r="F40" i="14" s="1"/>
  <c r="G30" i="7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U52" i="18" l="1"/>
  <c r="W41" i="14"/>
  <c r="X41" i="14" s="1"/>
  <c r="G42" i="14"/>
  <c r="J42" i="14" s="1"/>
  <c r="O40" i="14"/>
  <c r="S40" i="14" s="1"/>
  <c r="Q40" i="14"/>
  <c r="U40" i="14"/>
  <c r="V40" i="14" s="1"/>
  <c r="T40" i="14"/>
  <c r="H30" i="7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W42" i="14" l="1"/>
  <c r="X42" i="14" s="1"/>
  <c r="I41" i="14"/>
  <c r="F41" i="14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G43" i="14" l="1"/>
  <c r="J43" i="14" s="1"/>
  <c r="Q41" i="14"/>
  <c r="O41" i="14"/>
  <c r="S41" i="14" s="1"/>
  <c r="I42" i="14"/>
  <c r="F42" i="14" s="1"/>
  <c r="F43" i="14" s="1"/>
  <c r="U41" i="14"/>
  <c r="V41" i="14" s="1"/>
  <c r="T41" i="14"/>
  <c r="J30" i="7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G44" i="14" l="1"/>
  <c r="J44" i="14" s="1"/>
  <c r="T42" i="14"/>
  <c r="U42" i="14"/>
  <c r="V42" i="14" s="1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G45" i="14" l="1"/>
  <c r="J45" i="14" s="1"/>
  <c r="W43" i="14"/>
  <c r="X43" i="14" s="1"/>
  <c r="I43" i="14"/>
  <c r="I44" i="14"/>
  <c r="F44" i="14" s="1"/>
  <c r="L30" i="7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G46" i="14" l="1"/>
  <c r="J46" i="14" s="1"/>
  <c r="W44" i="14"/>
  <c r="X44" i="14" s="1"/>
  <c r="T44" i="14"/>
  <c r="U44" i="14"/>
  <c r="V44" i="14" s="1"/>
  <c r="I45" i="14"/>
  <c r="F45" i="14" s="1"/>
  <c r="U43" i="14"/>
  <c r="V43" i="14" s="1"/>
  <c r="T43" i="14"/>
  <c r="O45" i="9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G47" i="14" l="1"/>
  <c r="J47" i="14" s="1"/>
  <c r="W45" i="14"/>
  <c r="X45" i="14" s="1"/>
  <c r="U45" i="14"/>
  <c r="V45" i="14" s="1"/>
  <c r="T45" i="14"/>
  <c r="N30" i="7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W46" i="14" l="1"/>
  <c r="X46" i="14" s="1"/>
  <c r="I46" i="14"/>
  <c r="O30" i="7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F46" i="14" l="1"/>
  <c r="I47" i="14" s="1"/>
  <c r="U46" i="14"/>
  <c r="V46" i="14" s="1"/>
  <c r="T46" i="14"/>
  <c r="G48" i="14"/>
  <c r="J48" i="14" s="1"/>
  <c r="W47" i="14"/>
  <c r="X47" i="14" s="1"/>
  <c r="O34" i="7"/>
  <c r="O35" i="7" s="1"/>
  <c r="N43" i="7"/>
  <c r="N46" i="7" s="1"/>
  <c r="N47" i="7"/>
  <c r="P32" i="7"/>
  <c r="P19" i="7"/>
  <c r="N39" i="7"/>
  <c r="N40" i="7" s="1"/>
  <c r="F47" i="14" l="1"/>
  <c r="I48" i="14" s="1"/>
  <c r="F48" i="14" s="1"/>
  <c r="I49" i="14" s="1"/>
  <c r="F49" i="14" s="1"/>
  <c r="F50" i="14" s="1"/>
  <c r="U47" i="14"/>
  <c r="V47" i="14" s="1"/>
  <c r="T47" i="14"/>
  <c r="G49" i="14"/>
  <c r="J49" i="14" s="1"/>
  <c r="W48" i="14"/>
  <c r="X48" i="14" s="1"/>
  <c r="O47" i="7"/>
  <c r="O43" i="7"/>
  <c r="O46" i="7" s="1"/>
  <c r="P34" i="7"/>
  <c r="P35" i="7" s="1"/>
  <c r="O39" i="7"/>
  <c r="O40" i="7" s="1"/>
  <c r="T48" i="14" l="1"/>
  <c r="U48" i="14"/>
  <c r="V48" i="14" s="1"/>
  <c r="W49" i="14"/>
  <c r="X49" i="14" s="1"/>
  <c r="G50" i="14"/>
  <c r="J50" i="14" s="1"/>
  <c r="W50" i="14" s="1"/>
  <c r="T49" i="14"/>
  <c r="U49" i="14"/>
  <c r="V49" i="14" s="1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I51" i="14" l="1"/>
  <c r="F51" i="14" s="1"/>
  <c r="I50" i="14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T50" i="14" l="1"/>
  <c r="U50" i="14"/>
  <c r="V50" i="14" s="1"/>
  <c r="T51" i="14"/>
  <c r="U51" i="14"/>
  <c r="V51" i="14" s="1"/>
  <c r="I52" i="14"/>
  <c r="F52" i="14" s="1"/>
  <c r="F26" i="8"/>
  <c r="G24" i="8"/>
  <c r="G61" i="8" s="1"/>
  <c r="G23" i="8"/>
  <c r="F50" i="8"/>
  <c r="T52" i="14" l="1"/>
  <c r="U52" i="14"/>
  <c r="V52" i="14" s="1"/>
  <c r="G26" i="8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 Kulklarni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comments2.xml><?xml version="1.0" encoding="utf-8"?>
<comments xmlns="http://schemas.openxmlformats.org/spreadsheetml/2006/main">
  <authors>
    <author>Mandar Kulklarni</author>
  </authors>
  <commentList>
    <comment ref="I18" authorId="0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<sst xmlns="http://schemas.openxmlformats.org/spreadsheetml/2006/main" count="924" uniqueCount="648">
  <si>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</si>
  <si>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</si>
  <si>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</si>
  <si>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</si>
  <si>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</si>
  <si>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</si>
  <si>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</si>
  <si>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</si>
  <si>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</si>
  <si>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</si>
  <si>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</si>
  <si>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</si>
  <si>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</si>
  <si>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</si>
  <si>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</si>
  <si>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</si>
  <si>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</si>
  <si>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</si>
  <si>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</si>
  <si>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</si>
  <si>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</si>
  <si>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</si>
  <si>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</si>
  <si>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</si>
  <si>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</si>
  <si>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</si>
  <si>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</si>
  <si>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</si>
  <si>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</si>
  <si>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</si>
  <si>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</si>
  <si>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</si>
  <si>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</si>
  <si>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</si>
  <si>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</si>
  <si>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</si>
  <si>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</si>
  <si>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</si>
  <si>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</si>
  <si>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</si>
  <si>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</si>
  <si>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</si>
  <si>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</si>
  <si>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</si>
  <si>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</si>
  <si>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</si>
  <si>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</si>
  <si>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</si>
  <si>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</si>
  <si>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</si>
  <si>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</si>
  <si>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</si>
  <si>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</si>
  <si>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</si>
  <si>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</si>
  <si>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</si>
  <si>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</si>
  <si>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</si>
  <si>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</si>
  <si>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</si>
  <si>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</si>
  <si>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</si>
  <si>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</si>
  <si>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</si>
  <si>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</si>
  <si>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</si>
  <si>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</si>
  <si>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</si>
  <si>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</si>
  <si>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</si>
  <si>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</si>
  <si>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</si>
  <si>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</si>
  <si>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</si>
  <si>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</si>
  <si>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</si>
  <si>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</si>
  <si>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</si>
  <si>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</si>
  <si>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</si>
  <si>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</si>
  <si>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</si>
  <si>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</si>
  <si>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</si>
  <si>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</si>
  <si>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</si>
  <si>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</si>
  <si>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</si>
  <si>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</si>
  <si>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</si>
  <si>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</si>
  <si>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</si>
  <si>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</si>
  <si>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</si>
  <si>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</si>
  <si>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</si>
  <si>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</si>
  <si>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</si>
  <si>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</si>
  <si>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</si>
  <si>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</si>
  <si>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</si>
  <si>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</si>
  <si>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</si>
  <si>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</si>
  <si>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</si>
  <si>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</si>
  <si>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</si>
  <si>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</si>
  <si>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</si>
  <si>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</si>
  <si>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</si>
  <si>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</si>
  <si>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</si>
  <si>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</si>
  <si>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</si>
  <si>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</si>
  <si>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</si>
  <si>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</si>
  <si>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</si>
  <si>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</si>
  <si>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</si>
  <si>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</si>
  <si>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</si>
  <si>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</si>
  <si>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</si>
  <si>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</si>
  <si>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</si>
  <si>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</si>
  <si>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</si>
  <si>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</si>
  <si>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</si>
  <si>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</si>
  <si>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</si>
  <si>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</si>
  <si>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</si>
  <si>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</si>
  <si>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</si>
  <si>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</si>
  <si>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</si>
  <si>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</si>
  <si>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</si>
  <si>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</si>
  <si>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</si>
  <si>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</si>
  <si>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</si>
  <si>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</si>
  <si>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</si>
  <si>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</si>
  <si>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</si>
  <si>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</si>
  <si>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</si>
  <si>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</si>
  <si>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</si>
  <si>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</si>
  <si>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</si>
  <si>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</si>
  <si>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</si>
  <si>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</si>
  <si>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</si>
  <si>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</si>
  <si>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</si>
  <si>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</si>
  <si>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</si>
  <si>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</si>
  <si>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</si>
  <si>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</si>
  <si>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</si>
  <si>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</si>
  <si>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</si>
  <si>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</si>
  <si>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</si>
  <si>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</si>
  <si>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</si>
  <si>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</si>
  <si>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</si>
  <si>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</si>
  <si>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</si>
  <si>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</si>
  <si>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</si>
  <si>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</si>
  <si>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</si>
  <si>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</si>
  <si>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</si>
  <si>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</si>
  <si>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</si>
  <si>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</si>
  <si>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</si>
  <si>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</si>
  <si>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</si>
  <si>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</si>
  <si>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</si>
  <si>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</si>
  <si>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</si>
  <si>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</si>
  <si>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</si>
  <si>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</si>
  <si>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</si>
  <si>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</si>
  <si>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</si>
  <si>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</si>
  <si>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</si>
  <si>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</si>
  <si>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</si>
  <si>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</si>
  <si>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</si>
  <si>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</si>
  <si>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</si>
  <si>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</si>
  <si>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</si>
  <si>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</si>
  <si>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</si>
  <si>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</si>
  <si>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</si>
  <si>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</si>
  <si>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</si>
  <si>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</si>
  <si>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</si>
  <si>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</si>
  <si>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</si>
  <si>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</si>
  <si>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</si>
  <si>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</si>
  <si>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</si>
  <si>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</si>
  <si>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</si>
  <si>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</si>
  <si>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</si>
  <si>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</si>
  <si>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</si>
  <si>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</si>
  <si>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</si>
  <si>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</si>
  <si>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</si>
  <si>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</si>
  <si>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</si>
  <si>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</si>
  <si>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</si>
  <si>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</si>
  <si>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</si>
  <si>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</si>
  <si>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</si>
  <si>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</si>
  <si>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</si>
  <si>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</si>
  <si>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</si>
  <si>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</si>
  <si>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</si>
  <si>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</si>
  <si>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</si>
  <si>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</si>
  <si>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</si>
  <si>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</si>
  <si>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</si>
  <si>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</si>
  <si>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</si>
  <si>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</si>
  <si>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</si>
  <si>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</si>
  <si>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</si>
  <si>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</si>
  <si>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</si>
  <si>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</si>
  <si>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</si>
  <si>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</si>
  <si>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</si>
  <si>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</si>
  <si>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</si>
  <si>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</si>
  <si>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</si>
  <si>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</si>
  <si>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</si>
  <si>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</si>
  <si>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</si>
  <si>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</si>
  <si>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</si>
  <si>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</si>
  <si>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</si>
  <si>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</si>
  <si>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</si>
  <si>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</si>
  <si>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</si>
  <si>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</si>
  <si>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</si>
  <si>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</si>
  <si>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</si>
  <si>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</si>
  <si>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</si>
  <si>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</si>
  <si>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</si>
  <si>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</si>
  <si>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</si>
  <si>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</si>
  <si>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</si>
  <si>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</si>
  <si>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</si>
  <si>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</si>
  <si>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</si>
  <si>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</si>
  <si>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</si>
  <si>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</si>
  <si>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</si>
  <si>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</si>
  <si>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</si>
  <si>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</si>
  <si>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</si>
  <si>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</si>
  <si>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</si>
  <si>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</si>
  <si>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</si>
  <si>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</si>
  <si>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</si>
  <si>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</si>
  <si>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</si>
  <si>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</si>
  <si>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</si>
  <si>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</si>
  <si>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</si>
  <si>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</si>
  <si>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</si>
  <si>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</si>
  <si>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</si>
  <si>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</si>
  <si>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</si>
  <si>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</si>
  <si>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</si>
  <si>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</si>
  <si>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</si>
  <si>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</si>
  <si>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</si>
  <si>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</si>
  <si>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</si>
  <si>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</si>
  <si>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</si>
  <si>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</si>
  <si>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</si>
  <si>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</si>
  <si>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</si>
  <si>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</si>
  <si>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</si>
  <si>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</si>
  <si>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</si>
  <si>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</si>
  <si>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</si>
  <si>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</si>
  <si>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</si>
  <si>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</si>
  <si>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</si>
  <si>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</si>
  <si>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</si>
  <si>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</si>
  <si>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</si>
  <si>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</si>
  <si>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</si>
  <si>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</si>
  <si>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</si>
  <si>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</si>
  <si>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</si>
  <si>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</si>
  <si>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</si>
  <si>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</si>
  <si>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</si>
  <si>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</si>
  <si>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</si>
  <si>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</si>
  <si>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</si>
  <si>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</si>
  <si>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</si>
  <si>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</si>
  <si>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</si>
  <si>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</si>
  <si>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</si>
  <si>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</si>
  <si>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</si>
  <si>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</si>
  <si>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</si>
  <si>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</si>
  <si>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</si>
  <si>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</si>
  <si>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</si>
  <si>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</si>
  <si>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</si>
  <si>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</si>
  <si>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</si>
  <si>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</si>
  <si>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</si>
  <si>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</si>
  <si>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</si>
  <si>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</si>
  <si>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</si>
  <si>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</si>
  <si>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</si>
  <si>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</si>
  <si>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</si>
  <si>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</si>
  <si>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</si>
  <si>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</si>
  <si>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</si>
  <si>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</si>
  <si>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</si>
  <si>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</si>
  <si>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</si>
  <si>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</si>
  <si>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</si>
  <si>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</si>
  <si>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</si>
  <si>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</si>
  <si>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</si>
  <si>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</si>
  <si>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</si>
  <si>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</si>
  <si>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</si>
  <si>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</si>
  <si>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</si>
  <si>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</si>
  <si>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</si>
  <si>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</si>
  <si>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</si>
  <si>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</si>
  <si>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</si>
  <si>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</si>
  <si>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</si>
  <si>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</si>
  <si>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</si>
  <si>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</si>
  <si>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</si>
  <si>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</si>
  <si>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</si>
  <si>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</si>
  <si>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</si>
  <si>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</si>
  <si>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</si>
  <si>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</si>
  <si>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</si>
  <si>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</si>
  <si>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</si>
  <si>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</si>
  <si>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</si>
  <si>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</si>
  <si>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</si>
  <si>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</si>
  <si>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</si>
  <si>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</si>
  <si>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</si>
  <si>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</si>
  <si>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</si>
  <si>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</si>
  <si>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</si>
  <si>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</si>
  <si>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</si>
  <si>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</si>
  <si>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</si>
  <si>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</si>
  <si>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</si>
  <si>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</si>
  <si>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</si>
  <si>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</si>
  <si>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</si>
  <si>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</si>
  <si>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</si>
  <si>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</si>
  <si>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</si>
  <si>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</si>
  <si>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</si>
  <si>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</si>
  <si>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</si>
  <si>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</si>
  <si>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</si>
  <si>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</si>
  <si>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</si>
  <si>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</si>
  <si>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</si>
  <si>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</si>
  <si>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</si>
  <si>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</si>
  <si>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</si>
  <si>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</si>
  <si>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</si>
  <si>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</si>
  <si>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</si>
  <si>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</si>
  <si>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</si>
  <si>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</si>
  <si>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</si>
  <si>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</si>
  <si>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</si>
  <si>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</si>
  <si>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</si>
  <si>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</si>
  <si>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</si>
  <si>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</si>
  <si>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</si>
  <si>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</si>
  <si>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</si>
  <si>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</si>
  <si>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</si>
  <si>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</si>
  <si>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</si>
  <si>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</si>
  <si>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</si>
  <si>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</si>
  <si>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</si>
  <si>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</si>
  <si>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</si>
  <si>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</si>
  <si>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</si>
  <si>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</si>
  <si>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</si>
  <si>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</si>
  <si>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</si>
  <si>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</si>
  <si>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</si>
  <si>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</si>
  <si>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</si>
  <si>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</si>
  <si>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</si>
  <si>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</si>
  <si>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</si>
  <si>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</si>
  <si>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</si>
  <si>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</si>
  <si>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</si>
  <si>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</si>
  <si>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</si>
  <si>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</si>
  <si>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</si>
  <si>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</si>
  <si>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</si>
  <si>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</si>
  <si>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</si>
  <si>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</si>
  <si>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</si>
  <si>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</si>
  <si>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</si>
  <si>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</si>
  <si>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</si>
  <si>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</si>
  <si>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</si>
  <si>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</si>
  <si>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</si>
  <si>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</si>
  <si>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</si>
  <si>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</si>
  <si>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</si>
  <si>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</si>
  <si>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</si>
  <si>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</si>
  <si>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</si>
  <si>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</si>
  <si>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</si>
  <si>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</si>
  <si>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</si>
  <si>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</si>
  <si>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</si>
  <si>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</si>
  <si>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</si>
  <si>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</si>
  <si>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</si>
  <si>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</si>
  <si>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</si>
  <si>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</si>
  <si>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</si>
  <si>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</si>
  <si>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</si>
  <si>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</si>
  <si>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</si>
  <si>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</si>
  <si>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</si>
  <si>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</si>
  <si>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</si>
  <si>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</si>
  <si>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</si>
  <si>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</si>
  <si>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</si>
  <si>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</si>
  <si>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</si>
  <si>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</si>
  <si>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</si>
  <si>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</si>
  <si>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</si>
  <si>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</si>
  <si>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</si>
  <si>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</si>
  <si>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</si>
  <si>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</si>
  <si>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</si>
  <si>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</si>
  <si>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</si>
  <si>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</si>
  <si>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</si>
  <si>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</si>
  <si>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</si>
  <si>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</si>
  <si>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</si>
  <si>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</si>
  <si>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</si>
  <si>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</si>
  <si>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</si>
  <si>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</si>
  <si>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</si>
  <si>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</si>
  <si>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</si>
  <si>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</si>
  <si>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</si>
  <si>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</si>
  <si>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</si>
  <si>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</si>
  <si>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</si>
  <si>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</si>
  <si>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 xml:space="preserve">I launched product X with PP 30 Rs, breakeven is 34 Rs,MRP is 54 Rs  </t>
  </si>
  <si>
    <t>total fixed cost</t>
  </si>
  <si>
    <t>total variable cost</t>
  </si>
  <si>
    <t>Leets say the opening price will be manually set(less than MRP) as 52</t>
  </si>
  <si>
    <t>Initial Demand density of product X was 21.00 perecent</t>
  </si>
  <si>
    <t>For the given demand density, offer price should be inversely proportional to demand chane rate</t>
  </si>
  <si>
    <t>When to change the price from A to B</t>
  </si>
  <si>
    <t>IN what situation I should increase the price</t>
  </si>
  <si>
    <t>In which situation I should decrease the price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</si>
  <si>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</si>
  <si>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</si>
  <si>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</si>
  <si>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</si>
  <si>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</si>
  <si>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</si>
  <si>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</si>
  <si>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</si>
  <si>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</si>
  <si>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</si>
  <si>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</si>
  <si>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</si>
  <si>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</si>
  <si>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</si>
  <si>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</si>
  <si>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</si>
  <si>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</si>
  <si>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</si>
  <si>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slope</t>
  </si>
  <si>
    <t>elasticity-offer price2</t>
  </si>
  <si>
    <t>Total Fixed cost per period per product</t>
  </si>
  <si>
    <t>Slope reduction percentage</t>
  </si>
  <si>
    <t>revenue-Price3</t>
  </si>
  <si>
    <t>Profit-price3</t>
  </si>
  <si>
    <t>Offer price3</t>
  </si>
  <si>
    <t>slope2</t>
  </si>
  <si>
    <t>actual quantity</t>
  </si>
  <si>
    <t>extrapolated qunatity rise(%)</t>
  </si>
  <si>
    <t>Actual quantity rise(%)</t>
  </si>
  <si>
    <t>merchant's profit(%)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</si>
</sst>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8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5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164" fontId="8" fillId="0" borderId="0" xfId="0" applyNumberFormat="1" applyFont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164" fontId="1" fillId="12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top" wrapText="1"/>
    </xf>
    <xf numFmtId="2" fontId="0" fillId="6" borderId="0" xfId="0" applyNumberFormat="1" applyFill="1" applyAlignment="1">
      <alignment horizontal="left" vertical="top" wrapText="1"/>
    </xf>
    <xf numFmtId="164" fontId="2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64" fontId="0" fillId="6" borderId="0" xfId="0" applyNumberFormat="1" applyFill="1" applyAlignment="1">
      <alignment horizontal="left" vertical="top" wrapText="1"/>
    </xf>
    <xf numFmtId="164" fontId="0" fillId="6" borderId="1" xfId="0" applyNumberForma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3" fillId="6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7" fillId="8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403264"/>
        <c:axId val="309404048"/>
      </c:lineChart>
      <c:catAx>
        <c:axId val="30940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9404048"/>
        <c:crosses val="autoZero"/>
        <c:auto val="1"/>
        <c:lblAlgn val="ctr"/>
        <c:lblOffset val="100"/>
        <c:noMultiLvlLbl val="0"/>
      </c:catAx>
      <c:valAx>
        <c:axId val="30940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940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405224"/>
        <c:axId val="309406400"/>
      </c:lineChart>
      <c:catAx>
        <c:axId val="309405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9406400"/>
        <c:crosses val="autoZero"/>
        <c:auto val="1"/>
        <c:lblAlgn val="ctr"/>
        <c:lblOffset val="100"/>
        <c:noMultiLvlLbl val="0"/>
      </c:catAx>
      <c:valAx>
        <c:axId val="309406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9405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price_Illustrate!$E$6:$E$50</c:f>
              <c:numCache>
                <c:formatCode>General</c:formatCode>
                <c:ptCount val="45"/>
                <c:pt idx="0">
                  <c:v>440</c:v>
                </c:pt>
                <c:pt idx="1">
                  <c:v>890</c:v>
                </c:pt>
                <c:pt idx="2">
                  <c:v>1170</c:v>
                </c:pt>
                <c:pt idx="3">
                  <c:v>1680</c:v>
                </c:pt>
                <c:pt idx="4">
                  <c:v>2400</c:v>
                </c:pt>
                <c:pt idx="5">
                  <c:v>3200</c:v>
                </c:pt>
                <c:pt idx="6">
                  <c:v>4430</c:v>
                </c:pt>
                <c:pt idx="7">
                  <c:v>5280</c:v>
                </c:pt>
                <c:pt idx="8">
                  <c:v>6120</c:v>
                </c:pt>
                <c:pt idx="9">
                  <c:v>8230</c:v>
                </c:pt>
                <c:pt idx="10">
                  <c:v>10010</c:v>
                </c:pt>
                <c:pt idx="11">
                  <c:v>12230</c:v>
                </c:pt>
                <c:pt idx="12">
                  <c:v>13450</c:v>
                </c:pt>
                <c:pt idx="13">
                  <c:v>15670</c:v>
                </c:pt>
                <c:pt idx="14">
                  <c:v>17320</c:v>
                </c:pt>
                <c:pt idx="15">
                  <c:v>20450</c:v>
                </c:pt>
                <c:pt idx="16">
                  <c:v>23450</c:v>
                </c:pt>
                <c:pt idx="17">
                  <c:v>26780</c:v>
                </c:pt>
                <c:pt idx="18">
                  <c:v>30450</c:v>
                </c:pt>
                <c:pt idx="19">
                  <c:v>34520</c:v>
                </c:pt>
                <c:pt idx="20">
                  <c:v>37020</c:v>
                </c:pt>
                <c:pt idx="21">
                  <c:v>39800</c:v>
                </c:pt>
                <c:pt idx="22">
                  <c:v>37200</c:v>
                </c:pt>
                <c:pt idx="23">
                  <c:v>36450</c:v>
                </c:pt>
                <c:pt idx="24">
                  <c:v>32460</c:v>
                </c:pt>
                <c:pt idx="25">
                  <c:v>30240</c:v>
                </c:pt>
                <c:pt idx="26">
                  <c:v>29750</c:v>
                </c:pt>
                <c:pt idx="27">
                  <c:v>28690</c:v>
                </c:pt>
                <c:pt idx="28">
                  <c:v>27400</c:v>
                </c:pt>
                <c:pt idx="29">
                  <c:v>32470</c:v>
                </c:pt>
                <c:pt idx="30">
                  <c:v>35980</c:v>
                </c:pt>
                <c:pt idx="31">
                  <c:v>39900</c:v>
                </c:pt>
                <c:pt idx="32">
                  <c:v>43700</c:v>
                </c:pt>
                <c:pt idx="33">
                  <c:v>45680</c:v>
                </c:pt>
                <c:pt idx="34">
                  <c:v>47260</c:v>
                </c:pt>
                <c:pt idx="35">
                  <c:v>50200</c:v>
                </c:pt>
                <c:pt idx="36">
                  <c:v>53700</c:v>
                </c:pt>
                <c:pt idx="37">
                  <c:v>56010</c:v>
                </c:pt>
                <c:pt idx="38">
                  <c:v>59801</c:v>
                </c:pt>
                <c:pt idx="39">
                  <c:v>63020</c:v>
                </c:pt>
                <c:pt idx="40">
                  <c:v>67280</c:v>
                </c:pt>
                <c:pt idx="41">
                  <c:v>70304</c:v>
                </c:pt>
                <c:pt idx="42">
                  <c:v>72350</c:v>
                </c:pt>
                <c:pt idx="43">
                  <c:v>75670</c:v>
                </c:pt>
                <c:pt idx="44">
                  <c:v>78900</c:v>
                </c:pt>
              </c:numCache>
            </c:numRef>
          </c:cat>
          <c:val>
            <c:numRef>
              <c:f>price_Illustrate!$D$6:$D$50</c:f>
              <c:numCache>
                <c:formatCode>General</c:formatCode>
                <c:ptCount val="45"/>
                <c:pt idx="0">
                  <c:v>52</c:v>
                </c:pt>
                <c:pt idx="1">
                  <c:v>51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47</c:v>
                </c:pt>
                <c:pt idx="6">
                  <c:v>46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44</c:v>
                </c:pt>
                <c:pt idx="11">
                  <c:v>43</c:v>
                </c:pt>
                <c:pt idx="12">
                  <c:v>45</c:v>
                </c:pt>
                <c:pt idx="13">
                  <c:v>44</c:v>
                </c:pt>
                <c:pt idx="14">
                  <c:v>43</c:v>
                </c:pt>
                <c:pt idx="15">
                  <c:v>46</c:v>
                </c:pt>
                <c:pt idx="16">
                  <c:v>45</c:v>
                </c:pt>
                <c:pt idx="17">
                  <c:v>44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46</c:v>
                </c:pt>
                <c:pt idx="23">
                  <c:v>45</c:v>
                </c:pt>
                <c:pt idx="24">
                  <c:v>44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37</c:v>
                </c:pt>
                <c:pt idx="32">
                  <c:v>36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41</c:v>
                </c:pt>
                <c:pt idx="39">
                  <c:v>40</c:v>
                </c:pt>
                <c:pt idx="40">
                  <c:v>43</c:v>
                </c:pt>
                <c:pt idx="41">
                  <c:v>42</c:v>
                </c:pt>
                <c:pt idx="42">
                  <c:v>41</c:v>
                </c:pt>
                <c:pt idx="43">
                  <c:v>44</c:v>
                </c:pt>
                <c:pt idx="44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031096"/>
        <c:axId val="368028744"/>
      </c:lineChart>
      <c:catAx>
        <c:axId val="36803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28744"/>
        <c:crosses val="autoZero"/>
        <c:auto val="1"/>
        <c:lblAlgn val="ctr"/>
        <c:lblOffset val="100"/>
        <c:noMultiLvlLbl val="0"/>
      </c:catAx>
      <c:valAx>
        <c:axId val="368028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3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53974</xdr:colOff>
      <xdr:row>6</xdr:row>
      <xdr:rowOff>127000</xdr:rowOff>
    </xdr:from>
    <xdr:to>
      <xdr:col>22</xdr:col>
      <xdr:colOff>273049</xdr:colOff>
      <xdr:row>53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94" t="s">
        <v>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5" t="s">
        <v>14</v>
      </c>
      <c r="N1" s="95"/>
      <c r="O1" s="95"/>
      <c r="P1" s="95"/>
      <c r="Q1" s="95"/>
      <c r="R1" s="95"/>
      <c r="S1" s="95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96" t="s">
        <v>241</v>
      </c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 t="s">
        <v>240</v>
      </c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 t="s">
        <v>239</v>
      </c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x14ac:dyDescent="0.35">
      <c r="C11" t="s">
        <v>39</v>
      </c>
    </row>
    <row r="12" spans="3:4" x14ac:dyDescent="0.35">
      <c r="C12" t="s">
        <v>40</v>
      </c>
    </row>
    <row r="14" spans="3:4" x14ac:dyDescent="0.35">
      <c r="C14" s="7" t="s">
        <v>41</v>
      </c>
    </row>
    <row r="15" spans="3:4" x14ac:dyDescent="0.35">
      <c r="C15" s="7" t="s">
        <v>42</v>
      </c>
    </row>
    <row r="16" spans="3:4" x14ac:dyDescent="0.35">
      <c r="C16" s="7" t="s">
        <v>43</v>
      </c>
    </row>
    <row r="18" spans="3:10" x14ac:dyDescent="0.35">
      <c r="E18" s="97" t="s">
        <v>45</v>
      </c>
      <c r="F18" s="97"/>
      <c r="G18" s="97"/>
      <c r="H18" s="97"/>
      <c r="I18" s="97"/>
      <c r="J18" s="97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98" t="s">
        <v>551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4" spans="1:16" x14ac:dyDescent="0.35">
      <c r="B4" s="99" t="s">
        <v>575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</row>
    <row r="5" spans="1:16" x14ac:dyDescent="0.35">
      <c r="A5" s="5">
        <v>1</v>
      </c>
      <c r="B5" s="99" t="s">
        <v>578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</row>
    <row r="6" spans="1:16" x14ac:dyDescent="0.35">
      <c r="B6" s="99" t="s">
        <v>579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16" x14ac:dyDescent="0.35">
      <c r="B7" s="99" t="s">
        <v>580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</row>
    <row r="8" spans="1:16" x14ac:dyDescent="0.35">
      <c r="B8" s="99" t="s">
        <v>581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</row>
    <row r="9" spans="1:16" x14ac:dyDescent="0.35">
      <c r="B9" s="99" t="s">
        <v>582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x14ac:dyDescent="0.35">
      <c r="B10" s="99" t="s">
        <v>583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</row>
    <row r="11" spans="1:16" x14ac:dyDescent="0.35">
      <c r="B11" s="100" t="s">
        <v>576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1:16" x14ac:dyDescent="0.35">
      <c r="B12" s="99" t="s">
        <v>584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</row>
    <row r="13" spans="1:16" x14ac:dyDescent="0.35">
      <c r="B13" s="100" t="s">
        <v>585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spans="1:16" x14ac:dyDescent="0.35">
      <c r="B14" s="100" t="s">
        <v>577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610</v>
      </c>
      <c r="J3" t="s">
        <v>611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619</v>
      </c>
      <c r="F5" s="47" t="s">
        <v>607</v>
      </c>
      <c r="G5" s="47" t="s">
        <v>608</v>
      </c>
      <c r="H5" s="47" t="s">
        <v>627</v>
      </c>
      <c r="I5" s="47" t="s">
        <v>628</v>
      </c>
      <c r="J5" s="47" t="s">
        <v>605</v>
      </c>
      <c r="K5" s="47" t="s">
        <v>621</v>
      </c>
      <c r="L5" s="47" t="s">
        <v>606</v>
      </c>
      <c r="M5" s="47" t="s">
        <v>620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X61"/>
  <sheetViews>
    <sheetView topLeftCell="E7" zoomScale="80" zoomScaleNormal="80" workbookViewId="0">
      <selection activeCell="E7" sqref="A1:XFD1048576"/>
    </sheetView>
  </sheetViews>
  <sheetFormatPr defaultColWidth="8.7265625" defaultRowHeight="14.5" x14ac:dyDescent="0.35"/>
  <cols>
    <col min="1" max="1" width="3.7265625" style="5" customWidth="1"/>
    <col min="2" max="2" width="8.36328125" style="5" customWidth="1"/>
    <col min="3" max="3" width="12.453125" style="5" bestFit="1" customWidth="1"/>
    <col min="4" max="4" width="10" style="5" bestFit="1" customWidth="1"/>
    <col min="5" max="5" width="8.7265625" style="43" bestFit="1" customWidth="1"/>
    <col min="6" max="6" width="10.08984375" style="54" customWidth="1"/>
    <col min="7" max="7" width="10.08984375" style="56" customWidth="1"/>
    <col min="8" max="8" width="11.81640625" style="5" customWidth="1"/>
    <col min="9" max="9" width="11.81640625" style="44" customWidth="1"/>
    <col min="10" max="10" width="11.81640625" style="71" customWidth="1"/>
    <col min="11" max="11" width="8.6328125" style="5" bestFit="1" customWidth="1"/>
    <col min="12" max="12" width="8.6328125" style="89" customWidth="1"/>
    <col min="13" max="13" width="8.6328125" style="55" customWidth="1"/>
    <col min="14" max="14" width="12.453125" style="46" customWidth="1"/>
    <col min="15" max="15" width="12.90625" style="5" customWidth="1"/>
    <col min="16" max="16" width="14.81640625" style="59" customWidth="1"/>
    <col min="17" max="17" width="11.36328125" style="5" bestFit="1" customWidth="1"/>
    <col min="18" max="18" width="10" style="5" hidden="1" customWidth="1"/>
    <col min="19" max="19" width="11.36328125" style="5" hidden="1" customWidth="1"/>
    <col min="20" max="20" width="12.453125" style="46" hidden="1" customWidth="1"/>
    <col min="21" max="21" width="9" style="5" customWidth="1"/>
    <col min="22" max="22" width="10.54296875" style="5" customWidth="1"/>
    <col min="23" max="23" width="11.36328125" style="5" bestFit="1" customWidth="1"/>
    <col min="24" max="24" width="19" style="5" customWidth="1"/>
    <col min="25" max="25" width="10.54296875" style="5" customWidth="1"/>
    <col min="26" max="26" width="9.26953125" style="5" bestFit="1" customWidth="1"/>
    <col min="27" max="29" width="10.54296875" style="5" customWidth="1"/>
    <col min="30" max="30" width="8.7265625" style="5"/>
    <col min="31" max="31" width="11.453125" style="5" bestFit="1" customWidth="1"/>
    <col min="32" max="35" width="11.453125" style="5" customWidth="1"/>
    <col min="36" max="36" width="10.54296875" style="5" customWidth="1"/>
    <col min="37" max="37" width="8.7265625" style="5"/>
    <col min="38" max="38" width="11.453125" style="5" bestFit="1" customWidth="1"/>
    <col min="39" max="39" width="11.81640625" style="5" bestFit="1" customWidth="1"/>
    <col min="40" max="40" width="7.7265625" style="5" customWidth="1"/>
    <col min="41" max="42" width="11.453125" style="5" customWidth="1"/>
    <col min="43" max="43" width="11.1796875" style="5" customWidth="1"/>
    <col min="44" max="44" width="8.7265625" style="5"/>
    <col min="45" max="45" width="11.81640625" style="5" bestFit="1" customWidth="1"/>
    <col min="46" max="46" width="11.81640625" style="5" customWidth="1"/>
    <col min="47" max="47" width="7.81640625" style="5" customWidth="1"/>
    <col min="48" max="50" width="11.81640625" style="5" customWidth="1"/>
    <col min="51" max="51" width="13.453125" style="5" customWidth="1"/>
    <col min="52" max="16384" width="8.7265625" style="5"/>
  </cols>
  <sheetData>
    <row r="3" spans="2:50" x14ac:dyDescent="0.35">
      <c r="E3" s="101" t="s">
        <v>609</v>
      </c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</row>
    <row r="4" spans="2:50" x14ac:dyDescent="0.35">
      <c r="E4" s="101" t="s">
        <v>613</v>
      </c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</row>
    <row r="5" spans="2:50" ht="87" x14ac:dyDescent="0.35">
      <c r="B5" s="5" t="s">
        <v>638</v>
      </c>
      <c r="C5" s="5">
        <v>3000</v>
      </c>
      <c r="E5" s="102" t="s">
        <v>614</v>
      </c>
      <c r="F5" s="102"/>
      <c r="G5" s="102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</row>
    <row r="6" spans="2:50" ht="43.5" x14ac:dyDescent="0.35">
      <c r="B6" s="5" t="s">
        <v>622</v>
      </c>
      <c r="C6" s="5">
        <v>2</v>
      </c>
      <c r="E6" s="102" t="s">
        <v>612</v>
      </c>
      <c r="F6" s="102"/>
      <c r="G6" s="102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</row>
    <row r="7" spans="2:50" x14ac:dyDescent="0.35">
      <c r="E7" s="102" t="s">
        <v>618</v>
      </c>
      <c r="F7" s="102"/>
      <c r="G7" s="102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</row>
    <row r="8" spans="2:50" ht="27" customHeight="1" x14ac:dyDescent="0.35">
      <c r="B8" s="5" t="s">
        <v>639</v>
      </c>
      <c r="C8" s="66">
        <v>0.4</v>
      </c>
      <c r="E8" s="102"/>
      <c r="F8" s="102"/>
      <c r="G8" s="102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</row>
    <row r="11" spans="2:50" x14ac:dyDescent="0.35">
      <c r="B11" s="101" t="s">
        <v>615</v>
      </c>
      <c r="C11" s="101"/>
      <c r="D11" s="101"/>
      <c r="E11" s="101"/>
      <c r="F11" s="101"/>
      <c r="G11" s="101"/>
      <c r="H11" s="101"/>
    </row>
    <row r="12" spans="2:50" x14ac:dyDescent="0.35">
      <c r="B12" s="101" t="s">
        <v>616</v>
      </c>
      <c r="C12" s="101"/>
      <c r="D12" s="101"/>
      <c r="E12" s="101"/>
      <c r="F12" s="101"/>
      <c r="G12" s="101"/>
      <c r="H12" s="101"/>
    </row>
    <row r="13" spans="2:50" x14ac:dyDescent="0.35">
      <c r="B13" s="101" t="s">
        <v>617</v>
      </c>
      <c r="C13" s="101"/>
      <c r="D13" s="101"/>
      <c r="E13" s="101"/>
      <c r="F13" s="101"/>
      <c r="G13" s="101"/>
      <c r="H13" s="101"/>
    </row>
    <row r="16" spans="2:50" ht="58" x14ac:dyDescent="0.35">
      <c r="B16" s="5" t="s">
        <v>532</v>
      </c>
      <c r="C16" s="6" t="s">
        <v>623</v>
      </c>
      <c r="D16" s="6" t="s">
        <v>624</v>
      </c>
      <c r="E16" s="48" t="s">
        <v>604</v>
      </c>
      <c r="F16" s="48" t="s">
        <v>636</v>
      </c>
      <c r="G16" s="48" t="s">
        <v>643</v>
      </c>
      <c r="H16" s="49" t="s">
        <v>631</v>
      </c>
      <c r="I16" s="50" t="s">
        <v>632</v>
      </c>
      <c r="J16" s="75" t="s">
        <v>642</v>
      </c>
      <c r="K16" s="6" t="s">
        <v>626</v>
      </c>
      <c r="L16" s="6" t="s">
        <v>644</v>
      </c>
      <c r="M16" s="6" t="s">
        <v>645</v>
      </c>
      <c r="N16" s="49" t="s">
        <v>646</v>
      </c>
      <c r="O16" s="49" t="s">
        <v>633</v>
      </c>
      <c r="P16" s="57" t="s">
        <v>625</v>
      </c>
      <c r="Q16" s="49" t="s">
        <v>606</v>
      </c>
      <c r="R16" s="6" t="s">
        <v>629</v>
      </c>
      <c r="S16" s="49" t="s">
        <v>630</v>
      </c>
      <c r="T16" s="50" t="s">
        <v>637</v>
      </c>
      <c r="U16" s="50" t="s">
        <v>634</v>
      </c>
      <c r="V16" s="50" t="s">
        <v>635</v>
      </c>
      <c r="W16" s="74" t="s">
        <v>640</v>
      </c>
      <c r="X16" s="74" t="s">
        <v>641</v>
      </c>
    </row>
    <row r="17" spans="2:24" x14ac:dyDescent="0.35">
      <c r="C17" s="6"/>
      <c r="D17" s="6"/>
      <c r="E17" s="48"/>
      <c r="F17" s="48"/>
      <c r="G17" s="48"/>
      <c r="H17" s="49">
        <v>54</v>
      </c>
      <c r="I17" s="50">
        <v>54</v>
      </c>
      <c r="J17" s="72"/>
      <c r="K17" s="6">
        <v>0</v>
      </c>
      <c r="L17" s="6">
        <v>0</v>
      </c>
      <c r="M17" s="6"/>
      <c r="N17" s="49"/>
      <c r="O17" s="49">
        <f t="shared" ref="O17:O31" si="0">K17*H17</f>
        <v>0</v>
      </c>
      <c r="P17" s="57">
        <f t="shared" ref="P17:P52" si="1">E17*K17</f>
        <v>0</v>
      </c>
      <c r="Q17" s="49">
        <f t="shared" ref="Q17:Q41" si="2">K17*(H17-E17)</f>
        <v>0</v>
      </c>
      <c r="R17" s="57"/>
      <c r="S17" s="49"/>
      <c r="T17" s="50"/>
      <c r="U17" s="50"/>
      <c r="V17" s="50"/>
      <c r="W17" s="74"/>
      <c r="X17" s="74"/>
    </row>
    <row r="18" spans="2:24" x14ac:dyDescent="0.35">
      <c r="B18" s="5">
        <v>30</v>
      </c>
      <c r="C18" s="6">
        <f t="shared" ref="C18:C52" si="3">$C$5/K18</f>
        <v>6.8181818181818183</v>
      </c>
      <c r="D18" s="6">
        <v>2</v>
      </c>
      <c r="E18" s="48">
        <f>B18+C18+D18</f>
        <v>38.81818181818182</v>
      </c>
      <c r="F18" s="57" t="e">
        <f t="shared" ref="F18:F25" si="4">((H17-H16)/(K17-K16))</f>
        <v>#VALUE!</v>
      </c>
      <c r="G18" s="48"/>
      <c r="H18" s="49">
        <v>52</v>
      </c>
      <c r="I18" s="50">
        <v>52</v>
      </c>
      <c r="J18" s="72"/>
      <c r="K18" s="6">
        <v>440</v>
      </c>
      <c r="L18" s="6">
        <v>440</v>
      </c>
      <c r="M18" s="6"/>
      <c r="N18" s="49"/>
      <c r="O18" s="49">
        <f t="shared" si="0"/>
        <v>22880</v>
      </c>
      <c r="P18" s="57">
        <f t="shared" si="1"/>
        <v>17080</v>
      </c>
      <c r="Q18" s="49">
        <f t="shared" si="2"/>
        <v>5799.9999999999991</v>
      </c>
      <c r="R18" s="57">
        <f t="shared" ref="R18:R52" si="5">(P18-P17)/(K18-K17)</f>
        <v>38.81818181818182</v>
      </c>
      <c r="S18" s="49">
        <f t="shared" ref="S18:S41" si="6">(O18-O17)/(K18-K17)</f>
        <v>52</v>
      </c>
      <c r="T18" s="50"/>
      <c r="U18" s="50"/>
      <c r="V18" s="50"/>
      <c r="W18" s="74"/>
      <c r="X18" s="74"/>
    </row>
    <row r="19" spans="2:24" x14ac:dyDescent="0.35">
      <c r="B19" s="5">
        <v>30</v>
      </c>
      <c r="C19" s="6">
        <f t="shared" si="3"/>
        <v>3.9473684210526314</v>
      </c>
      <c r="D19" s="6">
        <v>2</v>
      </c>
      <c r="E19" s="48">
        <f t="shared" ref="E19:E45" si="7">B19+C19+D19</f>
        <v>35.94736842105263</v>
      </c>
      <c r="F19" s="57">
        <f t="shared" si="4"/>
        <v>-4.5454545454545452E-3</v>
      </c>
      <c r="G19" s="57"/>
      <c r="H19" s="49">
        <f t="shared" ref="H19:H25" si="8">F19*K19 +$H$17</f>
        <v>50.545454545454547</v>
      </c>
      <c r="I19" s="50"/>
      <c r="J19" s="72"/>
      <c r="K19" s="6">
        <v>760</v>
      </c>
      <c r="L19" s="6">
        <v>760</v>
      </c>
      <c r="M19" s="6">
        <f>((100*K19)/K18)-100</f>
        <v>72.72727272727272</v>
      </c>
      <c r="N19" s="6">
        <f>((100*L19)/L18)-100</f>
        <v>72.72727272727272</v>
      </c>
      <c r="O19" s="49">
        <f t="shared" si="0"/>
        <v>38414.545454545456</v>
      </c>
      <c r="P19" s="57">
        <f t="shared" si="1"/>
        <v>27320</v>
      </c>
      <c r="Q19" s="49">
        <f t="shared" si="2"/>
        <v>11094.545454545456</v>
      </c>
      <c r="R19" s="57">
        <f t="shared" si="5"/>
        <v>32</v>
      </c>
      <c r="S19" s="49">
        <f t="shared" si="6"/>
        <v>48.545454545454547</v>
      </c>
      <c r="T19" s="50"/>
      <c r="U19" s="50"/>
      <c r="V19" s="50"/>
      <c r="W19" s="74"/>
      <c r="X19" s="74"/>
    </row>
    <row r="20" spans="2:24" x14ac:dyDescent="0.35">
      <c r="B20" s="5">
        <v>30</v>
      </c>
      <c r="C20" s="6">
        <f t="shared" si="3"/>
        <v>3.2608695652173911</v>
      </c>
      <c r="D20" s="6">
        <v>2</v>
      </c>
      <c r="E20" s="48">
        <f t="shared" si="7"/>
        <v>35.260869565217391</v>
      </c>
      <c r="F20" s="57">
        <f t="shared" si="4"/>
        <v>-4.5454545454545418E-3</v>
      </c>
      <c r="G20" s="57"/>
      <c r="H20" s="49">
        <f t="shared" si="8"/>
        <v>49.81818181818182</v>
      </c>
      <c r="I20" s="50"/>
      <c r="J20" s="72"/>
      <c r="K20" s="6">
        <v>920</v>
      </c>
      <c r="L20" s="6">
        <v>920</v>
      </c>
      <c r="M20" s="6">
        <f>(K20-K19)/K19</f>
        <v>0.21052631578947367</v>
      </c>
      <c r="N20" s="6">
        <f>(L20-L19)/L19</f>
        <v>0.21052631578947367</v>
      </c>
      <c r="O20" s="49">
        <f t="shared" si="0"/>
        <v>45832.727272727272</v>
      </c>
      <c r="P20" s="57">
        <f t="shared" si="1"/>
        <v>32440</v>
      </c>
      <c r="Q20" s="49">
        <f t="shared" si="2"/>
        <v>13392.727272727276</v>
      </c>
      <c r="R20" s="57">
        <f t="shared" si="5"/>
        <v>32</v>
      </c>
      <c r="S20" s="49">
        <f t="shared" si="6"/>
        <v>46.363636363636353</v>
      </c>
      <c r="T20" s="50"/>
      <c r="U20" s="50"/>
      <c r="V20" s="50"/>
      <c r="W20" s="74"/>
      <c r="X20" s="74"/>
    </row>
    <row r="21" spans="2:24" x14ac:dyDescent="0.35">
      <c r="B21" s="5">
        <v>30</v>
      </c>
      <c r="C21" s="6">
        <f t="shared" si="3"/>
        <v>2.4793388429752068</v>
      </c>
      <c r="D21" s="6">
        <v>2</v>
      </c>
      <c r="E21" s="48">
        <f t="shared" si="7"/>
        <v>34.47933884297521</v>
      </c>
      <c r="F21" s="57">
        <f t="shared" si="4"/>
        <v>-4.5454545454545418E-3</v>
      </c>
      <c r="G21" s="57"/>
      <c r="H21" s="49">
        <f t="shared" si="8"/>
        <v>48.500000000000007</v>
      </c>
      <c r="I21" s="50"/>
      <c r="J21" s="72"/>
      <c r="K21" s="6">
        <v>1210</v>
      </c>
      <c r="L21" s="6">
        <v>1210</v>
      </c>
      <c r="M21" s="6">
        <f t="shared" ref="M21:M25" si="9">(K21-K20)/K20</f>
        <v>0.31521739130434784</v>
      </c>
      <c r="N21" s="6">
        <f t="shared" ref="N21:N45" si="10">(L21-L20)/L20</f>
        <v>0.31521739130434784</v>
      </c>
      <c r="O21" s="49">
        <f t="shared" si="0"/>
        <v>58685.000000000007</v>
      </c>
      <c r="P21" s="57">
        <f t="shared" si="1"/>
        <v>41720.000000000007</v>
      </c>
      <c r="Q21" s="49">
        <f t="shared" si="2"/>
        <v>16965.000000000004</v>
      </c>
      <c r="R21" s="57">
        <f t="shared" si="5"/>
        <v>32.000000000000028</v>
      </c>
      <c r="S21" s="49">
        <f t="shared" si="6"/>
        <v>44.318181818181849</v>
      </c>
      <c r="T21" s="50"/>
      <c r="U21" s="50"/>
      <c r="V21" s="50"/>
      <c r="W21" s="74"/>
      <c r="X21" s="74"/>
    </row>
    <row r="22" spans="2:24" x14ac:dyDescent="0.35">
      <c r="B22" s="5">
        <v>30</v>
      </c>
      <c r="C22" s="6">
        <f t="shared" si="3"/>
        <v>2.2388059701492535</v>
      </c>
      <c r="D22" s="6">
        <v>2</v>
      </c>
      <c r="E22" s="48">
        <f t="shared" si="7"/>
        <v>34.238805970149251</v>
      </c>
      <c r="F22" s="57">
        <f t="shared" si="4"/>
        <v>-4.5454545454545279E-3</v>
      </c>
      <c r="G22" s="57"/>
      <c r="H22" s="49">
        <f t="shared" si="8"/>
        <v>47.909090909090935</v>
      </c>
      <c r="I22" s="50"/>
      <c r="J22" s="72"/>
      <c r="K22" s="6">
        <v>1340</v>
      </c>
      <c r="L22" s="6">
        <v>1340</v>
      </c>
      <c r="M22" s="6">
        <f t="shared" si="9"/>
        <v>0.10743801652892562</v>
      </c>
      <c r="N22" s="6">
        <f t="shared" si="10"/>
        <v>0.10743801652892562</v>
      </c>
      <c r="O22" s="49">
        <f t="shared" si="0"/>
        <v>64198.181818181853</v>
      </c>
      <c r="P22" s="57">
        <f t="shared" si="1"/>
        <v>45879.999999999993</v>
      </c>
      <c r="Q22" s="49">
        <f t="shared" si="2"/>
        <v>18318.181818181856</v>
      </c>
      <c r="R22" s="57">
        <f t="shared" si="5"/>
        <v>31.999999999999886</v>
      </c>
      <c r="S22" s="49">
        <f t="shared" si="6"/>
        <v>42.40909090909112</v>
      </c>
      <c r="T22" s="50"/>
      <c r="U22" s="50"/>
      <c r="V22" s="50"/>
      <c r="W22" s="74"/>
      <c r="X22" s="74"/>
    </row>
    <row r="23" spans="2:24" x14ac:dyDescent="0.35">
      <c r="B23" s="5">
        <v>30</v>
      </c>
      <c r="C23" s="6">
        <f t="shared" si="3"/>
        <v>1.9736842105263157</v>
      </c>
      <c r="D23" s="6">
        <v>2</v>
      </c>
      <c r="E23" s="48">
        <f t="shared" si="7"/>
        <v>33.973684210526315</v>
      </c>
      <c r="F23" s="57">
        <f t="shared" si="4"/>
        <v>-4.5454545454544013E-3</v>
      </c>
      <c r="G23" s="57"/>
      <c r="H23" s="49">
        <f t="shared" si="8"/>
        <v>47.090909090909307</v>
      </c>
      <c r="I23" s="50"/>
      <c r="J23" s="72"/>
      <c r="K23" s="6">
        <v>1520</v>
      </c>
      <c r="L23" s="6">
        <v>1520</v>
      </c>
      <c r="M23" s="6">
        <f t="shared" si="9"/>
        <v>0.13432835820895522</v>
      </c>
      <c r="N23" s="6">
        <f t="shared" si="10"/>
        <v>0.13432835820895522</v>
      </c>
      <c r="O23" s="49">
        <f t="shared" si="0"/>
        <v>71578.181818182144</v>
      </c>
      <c r="P23" s="57">
        <f t="shared" si="1"/>
        <v>51640</v>
      </c>
      <c r="Q23" s="49">
        <f t="shared" si="2"/>
        <v>19938.181818182147</v>
      </c>
      <c r="R23" s="57">
        <f t="shared" si="5"/>
        <v>32.000000000000043</v>
      </c>
      <c r="S23" s="49">
        <f t="shared" si="6"/>
        <v>41.00000000000162</v>
      </c>
      <c r="T23" s="50"/>
      <c r="U23" s="50"/>
      <c r="V23" s="50"/>
      <c r="W23" s="74"/>
      <c r="X23" s="74"/>
    </row>
    <row r="24" spans="2:24" x14ac:dyDescent="0.35">
      <c r="B24" s="5">
        <v>30</v>
      </c>
      <c r="C24" s="6">
        <f t="shared" si="3"/>
        <v>1.5544041450777202</v>
      </c>
      <c r="D24" s="6">
        <v>2</v>
      </c>
      <c r="E24" s="48">
        <f t="shared" si="7"/>
        <v>33.554404145077719</v>
      </c>
      <c r="F24" s="57">
        <f t="shared" si="4"/>
        <v>-4.5454545454534905E-3</v>
      </c>
      <c r="G24" s="57"/>
      <c r="H24" s="49">
        <f t="shared" si="8"/>
        <v>45.227272727274766</v>
      </c>
      <c r="I24" s="50"/>
      <c r="J24" s="72"/>
      <c r="K24" s="6">
        <v>1930</v>
      </c>
      <c r="L24" s="6">
        <v>1930</v>
      </c>
      <c r="M24" s="6">
        <f t="shared" si="9"/>
        <v>0.26973684210526316</v>
      </c>
      <c r="N24" s="6">
        <f t="shared" si="10"/>
        <v>0.26973684210526316</v>
      </c>
      <c r="O24" s="49">
        <f t="shared" si="0"/>
        <v>87288.636363640297</v>
      </c>
      <c r="P24" s="57">
        <f t="shared" si="1"/>
        <v>64760</v>
      </c>
      <c r="Q24" s="49">
        <f t="shared" si="2"/>
        <v>22528.6363636403</v>
      </c>
      <c r="R24" s="57">
        <f t="shared" si="5"/>
        <v>32</v>
      </c>
      <c r="S24" s="49">
        <f t="shared" si="6"/>
        <v>38.318181818190617</v>
      </c>
      <c r="T24" s="50"/>
      <c r="U24" s="50"/>
      <c r="V24" s="50"/>
      <c r="W24" s="74"/>
      <c r="X24" s="74"/>
    </row>
    <row r="25" spans="2:24" x14ac:dyDescent="0.35">
      <c r="B25" s="5">
        <v>30</v>
      </c>
      <c r="C25" s="6">
        <f t="shared" si="3"/>
        <v>1.2345679012345678</v>
      </c>
      <c r="D25" s="6">
        <v>2</v>
      </c>
      <c r="E25" s="48">
        <f t="shared" si="7"/>
        <v>33.23456790123457</v>
      </c>
      <c r="F25" s="57">
        <f t="shared" si="4"/>
        <v>-4.5454545454500991E-3</v>
      </c>
      <c r="G25" s="59">
        <v>-4.5454545454500991E-3</v>
      </c>
      <c r="H25" s="51">
        <f t="shared" si="8"/>
        <v>42.954545454556261</v>
      </c>
      <c r="I25" s="60">
        <f>F25*K25 +$H$17</f>
        <v>42.954545454556261</v>
      </c>
      <c r="J25" s="92">
        <v>42.954545454556261</v>
      </c>
      <c r="K25" s="45">
        <v>2430</v>
      </c>
      <c r="L25" s="88">
        <v>2430</v>
      </c>
      <c r="M25" s="6">
        <f t="shared" si="9"/>
        <v>0.25906735751295334</v>
      </c>
      <c r="N25" s="6">
        <f t="shared" si="10"/>
        <v>0.25906735751295334</v>
      </c>
      <c r="O25" s="51">
        <f t="shared" si="0"/>
        <v>104379.54545457171</v>
      </c>
      <c r="P25" s="57">
        <f t="shared" si="1"/>
        <v>80760</v>
      </c>
      <c r="Q25" s="51">
        <f t="shared" si="2"/>
        <v>23619.545454571708</v>
      </c>
      <c r="R25" s="57">
        <f t="shared" si="5"/>
        <v>32</v>
      </c>
      <c r="S25" s="49">
        <f t="shared" si="6"/>
        <v>34.181818181862823</v>
      </c>
      <c r="T25" s="50"/>
      <c r="U25" s="52"/>
      <c r="V25" s="52"/>
      <c r="W25" s="74"/>
      <c r="X25" s="74"/>
    </row>
    <row r="26" spans="2:24" x14ac:dyDescent="0.35">
      <c r="B26" s="5">
        <v>30</v>
      </c>
      <c r="C26" s="6">
        <f t="shared" si="3"/>
        <v>0.759493670886076</v>
      </c>
      <c r="D26" s="6">
        <v>2</v>
      </c>
      <c r="E26" s="48">
        <f t="shared" si="7"/>
        <v>32.759493670886073</v>
      </c>
      <c r="F26" s="64">
        <f>((I26-$I$17)/(K26-$K$17))</f>
        <v>-4.5454545454500983E-3</v>
      </c>
      <c r="G26" s="86">
        <f>G25-(G25*(M26))</f>
        <v>-1.7022072577611482E-3</v>
      </c>
      <c r="H26" s="51"/>
      <c r="I26" s="61">
        <f t="shared" ref="I26:I52" si="11">(F25*K26)+$I$17</f>
        <v>36.045454545472111</v>
      </c>
      <c r="J26" s="73">
        <f>$H$17+(K26*G26)</f>
        <v>47.276281331843464</v>
      </c>
      <c r="K26" s="6">
        <v>3950</v>
      </c>
      <c r="L26" s="6">
        <v>3950</v>
      </c>
      <c r="M26" s="6">
        <f>(K26-K25)/K25</f>
        <v>0.62551440329218111</v>
      </c>
      <c r="N26" s="6">
        <f t="shared" si="10"/>
        <v>0.62551440329218111</v>
      </c>
      <c r="O26" s="49">
        <f t="shared" si="0"/>
        <v>0</v>
      </c>
      <c r="P26" s="57">
        <f t="shared" si="1"/>
        <v>129399.99999999999</v>
      </c>
      <c r="Q26" s="49">
        <f t="shared" si="2"/>
        <v>-129399.99999999999</v>
      </c>
      <c r="R26" s="57">
        <f t="shared" si="5"/>
        <v>31.999999999999989</v>
      </c>
      <c r="S26" s="49">
        <f t="shared" si="6"/>
        <v>-68.670753588534012</v>
      </c>
      <c r="T26" s="50">
        <f t="shared" ref="T26:T52" si="12">((K26-K25)/(I26-I25))*I26/K26</f>
        <v>-2.0075949367118033</v>
      </c>
      <c r="U26" s="50">
        <f t="shared" ref="U26:U52" si="13">I26*K26</f>
        <v>142379.54545461485</v>
      </c>
      <c r="V26" s="70">
        <f>U26-P26</f>
        <v>12979.545454614869</v>
      </c>
      <c r="W26" s="74">
        <f t="shared" ref="W26:W52" si="14">K26*J26</f>
        <v>186741.31126078169</v>
      </c>
      <c r="X26" s="76">
        <f>W26-P26</f>
        <v>57341.311260781702</v>
      </c>
    </row>
    <row r="27" spans="2:24" x14ac:dyDescent="0.35">
      <c r="B27" s="5">
        <v>30</v>
      </c>
      <c r="C27" s="6">
        <f t="shared" si="3"/>
        <v>0.72815533980582525</v>
      </c>
      <c r="D27" s="6">
        <v>2</v>
      </c>
      <c r="E27" s="48">
        <f t="shared" si="7"/>
        <v>32.728155339805824</v>
      </c>
      <c r="F27" s="62">
        <f>(F26-(F26*$C$8))</f>
        <v>-2.7272727272700586E-3</v>
      </c>
      <c r="G27" s="77">
        <f>(J26-$I$17)/(K26-$K$17)</f>
        <v>-1.7022072577611484E-3</v>
      </c>
      <c r="H27" s="51"/>
      <c r="I27" s="61">
        <f t="shared" si="11"/>
        <v>35.272727272745598</v>
      </c>
      <c r="J27" s="73">
        <f t="shared" ref="J27:J52" si="15">$H$17+(K27*G27)</f>
        <v>46.986906098024065</v>
      </c>
      <c r="K27" s="6">
        <v>4120</v>
      </c>
      <c r="L27" s="6">
        <v>4120</v>
      </c>
      <c r="M27" s="6">
        <f t="shared" ref="M27:M52" si="16">(K27-K26)/K26</f>
        <v>4.3037974683544304E-2</v>
      </c>
      <c r="N27" s="6">
        <f t="shared" si="10"/>
        <v>4.3037974683544304E-2</v>
      </c>
      <c r="O27" s="49">
        <f t="shared" si="0"/>
        <v>0</v>
      </c>
      <c r="P27" s="57">
        <f t="shared" si="1"/>
        <v>134840</v>
      </c>
      <c r="Q27" s="49">
        <f t="shared" si="2"/>
        <v>-134840</v>
      </c>
      <c r="R27" s="57">
        <f t="shared" si="5"/>
        <v>32.000000000000085</v>
      </c>
      <c r="S27" s="49">
        <f t="shared" si="6"/>
        <v>0</v>
      </c>
      <c r="T27" s="50">
        <f t="shared" si="12"/>
        <v>-1.883495145633898</v>
      </c>
      <c r="U27" s="50">
        <f t="shared" si="13"/>
        <v>145323.63636371188</v>
      </c>
      <c r="V27" s="52">
        <f t="shared" ref="V27:V31" si="17">U27-P27</f>
        <v>10483.636363711877</v>
      </c>
      <c r="W27" s="74">
        <f t="shared" si="14"/>
        <v>193586.05312385914</v>
      </c>
      <c r="X27" s="76">
        <f t="shared" ref="X27:X49" si="18">W27-P27</f>
        <v>58746.053123859136</v>
      </c>
    </row>
    <row r="28" spans="2:24" x14ac:dyDescent="0.35">
      <c r="B28" s="5">
        <v>30</v>
      </c>
      <c r="C28" s="6">
        <f t="shared" si="3"/>
        <v>0.61349693251533743</v>
      </c>
      <c r="D28" s="6">
        <v>2</v>
      </c>
      <c r="E28" s="48">
        <f t="shared" si="7"/>
        <v>32.613496932515339</v>
      </c>
      <c r="F28" s="64">
        <f>((I28-I17)/(K28-K17))</f>
        <v>-2.7272727272700577E-3</v>
      </c>
      <c r="G28" s="64">
        <f>(J27-J26)/(K27-K26)</f>
        <v>-1.7022072577611712E-3</v>
      </c>
      <c r="H28" s="51"/>
      <c r="I28" s="52">
        <f t="shared" si="11"/>
        <v>40.663636363649417</v>
      </c>
      <c r="J28" s="73">
        <f t="shared" si="15"/>
        <v>45.676206509547875</v>
      </c>
      <c r="K28" s="6">
        <v>4890</v>
      </c>
      <c r="L28" s="6">
        <v>4890</v>
      </c>
      <c r="M28" s="6">
        <f t="shared" si="16"/>
        <v>0.18689320388349515</v>
      </c>
      <c r="N28" s="6">
        <f t="shared" si="10"/>
        <v>0.18689320388349515</v>
      </c>
      <c r="O28" s="49">
        <f t="shared" si="0"/>
        <v>0</v>
      </c>
      <c r="P28" s="57">
        <f t="shared" si="1"/>
        <v>159480</v>
      </c>
      <c r="Q28" s="49">
        <f t="shared" si="2"/>
        <v>-159480</v>
      </c>
      <c r="R28" s="57">
        <f t="shared" si="5"/>
        <v>32</v>
      </c>
      <c r="S28" s="49">
        <f t="shared" si="6"/>
        <v>0</v>
      </c>
      <c r="T28" s="50">
        <f t="shared" si="12"/>
        <v>1.187752821777063</v>
      </c>
      <c r="U28" s="50">
        <f t="shared" si="13"/>
        <v>198845.18181824565</v>
      </c>
      <c r="V28" s="63">
        <f t="shared" si="17"/>
        <v>39365.181818245648</v>
      </c>
      <c r="W28" s="74">
        <f t="shared" si="14"/>
        <v>223356.64983168911</v>
      </c>
      <c r="X28" s="76">
        <f t="shared" si="18"/>
        <v>63876.649831689108</v>
      </c>
    </row>
    <row r="29" spans="2:24" x14ac:dyDescent="0.35">
      <c r="B29" s="5">
        <v>30</v>
      </c>
      <c r="C29" s="6">
        <f t="shared" si="3"/>
        <v>0.52910052910052907</v>
      </c>
      <c r="D29" s="6">
        <v>2</v>
      </c>
      <c r="E29" s="48">
        <f t="shared" si="7"/>
        <v>32.529100529100532</v>
      </c>
      <c r="F29" s="57">
        <f>((I29-I28)/(K29-K28))</f>
        <v>-2.7272727272700556E-3</v>
      </c>
      <c r="G29" s="64">
        <f>(J28-J27)/(K28-K27)</f>
        <v>-1.7022072577612857E-3</v>
      </c>
      <c r="H29" s="51"/>
      <c r="I29" s="52">
        <f t="shared" si="11"/>
        <v>38.536363636378773</v>
      </c>
      <c r="J29" s="73">
        <f t="shared" si="15"/>
        <v>44.348484848493513</v>
      </c>
      <c r="K29" s="6">
        <v>5670</v>
      </c>
      <c r="L29" s="6">
        <v>5670</v>
      </c>
      <c r="M29" s="6">
        <f t="shared" si="16"/>
        <v>0.15950920245398773</v>
      </c>
      <c r="N29" s="6">
        <f t="shared" si="10"/>
        <v>0.15950920245398773</v>
      </c>
      <c r="O29" s="49">
        <f t="shared" si="0"/>
        <v>0</v>
      </c>
      <c r="P29" s="57">
        <f t="shared" si="1"/>
        <v>184440.00000000003</v>
      </c>
      <c r="Q29" s="49">
        <f t="shared" si="2"/>
        <v>-184440.00000000003</v>
      </c>
      <c r="R29" s="57">
        <f t="shared" si="5"/>
        <v>32.000000000000036</v>
      </c>
      <c r="S29" s="49">
        <f t="shared" si="6"/>
        <v>0</v>
      </c>
      <c r="T29" s="50">
        <f t="shared" si="12"/>
        <v>-2.492063492066912</v>
      </c>
      <c r="U29" s="50">
        <f t="shared" si="13"/>
        <v>218501.18181826765</v>
      </c>
      <c r="V29" s="50">
        <f t="shared" si="17"/>
        <v>34061.181818267622</v>
      </c>
      <c r="W29" s="74">
        <f t="shared" si="14"/>
        <v>251455.90909095822</v>
      </c>
      <c r="X29" s="76">
        <f t="shared" si="18"/>
        <v>67015.909090958186</v>
      </c>
    </row>
    <row r="30" spans="2:24" x14ac:dyDescent="0.35">
      <c r="B30" s="5">
        <v>30</v>
      </c>
      <c r="C30" s="6">
        <f t="shared" si="3"/>
        <v>0.49019607843137253</v>
      </c>
      <c r="D30" s="6">
        <v>2</v>
      </c>
      <c r="E30" s="48">
        <f t="shared" si="7"/>
        <v>32.490196078431367</v>
      </c>
      <c r="F30" s="62">
        <f>(F29-(F29*$C$8))</f>
        <v>-1.6363636363620332E-3</v>
      </c>
      <c r="G30" s="64">
        <f>(J29-J28)/(K29-K28)</f>
        <v>-1.7022072577620023E-3</v>
      </c>
      <c r="H30" s="51"/>
      <c r="I30" s="50">
        <f t="shared" si="11"/>
        <v>37.309090909107255</v>
      </c>
      <c r="J30" s="73">
        <f t="shared" si="15"/>
        <v>43.582491582496544</v>
      </c>
      <c r="K30" s="45">
        <v>6120</v>
      </c>
      <c r="L30" s="88">
        <v>6120</v>
      </c>
      <c r="M30" s="6">
        <f t="shared" si="16"/>
        <v>7.9365079365079361E-2</v>
      </c>
      <c r="N30" s="6">
        <f t="shared" si="10"/>
        <v>7.9365079365079361E-2</v>
      </c>
      <c r="O30" s="51">
        <f t="shared" si="0"/>
        <v>0</v>
      </c>
      <c r="P30" s="58">
        <f t="shared" si="1"/>
        <v>198839.99999999997</v>
      </c>
      <c r="Q30" s="51">
        <f t="shared" si="2"/>
        <v>-198839.99999999997</v>
      </c>
      <c r="R30" s="58">
        <f t="shared" si="5"/>
        <v>31.999999999999872</v>
      </c>
      <c r="S30" s="51">
        <f t="shared" si="6"/>
        <v>0</v>
      </c>
      <c r="T30" s="52">
        <f t="shared" si="12"/>
        <v>-2.2352941176502394</v>
      </c>
      <c r="U30" s="52">
        <f t="shared" si="13"/>
        <v>228331.63636373641</v>
      </c>
      <c r="V30" s="52">
        <f t="shared" si="17"/>
        <v>29491.636363736441</v>
      </c>
      <c r="W30" s="74">
        <f t="shared" si="14"/>
        <v>266724.84848487884</v>
      </c>
      <c r="X30" s="76">
        <f t="shared" si="18"/>
        <v>67884.848484878865</v>
      </c>
    </row>
    <row r="31" spans="2:24" x14ac:dyDescent="0.35">
      <c r="B31" s="5">
        <v>30</v>
      </c>
      <c r="C31" s="6">
        <f t="shared" si="3"/>
        <v>0.35971223021582732</v>
      </c>
      <c r="D31" s="6">
        <v>2</v>
      </c>
      <c r="E31" s="48">
        <f t="shared" si="7"/>
        <v>32.359712230215827</v>
      </c>
      <c r="F31" s="64">
        <f>((I31-I17)/(K31-K17))</f>
        <v>-1.636363636362033E-3</v>
      </c>
      <c r="G31" s="86">
        <f>G30-(G30*(M31))</f>
        <v>-1.0847399191620602E-3</v>
      </c>
      <c r="H31" s="51"/>
      <c r="I31" s="63">
        <f t="shared" si="11"/>
        <v>40.352727272740644</v>
      </c>
      <c r="J31" s="73">
        <f t="shared" si="15"/>
        <v>44.95326907418842</v>
      </c>
      <c r="K31" s="6">
        <v>8340</v>
      </c>
      <c r="L31" s="6">
        <v>8340</v>
      </c>
      <c r="M31" s="6">
        <f t="shared" si="16"/>
        <v>0.36274509803921567</v>
      </c>
      <c r="N31" s="6">
        <f t="shared" si="10"/>
        <v>0.36274509803921567</v>
      </c>
      <c r="O31" s="49">
        <f t="shared" si="0"/>
        <v>0</v>
      </c>
      <c r="P31" s="57">
        <f t="shared" si="1"/>
        <v>269880</v>
      </c>
      <c r="Q31" s="49">
        <f t="shared" si="2"/>
        <v>-269880</v>
      </c>
      <c r="R31" s="57">
        <f t="shared" si="5"/>
        <v>32.000000000000014</v>
      </c>
      <c r="S31" s="49">
        <f t="shared" si="6"/>
        <v>0</v>
      </c>
      <c r="T31" s="50">
        <f t="shared" si="12"/>
        <v>3.5291250870317703</v>
      </c>
      <c r="U31" s="50">
        <f t="shared" si="13"/>
        <v>336541.74545465695</v>
      </c>
      <c r="V31" s="63">
        <f t="shared" si="17"/>
        <v>66661.74545465695</v>
      </c>
      <c r="W31" s="74">
        <f t="shared" si="14"/>
        <v>374910.26407873142</v>
      </c>
      <c r="X31" s="76">
        <f t="shared" si="18"/>
        <v>105030.26407873142</v>
      </c>
    </row>
    <row r="32" spans="2:24" x14ac:dyDescent="0.35">
      <c r="B32" s="53">
        <v>30</v>
      </c>
      <c r="C32" s="5">
        <f t="shared" si="3"/>
        <v>0.3051881993896236</v>
      </c>
      <c r="D32" s="5">
        <v>2</v>
      </c>
      <c r="E32" s="43">
        <f t="shared" si="7"/>
        <v>32.305188199389619</v>
      </c>
      <c r="F32" s="57">
        <f>((I32-I31)/(K32-K31))</f>
        <v>-1.6363636363620337E-3</v>
      </c>
      <c r="G32" s="77">
        <f>(J31-$I$17)/(K31-$K$17)</f>
        <v>-1.08473991916206E-3</v>
      </c>
      <c r="H32" s="51"/>
      <c r="I32" s="52">
        <f t="shared" si="11"/>
        <v>37.914545454561214</v>
      </c>
      <c r="J32" s="73">
        <f t="shared" si="15"/>
        <v>43.337006594636946</v>
      </c>
      <c r="K32" s="5">
        <v>9830</v>
      </c>
      <c r="L32" s="89">
        <v>9830</v>
      </c>
      <c r="M32" s="6">
        <f t="shared" si="16"/>
        <v>0.17865707434052758</v>
      </c>
      <c r="N32" s="6">
        <f t="shared" si="10"/>
        <v>0.17865707434052758</v>
      </c>
      <c r="O32" s="49">
        <f t="shared" ref="O32:O41" si="19">K32*H32</f>
        <v>0</v>
      </c>
      <c r="P32" s="59">
        <f t="shared" si="1"/>
        <v>317559.99999999994</v>
      </c>
      <c r="Q32" s="49">
        <f t="shared" si="2"/>
        <v>-317559.99999999994</v>
      </c>
      <c r="R32" s="57">
        <f t="shared" si="5"/>
        <v>31.999999999999961</v>
      </c>
      <c r="S32" s="49">
        <f t="shared" si="6"/>
        <v>0</v>
      </c>
      <c r="T32" s="50">
        <f t="shared" si="12"/>
        <v>-2.357070193289148</v>
      </c>
      <c r="U32" s="50">
        <f t="shared" si="13"/>
        <v>372699.98181833676</v>
      </c>
      <c r="V32" s="50">
        <f t="shared" ref="V32:V39" si="20">U32-P32</f>
        <v>55139.981818336819</v>
      </c>
      <c r="W32" s="74">
        <f t="shared" si="14"/>
        <v>426002.77482528117</v>
      </c>
      <c r="X32" s="76">
        <f t="shared" si="18"/>
        <v>108442.77482528123</v>
      </c>
    </row>
    <row r="33" spans="2:24" x14ac:dyDescent="0.35">
      <c r="B33" s="53">
        <v>30</v>
      </c>
      <c r="C33" s="5">
        <f t="shared" si="3"/>
        <v>0.24084778420038536</v>
      </c>
      <c r="D33" s="5">
        <v>2</v>
      </c>
      <c r="E33" s="43">
        <f t="shared" si="7"/>
        <v>32.240847784200383</v>
      </c>
      <c r="F33" s="62">
        <f>(F32-(F32*$C$8))</f>
        <v>-9.818181818172201E-4</v>
      </c>
      <c r="G33" s="86">
        <f>G32-(G32*(M33))</f>
        <v>-7.9496097432792264E-4</v>
      </c>
      <c r="H33" s="51"/>
      <c r="I33" s="52">
        <f t="shared" si="11"/>
        <v>33.617454545474509</v>
      </c>
      <c r="J33" s="73">
        <f t="shared" si="15"/>
        <v>44.097966103771398</v>
      </c>
      <c r="K33" s="5">
        <v>12456</v>
      </c>
      <c r="L33" s="89">
        <v>12456</v>
      </c>
      <c r="M33" s="6">
        <f t="shared" si="16"/>
        <v>0.26714140386571722</v>
      </c>
      <c r="N33" s="6">
        <f t="shared" si="10"/>
        <v>0.26714140386571722</v>
      </c>
      <c r="O33" s="49">
        <f t="shared" si="19"/>
        <v>0</v>
      </c>
      <c r="P33" s="59">
        <f t="shared" si="1"/>
        <v>401592</v>
      </c>
      <c r="Q33" s="49">
        <f t="shared" si="2"/>
        <v>-401592</v>
      </c>
      <c r="R33" s="57">
        <f t="shared" si="5"/>
        <v>32.000000000000021</v>
      </c>
      <c r="S33" s="49">
        <f t="shared" si="6"/>
        <v>0</v>
      </c>
      <c r="T33" s="50">
        <f t="shared" si="12"/>
        <v>-1.6493256262068319</v>
      </c>
      <c r="U33" s="50">
        <f t="shared" si="13"/>
        <v>418739.01381843048</v>
      </c>
      <c r="V33" s="52">
        <f t="shared" si="20"/>
        <v>17147.013818430481</v>
      </c>
      <c r="W33" s="74">
        <f t="shared" si="14"/>
        <v>549284.26578857657</v>
      </c>
      <c r="X33" s="76">
        <f t="shared" si="18"/>
        <v>147692.26578857657</v>
      </c>
    </row>
    <row r="34" spans="2:24" x14ac:dyDescent="0.35">
      <c r="B34" s="53">
        <v>30</v>
      </c>
      <c r="C34" s="5">
        <f t="shared" si="3"/>
        <v>0.16853932584269662</v>
      </c>
      <c r="D34" s="5">
        <v>2</v>
      </c>
      <c r="E34" s="78">
        <f t="shared" si="7"/>
        <v>32.168539325842701</v>
      </c>
      <c r="F34" s="85">
        <f>((I34-I17)/(K34-K17))</f>
        <v>-9.818181818172201E-4</v>
      </c>
      <c r="G34" s="86">
        <f>G33-(G33*(M34))</f>
        <v>-4.53898719446065E-4</v>
      </c>
      <c r="H34" s="80"/>
      <c r="I34" s="80">
        <f t="shared" si="11"/>
        <v>36.52363636365348</v>
      </c>
      <c r="J34" s="93">
        <f t="shared" si="15"/>
        <v>45.920602793860041</v>
      </c>
      <c r="K34" s="10">
        <v>17800</v>
      </c>
      <c r="L34" s="10">
        <v>17800</v>
      </c>
      <c r="M34" s="26">
        <f t="shared" si="16"/>
        <v>0.42903018625561978</v>
      </c>
      <c r="N34" s="6">
        <f t="shared" si="10"/>
        <v>0.42903018625561978</v>
      </c>
      <c r="O34" s="26">
        <f t="shared" si="19"/>
        <v>0</v>
      </c>
      <c r="P34" s="81">
        <f t="shared" si="1"/>
        <v>572600.00000000012</v>
      </c>
      <c r="Q34" s="26">
        <f t="shared" si="2"/>
        <v>-572600.00000000012</v>
      </c>
      <c r="R34" s="82">
        <f t="shared" si="5"/>
        <v>32.000000000000021</v>
      </c>
      <c r="S34" s="26">
        <f t="shared" si="6"/>
        <v>0</v>
      </c>
      <c r="T34" s="26">
        <f t="shared" si="12"/>
        <v>3.7730944427628286</v>
      </c>
      <c r="U34" s="26">
        <f t="shared" si="13"/>
        <v>650120.72727303195</v>
      </c>
      <c r="V34" s="83">
        <f t="shared" si="20"/>
        <v>77520.727273031836</v>
      </c>
      <c r="W34" s="26">
        <f t="shared" si="14"/>
        <v>817386.72973070876</v>
      </c>
      <c r="X34" s="84">
        <f t="shared" si="18"/>
        <v>244786.72973070864</v>
      </c>
    </row>
    <row r="35" spans="2:24" x14ac:dyDescent="0.35">
      <c r="B35" s="53">
        <v>30</v>
      </c>
      <c r="C35" s="5">
        <f t="shared" si="3"/>
        <v>0.14749262536873156</v>
      </c>
      <c r="D35" s="5">
        <v>2</v>
      </c>
      <c r="E35" s="82">
        <f t="shared" si="7"/>
        <v>32.147492625368727</v>
      </c>
      <c r="F35" s="79">
        <f>(F34-(F34*$C$8))</f>
        <v>-5.8909090909033211E-4</v>
      </c>
      <c r="G35" s="86">
        <f>G34-(G34*(M35))</f>
        <v>-3.8912890217679505E-4</v>
      </c>
      <c r="H35" s="80"/>
      <c r="I35" s="80">
        <f t="shared" si="11"/>
        <v>34.02981818183774</v>
      </c>
      <c r="J35" s="93">
        <f t="shared" si="15"/>
        <v>46.085118129723988</v>
      </c>
      <c r="K35" s="10">
        <v>20340</v>
      </c>
      <c r="L35" s="10">
        <v>15000</v>
      </c>
      <c r="M35" s="11">
        <f t="shared" si="16"/>
        <v>0.14269662921348314</v>
      </c>
      <c r="N35" s="11">
        <f t="shared" si="10"/>
        <v>-0.15730337078651685</v>
      </c>
      <c r="O35" s="26">
        <f t="shared" si="19"/>
        <v>0</v>
      </c>
      <c r="P35" s="81">
        <f t="shared" si="1"/>
        <v>653879.99999999988</v>
      </c>
      <c r="Q35" s="26">
        <f t="shared" si="2"/>
        <v>-653879.99999999988</v>
      </c>
      <c r="R35" s="82">
        <f t="shared" si="5"/>
        <v>31.999999999999908</v>
      </c>
      <c r="S35" s="26">
        <f t="shared" si="6"/>
        <v>0</v>
      </c>
      <c r="T35" s="26">
        <f t="shared" si="12"/>
        <v>-1.7040314650960595</v>
      </c>
      <c r="U35" s="26">
        <f t="shared" si="13"/>
        <v>692166.50181857962</v>
      </c>
      <c r="V35" s="26">
        <f t="shared" si="20"/>
        <v>38286.501818579738</v>
      </c>
      <c r="W35" s="26">
        <f t="shared" si="14"/>
        <v>937371.30275858589</v>
      </c>
      <c r="X35" s="84">
        <f t="shared" si="18"/>
        <v>283491.30275858601</v>
      </c>
    </row>
    <row r="36" spans="2:24" x14ac:dyDescent="0.35">
      <c r="B36" s="53">
        <v>30</v>
      </c>
      <c r="C36" s="5">
        <f t="shared" si="3"/>
        <v>0.12155591572123177</v>
      </c>
      <c r="D36" s="5">
        <v>2</v>
      </c>
      <c r="E36" s="78">
        <f t="shared" si="7"/>
        <v>32.121555915721231</v>
      </c>
      <c r="F36" s="85">
        <f>((I36-I17)/(K36-K17))</f>
        <v>-5.89090909090332E-4</v>
      </c>
      <c r="G36" s="77">
        <f t="shared" ref="G36:G41" si="21">(J35-$I$17)/(K35-$K$17)</f>
        <v>-3.8912890217679511E-4</v>
      </c>
      <c r="H36" s="80"/>
      <c r="I36" s="80">
        <f t="shared" si="11"/>
        <v>39.461236363650606</v>
      </c>
      <c r="J36" s="93">
        <f>(J35/L35)*L36</f>
        <v>49.157459338372256</v>
      </c>
      <c r="K36" s="10">
        <v>24680</v>
      </c>
      <c r="L36" s="10">
        <v>16000</v>
      </c>
      <c r="M36" s="11">
        <f t="shared" si="16"/>
        <v>0.21337266470009833</v>
      </c>
      <c r="N36" s="11">
        <f t="shared" si="10"/>
        <v>6.6666666666666666E-2</v>
      </c>
      <c r="O36" s="26">
        <f t="shared" si="19"/>
        <v>0</v>
      </c>
      <c r="P36" s="81">
        <f t="shared" si="1"/>
        <v>792760</v>
      </c>
      <c r="Q36" s="26">
        <f t="shared" si="2"/>
        <v>-792760</v>
      </c>
      <c r="R36" s="82">
        <f t="shared" si="5"/>
        <v>32.000000000000028</v>
      </c>
      <c r="S36" s="26">
        <f t="shared" si="6"/>
        <v>0</v>
      </c>
      <c r="T36" s="26">
        <f t="shared" si="12"/>
        <v>1.2776209377371914</v>
      </c>
      <c r="U36" s="26">
        <f t="shared" si="13"/>
        <v>973903.31345489691</v>
      </c>
      <c r="V36" s="26">
        <f t="shared" si="20"/>
        <v>181143.31345489691</v>
      </c>
      <c r="W36" s="26">
        <f t="shared" si="14"/>
        <v>1213206.0964710272</v>
      </c>
      <c r="X36" s="84">
        <f t="shared" si="18"/>
        <v>420446.09647102724</v>
      </c>
    </row>
    <row r="37" spans="2:24" x14ac:dyDescent="0.35">
      <c r="B37" s="53">
        <v>30</v>
      </c>
      <c r="C37" s="5">
        <f t="shared" si="3"/>
        <v>0.1059322033898305</v>
      </c>
      <c r="D37" s="53">
        <v>2</v>
      </c>
      <c r="E37" s="78">
        <f t="shared" si="7"/>
        <v>32.105932203389827</v>
      </c>
      <c r="F37" s="82">
        <f t="shared" ref="F37:F52" si="22">((I37-I36)/(K37-K36))</f>
        <v>-5.8909090909033221E-4</v>
      </c>
      <c r="G37" s="87">
        <f t="shared" si="21"/>
        <v>-1.9621315484715334E-4</v>
      </c>
      <c r="H37" s="80"/>
      <c r="I37" s="80">
        <f t="shared" si="11"/>
        <v>37.316945454561797</v>
      </c>
      <c r="J37" s="93">
        <f t="shared" ref="J37:J38" si="23">(J36/L36)*L37</f>
        <v>36.86809450377919</v>
      </c>
      <c r="K37" s="10">
        <v>28320</v>
      </c>
      <c r="L37" s="10">
        <v>12000</v>
      </c>
      <c r="M37" s="11">
        <f t="shared" si="16"/>
        <v>0.14748784440842788</v>
      </c>
      <c r="N37" s="11">
        <f t="shared" si="10"/>
        <v>-0.25</v>
      </c>
      <c r="O37" s="26">
        <f t="shared" si="19"/>
        <v>0</v>
      </c>
      <c r="P37" s="81">
        <f t="shared" si="1"/>
        <v>909239.99999999988</v>
      </c>
      <c r="Q37" s="26">
        <f t="shared" si="2"/>
        <v>-909239.99999999988</v>
      </c>
      <c r="R37" s="82">
        <f t="shared" si="5"/>
        <v>31.999999999999968</v>
      </c>
      <c r="S37" s="26">
        <f t="shared" si="6"/>
        <v>0</v>
      </c>
      <c r="T37" s="26">
        <f t="shared" si="12"/>
        <v>-2.2368173258035466</v>
      </c>
      <c r="U37" s="26">
        <f t="shared" si="13"/>
        <v>1056815.89527319</v>
      </c>
      <c r="V37" s="26">
        <f t="shared" si="20"/>
        <v>147575.89527319011</v>
      </c>
      <c r="W37" s="26">
        <f t="shared" si="14"/>
        <v>1044104.4363470266</v>
      </c>
      <c r="X37" s="84">
        <f t="shared" si="18"/>
        <v>134864.43634702673</v>
      </c>
    </row>
    <row r="38" spans="2:24" x14ac:dyDescent="0.35">
      <c r="B38" s="53">
        <v>30</v>
      </c>
      <c r="C38" s="5">
        <f t="shared" si="3"/>
        <v>9.5057034220532313E-2</v>
      </c>
      <c r="D38" s="53">
        <v>2</v>
      </c>
      <c r="E38" s="78">
        <f t="shared" si="7"/>
        <v>32.095057034220531</v>
      </c>
      <c r="F38" s="79">
        <f>(F37-(F37*$C$8))</f>
        <v>-3.5345454545419929E-4</v>
      </c>
      <c r="G38" s="87">
        <f t="shared" si="21"/>
        <v>-6.0494016582700598E-4</v>
      </c>
      <c r="H38" s="80"/>
      <c r="I38" s="80">
        <f t="shared" si="11"/>
        <v>35.408290909109112</v>
      </c>
      <c r="J38" s="93">
        <f t="shared" si="23"/>
        <v>27.651070877834393</v>
      </c>
      <c r="K38" s="10">
        <v>31560</v>
      </c>
      <c r="L38" s="10">
        <v>9000</v>
      </c>
      <c r="M38" s="11">
        <f t="shared" si="16"/>
        <v>0.11440677966101695</v>
      </c>
      <c r="N38" s="11">
        <f t="shared" si="10"/>
        <v>-0.25</v>
      </c>
      <c r="O38" s="26">
        <f t="shared" si="19"/>
        <v>0</v>
      </c>
      <c r="P38" s="81">
        <f t="shared" si="1"/>
        <v>1012920</v>
      </c>
      <c r="Q38" s="26">
        <f t="shared" si="2"/>
        <v>-1012920</v>
      </c>
      <c r="R38" s="82">
        <f t="shared" si="5"/>
        <v>32.000000000000036</v>
      </c>
      <c r="S38" s="26">
        <f t="shared" si="6"/>
        <v>0</v>
      </c>
      <c r="T38" s="26">
        <f t="shared" si="12"/>
        <v>-1.9045204900746571</v>
      </c>
      <c r="U38" s="26">
        <f t="shared" si="13"/>
        <v>1117485.6610914837</v>
      </c>
      <c r="V38" s="80">
        <f t="shared" si="20"/>
        <v>104565.66109148366</v>
      </c>
      <c r="W38" s="26">
        <f t="shared" si="14"/>
        <v>872667.79690445343</v>
      </c>
      <c r="X38" s="84">
        <f t="shared" si="18"/>
        <v>-140252.20309554657</v>
      </c>
    </row>
    <row r="39" spans="2:24" x14ac:dyDescent="0.35">
      <c r="B39" s="53">
        <v>30</v>
      </c>
      <c r="C39" s="5">
        <f t="shared" si="3"/>
        <v>8.8209350191120264E-2</v>
      </c>
      <c r="D39" s="53">
        <v>2</v>
      </c>
      <c r="E39" s="54">
        <f t="shared" si="7"/>
        <v>32.088209350191121</v>
      </c>
      <c r="F39" s="64">
        <f>((I39-I17)/(K39-K17))</f>
        <v>-3.5345454545419923E-4</v>
      </c>
      <c r="G39" s="86">
        <f>G38-(G38*(M39))</f>
        <v>-5.5797871442408564E-4</v>
      </c>
      <c r="H39" s="51"/>
      <c r="I39" s="52">
        <f t="shared" si="11"/>
        <v>41.979010909102684</v>
      </c>
      <c r="J39" s="73">
        <f t="shared" si="15"/>
        <v>35.023143922436844</v>
      </c>
      <c r="K39" s="5">
        <v>34010</v>
      </c>
      <c r="M39" s="6">
        <f t="shared" si="16"/>
        <v>7.7629911280101396E-2</v>
      </c>
      <c r="N39" s="6">
        <f t="shared" si="10"/>
        <v>-1</v>
      </c>
      <c r="O39" s="49">
        <f t="shared" si="19"/>
        <v>0</v>
      </c>
      <c r="P39" s="59">
        <f t="shared" si="1"/>
        <v>1091320</v>
      </c>
      <c r="Q39" s="49">
        <f t="shared" si="2"/>
        <v>-1091320</v>
      </c>
      <c r="R39" s="57">
        <f t="shared" si="5"/>
        <v>32</v>
      </c>
      <c r="S39" s="49">
        <f t="shared" si="6"/>
        <v>0</v>
      </c>
      <c r="T39" s="50">
        <f t="shared" si="12"/>
        <v>0.46023399369758167</v>
      </c>
      <c r="U39" s="50">
        <f t="shared" si="13"/>
        <v>1427706.1610185823</v>
      </c>
      <c r="V39" s="50">
        <f t="shared" si="20"/>
        <v>336386.16101858229</v>
      </c>
      <c r="W39" s="74">
        <f t="shared" si="14"/>
        <v>1191137.1248020772</v>
      </c>
      <c r="X39" s="76">
        <f t="shared" si="18"/>
        <v>99817.124802077189</v>
      </c>
    </row>
    <row r="40" spans="2:24" x14ac:dyDescent="0.35">
      <c r="B40" s="53">
        <v>30</v>
      </c>
      <c r="C40" s="5">
        <f t="shared" si="3"/>
        <v>7.5910931174089064E-2</v>
      </c>
      <c r="D40" s="53">
        <v>2</v>
      </c>
      <c r="E40" s="54">
        <f t="shared" si="7"/>
        <v>32.075910931174093</v>
      </c>
      <c r="F40" s="57">
        <f t="shared" si="22"/>
        <v>-3.5345454545419972E-4</v>
      </c>
      <c r="G40" s="86">
        <f>G39-(G39*(M40))</f>
        <v>-4.6757992828833994E-4</v>
      </c>
      <c r="H40" s="51"/>
      <c r="I40" s="52">
        <f t="shared" si="11"/>
        <v>40.031476363650043</v>
      </c>
      <c r="J40" s="73">
        <f t="shared" si="15"/>
        <v>35.521241234044808</v>
      </c>
      <c r="K40" s="5">
        <v>39520</v>
      </c>
      <c r="M40" s="6">
        <f t="shared" si="16"/>
        <v>0.16201117318435754</v>
      </c>
      <c r="N40" s="6" t="e">
        <f t="shared" si="10"/>
        <v>#DIV/0!</v>
      </c>
      <c r="O40" s="49">
        <f t="shared" si="19"/>
        <v>0</v>
      </c>
      <c r="P40" s="59">
        <f t="shared" si="1"/>
        <v>1267640.0000000002</v>
      </c>
      <c r="Q40" s="49">
        <f t="shared" si="2"/>
        <v>-1267640.0000000002</v>
      </c>
      <c r="R40" s="57">
        <f t="shared" si="5"/>
        <v>32.000000000000043</v>
      </c>
      <c r="S40" s="49">
        <f t="shared" si="6"/>
        <v>0</v>
      </c>
      <c r="T40" s="50">
        <f t="shared" si="12"/>
        <v>-2.865834457943504</v>
      </c>
      <c r="U40" s="50">
        <f t="shared" si="13"/>
        <v>1582043.9458914497</v>
      </c>
      <c r="V40" s="50">
        <f t="shared" ref="V40:V41" si="24">U40-P40</f>
        <v>314403.94589144946</v>
      </c>
      <c r="W40" s="74">
        <f t="shared" si="14"/>
        <v>1403799.4535694509</v>
      </c>
      <c r="X40" s="76">
        <f t="shared" si="18"/>
        <v>136159.45356945065</v>
      </c>
    </row>
    <row r="41" spans="2:24" x14ac:dyDescent="0.35">
      <c r="B41" s="53">
        <v>30</v>
      </c>
      <c r="C41" s="5">
        <f t="shared" si="3"/>
        <v>6.8524440383736868E-2</v>
      </c>
      <c r="D41" s="53">
        <v>2</v>
      </c>
      <c r="E41" s="54">
        <f t="shared" si="7"/>
        <v>32.06852444038374</v>
      </c>
      <c r="F41" s="57">
        <f t="shared" si="22"/>
        <v>-3.5345454545420259E-4</v>
      </c>
      <c r="G41" s="77">
        <f t="shared" si="21"/>
        <v>-4.6757992828833989E-4</v>
      </c>
      <c r="H41" s="51"/>
      <c r="I41" s="52">
        <f t="shared" si="11"/>
        <v>38.52576000001514</v>
      </c>
      <c r="J41" s="73">
        <f t="shared" si="15"/>
        <v>33.529350739536483</v>
      </c>
      <c r="K41" s="5">
        <v>43780</v>
      </c>
      <c r="M41" s="6">
        <f t="shared" si="16"/>
        <v>0.10779352226720648</v>
      </c>
      <c r="N41" s="6" t="e">
        <f t="shared" si="10"/>
        <v>#DIV/0!</v>
      </c>
      <c r="O41" s="49">
        <f t="shared" si="19"/>
        <v>0</v>
      </c>
      <c r="P41" s="59">
        <f t="shared" si="1"/>
        <v>1403960.0000000002</v>
      </c>
      <c r="Q41" s="49">
        <f t="shared" si="2"/>
        <v>-1403960.0000000002</v>
      </c>
      <c r="R41" s="57">
        <f t="shared" si="5"/>
        <v>32</v>
      </c>
      <c r="S41" s="49">
        <f t="shared" si="6"/>
        <v>0</v>
      </c>
      <c r="T41" s="50">
        <f t="shared" si="12"/>
        <v>-2.4896705751011043</v>
      </c>
      <c r="U41" s="50">
        <f t="shared" si="13"/>
        <v>1686657.7728006628</v>
      </c>
      <c r="V41" s="50">
        <f t="shared" si="24"/>
        <v>282697.77280066255</v>
      </c>
      <c r="W41" s="74">
        <f t="shared" si="14"/>
        <v>1467914.9753769073</v>
      </c>
      <c r="X41" s="76">
        <f t="shared" si="18"/>
        <v>63954.975376907038</v>
      </c>
    </row>
    <row r="42" spans="2:24" x14ac:dyDescent="0.35">
      <c r="B42" s="53">
        <v>30</v>
      </c>
      <c r="C42" s="5">
        <f t="shared" si="3"/>
        <v>6.1349693251533742E-2</v>
      </c>
      <c r="D42" s="53">
        <v>2</v>
      </c>
      <c r="E42" s="54">
        <f t="shared" si="7"/>
        <v>32.061349693251529</v>
      </c>
      <c r="F42" s="57">
        <f t="shared" si="22"/>
        <v>-3.5345454545422791E-4</v>
      </c>
      <c r="G42" s="64">
        <f t="shared" ref="G42:G47" si="25">(J41-J40)/(K41-K40)</f>
        <v>-4.6757992828833935E-4</v>
      </c>
      <c r="I42" s="52">
        <f t="shared" si="11"/>
        <v>36.716072727289493</v>
      </c>
      <c r="J42" s="73">
        <f t="shared" si="15"/>
        <v>31.135341506700208</v>
      </c>
      <c r="K42" s="5">
        <v>48900</v>
      </c>
      <c r="M42" s="6">
        <f t="shared" si="16"/>
        <v>0.11694837825491092</v>
      </c>
      <c r="N42" s="6" t="e">
        <f t="shared" si="10"/>
        <v>#DIV/0!</v>
      </c>
      <c r="P42" s="59">
        <f t="shared" si="1"/>
        <v>1567799.9999999998</v>
      </c>
      <c r="R42" s="57">
        <f t="shared" si="5"/>
        <v>31.999999999999908</v>
      </c>
      <c r="T42" s="50">
        <f t="shared" si="12"/>
        <v>-2.1242899341087638</v>
      </c>
      <c r="U42" s="50">
        <f t="shared" si="13"/>
        <v>1795415.9563644561</v>
      </c>
      <c r="V42" s="50">
        <f t="shared" ref="V42:V44" si="26">U42-P42</f>
        <v>227615.95636445633</v>
      </c>
      <c r="W42" s="74">
        <f t="shared" si="14"/>
        <v>1522518.1996776401</v>
      </c>
      <c r="X42" s="76">
        <f t="shared" si="18"/>
        <v>-45281.800322359661</v>
      </c>
    </row>
    <row r="43" spans="2:24" x14ac:dyDescent="0.35">
      <c r="B43" s="53">
        <v>30</v>
      </c>
      <c r="C43" s="5">
        <f t="shared" si="3"/>
        <v>5.7339449541284407E-2</v>
      </c>
      <c r="D43" s="53">
        <v>2</v>
      </c>
      <c r="E43" s="54">
        <f t="shared" si="7"/>
        <v>32.057339449541288</v>
      </c>
      <c r="F43" s="62">
        <f>(F42-(F42*$C$8))</f>
        <v>-2.1207272727253673E-4</v>
      </c>
      <c r="G43" s="64">
        <f t="shared" si="25"/>
        <v>-4.6757992828833501E-4</v>
      </c>
      <c r="I43" s="52">
        <f t="shared" si="11"/>
        <v>35.5072581818348</v>
      </c>
      <c r="J43" s="73">
        <f t="shared" si="15"/>
        <v>29.536218151954312</v>
      </c>
      <c r="K43" s="5">
        <v>52320</v>
      </c>
      <c r="M43" s="6">
        <f t="shared" si="16"/>
        <v>6.9938650306748465E-2</v>
      </c>
      <c r="N43" s="6" t="e">
        <f t="shared" si="10"/>
        <v>#DIV/0!</v>
      </c>
      <c r="P43" s="59">
        <f t="shared" si="1"/>
        <v>1677240.0000000002</v>
      </c>
      <c r="R43" s="57">
        <f t="shared" si="5"/>
        <v>32.000000000000135</v>
      </c>
      <c r="T43" s="50">
        <f t="shared" si="12"/>
        <v>-1.9200645599734809</v>
      </c>
      <c r="U43" s="50">
        <f t="shared" si="13"/>
        <v>1857739.7480735967</v>
      </c>
      <c r="V43" s="52">
        <f t="shared" si="26"/>
        <v>180499.74807359651</v>
      </c>
      <c r="W43" s="74">
        <f t="shared" si="14"/>
        <v>1545334.9337102496</v>
      </c>
      <c r="X43" s="76">
        <f t="shared" si="18"/>
        <v>-131905.06628975063</v>
      </c>
    </row>
    <row r="44" spans="2:24" x14ac:dyDescent="0.35">
      <c r="B44" s="53">
        <v>30</v>
      </c>
      <c r="C44" s="5">
        <f t="shared" si="3"/>
        <v>5.3219797764768491E-2</v>
      </c>
      <c r="D44" s="53">
        <v>2</v>
      </c>
      <c r="E44" s="54">
        <f t="shared" si="7"/>
        <v>32.053219797764768</v>
      </c>
      <c r="F44" s="65">
        <f>((I44-I17)/(K44-K17))</f>
        <v>-2.1207272727253676E-4</v>
      </c>
      <c r="G44" s="64">
        <f t="shared" si="25"/>
        <v>-4.6757992828827348E-4</v>
      </c>
      <c r="I44" s="52">
        <f t="shared" si="11"/>
        <v>42.045460363647102</v>
      </c>
      <c r="J44" s="73">
        <f t="shared" si="15"/>
        <v>27.642519442390025</v>
      </c>
      <c r="K44" s="5">
        <v>56370</v>
      </c>
      <c r="M44" s="6">
        <f t="shared" si="16"/>
        <v>7.7408256880733939E-2</v>
      </c>
      <c r="N44" s="6" t="e">
        <f t="shared" si="10"/>
        <v>#DIV/0!</v>
      </c>
      <c r="P44" s="59">
        <f t="shared" si="1"/>
        <v>1806840</v>
      </c>
      <c r="R44" s="57">
        <f t="shared" si="5"/>
        <v>31.999999999999943</v>
      </c>
      <c r="T44" s="50">
        <f t="shared" si="12"/>
        <v>0.46202742399142449</v>
      </c>
      <c r="U44" s="50">
        <f t="shared" si="13"/>
        <v>2370102.6006987873</v>
      </c>
      <c r="V44" s="50">
        <f t="shared" si="26"/>
        <v>563262.60069878725</v>
      </c>
      <c r="W44" s="74">
        <f t="shared" si="14"/>
        <v>1558208.8209675257</v>
      </c>
      <c r="X44" s="76">
        <f t="shared" si="18"/>
        <v>-248631.17903247429</v>
      </c>
    </row>
    <row r="45" spans="2:24" x14ac:dyDescent="0.35">
      <c r="B45" s="53">
        <v>30</v>
      </c>
      <c r="C45" s="5">
        <f t="shared" si="3"/>
        <v>5.1903114186851208E-2</v>
      </c>
      <c r="D45" s="53">
        <v>2</v>
      </c>
      <c r="E45" s="54">
        <f t="shared" si="7"/>
        <v>32.05190311418685</v>
      </c>
      <c r="F45" s="57">
        <f t="shared" si="22"/>
        <v>-2.1207272727253752E-4</v>
      </c>
      <c r="G45" s="64">
        <f t="shared" si="25"/>
        <v>-4.6757992828747827E-4</v>
      </c>
      <c r="I45" s="52">
        <f t="shared" si="11"/>
        <v>41.742196363647373</v>
      </c>
      <c r="J45" s="73">
        <f t="shared" si="15"/>
        <v>26.973880144983756</v>
      </c>
      <c r="K45" s="5">
        <v>57800</v>
      </c>
      <c r="M45" s="6">
        <f t="shared" si="16"/>
        <v>2.5368103601206317E-2</v>
      </c>
      <c r="N45" s="6" t="e">
        <f t="shared" si="10"/>
        <v>#DIV/0!</v>
      </c>
      <c r="P45" s="59">
        <f t="shared" si="1"/>
        <v>1852600</v>
      </c>
      <c r="R45" s="57">
        <f t="shared" si="5"/>
        <v>32</v>
      </c>
      <c r="T45" s="50">
        <f t="shared" si="12"/>
        <v>-3.4053569140113784</v>
      </c>
      <c r="U45" s="50">
        <f t="shared" si="13"/>
        <v>2412698.9498188184</v>
      </c>
      <c r="V45" s="50">
        <f t="shared" ref="V45:V48" si="27">U45-P45</f>
        <v>560098.94981881836</v>
      </c>
      <c r="W45" s="74">
        <f t="shared" si="14"/>
        <v>1559090.272380061</v>
      </c>
      <c r="X45" s="76">
        <f t="shared" si="18"/>
        <v>-293509.72761993902</v>
      </c>
    </row>
    <row r="46" spans="2:24" x14ac:dyDescent="0.35">
      <c r="B46" s="53">
        <v>30</v>
      </c>
      <c r="C46" s="5">
        <f t="shared" si="3"/>
        <v>4.9180327868852458E-2</v>
      </c>
      <c r="D46" s="53">
        <v>2</v>
      </c>
      <c r="E46" s="54">
        <f t="shared" ref="E46:E52" si="28">B46+C46+D46</f>
        <v>32.049180327868854</v>
      </c>
      <c r="F46" s="57">
        <f t="shared" si="22"/>
        <v>-2.1207272727255199E-4</v>
      </c>
      <c r="G46" s="64">
        <f t="shared" si="25"/>
        <v>-4.6757992825613226E-4</v>
      </c>
      <c r="I46" s="52">
        <f t="shared" si="11"/>
        <v>41.063563636375207</v>
      </c>
      <c r="J46" s="73">
        <f t="shared" si="15"/>
        <v>25.477624376375932</v>
      </c>
      <c r="K46" s="5">
        <v>61000</v>
      </c>
      <c r="M46" s="6">
        <f t="shared" si="16"/>
        <v>5.536332179930796E-2</v>
      </c>
      <c r="N46" s="6" t="e">
        <f t="shared" ref="N46:N52" si="29">((100*L46)/L45)-100</f>
        <v>#DIV/0!</v>
      </c>
      <c r="P46" s="59">
        <f t="shared" si="1"/>
        <v>1955000</v>
      </c>
      <c r="R46" s="57">
        <f t="shared" si="5"/>
        <v>32</v>
      </c>
      <c r="T46" s="50">
        <f t="shared" si="12"/>
        <v>-3.1742562234400693</v>
      </c>
      <c r="U46" s="50">
        <f t="shared" si="13"/>
        <v>2504877.3818188878</v>
      </c>
      <c r="V46" s="50">
        <f t="shared" si="27"/>
        <v>549877.38181888778</v>
      </c>
      <c r="W46" s="74">
        <f t="shared" si="14"/>
        <v>1554135.0869589318</v>
      </c>
      <c r="X46" s="76">
        <f t="shared" si="18"/>
        <v>-400864.91304106824</v>
      </c>
    </row>
    <row r="47" spans="2:24" x14ac:dyDescent="0.35">
      <c r="B47" s="53">
        <v>30</v>
      </c>
      <c r="C47" s="5">
        <f t="shared" si="3"/>
        <v>4.746835443037975E-2</v>
      </c>
      <c r="D47" s="53">
        <v>2</v>
      </c>
      <c r="E47" s="54">
        <f t="shared" si="28"/>
        <v>32.047468354430379</v>
      </c>
      <c r="F47" s="57">
        <f t="shared" si="22"/>
        <v>-2.1207272727295066E-4</v>
      </c>
      <c r="G47" s="64">
        <f t="shared" si="25"/>
        <v>-4.6757992768994508E-4</v>
      </c>
      <c r="I47" s="52">
        <f t="shared" si="11"/>
        <v>40.597003636374716</v>
      </c>
      <c r="J47" s="73">
        <f t="shared" si="15"/>
        <v>24.448948569995473</v>
      </c>
      <c r="K47" s="5">
        <v>63200</v>
      </c>
      <c r="M47" s="6">
        <f t="shared" si="16"/>
        <v>3.6065573770491806E-2</v>
      </c>
      <c r="N47" s="6" t="e">
        <f t="shared" si="29"/>
        <v>#DIV/0!</v>
      </c>
      <c r="P47" s="59">
        <f t="shared" si="1"/>
        <v>2025400</v>
      </c>
      <c r="R47" s="57">
        <f t="shared" si="5"/>
        <v>32</v>
      </c>
      <c r="T47" s="50">
        <f t="shared" si="12"/>
        <v>-3.0289498359094975</v>
      </c>
      <c r="U47" s="50">
        <f t="shared" si="13"/>
        <v>2565730.6298188819</v>
      </c>
      <c r="V47" s="50">
        <f t="shared" si="27"/>
        <v>540330.62981888186</v>
      </c>
      <c r="W47" s="74">
        <f t="shared" si="14"/>
        <v>1545173.5496237138</v>
      </c>
      <c r="X47" s="76">
        <f t="shared" si="18"/>
        <v>-480226.45037628617</v>
      </c>
    </row>
    <row r="48" spans="2:24" x14ac:dyDescent="0.35">
      <c r="B48" s="53">
        <v>30</v>
      </c>
      <c r="C48" s="5">
        <f t="shared" si="3"/>
        <v>4.2716787697565144E-2</v>
      </c>
      <c r="D48" s="53">
        <v>2</v>
      </c>
      <c r="E48" s="54">
        <f t="shared" si="28"/>
        <v>32.042716787697564</v>
      </c>
      <c r="F48" s="57">
        <f t="shared" si="22"/>
        <v>-2.1207272727653511E-4</v>
      </c>
      <c r="G48" s="77">
        <f>(J47-$I$17)/(K47-$K$17)</f>
        <v>-4.6757992768994508E-4</v>
      </c>
      <c r="I48" s="52">
        <f t="shared" si="11"/>
        <v>39.106132363620674</v>
      </c>
      <c r="J48" s="73">
        <f t="shared" si="15"/>
        <v>21.161861678335157</v>
      </c>
      <c r="K48" s="5">
        <v>70230</v>
      </c>
      <c r="M48" s="6">
        <f t="shared" si="16"/>
        <v>0.11123417721518987</v>
      </c>
      <c r="N48" s="6" t="e">
        <f t="shared" si="29"/>
        <v>#DIV/0!</v>
      </c>
      <c r="P48" s="59">
        <f t="shared" si="1"/>
        <v>2250360</v>
      </c>
      <c r="R48" s="57">
        <f t="shared" si="5"/>
        <v>32</v>
      </c>
      <c r="T48" s="50">
        <f t="shared" si="12"/>
        <v>-2.6256532767513128</v>
      </c>
      <c r="U48" s="50">
        <f t="shared" si="13"/>
        <v>2746423.67589708</v>
      </c>
      <c r="V48" s="50">
        <f t="shared" si="27"/>
        <v>496063.67589707999</v>
      </c>
      <c r="W48" s="74">
        <f t="shared" si="14"/>
        <v>1486197.5456694781</v>
      </c>
      <c r="X48" s="76">
        <f t="shared" si="18"/>
        <v>-764162.45433052187</v>
      </c>
    </row>
    <row r="49" spans="2:24" x14ac:dyDescent="0.35">
      <c r="B49" s="53">
        <v>30</v>
      </c>
      <c r="C49" s="5">
        <f t="shared" si="3"/>
        <v>3.7290242386575516E-2</v>
      </c>
      <c r="D49" s="5">
        <v>2</v>
      </c>
      <c r="E49" s="43">
        <f t="shared" si="28"/>
        <v>32.037290242386575</v>
      </c>
      <c r="F49" s="57">
        <f t="shared" si="22"/>
        <v>-2.120727273011662E-4</v>
      </c>
      <c r="G49" s="64">
        <f>(J48-J47)/(K48-K47)</f>
        <v>-4.6757992768994535E-4</v>
      </c>
      <c r="I49" s="52">
        <f t="shared" si="11"/>
        <v>36.938749090602755</v>
      </c>
      <c r="J49" s="73">
        <f t="shared" si="15"/>
        <v>16.383194817343899</v>
      </c>
      <c r="K49" s="5">
        <v>80450</v>
      </c>
      <c r="M49" s="6">
        <f t="shared" si="16"/>
        <v>0.14552185675637191</v>
      </c>
      <c r="N49" s="6" t="e">
        <f t="shared" si="29"/>
        <v>#DIV/0!</v>
      </c>
      <c r="P49" s="59">
        <f t="shared" si="1"/>
        <v>2577400</v>
      </c>
      <c r="R49" s="57">
        <f t="shared" si="5"/>
        <v>32</v>
      </c>
      <c r="T49" s="50">
        <f t="shared" si="12"/>
        <v>-2.165066868922656</v>
      </c>
      <c r="U49" s="50">
        <f t="shared" si="13"/>
        <v>2971722.3643389917</v>
      </c>
      <c r="V49" s="50">
        <f t="shared" ref="V49" si="30">U49-P49</f>
        <v>394322.3643389917</v>
      </c>
      <c r="W49" s="74">
        <f t="shared" si="14"/>
        <v>1318028.0230553166</v>
      </c>
      <c r="X49" s="76">
        <f t="shared" si="18"/>
        <v>-1259371.9769446834</v>
      </c>
    </row>
    <row r="50" spans="2:24" x14ac:dyDescent="0.35">
      <c r="B50" s="53">
        <v>30</v>
      </c>
      <c r="C50" s="5">
        <f t="shared" si="3"/>
        <v>3.503035964502569E-2</v>
      </c>
      <c r="D50" s="5">
        <v>2</v>
      </c>
      <c r="E50" s="54">
        <f t="shared" si="28"/>
        <v>32.035030359645027</v>
      </c>
      <c r="F50" s="62">
        <f>(F49-(F49*$C$8))</f>
        <v>-1.2724363638069971E-4</v>
      </c>
      <c r="G50" s="64">
        <f>(J49-J48)/(K49-K48)</f>
        <v>-4.6757992768994697E-4</v>
      </c>
      <c r="I50" s="52">
        <f t="shared" si="11"/>
        <v>35.83809163392813</v>
      </c>
      <c r="J50" s="73">
        <f t="shared" si="15"/>
        <v>13.956454992632942</v>
      </c>
      <c r="K50" s="5">
        <v>85640</v>
      </c>
      <c r="M50" s="6">
        <f t="shared" si="16"/>
        <v>6.4512119328775638E-2</v>
      </c>
      <c r="N50" s="6" t="e">
        <f t="shared" si="29"/>
        <v>#DIV/0!</v>
      </c>
      <c r="P50" s="59">
        <f t="shared" si="1"/>
        <v>2743480</v>
      </c>
      <c r="R50" s="57">
        <f t="shared" si="5"/>
        <v>32</v>
      </c>
      <c r="T50" s="50">
        <f t="shared" si="12"/>
        <v>-1.9732558301172669</v>
      </c>
      <c r="U50" s="50">
        <f t="shared" si="13"/>
        <v>3069174.1675296049</v>
      </c>
      <c r="V50" s="52">
        <f t="shared" ref="V50" si="31">U50-P50</f>
        <v>325694.16752960486</v>
      </c>
      <c r="W50" s="74">
        <f t="shared" si="14"/>
        <v>1195230.8055690851</v>
      </c>
      <c r="X50" s="74"/>
    </row>
    <row r="51" spans="2:24" x14ac:dyDescent="0.35">
      <c r="B51" s="5">
        <v>30</v>
      </c>
      <c r="C51" s="5">
        <f t="shared" si="3"/>
        <v>3.3240997229916899E-2</v>
      </c>
      <c r="D51" s="5">
        <v>2</v>
      </c>
      <c r="E51" s="54">
        <f t="shared" si="28"/>
        <v>32.033240997229917</v>
      </c>
      <c r="F51" s="65">
        <f>((I51-I17)/(K51-K17))</f>
        <v>-1.2724363638069971E-4</v>
      </c>
      <c r="G51" s="68"/>
      <c r="I51" s="52">
        <f t="shared" si="11"/>
        <v>42.516261816641851</v>
      </c>
      <c r="J51" s="73">
        <f t="shared" si="15"/>
        <v>54</v>
      </c>
      <c r="K51" s="5">
        <v>90250</v>
      </c>
      <c r="M51" s="6">
        <f t="shared" si="16"/>
        <v>5.3829985987856141E-2</v>
      </c>
      <c r="N51" s="6" t="e">
        <f t="shared" si="29"/>
        <v>#DIV/0!</v>
      </c>
      <c r="P51" s="59">
        <f t="shared" si="1"/>
        <v>2891000</v>
      </c>
      <c r="R51" s="57">
        <f t="shared" si="5"/>
        <v>32</v>
      </c>
      <c r="T51" s="50">
        <f t="shared" si="12"/>
        <v>0.32520057545777825</v>
      </c>
      <c r="U51" s="50">
        <f t="shared" si="13"/>
        <v>3837092.6289519272</v>
      </c>
      <c r="V51" s="50">
        <f t="shared" ref="V51:V52" si="32">U51-P51</f>
        <v>946092.62895192718</v>
      </c>
      <c r="W51" s="74">
        <f t="shared" si="14"/>
        <v>4873500</v>
      </c>
      <c r="X51" s="74"/>
    </row>
    <row r="52" spans="2:24" x14ac:dyDescent="0.35">
      <c r="B52" s="5">
        <v>30</v>
      </c>
      <c r="C52" s="5">
        <f t="shared" si="3"/>
        <v>3.1722533573014695E-2</v>
      </c>
      <c r="D52" s="5">
        <v>2</v>
      </c>
      <c r="E52" s="54">
        <f t="shared" si="28"/>
        <v>32.031722533573017</v>
      </c>
      <c r="F52" s="57">
        <f t="shared" si="22"/>
        <v>-1.2724363638069949E-4</v>
      </c>
      <c r="G52" s="69"/>
      <c r="I52" s="52">
        <f t="shared" si="11"/>
        <v>41.966569307477229</v>
      </c>
      <c r="J52" s="73">
        <f t="shared" si="15"/>
        <v>54</v>
      </c>
      <c r="K52" s="5">
        <v>94570</v>
      </c>
      <c r="M52" s="6">
        <f t="shared" si="16"/>
        <v>4.7867036011080333E-2</v>
      </c>
      <c r="N52" s="6" t="e">
        <f t="shared" si="29"/>
        <v>#DIV/0!</v>
      </c>
      <c r="P52" s="59">
        <f t="shared" si="1"/>
        <v>3029240</v>
      </c>
      <c r="R52" s="57">
        <f t="shared" si="5"/>
        <v>32</v>
      </c>
      <c r="T52" s="50">
        <f t="shared" si="12"/>
        <v>-3.4874983186261357</v>
      </c>
      <c r="U52" s="50">
        <f t="shared" si="13"/>
        <v>3968778.4594081216</v>
      </c>
      <c r="V52" s="50">
        <f t="shared" si="32"/>
        <v>939538.45940812165</v>
      </c>
      <c r="W52" s="74">
        <f t="shared" si="14"/>
        <v>5106780</v>
      </c>
      <c r="X52" s="74"/>
    </row>
    <row r="53" spans="2:24" x14ac:dyDescent="0.35">
      <c r="G53" s="67"/>
      <c r="R53" s="59"/>
    </row>
    <row r="54" spans="2:24" x14ac:dyDescent="0.35">
      <c r="R54" s="59"/>
    </row>
    <row r="55" spans="2:24" x14ac:dyDescent="0.35">
      <c r="R55" s="59"/>
    </row>
    <row r="56" spans="2:24" x14ac:dyDescent="0.35">
      <c r="R56" s="59"/>
    </row>
    <row r="57" spans="2:24" x14ac:dyDescent="0.35">
      <c r="R57" s="59"/>
    </row>
    <row r="58" spans="2:24" x14ac:dyDescent="0.35">
      <c r="R58" s="59"/>
    </row>
    <row r="59" spans="2:24" x14ac:dyDescent="0.35">
      <c r="R59" s="59"/>
    </row>
    <row r="60" spans="2:24" x14ac:dyDescent="0.35">
      <c r="M60" s="55">
        <f>-46/(15000-20340)</f>
        <v>8.6142322097378272E-3</v>
      </c>
      <c r="R60" s="59"/>
    </row>
    <row r="61" spans="2:24" x14ac:dyDescent="0.35">
      <c r="R61" s="59"/>
    </row>
  </sheetData>
  <mergeCells count="9">
    <mergeCell ref="B12:H12"/>
    <mergeCell ref="B13:H13"/>
    <mergeCell ref="E3:AX3"/>
    <mergeCell ref="E4:AE4"/>
    <mergeCell ref="E5:AE5"/>
    <mergeCell ref="E6:AE6"/>
    <mergeCell ref="B11:H11"/>
    <mergeCell ref="E7:AE7"/>
    <mergeCell ref="E8:AE8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W61"/>
  <sheetViews>
    <sheetView tabSelected="1" topLeftCell="D14" workbookViewId="0">
      <selection activeCell="I19" sqref="I19"/>
    </sheetView>
  </sheetViews>
  <sheetFormatPr defaultColWidth="8.7265625" defaultRowHeight="14.5" x14ac:dyDescent="0.35"/>
  <cols>
    <col min="1" max="1" width="3.7265625" style="89" customWidth="1"/>
    <col min="2" max="2" width="10.90625" style="89" customWidth="1"/>
    <col min="3" max="3" width="12.453125" style="89" bestFit="1" customWidth="1"/>
    <col min="4" max="4" width="10" style="89" bestFit="1" customWidth="1"/>
    <col min="5" max="5" width="10" style="91" customWidth="1"/>
    <col min="6" max="6" width="8.7265625" style="90" bestFit="1" customWidth="1"/>
    <col min="7" max="8" width="10.08984375" style="90" customWidth="1"/>
    <col min="9" max="9" width="11.81640625" style="89" customWidth="1"/>
    <col min="10" max="10" width="11.81640625" style="89" hidden="1" customWidth="1"/>
    <col min="11" max="11" width="11.81640625" style="71" customWidth="1"/>
    <col min="12" max="12" width="8.6328125" style="89" bestFit="1" customWidth="1"/>
    <col min="13" max="14" width="8.6328125" style="89" customWidth="1"/>
    <col min="15" max="15" width="12.453125" style="89" customWidth="1"/>
    <col min="16" max="16" width="12.90625" style="89" customWidth="1"/>
    <col min="17" max="17" width="14.81640625" style="59" customWidth="1"/>
    <col min="18" max="18" width="11.36328125" style="89" bestFit="1" customWidth="1"/>
    <col min="19" max="19" width="10" style="89" hidden="1" customWidth="1"/>
    <col min="20" max="20" width="11.36328125" style="89" hidden="1" customWidth="1"/>
    <col min="21" max="21" width="12.453125" style="89" hidden="1" customWidth="1"/>
    <col min="22" max="22" width="11.36328125" style="89" bestFit="1" customWidth="1"/>
    <col min="23" max="23" width="19" style="89" customWidth="1"/>
    <col min="24" max="24" width="10.54296875" style="89" customWidth="1"/>
    <col min="25" max="25" width="9.26953125" style="89" bestFit="1" customWidth="1"/>
    <col min="26" max="28" width="10.54296875" style="89" customWidth="1"/>
    <col min="29" max="29" width="8.7265625" style="89"/>
    <col min="30" max="30" width="11.453125" style="89" bestFit="1" customWidth="1"/>
    <col min="31" max="34" width="11.453125" style="89" customWidth="1"/>
    <col min="35" max="35" width="10.54296875" style="89" customWidth="1"/>
    <col min="36" max="36" width="8.7265625" style="89"/>
    <col min="37" max="37" width="11.453125" style="89" bestFit="1" customWidth="1"/>
    <col min="38" max="38" width="11.81640625" style="89" bestFit="1" customWidth="1"/>
    <col min="39" max="39" width="7.7265625" style="89" customWidth="1"/>
    <col min="40" max="41" width="11.453125" style="89" customWidth="1"/>
    <col min="42" max="42" width="11.1796875" style="89" customWidth="1"/>
    <col min="43" max="43" width="8.7265625" style="89"/>
    <col min="44" max="44" width="11.81640625" style="89" bestFit="1" customWidth="1"/>
    <col min="45" max="45" width="11.81640625" style="89" customWidth="1"/>
    <col min="46" max="46" width="7.81640625" style="89" customWidth="1"/>
    <col min="47" max="49" width="11.81640625" style="89" customWidth="1"/>
    <col min="50" max="50" width="13.453125" style="89" customWidth="1"/>
    <col min="51" max="16384" width="8.7265625" style="89"/>
  </cols>
  <sheetData>
    <row r="3" spans="2:49" x14ac:dyDescent="0.35">
      <c r="F3" s="101" t="s">
        <v>609</v>
      </c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</row>
    <row r="4" spans="2:49" x14ac:dyDescent="0.35">
      <c r="F4" s="101" t="s">
        <v>613</v>
      </c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</row>
    <row r="5" spans="2:49" ht="58" x14ac:dyDescent="0.35">
      <c r="B5" s="89" t="s">
        <v>638</v>
      </c>
      <c r="C5" s="89">
        <v>3000</v>
      </c>
      <c r="F5" s="102" t="s">
        <v>614</v>
      </c>
      <c r="G5" s="102"/>
      <c r="H5" s="102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</row>
    <row r="6" spans="2:49" ht="43.5" x14ac:dyDescent="0.35">
      <c r="B6" s="89" t="s">
        <v>622</v>
      </c>
      <c r="C6" s="89">
        <v>2</v>
      </c>
      <c r="F6" s="102" t="s">
        <v>612</v>
      </c>
      <c r="G6" s="102"/>
      <c r="H6" s="102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</row>
    <row r="7" spans="2:49" x14ac:dyDescent="0.35">
      <c r="F7" s="102" t="s">
        <v>618</v>
      </c>
      <c r="G7" s="102"/>
      <c r="H7" s="102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</row>
    <row r="8" spans="2:49" ht="27" customHeight="1" x14ac:dyDescent="0.35">
      <c r="B8" s="89" t="s">
        <v>639</v>
      </c>
      <c r="C8" s="66">
        <v>0.4</v>
      </c>
      <c r="F8" s="102"/>
      <c r="G8" s="102"/>
      <c r="H8" s="102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</row>
    <row r="11" spans="2:49" x14ac:dyDescent="0.35">
      <c r="B11" s="101" t="s">
        <v>615</v>
      </c>
      <c r="C11" s="101"/>
      <c r="D11" s="101"/>
      <c r="E11" s="101"/>
      <c r="F11" s="101"/>
      <c r="G11" s="101"/>
      <c r="H11" s="101"/>
      <c r="I11" s="101"/>
    </row>
    <row r="12" spans="2:49" x14ac:dyDescent="0.35">
      <c r="B12" s="101" t="s">
        <v>616</v>
      </c>
      <c r="C12" s="101"/>
      <c r="D12" s="101"/>
      <c r="E12" s="101"/>
      <c r="F12" s="101"/>
      <c r="G12" s="101"/>
      <c r="H12" s="101"/>
      <c r="I12" s="101"/>
    </row>
    <row r="13" spans="2:49" x14ac:dyDescent="0.35">
      <c r="B13" s="101" t="s">
        <v>617</v>
      </c>
      <c r="C13" s="101"/>
      <c r="D13" s="101"/>
      <c r="E13" s="101"/>
      <c r="F13" s="101"/>
      <c r="G13" s="101"/>
      <c r="H13" s="101"/>
      <c r="I13" s="101"/>
    </row>
    <row r="16" spans="2:49" ht="58" x14ac:dyDescent="0.35">
      <c r="B16" s="89" t="s">
        <v>532</v>
      </c>
      <c r="C16" s="6" t="s">
        <v>623</v>
      </c>
      <c r="D16" s="6" t="s">
        <v>624</v>
      </c>
      <c r="E16" s="6" t="s">
        <v>647</v>
      </c>
      <c r="F16" s="48" t="s">
        <v>604</v>
      </c>
      <c r="G16" s="48" t="s">
        <v>636</v>
      </c>
      <c r="H16" s="48" t="s">
        <v>643</v>
      </c>
      <c r="I16" s="49" t="s">
        <v>631</v>
      </c>
      <c r="J16" s="50" t="s">
        <v>632</v>
      </c>
      <c r="K16" s="75" t="s">
        <v>642</v>
      </c>
      <c r="L16" s="6" t="s">
        <v>626</v>
      </c>
      <c r="M16" s="6" t="s">
        <v>644</v>
      </c>
      <c r="N16" s="6" t="s">
        <v>645</v>
      </c>
      <c r="O16" s="49" t="s">
        <v>646</v>
      </c>
      <c r="P16" s="49" t="s">
        <v>633</v>
      </c>
      <c r="Q16" s="57" t="s">
        <v>625</v>
      </c>
      <c r="R16" s="49" t="s">
        <v>606</v>
      </c>
      <c r="S16" s="6" t="s">
        <v>629</v>
      </c>
      <c r="T16" s="49" t="s">
        <v>630</v>
      </c>
      <c r="U16" s="50" t="s">
        <v>637</v>
      </c>
      <c r="V16" s="74" t="s">
        <v>640</v>
      </c>
      <c r="W16" s="74" t="s">
        <v>641</v>
      </c>
    </row>
    <row r="17" spans="2:23" x14ac:dyDescent="0.35">
      <c r="C17" s="6"/>
      <c r="D17" s="6"/>
      <c r="E17" s="6"/>
      <c r="F17" s="48"/>
      <c r="G17" s="48"/>
      <c r="H17" s="48"/>
      <c r="I17" s="49">
        <v>54</v>
      </c>
      <c r="J17" s="50">
        <v>54</v>
      </c>
      <c r="K17" s="72"/>
      <c r="L17" s="6"/>
      <c r="M17" s="6">
        <v>0</v>
      </c>
      <c r="N17" s="6"/>
      <c r="O17" s="49"/>
      <c r="P17" s="49">
        <f>M17*I17</f>
        <v>0</v>
      </c>
      <c r="Q17" s="57">
        <f>F17*L17</f>
        <v>0</v>
      </c>
      <c r="R17" s="49">
        <f>M17*(I17-F17)</f>
        <v>0</v>
      </c>
      <c r="S17" s="57"/>
      <c r="T17" s="49"/>
      <c r="U17" s="50"/>
      <c r="V17" s="74"/>
      <c r="W17" s="74"/>
    </row>
    <row r="18" spans="2:23" x14ac:dyDescent="0.35">
      <c r="B18" s="89">
        <v>30</v>
      </c>
      <c r="C18" s="6">
        <f>$C$5/M18</f>
        <v>6.8181818181818183</v>
      </c>
      <c r="D18" s="6">
        <v>2</v>
      </c>
      <c r="E18" s="6">
        <v>0</v>
      </c>
      <c r="F18" s="48">
        <f>B18+C18+D18+B18*E18%</f>
        <v>38.81818181818182</v>
      </c>
      <c r="G18" s="57" t="e">
        <f>((I17-I16)/(M17-M16))</f>
        <v>#VALUE!</v>
      </c>
      <c r="H18" s="48"/>
      <c r="I18" s="49">
        <v>52</v>
      </c>
      <c r="J18" s="50">
        <v>52</v>
      </c>
      <c r="K18" s="72"/>
      <c r="L18" s="6"/>
      <c r="M18" s="6">
        <v>440</v>
      </c>
      <c r="N18" s="6"/>
      <c r="O18" s="49"/>
      <c r="P18" s="49">
        <f t="shared" ref="P18:P25" si="0">M18*I18</f>
        <v>22880</v>
      </c>
      <c r="Q18" s="57">
        <f>F18*M18</f>
        <v>17080</v>
      </c>
      <c r="R18" s="49">
        <f t="shared" ref="R18:R29" si="1">M18*(I18-F18)</f>
        <v>5799.9999999999991</v>
      </c>
      <c r="S18" s="57" t="e">
        <f t="shared" ref="S18:S52" si="2">(Q18-Q17)/(L18-L17)</f>
        <v>#DIV/0!</v>
      </c>
      <c r="T18" s="49" t="e">
        <f t="shared" ref="T18:T41" si="3">(P18-P17)/(L18-L17)</f>
        <v>#DIV/0!</v>
      </c>
      <c r="U18" s="50"/>
      <c r="V18" s="74"/>
      <c r="W18" s="74"/>
    </row>
    <row r="19" spans="2:23" x14ac:dyDescent="0.35">
      <c r="B19" s="89">
        <v>30</v>
      </c>
      <c r="C19" s="6">
        <f t="shared" ref="C19:C52" si="4">$C$5/M19</f>
        <v>3.9473684210526314</v>
      </c>
      <c r="D19" s="6">
        <v>2</v>
      </c>
      <c r="E19" s="6">
        <v>0</v>
      </c>
      <c r="F19" s="48">
        <f t="shared" ref="F19:F52" si="5">B19+C19+D19+B19*E19%</f>
        <v>35.94736842105263</v>
      </c>
      <c r="G19" s="57">
        <f>((I18-I17)/(M18-M17))</f>
        <v>-4.5454545454545452E-3</v>
      </c>
      <c r="H19" s="57"/>
      <c r="I19" s="49">
        <f>G19*M19 +$I$17</f>
        <v>50.545454545454547</v>
      </c>
      <c r="J19" s="50"/>
      <c r="K19" s="72"/>
      <c r="L19" s="6"/>
      <c r="M19" s="6">
        <v>760</v>
      </c>
      <c r="N19" s="6">
        <f>((100*M19)/M18)-100</f>
        <v>72.72727272727272</v>
      </c>
      <c r="O19" s="6">
        <f>((100*M19)/M18)-100</f>
        <v>72.72727272727272</v>
      </c>
      <c r="P19" s="49">
        <f t="shared" si="0"/>
        <v>38414.545454545456</v>
      </c>
      <c r="Q19" s="57">
        <f t="shared" ref="Q19:Q52" si="6">F19*M19</f>
        <v>27320</v>
      </c>
      <c r="R19" s="49">
        <f t="shared" si="1"/>
        <v>11094.545454545456</v>
      </c>
      <c r="S19" s="57" t="e">
        <f t="shared" si="2"/>
        <v>#DIV/0!</v>
      </c>
      <c r="T19" s="49" t="e">
        <f t="shared" si="3"/>
        <v>#DIV/0!</v>
      </c>
      <c r="U19" s="50"/>
      <c r="V19" s="74"/>
      <c r="W19" s="74"/>
    </row>
    <row r="20" spans="2:23" x14ac:dyDescent="0.35">
      <c r="B20" s="89">
        <v>30</v>
      </c>
      <c r="C20" s="6">
        <f t="shared" si="4"/>
        <v>3.2608695652173911</v>
      </c>
      <c r="D20" s="6">
        <v>2</v>
      </c>
      <c r="E20" s="6">
        <v>0</v>
      </c>
      <c r="F20" s="48">
        <f t="shared" si="5"/>
        <v>35.260869565217391</v>
      </c>
      <c r="G20" s="57">
        <f t="shared" ref="G20:G52" si="7">((I19-I18)/(M19-M18))</f>
        <v>-4.5454545454545418E-3</v>
      </c>
      <c r="H20" s="57"/>
      <c r="I20" s="49">
        <f t="shared" ref="I20:I25" si="8">G20*M20 +$I$17</f>
        <v>49.81818181818182</v>
      </c>
      <c r="J20" s="50"/>
      <c r="K20" s="72"/>
      <c r="L20" s="6"/>
      <c r="M20" s="6">
        <v>920</v>
      </c>
      <c r="N20" s="6">
        <f>(M20-M19)/M19</f>
        <v>0.21052631578947367</v>
      </c>
      <c r="O20" s="6">
        <f>(M20-M19)/M19</f>
        <v>0.21052631578947367</v>
      </c>
      <c r="P20" s="49">
        <f t="shared" si="0"/>
        <v>45832.727272727272</v>
      </c>
      <c r="Q20" s="57">
        <f t="shared" si="6"/>
        <v>32440</v>
      </c>
      <c r="R20" s="49">
        <f t="shared" si="1"/>
        <v>13392.727272727276</v>
      </c>
      <c r="S20" s="57" t="e">
        <f t="shared" si="2"/>
        <v>#DIV/0!</v>
      </c>
      <c r="T20" s="49" t="e">
        <f t="shared" si="3"/>
        <v>#DIV/0!</v>
      </c>
      <c r="U20" s="50"/>
      <c r="V20" s="74"/>
      <c r="W20" s="74"/>
    </row>
    <row r="21" spans="2:23" x14ac:dyDescent="0.35">
      <c r="B21" s="89">
        <v>30</v>
      </c>
      <c r="C21" s="6">
        <f t="shared" si="4"/>
        <v>2.4793388429752068</v>
      </c>
      <c r="D21" s="6">
        <v>2</v>
      </c>
      <c r="E21" s="6">
        <v>0</v>
      </c>
      <c r="F21" s="48">
        <f t="shared" si="5"/>
        <v>34.47933884297521</v>
      </c>
      <c r="G21" s="57">
        <f t="shared" si="7"/>
        <v>-4.5454545454545418E-3</v>
      </c>
      <c r="H21" s="57"/>
      <c r="I21" s="49">
        <f t="shared" si="8"/>
        <v>48.500000000000007</v>
      </c>
      <c r="J21" s="50"/>
      <c r="K21" s="72"/>
      <c r="L21" s="6"/>
      <c r="M21" s="6">
        <v>1210</v>
      </c>
      <c r="N21" s="6">
        <f t="shared" ref="N21:N52" si="9">(M21-M20)/M20</f>
        <v>0.31521739130434784</v>
      </c>
      <c r="O21" s="6">
        <f t="shared" ref="O21:O52" si="10">(M21-M20)/M20</f>
        <v>0.31521739130434784</v>
      </c>
      <c r="P21" s="49">
        <f t="shared" si="0"/>
        <v>58685.000000000007</v>
      </c>
      <c r="Q21" s="57">
        <f t="shared" si="6"/>
        <v>41720.000000000007</v>
      </c>
      <c r="R21" s="49">
        <f t="shared" si="1"/>
        <v>16965.000000000004</v>
      </c>
      <c r="S21" s="57" t="e">
        <f t="shared" si="2"/>
        <v>#DIV/0!</v>
      </c>
      <c r="T21" s="49" t="e">
        <f t="shared" si="3"/>
        <v>#DIV/0!</v>
      </c>
      <c r="U21" s="50"/>
      <c r="V21" s="74"/>
      <c r="W21" s="74"/>
    </row>
    <row r="22" spans="2:23" x14ac:dyDescent="0.35">
      <c r="B22" s="89">
        <v>30</v>
      </c>
      <c r="C22" s="6">
        <f t="shared" si="4"/>
        <v>2.2388059701492535</v>
      </c>
      <c r="D22" s="6">
        <v>2</v>
      </c>
      <c r="E22" s="6">
        <v>0</v>
      </c>
      <c r="F22" s="48">
        <f t="shared" si="5"/>
        <v>34.238805970149251</v>
      </c>
      <c r="G22" s="57">
        <f t="shared" si="7"/>
        <v>-4.5454545454545279E-3</v>
      </c>
      <c r="H22" s="57"/>
      <c r="I22" s="49">
        <f t="shared" si="8"/>
        <v>47.909090909090935</v>
      </c>
      <c r="J22" s="50"/>
      <c r="K22" s="72"/>
      <c r="L22" s="6"/>
      <c r="M22" s="6">
        <v>1340</v>
      </c>
      <c r="N22" s="6">
        <f t="shared" si="9"/>
        <v>0.10743801652892562</v>
      </c>
      <c r="O22" s="6">
        <f t="shared" si="10"/>
        <v>0.10743801652892562</v>
      </c>
      <c r="P22" s="49">
        <f t="shared" si="0"/>
        <v>64198.181818181853</v>
      </c>
      <c r="Q22" s="57">
        <f t="shared" si="6"/>
        <v>45879.999999999993</v>
      </c>
      <c r="R22" s="49">
        <f t="shared" si="1"/>
        <v>18318.181818181856</v>
      </c>
      <c r="S22" s="57" t="e">
        <f t="shared" si="2"/>
        <v>#DIV/0!</v>
      </c>
      <c r="T22" s="49" t="e">
        <f t="shared" si="3"/>
        <v>#DIV/0!</v>
      </c>
      <c r="U22" s="50"/>
      <c r="V22" s="74"/>
      <c r="W22" s="74"/>
    </row>
    <row r="23" spans="2:23" x14ac:dyDescent="0.35">
      <c r="B23" s="89">
        <v>30</v>
      </c>
      <c r="C23" s="6">
        <f t="shared" si="4"/>
        <v>1.9736842105263157</v>
      </c>
      <c r="D23" s="6">
        <v>2</v>
      </c>
      <c r="E23" s="6">
        <v>0</v>
      </c>
      <c r="F23" s="48">
        <f t="shared" si="5"/>
        <v>33.973684210526315</v>
      </c>
      <c r="G23" s="57">
        <f t="shared" si="7"/>
        <v>-4.5454545454544013E-3</v>
      </c>
      <c r="H23" s="57"/>
      <c r="I23" s="49">
        <f t="shared" si="8"/>
        <v>47.090909090909307</v>
      </c>
      <c r="J23" s="50"/>
      <c r="K23" s="72"/>
      <c r="L23" s="6"/>
      <c r="M23" s="6">
        <v>1520</v>
      </c>
      <c r="N23" s="6">
        <f t="shared" si="9"/>
        <v>0.13432835820895522</v>
      </c>
      <c r="O23" s="6">
        <f t="shared" si="10"/>
        <v>0.13432835820895522</v>
      </c>
      <c r="P23" s="49">
        <f t="shared" si="0"/>
        <v>71578.181818182144</v>
      </c>
      <c r="Q23" s="57">
        <f t="shared" si="6"/>
        <v>51640</v>
      </c>
      <c r="R23" s="49">
        <f t="shared" si="1"/>
        <v>19938.181818182147</v>
      </c>
      <c r="S23" s="57" t="e">
        <f t="shared" si="2"/>
        <v>#DIV/0!</v>
      </c>
      <c r="T23" s="49" t="e">
        <f t="shared" si="3"/>
        <v>#DIV/0!</v>
      </c>
      <c r="U23" s="50"/>
      <c r="V23" s="74"/>
      <c r="W23" s="74"/>
    </row>
    <row r="24" spans="2:23" x14ac:dyDescent="0.35">
      <c r="B24" s="89">
        <v>30</v>
      </c>
      <c r="C24" s="6">
        <f t="shared" si="4"/>
        <v>1.5544041450777202</v>
      </c>
      <c r="D24" s="6">
        <v>2</v>
      </c>
      <c r="E24" s="6">
        <v>0</v>
      </c>
      <c r="F24" s="48">
        <f t="shared" si="5"/>
        <v>33.554404145077719</v>
      </c>
      <c r="G24" s="57">
        <f t="shared" si="7"/>
        <v>-4.5454545454534905E-3</v>
      </c>
      <c r="H24" s="57"/>
      <c r="I24" s="49">
        <f t="shared" si="8"/>
        <v>45.227272727274766</v>
      </c>
      <c r="J24" s="50"/>
      <c r="K24" s="72"/>
      <c r="L24" s="6"/>
      <c r="M24" s="6">
        <v>1930</v>
      </c>
      <c r="N24" s="6">
        <f t="shared" si="9"/>
        <v>0.26973684210526316</v>
      </c>
      <c r="O24" s="6">
        <f t="shared" si="10"/>
        <v>0.26973684210526316</v>
      </c>
      <c r="P24" s="49">
        <f t="shared" si="0"/>
        <v>87288.636363640297</v>
      </c>
      <c r="Q24" s="57">
        <f t="shared" si="6"/>
        <v>64760</v>
      </c>
      <c r="R24" s="49">
        <f t="shared" si="1"/>
        <v>22528.6363636403</v>
      </c>
      <c r="S24" s="57" t="e">
        <f t="shared" si="2"/>
        <v>#DIV/0!</v>
      </c>
      <c r="T24" s="49" t="e">
        <f t="shared" si="3"/>
        <v>#DIV/0!</v>
      </c>
      <c r="U24" s="50"/>
      <c r="V24" s="74"/>
      <c r="W24" s="74"/>
    </row>
    <row r="25" spans="2:23" x14ac:dyDescent="0.35">
      <c r="B25" s="89">
        <v>30</v>
      </c>
      <c r="C25" s="6">
        <f t="shared" si="4"/>
        <v>1.2345679012345678</v>
      </c>
      <c r="D25" s="6">
        <v>2</v>
      </c>
      <c r="E25" s="6">
        <v>0</v>
      </c>
      <c r="F25" s="48">
        <f t="shared" si="5"/>
        <v>33.23456790123457</v>
      </c>
      <c r="G25" s="57">
        <f t="shared" si="7"/>
        <v>-4.5454545454500991E-3</v>
      </c>
      <c r="H25" s="59">
        <v>-4.5454545454500991E-3</v>
      </c>
      <c r="I25" s="49">
        <f t="shared" si="8"/>
        <v>42.954545454556261</v>
      </c>
      <c r="J25" s="60">
        <f>G25*L25 +$I$17</f>
        <v>54</v>
      </c>
      <c r="K25" s="92">
        <v>42.954545454556261</v>
      </c>
      <c r="L25" s="88"/>
      <c r="M25" s="88">
        <v>2430</v>
      </c>
      <c r="N25" s="6">
        <f t="shared" si="9"/>
        <v>0.25906735751295334</v>
      </c>
      <c r="O25" s="6">
        <f t="shared" si="10"/>
        <v>0.25906735751295334</v>
      </c>
      <c r="P25" s="49">
        <f t="shared" si="0"/>
        <v>104379.54545457171</v>
      </c>
      <c r="Q25" s="57">
        <f t="shared" si="6"/>
        <v>80760</v>
      </c>
      <c r="R25" s="51">
        <f t="shared" si="1"/>
        <v>23619.545454571708</v>
      </c>
      <c r="S25" s="57" t="e">
        <f t="shared" si="2"/>
        <v>#DIV/0!</v>
      </c>
      <c r="T25" s="49" t="e">
        <f t="shared" si="3"/>
        <v>#DIV/0!</v>
      </c>
      <c r="U25" s="50"/>
      <c r="V25" s="74"/>
      <c r="W25" s="74"/>
    </row>
    <row r="26" spans="2:23" x14ac:dyDescent="0.35">
      <c r="B26" s="89">
        <v>30</v>
      </c>
      <c r="C26" s="6">
        <f t="shared" si="4"/>
        <v>0.759493670886076</v>
      </c>
      <c r="D26" s="6">
        <v>2</v>
      </c>
      <c r="E26" s="6">
        <v>0</v>
      </c>
      <c r="F26" s="48">
        <f t="shared" si="5"/>
        <v>32.759493670886073</v>
      </c>
      <c r="G26" s="57">
        <f t="shared" si="7"/>
        <v>-4.5454545454370106E-3</v>
      </c>
      <c r="H26" s="86">
        <f>H25-(H25*(O26))</f>
        <v>-1.7022072577611482E-3</v>
      </c>
      <c r="I26" s="51"/>
      <c r="J26" s="61">
        <f t="shared" ref="J26:J52" si="11">(G25*L26)+$J$17</f>
        <v>54</v>
      </c>
      <c r="K26" s="73">
        <f>$I$17+(M26*H26)</f>
        <v>47.276281331843464</v>
      </c>
      <c r="L26" s="6"/>
      <c r="M26" s="6">
        <v>3950</v>
      </c>
      <c r="N26" s="6">
        <f t="shared" si="9"/>
        <v>0.62551440329218111</v>
      </c>
      <c r="O26" s="6">
        <f t="shared" si="10"/>
        <v>0.62551440329218111</v>
      </c>
      <c r="P26" s="49">
        <f t="shared" ref="P26:P41" si="12">L26*I26</f>
        <v>0</v>
      </c>
      <c r="Q26" s="57">
        <f t="shared" si="6"/>
        <v>129399.99999999999</v>
      </c>
      <c r="R26" s="49">
        <f>M26*(I26-F26)</f>
        <v>-129399.99999999999</v>
      </c>
      <c r="S26" s="57" t="e">
        <f t="shared" si="2"/>
        <v>#DIV/0!</v>
      </c>
      <c r="T26" s="49" t="e">
        <f t="shared" si="3"/>
        <v>#DIV/0!</v>
      </c>
      <c r="U26" s="50" t="e">
        <f t="shared" ref="U26:U52" si="13">((L26-L25)/(J26-J25))*J26/L26</f>
        <v>#DIV/0!</v>
      </c>
      <c r="V26" s="74">
        <f>M26*K26</f>
        <v>186741.31126078169</v>
      </c>
      <c r="W26" s="76">
        <f t="shared" ref="W26:W52" si="14">V26-Q26</f>
        <v>57341.311260781702</v>
      </c>
    </row>
    <row r="27" spans="2:23" x14ac:dyDescent="0.35">
      <c r="B27" s="89">
        <v>30</v>
      </c>
      <c r="C27" s="6">
        <f t="shared" si="4"/>
        <v>0.72815533980582525</v>
      </c>
      <c r="D27" s="6">
        <v>2</v>
      </c>
      <c r="E27" s="6">
        <v>0</v>
      </c>
      <c r="F27" s="48">
        <f t="shared" si="5"/>
        <v>32.728155339805824</v>
      </c>
      <c r="G27" s="57">
        <f t="shared" si="7"/>
        <v>-2.8259569377997541E-2</v>
      </c>
      <c r="H27" s="77">
        <f>(K26-$J$17)/(M26-$M$17)</f>
        <v>-1.7022072577611484E-3</v>
      </c>
      <c r="I27" s="51"/>
      <c r="J27" s="61">
        <f t="shared" si="11"/>
        <v>54</v>
      </c>
      <c r="K27" s="73">
        <f>$I$17+(M27*H27)</f>
        <v>46.986906098024065</v>
      </c>
      <c r="L27" s="6"/>
      <c r="M27" s="6">
        <v>4120</v>
      </c>
      <c r="N27" s="6">
        <f t="shared" si="9"/>
        <v>4.3037974683544304E-2</v>
      </c>
      <c r="O27" s="6">
        <f t="shared" si="10"/>
        <v>4.3037974683544304E-2</v>
      </c>
      <c r="P27" s="49">
        <f t="shared" si="12"/>
        <v>0</v>
      </c>
      <c r="Q27" s="57">
        <f t="shared" si="6"/>
        <v>134840</v>
      </c>
      <c r="R27" s="49">
        <f t="shared" si="1"/>
        <v>-134840</v>
      </c>
      <c r="S27" s="57" t="e">
        <f t="shared" si="2"/>
        <v>#DIV/0!</v>
      </c>
      <c r="T27" s="49" t="e">
        <f t="shared" si="3"/>
        <v>#DIV/0!</v>
      </c>
      <c r="U27" s="50" t="e">
        <f t="shared" si="13"/>
        <v>#DIV/0!</v>
      </c>
      <c r="V27" s="74">
        <f t="shared" ref="V27:V52" si="15">M27*K27</f>
        <v>193586.05312385914</v>
      </c>
      <c r="W27" s="76">
        <f t="shared" si="14"/>
        <v>58746.053123859136</v>
      </c>
    </row>
    <row r="28" spans="2:23" x14ac:dyDescent="0.35">
      <c r="B28" s="89">
        <v>30</v>
      </c>
      <c r="C28" s="6">
        <f t="shared" si="4"/>
        <v>0.61349693251533743</v>
      </c>
      <c r="D28" s="6">
        <v>2</v>
      </c>
      <c r="E28" s="6">
        <v>5</v>
      </c>
      <c r="F28" s="48">
        <f t="shared" si="5"/>
        <v>34.113496932515339</v>
      </c>
      <c r="G28" s="57">
        <f t="shared" si="7"/>
        <v>0</v>
      </c>
      <c r="H28" s="64">
        <f>(K27-K26)/(M27-M26)</f>
        <v>-1.7022072577611712E-3</v>
      </c>
      <c r="I28" s="51"/>
      <c r="J28" s="52">
        <f t="shared" si="11"/>
        <v>54</v>
      </c>
      <c r="K28" s="73">
        <f>$I$17+(M28*H28)</f>
        <v>45.676206509547875</v>
      </c>
      <c r="L28" s="6"/>
      <c r="M28" s="6">
        <v>4890</v>
      </c>
      <c r="N28" s="6">
        <f t="shared" si="9"/>
        <v>0.18689320388349515</v>
      </c>
      <c r="O28" s="6">
        <f t="shared" si="10"/>
        <v>0.18689320388349515</v>
      </c>
      <c r="P28" s="49">
        <f t="shared" si="12"/>
        <v>0</v>
      </c>
      <c r="Q28" s="57">
        <f t="shared" si="6"/>
        <v>166815</v>
      </c>
      <c r="R28" s="49">
        <f t="shared" si="1"/>
        <v>-166815</v>
      </c>
      <c r="S28" s="57" t="e">
        <f t="shared" si="2"/>
        <v>#DIV/0!</v>
      </c>
      <c r="T28" s="49" t="e">
        <f t="shared" si="3"/>
        <v>#DIV/0!</v>
      </c>
      <c r="U28" s="50" t="e">
        <f t="shared" si="13"/>
        <v>#DIV/0!</v>
      </c>
      <c r="V28" s="74">
        <f t="shared" si="15"/>
        <v>223356.64983168911</v>
      </c>
      <c r="W28" s="76">
        <f t="shared" si="14"/>
        <v>56541.649831689108</v>
      </c>
    </row>
    <row r="29" spans="2:23" x14ac:dyDescent="0.35">
      <c r="B29" s="89">
        <v>30</v>
      </c>
      <c r="C29" s="6">
        <f t="shared" si="4"/>
        <v>0.52910052910052907</v>
      </c>
      <c r="D29" s="6">
        <v>2</v>
      </c>
      <c r="E29" s="6">
        <v>5</v>
      </c>
      <c r="F29" s="48">
        <f t="shared" si="5"/>
        <v>34.029100529100532</v>
      </c>
      <c r="G29" s="57">
        <f t="shared" si="7"/>
        <v>0</v>
      </c>
      <c r="H29" s="64">
        <f t="shared" ref="H29:H30" si="16">(K28-K27)/(M28-M27)</f>
        <v>-1.7022072577612857E-3</v>
      </c>
      <c r="I29" s="51"/>
      <c r="J29" s="52">
        <f t="shared" si="11"/>
        <v>54</v>
      </c>
      <c r="K29" s="73">
        <f>$I$17+(M29*H29)</f>
        <v>44.348484848493513</v>
      </c>
      <c r="L29" s="6"/>
      <c r="M29" s="6">
        <v>5670</v>
      </c>
      <c r="N29" s="6">
        <f t="shared" si="9"/>
        <v>0.15950920245398773</v>
      </c>
      <c r="O29" s="6">
        <f t="shared" si="10"/>
        <v>0.15950920245398773</v>
      </c>
      <c r="P29" s="49">
        <f t="shared" si="12"/>
        <v>0</v>
      </c>
      <c r="Q29" s="57">
        <f t="shared" si="6"/>
        <v>192945.00000000003</v>
      </c>
      <c r="R29" s="49">
        <f t="shared" si="1"/>
        <v>-192945.00000000003</v>
      </c>
      <c r="S29" s="57" t="e">
        <f t="shared" si="2"/>
        <v>#DIV/0!</v>
      </c>
      <c r="T29" s="49" t="e">
        <f t="shared" si="3"/>
        <v>#DIV/0!</v>
      </c>
      <c r="U29" s="50" t="e">
        <f t="shared" si="13"/>
        <v>#DIV/0!</v>
      </c>
      <c r="V29" s="74">
        <f t="shared" si="15"/>
        <v>251455.90909095822</v>
      </c>
      <c r="W29" s="76">
        <f t="shared" si="14"/>
        <v>58510.909090958186</v>
      </c>
    </row>
    <row r="30" spans="2:23" x14ac:dyDescent="0.35">
      <c r="B30" s="89">
        <v>30</v>
      </c>
      <c r="C30" s="6">
        <f t="shared" si="4"/>
        <v>0.49019607843137253</v>
      </c>
      <c r="D30" s="6">
        <v>2</v>
      </c>
      <c r="E30" s="6">
        <v>5</v>
      </c>
      <c r="F30" s="48">
        <f t="shared" si="5"/>
        <v>33.990196078431367</v>
      </c>
      <c r="G30" s="57">
        <f t="shared" si="7"/>
        <v>0</v>
      </c>
      <c r="H30" s="64">
        <f t="shared" si="16"/>
        <v>-1.7022072577620023E-3</v>
      </c>
      <c r="I30" s="51"/>
      <c r="J30" s="50">
        <f t="shared" si="11"/>
        <v>54</v>
      </c>
      <c r="K30" s="73">
        <f>$I$17+(M30*H30)</f>
        <v>43.582491582496544</v>
      </c>
      <c r="L30" s="88"/>
      <c r="M30" s="88">
        <v>6120</v>
      </c>
      <c r="N30" s="6">
        <f t="shared" si="9"/>
        <v>7.9365079365079361E-2</v>
      </c>
      <c r="O30" s="6">
        <f t="shared" si="10"/>
        <v>7.9365079365079361E-2</v>
      </c>
      <c r="P30" s="51">
        <f t="shared" si="12"/>
        <v>0</v>
      </c>
      <c r="Q30" s="57">
        <f t="shared" si="6"/>
        <v>208019.99999999997</v>
      </c>
      <c r="R30" s="51">
        <f t="shared" ref="R30:R41" si="17">L30*(I30-F30)</f>
        <v>0</v>
      </c>
      <c r="S30" s="58" t="e">
        <f t="shared" si="2"/>
        <v>#DIV/0!</v>
      </c>
      <c r="T30" s="51" t="e">
        <f t="shared" si="3"/>
        <v>#DIV/0!</v>
      </c>
      <c r="U30" s="52" t="e">
        <f t="shared" si="13"/>
        <v>#DIV/0!</v>
      </c>
      <c r="V30" s="74">
        <f t="shared" si="15"/>
        <v>266724.84848487884</v>
      </c>
      <c r="W30" s="76">
        <f t="shared" si="14"/>
        <v>58704.848484878865</v>
      </c>
    </row>
    <row r="31" spans="2:23" x14ac:dyDescent="0.35">
      <c r="B31" s="89">
        <v>30</v>
      </c>
      <c r="C31" s="6">
        <f t="shared" si="4"/>
        <v>0.35971223021582732</v>
      </c>
      <c r="D31" s="6">
        <v>2</v>
      </c>
      <c r="E31" s="6">
        <v>5</v>
      </c>
      <c r="F31" s="48">
        <f t="shared" si="5"/>
        <v>33.859712230215827</v>
      </c>
      <c r="G31" s="57">
        <f t="shared" si="7"/>
        <v>0</v>
      </c>
      <c r="H31" s="86">
        <f>H30-(H30*(O31))</f>
        <v>-1.0847399191620602E-3</v>
      </c>
      <c r="I31" s="51"/>
      <c r="J31" s="63">
        <f t="shared" si="11"/>
        <v>54</v>
      </c>
      <c r="K31" s="73">
        <f>$I$17+(M31*H31)</f>
        <v>44.95326907418842</v>
      </c>
      <c r="L31" s="6"/>
      <c r="M31" s="6">
        <v>8340</v>
      </c>
      <c r="N31" s="6">
        <f t="shared" si="9"/>
        <v>0.36274509803921567</v>
      </c>
      <c r="O31" s="6">
        <f t="shared" si="10"/>
        <v>0.36274509803921567</v>
      </c>
      <c r="P31" s="49">
        <f t="shared" si="12"/>
        <v>0</v>
      </c>
      <c r="Q31" s="57">
        <f t="shared" si="6"/>
        <v>282390</v>
      </c>
      <c r="R31" s="49">
        <f t="shared" si="17"/>
        <v>0</v>
      </c>
      <c r="S31" s="57" t="e">
        <f t="shared" si="2"/>
        <v>#DIV/0!</v>
      </c>
      <c r="T31" s="49" t="e">
        <f t="shared" si="3"/>
        <v>#DIV/0!</v>
      </c>
      <c r="U31" s="50" t="e">
        <f t="shared" si="13"/>
        <v>#DIV/0!</v>
      </c>
      <c r="V31" s="74">
        <f t="shared" si="15"/>
        <v>374910.26407873142</v>
      </c>
      <c r="W31" s="76">
        <f t="shared" si="14"/>
        <v>92520.264078731416</v>
      </c>
    </row>
    <row r="32" spans="2:23" x14ac:dyDescent="0.35">
      <c r="B32" s="89">
        <v>30</v>
      </c>
      <c r="C32" s="6">
        <f t="shared" si="4"/>
        <v>0.3051881993896236</v>
      </c>
      <c r="D32" s="89">
        <v>2</v>
      </c>
      <c r="E32" s="91">
        <v>10</v>
      </c>
      <c r="F32" s="48">
        <f t="shared" si="5"/>
        <v>35.305188199389619</v>
      </c>
      <c r="G32" s="57">
        <f t="shared" si="7"/>
        <v>0</v>
      </c>
      <c r="H32" s="77">
        <f>(K31-$J$17)/(M31-$M$17)</f>
        <v>-1.08473991916206E-3</v>
      </c>
      <c r="I32" s="51"/>
      <c r="J32" s="52">
        <f t="shared" si="11"/>
        <v>54</v>
      </c>
      <c r="K32" s="73">
        <f>$I$17+(M32*H32)</f>
        <v>43.337006594636946</v>
      </c>
      <c r="M32" s="89">
        <v>9830</v>
      </c>
      <c r="N32" s="6">
        <f t="shared" si="9"/>
        <v>0.17865707434052758</v>
      </c>
      <c r="O32" s="6">
        <f t="shared" si="10"/>
        <v>0.17865707434052758</v>
      </c>
      <c r="P32" s="49">
        <f t="shared" si="12"/>
        <v>0</v>
      </c>
      <c r="Q32" s="57">
        <f t="shared" si="6"/>
        <v>347049.99999999994</v>
      </c>
      <c r="R32" s="49">
        <f t="shared" si="17"/>
        <v>0</v>
      </c>
      <c r="S32" s="57" t="e">
        <f t="shared" si="2"/>
        <v>#DIV/0!</v>
      </c>
      <c r="T32" s="49" t="e">
        <f t="shared" si="3"/>
        <v>#DIV/0!</v>
      </c>
      <c r="U32" s="50" t="e">
        <f t="shared" si="13"/>
        <v>#DIV/0!</v>
      </c>
      <c r="V32" s="74">
        <f t="shared" si="15"/>
        <v>426002.77482528117</v>
      </c>
      <c r="W32" s="76">
        <f t="shared" si="14"/>
        <v>78952.774825281231</v>
      </c>
    </row>
    <row r="33" spans="2:23" x14ac:dyDescent="0.35">
      <c r="B33" s="89">
        <v>30</v>
      </c>
      <c r="C33" s="6">
        <f t="shared" si="4"/>
        <v>0.24084778420038536</v>
      </c>
      <c r="D33" s="89">
        <v>2</v>
      </c>
      <c r="E33" s="91">
        <v>10</v>
      </c>
      <c r="F33" s="48">
        <f t="shared" si="5"/>
        <v>35.240847784200383</v>
      </c>
      <c r="G33" s="57">
        <f t="shared" si="7"/>
        <v>0</v>
      </c>
      <c r="H33" s="86">
        <f>H32-(H32*(O33))</f>
        <v>-7.9496097432792264E-4</v>
      </c>
      <c r="I33" s="51"/>
      <c r="J33" s="52">
        <f t="shared" si="11"/>
        <v>54</v>
      </c>
      <c r="K33" s="73">
        <f>$I$17+(M33*H33)</f>
        <v>44.097966103771398</v>
      </c>
      <c r="M33" s="89">
        <v>12456</v>
      </c>
      <c r="N33" s="6">
        <f t="shared" si="9"/>
        <v>0.26714140386571722</v>
      </c>
      <c r="O33" s="6">
        <f t="shared" si="10"/>
        <v>0.26714140386571722</v>
      </c>
      <c r="P33" s="49">
        <f t="shared" si="12"/>
        <v>0</v>
      </c>
      <c r="Q33" s="57">
        <f t="shared" si="6"/>
        <v>438960</v>
      </c>
      <c r="R33" s="49">
        <f t="shared" si="17"/>
        <v>0</v>
      </c>
      <c r="S33" s="57" t="e">
        <f t="shared" si="2"/>
        <v>#DIV/0!</v>
      </c>
      <c r="T33" s="49" t="e">
        <f t="shared" si="3"/>
        <v>#DIV/0!</v>
      </c>
      <c r="U33" s="50" t="e">
        <f t="shared" si="13"/>
        <v>#DIV/0!</v>
      </c>
      <c r="V33" s="74">
        <f t="shared" si="15"/>
        <v>549284.26578857657</v>
      </c>
      <c r="W33" s="76">
        <f t="shared" si="14"/>
        <v>110324.26578857657</v>
      </c>
    </row>
    <row r="34" spans="2:23" x14ac:dyDescent="0.35">
      <c r="B34" s="89">
        <v>30</v>
      </c>
      <c r="C34" s="6">
        <f t="shared" si="4"/>
        <v>0.16853932584269662</v>
      </c>
      <c r="D34" s="89">
        <v>2</v>
      </c>
      <c r="E34" s="91">
        <v>10</v>
      </c>
      <c r="F34" s="48">
        <f t="shared" si="5"/>
        <v>35.168539325842701</v>
      </c>
      <c r="G34" s="57">
        <f t="shared" si="7"/>
        <v>0</v>
      </c>
      <c r="H34" s="86">
        <f>H33-(H33*(O34))</f>
        <v>-4.53898719446065E-4</v>
      </c>
      <c r="I34" s="80"/>
      <c r="J34" s="80">
        <f t="shared" si="11"/>
        <v>54</v>
      </c>
      <c r="K34" s="73">
        <f>$I$17+(M34*H34)</f>
        <v>45.920602793860041</v>
      </c>
      <c r="L34" s="10"/>
      <c r="M34" s="10">
        <v>17800</v>
      </c>
      <c r="N34" s="6">
        <f t="shared" si="9"/>
        <v>0.42903018625561978</v>
      </c>
      <c r="O34" s="6">
        <f t="shared" si="10"/>
        <v>0.42903018625561978</v>
      </c>
      <c r="P34" s="26">
        <f t="shared" si="12"/>
        <v>0</v>
      </c>
      <c r="Q34" s="57">
        <f t="shared" si="6"/>
        <v>626000.00000000012</v>
      </c>
      <c r="R34" s="26">
        <f t="shared" si="17"/>
        <v>0</v>
      </c>
      <c r="S34" s="82" t="e">
        <f t="shared" si="2"/>
        <v>#DIV/0!</v>
      </c>
      <c r="T34" s="26" t="e">
        <f t="shared" si="3"/>
        <v>#DIV/0!</v>
      </c>
      <c r="U34" s="26" t="e">
        <f t="shared" si="13"/>
        <v>#DIV/0!</v>
      </c>
      <c r="V34" s="74">
        <f t="shared" si="15"/>
        <v>817386.72973070876</v>
      </c>
      <c r="W34" s="84">
        <f t="shared" si="14"/>
        <v>191386.72973070864</v>
      </c>
    </row>
    <row r="35" spans="2:23" x14ac:dyDescent="0.35">
      <c r="B35" s="89">
        <v>30</v>
      </c>
      <c r="C35" s="6">
        <f t="shared" si="4"/>
        <v>0.2</v>
      </c>
      <c r="D35" s="89">
        <v>2</v>
      </c>
      <c r="E35" s="91">
        <v>10</v>
      </c>
      <c r="F35" s="48">
        <f t="shared" si="5"/>
        <v>35.200000000000003</v>
      </c>
      <c r="G35" s="57">
        <f t="shared" si="7"/>
        <v>0</v>
      </c>
      <c r="H35" s="86">
        <f>H34-(H34*(O35))</f>
        <v>-5.2529851801061454E-4</v>
      </c>
      <c r="I35" s="80"/>
      <c r="J35" s="80">
        <f t="shared" si="11"/>
        <v>54</v>
      </c>
      <c r="K35" s="73">
        <f>$I$17+(M35*H35)</f>
        <v>46.12052222984078</v>
      </c>
      <c r="L35" s="10"/>
      <c r="M35" s="10">
        <v>15000</v>
      </c>
      <c r="N35" s="6">
        <f t="shared" si="9"/>
        <v>-0.15730337078651685</v>
      </c>
      <c r="O35" s="6">
        <f t="shared" si="10"/>
        <v>-0.15730337078651685</v>
      </c>
      <c r="P35" s="26">
        <f t="shared" si="12"/>
        <v>0</v>
      </c>
      <c r="Q35" s="57">
        <f t="shared" si="6"/>
        <v>528000</v>
      </c>
      <c r="R35" s="26">
        <f t="shared" si="17"/>
        <v>0</v>
      </c>
      <c r="S35" s="82" t="e">
        <f t="shared" si="2"/>
        <v>#DIV/0!</v>
      </c>
      <c r="T35" s="26" t="e">
        <f t="shared" si="3"/>
        <v>#DIV/0!</v>
      </c>
      <c r="U35" s="26" t="e">
        <f t="shared" si="13"/>
        <v>#DIV/0!</v>
      </c>
      <c r="V35" s="74">
        <f t="shared" si="15"/>
        <v>691807.83344761166</v>
      </c>
      <c r="W35" s="84">
        <f t="shared" si="14"/>
        <v>163807.83344761166</v>
      </c>
    </row>
    <row r="36" spans="2:23" x14ac:dyDescent="0.35">
      <c r="B36" s="89">
        <v>30</v>
      </c>
      <c r="C36" s="6">
        <f t="shared" si="4"/>
        <v>0.25</v>
      </c>
      <c r="D36" s="89">
        <v>2</v>
      </c>
      <c r="E36" s="91">
        <v>10</v>
      </c>
      <c r="F36" s="48">
        <f t="shared" si="5"/>
        <v>35.25</v>
      </c>
      <c r="G36" s="57">
        <f t="shared" si="7"/>
        <v>0</v>
      </c>
      <c r="H36" s="103">
        <f>(K35-$J$17)/(M35-$M$17)</f>
        <v>-5.2529851801061465E-4</v>
      </c>
      <c r="I36" s="80"/>
      <c r="J36" s="80">
        <f t="shared" si="11"/>
        <v>54</v>
      </c>
      <c r="K36" s="73">
        <f>(K35/M35)*M36</f>
        <v>36.896417783872629</v>
      </c>
      <c r="L36" s="10"/>
      <c r="M36" s="10">
        <v>12000</v>
      </c>
      <c r="N36" s="6">
        <f t="shared" si="9"/>
        <v>-0.2</v>
      </c>
      <c r="O36" s="6">
        <f t="shared" si="10"/>
        <v>-0.2</v>
      </c>
      <c r="P36" s="26">
        <f t="shared" si="12"/>
        <v>0</v>
      </c>
      <c r="Q36" s="57">
        <f t="shared" si="6"/>
        <v>423000</v>
      </c>
      <c r="R36" s="26">
        <f t="shared" si="17"/>
        <v>0</v>
      </c>
      <c r="S36" s="82" t="e">
        <f t="shared" si="2"/>
        <v>#DIV/0!</v>
      </c>
      <c r="T36" s="26" t="e">
        <f t="shared" si="3"/>
        <v>#DIV/0!</v>
      </c>
      <c r="U36" s="26" t="e">
        <f t="shared" si="13"/>
        <v>#DIV/0!</v>
      </c>
      <c r="V36" s="74">
        <f t="shared" si="15"/>
        <v>442757.01340647152</v>
      </c>
      <c r="W36" s="84">
        <f t="shared" si="14"/>
        <v>19757.013406471524</v>
      </c>
    </row>
    <row r="37" spans="2:23" x14ac:dyDescent="0.35">
      <c r="B37" s="89">
        <v>30</v>
      </c>
      <c r="C37" s="6">
        <f t="shared" si="4"/>
        <v>0.27272727272727271</v>
      </c>
      <c r="D37" s="89">
        <v>2</v>
      </c>
      <c r="E37" s="91">
        <v>10</v>
      </c>
      <c r="F37" s="48">
        <f t="shared" si="5"/>
        <v>35.272727272727273</v>
      </c>
      <c r="G37" s="57">
        <f t="shared" si="7"/>
        <v>0</v>
      </c>
      <c r="H37" s="104">
        <f>(K36-$I$17)/(M36-$M$17)</f>
        <v>-1.4252985180106142E-3</v>
      </c>
      <c r="I37" s="80"/>
      <c r="J37" s="80">
        <f t="shared" si="11"/>
        <v>54</v>
      </c>
      <c r="K37" s="73">
        <f>(K36/M36)*M37</f>
        <v>33.821716301883242</v>
      </c>
      <c r="L37" s="10"/>
      <c r="M37" s="10">
        <v>11000</v>
      </c>
      <c r="N37" s="6">
        <f t="shared" si="9"/>
        <v>-8.3333333333333329E-2</v>
      </c>
      <c r="O37" s="6">
        <f t="shared" si="10"/>
        <v>-8.3333333333333329E-2</v>
      </c>
      <c r="P37" s="26">
        <f t="shared" si="12"/>
        <v>0</v>
      </c>
      <c r="Q37" s="57">
        <f t="shared" si="6"/>
        <v>388000</v>
      </c>
      <c r="R37" s="26">
        <f t="shared" si="17"/>
        <v>0</v>
      </c>
      <c r="S37" s="82" t="e">
        <f t="shared" si="2"/>
        <v>#DIV/0!</v>
      </c>
      <c r="T37" s="26" t="e">
        <f t="shared" si="3"/>
        <v>#DIV/0!</v>
      </c>
      <c r="U37" s="26" t="e">
        <f t="shared" si="13"/>
        <v>#DIV/0!</v>
      </c>
      <c r="V37" s="74">
        <f t="shared" si="15"/>
        <v>372038.87932071567</v>
      </c>
      <c r="W37" s="84">
        <f t="shared" si="14"/>
        <v>-15961.12067928433</v>
      </c>
    </row>
    <row r="38" spans="2:23" x14ac:dyDescent="0.35">
      <c r="B38" s="89">
        <v>30</v>
      </c>
      <c r="C38" s="6">
        <f t="shared" si="4"/>
        <v>0.33333333333333331</v>
      </c>
      <c r="D38" s="89">
        <v>2</v>
      </c>
      <c r="E38" s="91">
        <v>10</v>
      </c>
      <c r="F38" s="48">
        <f t="shared" si="5"/>
        <v>35.333333333333329</v>
      </c>
      <c r="G38" s="57">
        <f t="shared" si="7"/>
        <v>0</v>
      </c>
      <c r="H38" s="104">
        <f>(K37-$I$17)/(M37-$M$17)</f>
        <v>-1.8343894271015235E-3</v>
      </c>
      <c r="I38" s="80"/>
      <c r="J38" s="80">
        <f t="shared" si="11"/>
        <v>54</v>
      </c>
      <c r="K38" s="73">
        <f>(K37/M37)*M38</f>
        <v>27.67231333790447</v>
      </c>
      <c r="L38" s="10"/>
      <c r="M38" s="10">
        <v>9000</v>
      </c>
      <c r="N38" s="6">
        <f t="shared" si="9"/>
        <v>-0.18181818181818182</v>
      </c>
      <c r="O38" s="6">
        <f t="shared" si="10"/>
        <v>-0.18181818181818182</v>
      </c>
      <c r="P38" s="26">
        <f t="shared" si="12"/>
        <v>0</v>
      </c>
      <c r="Q38" s="57">
        <f t="shared" si="6"/>
        <v>317999.99999999994</v>
      </c>
      <c r="R38" s="26">
        <f t="shared" si="17"/>
        <v>0</v>
      </c>
      <c r="S38" s="82" t="e">
        <f t="shared" si="2"/>
        <v>#DIV/0!</v>
      </c>
      <c r="T38" s="26" t="e">
        <f t="shared" si="3"/>
        <v>#DIV/0!</v>
      </c>
      <c r="U38" s="26" t="e">
        <f t="shared" si="13"/>
        <v>#DIV/0!</v>
      </c>
      <c r="V38" s="74">
        <f t="shared" si="15"/>
        <v>249050.82004114022</v>
      </c>
      <c r="W38" s="84">
        <f t="shared" si="14"/>
        <v>-68949.179958859721</v>
      </c>
    </row>
    <row r="39" spans="2:23" x14ac:dyDescent="0.35">
      <c r="B39" s="89">
        <v>30</v>
      </c>
      <c r="C39" s="6">
        <f t="shared" si="4"/>
        <v>0.42857142857142855</v>
      </c>
      <c r="D39" s="89">
        <v>2</v>
      </c>
      <c r="E39" s="91">
        <v>15</v>
      </c>
      <c r="F39" s="48">
        <f t="shared" si="5"/>
        <v>36.928571428571431</v>
      </c>
      <c r="G39" s="57">
        <f t="shared" si="7"/>
        <v>0</v>
      </c>
      <c r="H39" s="104">
        <f>(K38-$I$17)/(M38-$M$17)</f>
        <v>-2.9252985180106147E-3</v>
      </c>
      <c r="I39" s="51"/>
      <c r="J39" s="52">
        <f t="shared" si="11"/>
        <v>54</v>
      </c>
      <c r="K39" s="73">
        <f>(K38/M38)*M39</f>
        <v>21.522910373925697</v>
      </c>
      <c r="M39" s="89">
        <v>7000</v>
      </c>
      <c r="N39" s="6">
        <f t="shared" si="9"/>
        <v>-0.22222222222222221</v>
      </c>
      <c r="O39" s="6">
        <f t="shared" si="10"/>
        <v>-0.22222222222222221</v>
      </c>
      <c r="P39" s="49">
        <f t="shared" si="12"/>
        <v>0</v>
      </c>
      <c r="Q39" s="57">
        <f t="shared" si="6"/>
        <v>258500</v>
      </c>
      <c r="R39" s="49">
        <f t="shared" si="17"/>
        <v>0</v>
      </c>
      <c r="S39" s="57" t="e">
        <f t="shared" si="2"/>
        <v>#DIV/0!</v>
      </c>
      <c r="T39" s="49" t="e">
        <f t="shared" si="3"/>
        <v>#DIV/0!</v>
      </c>
      <c r="U39" s="50" t="e">
        <f t="shared" si="13"/>
        <v>#DIV/0!</v>
      </c>
      <c r="V39" s="74">
        <f t="shared" si="15"/>
        <v>150660.37261747988</v>
      </c>
      <c r="W39" s="76">
        <f t="shared" si="14"/>
        <v>-107839.62738252012</v>
      </c>
    </row>
    <row r="40" spans="2:23" x14ac:dyDescent="0.35">
      <c r="B40" s="89">
        <v>30</v>
      </c>
      <c r="C40" s="6">
        <f t="shared" si="4"/>
        <v>0.22727272727272727</v>
      </c>
      <c r="D40" s="89">
        <v>2</v>
      </c>
      <c r="E40" s="91">
        <v>15</v>
      </c>
      <c r="F40" s="48">
        <f t="shared" si="5"/>
        <v>36.727272727272727</v>
      </c>
      <c r="G40" s="57">
        <f t="shared" si="7"/>
        <v>0</v>
      </c>
      <c r="H40" s="104">
        <f>(K39-$I$17)/(M39-$M$17)</f>
        <v>-4.6395842322963293E-3</v>
      </c>
      <c r="I40" s="51"/>
      <c r="J40" s="52">
        <f t="shared" si="11"/>
        <v>54</v>
      </c>
      <c r="K40" s="73">
        <f>(K39/M39)*M40</f>
        <v>40.586059562259891</v>
      </c>
      <c r="M40" s="89">
        <v>13200</v>
      </c>
      <c r="N40" s="6">
        <f t="shared" si="9"/>
        <v>0.88571428571428568</v>
      </c>
      <c r="O40" s="6">
        <f t="shared" si="10"/>
        <v>0.88571428571428568</v>
      </c>
      <c r="P40" s="49">
        <f t="shared" si="12"/>
        <v>0</v>
      </c>
      <c r="Q40" s="57">
        <f t="shared" si="6"/>
        <v>484800</v>
      </c>
      <c r="R40" s="49">
        <f t="shared" si="17"/>
        <v>0</v>
      </c>
      <c r="S40" s="57" t="e">
        <f t="shared" si="2"/>
        <v>#DIV/0!</v>
      </c>
      <c r="T40" s="49" t="e">
        <f t="shared" si="3"/>
        <v>#DIV/0!</v>
      </c>
      <c r="U40" s="50" t="e">
        <f t="shared" si="13"/>
        <v>#DIV/0!</v>
      </c>
      <c r="V40" s="74">
        <f t="shared" si="15"/>
        <v>535735.98622183059</v>
      </c>
      <c r="W40" s="76">
        <f t="shared" si="14"/>
        <v>50935.986221830593</v>
      </c>
    </row>
    <row r="41" spans="2:23" x14ac:dyDescent="0.35">
      <c r="B41" s="89">
        <v>30</v>
      </c>
      <c r="C41" s="6">
        <f t="shared" si="4"/>
        <v>0.22727272727272727</v>
      </c>
      <c r="D41" s="89">
        <v>2</v>
      </c>
      <c r="E41" s="91">
        <v>15</v>
      </c>
      <c r="F41" s="48">
        <f t="shared" si="5"/>
        <v>36.727272727272727</v>
      </c>
      <c r="G41" s="57">
        <f t="shared" si="7"/>
        <v>0</v>
      </c>
      <c r="H41" s="77">
        <f>(K40-$J$17)/(M40-$M$17)</f>
        <v>-1.0162076089197053E-3</v>
      </c>
      <c r="I41" s="51"/>
      <c r="J41" s="52">
        <f t="shared" si="11"/>
        <v>54</v>
      </c>
      <c r="K41" s="73">
        <f>$I$17+(M41*H41)</f>
        <v>40.586059562259891</v>
      </c>
      <c r="M41" s="89">
        <v>13200</v>
      </c>
      <c r="N41" s="6">
        <f t="shared" si="9"/>
        <v>0</v>
      </c>
      <c r="O41" s="6">
        <f t="shared" si="10"/>
        <v>0</v>
      </c>
      <c r="P41" s="49">
        <f t="shared" si="12"/>
        <v>0</v>
      </c>
      <c r="Q41" s="57">
        <f t="shared" si="6"/>
        <v>484800</v>
      </c>
      <c r="R41" s="49">
        <f t="shared" si="17"/>
        <v>0</v>
      </c>
      <c r="S41" s="57" t="e">
        <f t="shared" si="2"/>
        <v>#DIV/0!</v>
      </c>
      <c r="T41" s="49" t="e">
        <f t="shared" si="3"/>
        <v>#DIV/0!</v>
      </c>
      <c r="U41" s="50" t="e">
        <f t="shared" si="13"/>
        <v>#DIV/0!</v>
      </c>
      <c r="V41" s="74">
        <f t="shared" si="15"/>
        <v>535735.98622183059</v>
      </c>
      <c r="W41" s="76">
        <f t="shared" si="14"/>
        <v>50935.986221830593</v>
      </c>
    </row>
    <row r="42" spans="2:23" x14ac:dyDescent="0.35">
      <c r="B42" s="89">
        <v>30</v>
      </c>
      <c r="C42" s="6">
        <f t="shared" si="4"/>
        <v>0.15424164524421594</v>
      </c>
      <c r="D42" s="89">
        <v>2</v>
      </c>
      <c r="E42" s="91">
        <v>15</v>
      </c>
      <c r="F42" s="48">
        <f t="shared" si="5"/>
        <v>36.654241645244213</v>
      </c>
      <c r="G42" s="57" t="e">
        <f t="shared" si="7"/>
        <v>#DIV/0!</v>
      </c>
      <c r="H42" s="77">
        <f>(K41-$J$17)/(M41-$M$17)</f>
        <v>-1.0162076089197053E-3</v>
      </c>
      <c r="J42" s="52">
        <f t="shared" si="11"/>
        <v>54</v>
      </c>
      <c r="K42" s="73">
        <f>$I$17+(M42*H42)</f>
        <v>34.23476200651173</v>
      </c>
      <c r="M42" s="89">
        <v>19450</v>
      </c>
      <c r="N42" s="6">
        <f t="shared" si="9"/>
        <v>0.47348484848484851</v>
      </c>
      <c r="O42" s="6">
        <f t="shared" si="10"/>
        <v>0.47348484848484851</v>
      </c>
      <c r="Q42" s="57">
        <f t="shared" si="6"/>
        <v>712924.99999999988</v>
      </c>
      <c r="S42" s="57" t="e">
        <f t="shared" si="2"/>
        <v>#DIV/0!</v>
      </c>
      <c r="U42" s="50" t="e">
        <f t="shared" si="13"/>
        <v>#DIV/0!</v>
      </c>
      <c r="V42" s="74">
        <f t="shared" si="15"/>
        <v>665866.1210266531</v>
      </c>
      <c r="W42" s="76">
        <f t="shared" si="14"/>
        <v>-47058.878973346786</v>
      </c>
    </row>
    <row r="43" spans="2:23" x14ac:dyDescent="0.35">
      <c r="B43" s="89">
        <v>30</v>
      </c>
      <c r="C43" s="6">
        <f t="shared" si="4"/>
        <v>0.12214983713355049</v>
      </c>
      <c r="D43" s="89">
        <v>2</v>
      </c>
      <c r="E43" s="91">
        <v>15</v>
      </c>
      <c r="F43" s="48">
        <f t="shared" si="5"/>
        <v>36.622149837133549</v>
      </c>
      <c r="G43" s="57">
        <f t="shared" si="7"/>
        <v>0</v>
      </c>
      <c r="H43" s="86">
        <f>H42-(H42*(O43))</f>
        <v>-7.4922453017524804E-4</v>
      </c>
      <c r="J43" s="52" t="e">
        <f t="shared" si="11"/>
        <v>#DIV/0!</v>
      </c>
      <c r="K43" s="73">
        <f>$I$17+(M43*H43)</f>
        <v>35.599045538895908</v>
      </c>
      <c r="M43" s="89">
        <v>24560</v>
      </c>
      <c r="N43" s="6">
        <f t="shared" si="9"/>
        <v>0.26272493573264782</v>
      </c>
      <c r="O43" s="6">
        <f t="shared" si="10"/>
        <v>0.26272493573264782</v>
      </c>
      <c r="Q43" s="57">
        <f t="shared" si="6"/>
        <v>899440</v>
      </c>
      <c r="S43" s="57" t="e">
        <f t="shared" si="2"/>
        <v>#DIV/0!</v>
      </c>
      <c r="U43" s="50" t="e">
        <f t="shared" si="13"/>
        <v>#DIV/0!</v>
      </c>
      <c r="V43" s="74">
        <f t="shared" si="15"/>
        <v>874312.55843528348</v>
      </c>
      <c r="W43" s="76">
        <f t="shared" si="14"/>
        <v>-25127.441564716515</v>
      </c>
    </row>
    <row r="44" spans="2:23" x14ac:dyDescent="0.35">
      <c r="B44" s="89">
        <v>30</v>
      </c>
      <c r="C44" s="6">
        <f t="shared" si="4"/>
        <v>7.2639225181598058E-2</v>
      </c>
      <c r="D44" s="89">
        <v>2</v>
      </c>
      <c r="E44" s="91">
        <v>15</v>
      </c>
      <c r="F44" s="48">
        <f t="shared" si="5"/>
        <v>36.572639225181597</v>
      </c>
      <c r="G44" s="57">
        <f t="shared" si="7"/>
        <v>0</v>
      </c>
      <c r="H44" s="86">
        <f>H43-(H43*(O44))</f>
        <v>-2.3855601897273778E-4</v>
      </c>
      <c r="J44" s="52">
        <f t="shared" si="11"/>
        <v>54</v>
      </c>
      <c r="K44" s="73">
        <f>$I$17+(M44*H44)</f>
        <v>44.147636416425932</v>
      </c>
      <c r="M44" s="89">
        <v>41300</v>
      </c>
      <c r="N44" s="6">
        <f t="shared" si="9"/>
        <v>0.6815960912052117</v>
      </c>
      <c r="O44" s="6">
        <f t="shared" si="10"/>
        <v>0.6815960912052117</v>
      </c>
      <c r="Q44" s="57">
        <f t="shared" si="6"/>
        <v>1510450</v>
      </c>
      <c r="S44" s="57" t="e">
        <f t="shared" si="2"/>
        <v>#DIV/0!</v>
      </c>
      <c r="U44" s="50" t="e">
        <f t="shared" si="13"/>
        <v>#DIV/0!</v>
      </c>
      <c r="V44" s="74">
        <f t="shared" si="15"/>
        <v>1823297.383998391</v>
      </c>
      <c r="W44" s="76">
        <f t="shared" si="14"/>
        <v>312847.38399839099</v>
      </c>
    </row>
    <row r="45" spans="2:23" x14ac:dyDescent="0.35">
      <c r="B45" s="89">
        <v>30</v>
      </c>
      <c r="C45" s="6">
        <f t="shared" si="4"/>
        <v>6.0240963855421686E-2</v>
      </c>
      <c r="D45" s="89">
        <v>2</v>
      </c>
      <c r="E45" s="91">
        <v>15</v>
      </c>
      <c r="F45" s="48">
        <f t="shared" si="5"/>
        <v>36.560240963855421</v>
      </c>
      <c r="G45" s="57">
        <f t="shared" si="7"/>
        <v>0</v>
      </c>
      <c r="H45" s="86">
        <f>H44-(H44*(O45))</f>
        <v>-1.8945853322774331E-4</v>
      </c>
      <c r="J45" s="52">
        <f t="shared" si="11"/>
        <v>54</v>
      </c>
      <c r="K45" s="73">
        <f>$I$17+(M45*H45)</f>
        <v>44.564965045258383</v>
      </c>
      <c r="M45" s="89">
        <v>49800</v>
      </c>
      <c r="N45" s="6">
        <f t="shared" si="9"/>
        <v>0.20581113801452786</v>
      </c>
      <c r="O45" s="6">
        <f t="shared" si="10"/>
        <v>0.20581113801452786</v>
      </c>
      <c r="Q45" s="57">
        <f t="shared" si="6"/>
        <v>1820700</v>
      </c>
      <c r="S45" s="57" t="e">
        <f t="shared" si="2"/>
        <v>#DIV/0!</v>
      </c>
      <c r="U45" s="50" t="e">
        <f t="shared" si="13"/>
        <v>#DIV/0!</v>
      </c>
      <c r="V45" s="74">
        <f t="shared" si="15"/>
        <v>2219335.2592538674</v>
      </c>
      <c r="W45" s="76">
        <f t="shared" si="14"/>
        <v>398635.25925386744</v>
      </c>
    </row>
    <row r="46" spans="2:23" x14ac:dyDescent="0.35">
      <c r="B46" s="89">
        <v>30</v>
      </c>
      <c r="C46" s="6">
        <f t="shared" si="4"/>
        <v>5.2910052910052907E-2</v>
      </c>
      <c r="D46" s="89">
        <v>2</v>
      </c>
      <c r="E46" s="91">
        <v>15</v>
      </c>
      <c r="F46" s="48">
        <f t="shared" si="5"/>
        <v>36.55291005291005</v>
      </c>
      <c r="G46" s="57">
        <f t="shared" si="7"/>
        <v>0</v>
      </c>
      <c r="H46" s="77">
        <f>(K45-$J$17)/(M45-$M$17)</f>
        <v>-1.8945853322774331E-4</v>
      </c>
      <c r="J46" s="52">
        <f t="shared" si="11"/>
        <v>54</v>
      </c>
      <c r="K46" s="73">
        <f>$I$17+(M46*H46)</f>
        <v>43.257701165986958</v>
      </c>
      <c r="M46" s="89">
        <v>56700</v>
      </c>
      <c r="N46" s="6">
        <f t="shared" si="9"/>
        <v>0.13855421686746988</v>
      </c>
      <c r="O46" s="6">
        <f t="shared" si="10"/>
        <v>0.13855421686746988</v>
      </c>
      <c r="Q46" s="57">
        <f t="shared" si="6"/>
        <v>2072549.9999999998</v>
      </c>
      <c r="S46" s="57" t="e">
        <f t="shared" si="2"/>
        <v>#DIV/0!</v>
      </c>
      <c r="U46" s="50" t="e">
        <f t="shared" si="13"/>
        <v>#DIV/0!</v>
      </c>
      <c r="V46" s="74">
        <f t="shared" si="15"/>
        <v>2452711.6561114606</v>
      </c>
      <c r="W46" s="76">
        <f t="shared" si="14"/>
        <v>380161.65611146088</v>
      </c>
    </row>
    <row r="47" spans="2:23" x14ac:dyDescent="0.35">
      <c r="B47" s="89">
        <v>30</v>
      </c>
      <c r="C47" s="6">
        <f t="shared" si="4"/>
        <v>4.746835443037975E-2</v>
      </c>
      <c r="D47" s="89">
        <v>2</v>
      </c>
      <c r="E47" s="91">
        <v>15</v>
      </c>
      <c r="F47" s="48">
        <f t="shared" si="5"/>
        <v>36.547468354430379</v>
      </c>
      <c r="G47" s="57">
        <f t="shared" si="7"/>
        <v>0</v>
      </c>
      <c r="H47" s="86">
        <f t="shared" ref="H47:H52" si="18">H46-(H46*(O47))</f>
        <v>-1.6773930102350465E-4</v>
      </c>
      <c r="J47" s="52">
        <f t="shared" si="11"/>
        <v>54</v>
      </c>
      <c r="K47" s="73">
        <f>$I$17+(M47*H47)</f>
        <v>43.398876175314506</v>
      </c>
      <c r="M47" s="89">
        <v>63200</v>
      </c>
      <c r="N47" s="6">
        <f t="shared" si="9"/>
        <v>0.1146384479717813</v>
      </c>
      <c r="O47" s="6">
        <f t="shared" si="10"/>
        <v>0.1146384479717813</v>
      </c>
      <c r="Q47" s="57">
        <f t="shared" si="6"/>
        <v>2309800</v>
      </c>
      <c r="S47" s="57" t="e">
        <f t="shared" si="2"/>
        <v>#DIV/0!</v>
      </c>
      <c r="U47" s="50" t="e">
        <f t="shared" si="13"/>
        <v>#DIV/0!</v>
      </c>
      <c r="V47" s="74">
        <f t="shared" si="15"/>
        <v>2742808.9742798768</v>
      </c>
      <c r="W47" s="76">
        <f t="shared" si="14"/>
        <v>433008.9742798768</v>
      </c>
    </row>
    <row r="48" spans="2:23" x14ac:dyDescent="0.35">
      <c r="B48" s="89">
        <v>30</v>
      </c>
      <c r="C48" s="6">
        <f t="shared" si="4"/>
        <v>4.2716787697565144E-2</v>
      </c>
      <c r="D48" s="89">
        <v>2</v>
      </c>
      <c r="E48" s="91">
        <v>15</v>
      </c>
      <c r="F48" s="48">
        <f t="shared" si="5"/>
        <v>36.542716787697564</v>
      </c>
      <c r="G48" s="57">
        <f t="shared" si="7"/>
        <v>0</v>
      </c>
      <c r="H48" s="86">
        <f t="shared" si="18"/>
        <v>-1.4908095788750405E-4</v>
      </c>
      <c r="J48" s="52">
        <f t="shared" si="11"/>
        <v>54</v>
      </c>
      <c r="K48" s="73">
        <f>$I$17+(M48*H48)</f>
        <v>43.530044327560589</v>
      </c>
      <c r="M48" s="89">
        <v>70230</v>
      </c>
      <c r="N48" s="6">
        <f t="shared" si="9"/>
        <v>0.11123417721518987</v>
      </c>
      <c r="O48" s="6">
        <f t="shared" si="10"/>
        <v>0.11123417721518987</v>
      </c>
      <c r="Q48" s="57">
        <f t="shared" si="6"/>
        <v>2566395</v>
      </c>
      <c r="S48" s="57" t="e">
        <f t="shared" si="2"/>
        <v>#DIV/0!</v>
      </c>
      <c r="U48" s="50" t="e">
        <f t="shared" si="13"/>
        <v>#DIV/0!</v>
      </c>
      <c r="V48" s="74">
        <f t="shared" si="15"/>
        <v>3057115.01312458</v>
      </c>
      <c r="W48" s="76">
        <f t="shared" si="14"/>
        <v>490720.01312458003</v>
      </c>
    </row>
    <row r="49" spans="2:23" x14ac:dyDescent="0.35">
      <c r="B49" s="89">
        <v>30</v>
      </c>
      <c r="C49" s="6">
        <f t="shared" si="4"/>
        <v>3.7290242386575516E-2</v>
      </c>
      <c r="D49" s="89">
        <v>2</v>
      </c>
      <c r="E49" s="91">
        <v>15</v>
      </c>
      <c r="F49" s="48">
        <f t="shared" si="5"/>
        <v>36.537290242386575</v>
      </c>
      <c r="G49" s="57">
        <f t="shared" si="7"/>
        <v>0</v>
      </c>
      <c r="H49" s="86">
        <f t="shared" si="18"/>
        <v>-1.2738642008869598E-4</v>
      </c>
      <c r="J49" s="52">
        <f t="shared" si="11"/>
        <v>54</v>
      </c>
      <c r="K49" s="73">
        <f>$I$17+(M49*H49)</f>
        <v>43.751762503864406</v>
      </c>
      <c r="M49" s="89">
        <v>80450</v>
      </c>
      <c r="N49" s="6">
        <f t="shared" si="9"/>
        <v>0.14552185675637191</v>
      </c>
      <c r="O49" s="6">
        <f t="shared" si="10"/>
        <v>0.14552185675637191</v>
      </c>
      <c r="Q49" s="57">
        <f t="shared" si="6"/>
        <v>2939425</v>
      </c>
      <c r="S49" s="57" t="e">
        <f t="shared" si="2"/>
        <v>#DIV/0!</v>
      </c>
      <c r="U49" s="50" t="e">
        <f t="shared" si="13"/>
        <v>#DIV/0!</v>
      </c>
      <c r="V49" s="74">
        <f t="shared" si="15"/>
        <v>3519829.2934358916</v>
      </c>
      <c r="W49" s="76">
        <f t="shared" si="14"/>
        <v>580404.29343589162</v>
      </c>
    </row>
    <row r="50" spans="2:23" x14ac:dyDescent="0.35">
      <c r="B50" s="89">
        <v>30</v>
      </c>
      <c r="C50" s="6">
        <f t="shared" si="4"/>
        <v>3.503035964502569E-2</v>
      </c>
      <c r="D50" s="89">
        <v>2</v>
      </c>
      <c r="E50" s="91">
        <v>15</v>
      </c>
      <c r="F50" s="48">
        <f t="shared" si="5"/>
        <v>36.535030359645027</v>
      </c>
      <c r="G50" s="57">
        <f t="shared" si="7"/>
        <v>0</v>
      </c>
      <c r="H50" s="86">
        <f t="shared" si="18"/>
        <v>-1.1916845215506848E-4</v>
      </c>
      <c r="J50" s="52">
        <f t="shared" si="11"/>
        <v>54</v>
      </c>
      <c r="K50" s="73">
        <f>$I$17+(M50*H50)</f>
        <v>43.794413757439933</v>
      </c>
      <c r="M50" s="89">
        <v>85640</v>
      </c>
      <c r="N50" s="6">
        <f t="shared" si="9"/>
        <v>6.4512119328775638E-2</v>
      </c>
      <c r="O50" s="6">
        <f t="shared" si="10"/>
        <v>6.4512119328775638E-2</v>
      </c>
      <c r="Q50" s="57">
        <f t="shared" si="6"/>
        <v>3128860</v>
      </c>
      <c r="S50" s="57" t="e">
        <f t="shared" si="2"/>
        <v>#DIV/0!</v>
      </c>
      <c r="U50" s="50" t="e">
        <f t="shared" si="13"/>
        <v>#DIV/0!</v>
      </c>
      <c r="V50" s="74">
        <f t="shared" si="15"/>
        <v>3750553.5941871558</v>
      </c>
      <c r="W50" s="76">
        <f t="shared" si="14"/>
        <v>621693.59418715583</v>
      </c>
    </row>
    <row r="51" spans="2:23" x14ac:dyDescent="0.35">
      <c r="B51" s="89">
        <v>30</v>
      </c>
      <c r="C51" s="6">
        <f t="shared" si="4"/>
        <v>3.3240997229916899E-2</v>
      </c>
      <c r="D51" s="89">
        <v>2</v>
      </c>
      <c r="E51" s="91">
        <v>15</v>
      </c>
      <c r="F51" s="48">
        <f t="shared" si="5"/>
        <v>36.533240997229917</v>
      </c>
      <c r="G51" s="57">
        <f t="shared" si="7"/>
        <v>0</v>
      </c>
      <c r="H51" s="86">
        <f t="shared" si="18"/>
        <v>-1.1275361604536664E-4</v>
      </c>
      <c r="J51" s="52">
        <f t="shared" si="11"/>
        <v>54</v>
      </c>
      <c r="K51" s="73">
        <f>$I$17+(M51*H51)</f>
        <v>43.823986151905657</v>
      </c>
      <c r="M51" s="89">
        <v>90250</v>
      </c>
      <c r="N51" s="6">
        <f t="shared" si="9"/>
        <v>5.3829985987856141E-2</v>
      </c>
      <c r="O51" s="6">
        <f t="shared" si="10"/>
        <v>5.3829985987856141E-2</v>
      </c>
      <c r="Q51" s="57">
        <f t="shared" si="6"/>
        <v>3297125</v>
      </c>
      <c r="S51" s="57" t="e">
        <f t="shared" si="2"/>
        <v>#DIV/0!</v>
      </c>
      <c r="U51" s="50" t="e">
        <f t="shared" si="13"/>
        <v>#DIV/0!</v>
      </c>
      <c r="V51" s="74">
        <f t="shared" si="15"/>
        <v>3955114.7502094856</v>
      </c>
      <c r="W51" s="76">
        <f t="shared" si="14"/>
        <v>657989.75020948565</v>
      </c>
    </row>
    <row r="52" spans="2:23" x14ac:dyDescent="0.35">
      <c r="B52" s="89">
        <v>30</v>
      </c>
      <c r="C52" s="6">
        <f t="shared" si="4"/>
        <v>3.1722533573014695E-2</v>
      </c>
      <c r="D52" s="89">
        <v>2</v>
      </c>
      <c r="E52" s="91">
        <v>15</v>
      </c>
      <c r="F52" s="48">
        <f t="shared" si="5"/>
        <v>36.531722533573017</v>
      </c>
      <c r="G52" s="57">
        <f t="shared" si="7"/>
        <v>0</v>
      </c>
      <c r="H52" s="86">
        <f t="shared" si="18"/>
        <v>-1.0735643464574354E-4</v>
      </c>
      <c r="J52" s="52">
        <f t="shared" si="11"/>
        <v>54</v>
      </c>
      <c r="K52" s="73">
        <f>$I$17+(M52*H52)</f>
        <v>43.847301975552035</v>
      </c>
      <c r="M52" s="89">
        <v>94570</v>
      </c>
      <c r="N52" s="6">
        <f t="shared" si="9"/>
        <v>4.7867036011080333E-2</v>
      </c>
      <c r="O52" s="6">
        <f t="shared" si="10"/>
        <v>4.7867036011080333E-2</v>
      </c>
      <c r="Q52" s="57">
        <f t="shared" si="6"/>
        <v>3454805</v>
      </c>
      <c r="S52" s="57" t="e">
        <f t="shared" si="2"/>
        <v>#DIV/0!</v>
      </c>
      <c r="U52" s="50" t="e">
        <f t="shared" si="13"/>
        <v>#DIV/0!</v>
      </c>
      <c r="V52" s="74">
        <f t="shared" si="15"/>
        <v>4146639.3478279561</v>
      </c>
      <c r="W52" s="76">
        <f t="shared" si="14"/>
        <v>691834.34782795608</v>
      </c>
    </row>
    <row r="53" spans="2:23" x14ac:dyDescent="0.35">
      <c r="H53" s="67"/>
      <c r="S53" s="59"/>
    </row>
    <row r="54" spans="2:23" x14ac:dyDescent="0.35">
      <c r="S54" s="59"/>
    </row>
    <row r="55" spans="2:23" x14ac:dyDescent="0.35">
      <c r="S55" s="59"/>
    </row>
    <row r="56" spans="2:23" x14ac:dyDescent="0.35">
      <c r="S56" s="59"/>
    </row>
    <row r="57" spans="2:23" x14ac:dyDescent="0.35">
      <c r="S57" s="59"/>
    </row>
    <row r="58" spans="2:23" x14ac:dyDescent="0.35">
      <c r="S58" s="59"/>
    </row>
    <row r="59" spans="2:23" x14ac:dyDescent="0.35">
      <c r="S59" s="59"/>
    </row>
    <row r="60" spans="2:23" x14ac:dyDescent="0.35">
      <c r="N60" s="89">
        <f>-46/(15000-20340)</f>
        <v>8.6142322097378272E-3</v>
      </c>
      <c r="S60" s="59"/>
    </row>
    <row r="61" spans="2:23" x14ac:dyDescent="0.35">
      <c r="S61" s="59"/>
    </row>
  </sheetData>
  <mergeCells count="9">
    <mergeCell ref="B11:I11"/>
    <mergeCell ref="B12:I12"/>
    <mergeCell ref="B13:I13"/>
    <mergeCell ref="F3:AW3"/>
    <mergeCell ref="F4:AD4"/>
    <mergeCell ref="F5:AD5"/>
    <mergeCell ref="F6:AD6"/>
    <mergeCell ref="F7:AD7"/>
    <mergeCell ref="F8:AD8"/>
  </mergeCell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50"/>
  <sheetViews>
    <sheetView zoomScale="70" zoomScaleNormal="70" workbookViewId="0">
      <selection activeCell="F50" sqref="F50"/>
    </sheetView>
  </sheetViews>
  <sheetFormatPr defaultRowHeight="14.5" x14ac:dyDescent="0.35"/>
  <sheetData>
    <row r="6" spans="4:5" x14ac:dyDescent="0.35">
      <c r="D6">
        <v>52</v>
      </c>
      <c r="E6">
        <v>440</v>
      </c>
    </row>
    <row r="7" spans="4:5" x14ac:dyDescent="0.35">
      <c r="D7">
        <v>51</v>
      </c>
      <c r="E7">
        <v>890</v>
      </c>
    </row>
    <row r="8" spans="4:5" x14ac:dyDescent="0.35">
      <c r="D8">
        <v>50</v>
      </c>
      <c r="E8">
        <v>1170</v>
      </c>
    </row>
    <row r="9" spans="4:5" x14ac:dyDescent="0.35">
      <c r="D9">
        <v>49</v>
      </c>
      <c r="E9">
        <v>1680</v>
      </c>
    </row>
    <row r="10" spans="4:5" x14ac:dyDescent="0.35">
      <c r="D10">
        <v>48</v>
      </c>
      <c r="E10">
        <v>2400</v>
      </c>
    </row>
    <row r="11" spans="4:5" x14ac:dyDescent="0.35">
      <c r="D11">
        <v>47</v>
      </c>
      <c r="E11">
        <v>3200</v>
      </c>
    </row>
    <row r="12" spans="4:5" x14ac:dyDescent="0.35">
      <c r="D12">
        <v>46</v>
      </c>
      <c r="E12">
        <v>4430</v>
      </c>
    </row>
    <row r="13" spans="4:5" x14ac:dyDescent="0.35">
      <c r="D13">
        <v>45</v>
      </c>
      <c r="E13">
        <v>5280</v>
      </c>
    </row>
    <row r="14" spans="4:5" x14ac:dyDescent="0.35">
      <c r="D14">
        <v>44</v>
      </c>
      <c r="E14">
        <v>6120</v>
      </c>
    </row>
    <row r="15" spans="4:5" x14ac:dyDescent="0.35">
      <c r="D15">
        <v>43</v>
      </c>
      <c r="E15">
        <v>8230</v>
      </c>
    </row>
    <row r="16" spans="4:5" x14ac:dyDescent="0.35">
      <c r="D16">
        <v>44</v>
      </c>
      <c r="E16">
        <v>10010</v>
      </c>
    </row>
    <row r="17" spans="4:5" x14ac:dyDescent="0.35">
      <c r="D17">
        <v>43</v>
      </c>
      <c r="E17">
        <v>12230</v>
      </c>
    </row>
    <row r="18" spans="4:5" x14ac:dyDescent="0.35">
      <c r="D18">
        <v>45</v>
      </c>
      <c r="E18">
        <v>13450</v>
      </c>
    </row>
    <row r="19" spans="4:5" x14ac:dyDescent="0.35">
      <c r="D19">
        <v>44</v>
      </c>
      <c r="E19">
        <v>15670</v>
      </c>
    </row>
    <row r="20" spans="4:5" x14ac:dyDescent="0.35">
      <c r="D20">
        <v>43</v>
      </c>
      <c r="E20">
        <v>17320</v>
      </c>
    </row>
    <row r="21" spans="4:5" x14ac:dyDescent="0.35">
      <c r="D21">
        <v>46</v>
      </c>
      <c r="E21">
        <v>20450</v>
      </c>
    </row>
    <row r="22" spans="4:5" x14ac:dyDescent="0.35">
      <c r="D22">
        <v>45</v>
      </c>
      <c r="E22">
        <v>23450</v>
      </c>
    </row>
    <row r="23" spans="4:5" x14ac:dyDescent="0.35">
      <c r="D23">
        <v>44</v>
      </c>
      <c r="E23">
        <v>26780</v>
      </c>
    </row>
    <row r="24" spans="4:5" x14ac:dyDescent="0.35">
      <c r="D24">
        <v>47</v>
      </c>
      <c r="E24">
        <v>30450</v>
      </c>
    </row>
    <row r="25" spans="4:5" x14ac:dyDescent="0.35">
      <c r="D25">
        <v>46</v>
      </c>
      <c r="E25">
        <v>34520</v>
      </c>
    </row>
    <row r="26" spans="4:5" x14ac:dyDescent="0.35">
      <c r="D26">
        <v>45</v>
      </c>
      <c r="E26">
        <v>37020</v>
      </c>
    </row>
    <row r="27" spans="4:5" x14ac:dyDescent="0.35">
      <c r="D27">
        <v>44</v>
      </c>
      <c r="E27">
        <v>39800</v>
      </c>
    </row>
    <row r="28" spans="4:5" x14ac:dyDescent="0.35">
      <c r="D28">
        <v>46</v>
      </c>
      <c r="E28">
        <v>37200</v>
      </c>
    </row>
    <row r="29" spans="4:5" x14ac:dyDescent="0.35">
      <c r="D29">
        <v>45</v>
      </c>
      <c r="E29">
        <v>36450</v>
      </c>
    </row>
    <row r="30" spans="4:5" x14ac:dyDescent="0.35">
      <c r="D30">
        <v>44</v>
      </c>
      <c r="E30">
        <v>32460</v>
      </c>
    </row>
    <row r="31" spans="4:5" x14ac:dyDescent="0.35">
      <c r="D31">
        <v>43</v>
      </c>
      <c r="E31">
        <v>30240</v>
      </c>
    </row>
    <row r="32" spans="4:5" x14ac:dyDescent="0.35">
      <c r="D32">
        <v>42</v>
      </c>
      <c r="E32">
        <v>29750</v>
      </c>
    </row>
    <row r="33" spans="4:5" x14ac:dyDescent="0.35">
      <c r="D33">
        <v>41</v>
      </c>
      <c r="E33">
        <v>28690</v>
      </c>
    </row>
    <row r="34" spans="4:5" x14ac:dyDescent="0.35">
      <c r="D34">
        <v>40</v>
      </c>
      <c r="E34">
        <v>27400</v>
      </c>
    </row>
    <row r="35" spans="4:5" x14ac:dyDescent="0.35">
      <c r="D35">
        <v>39</v>
      </c>
      <c r="E35">
        <v>32470</v>
      </c>
    </row>
    <row r="36" spans="4:5" x14ac:dyDescent="0.35">
      <c r="D36">
        <v>38</v>
      </c>
      <c r="E36">
        <v>35980</v>
      </c>
    </row>
    <row r="37" spans="4:5" x14ac:dyDescent="0.35">
      <c r="D37">
        <v>37</v>
      </c>
      <c r="E37">
        <v>39900</v>
      </c>
    </row>
    <row r="38" spans="4:5" x14ac:dyDescent="0.35">
      <c r="D38">
        <v>36</v>
      </c>
      <c r="E38">
        <v>43700</v>
      </c>
    </row>
    <row r="39" spans="4:5" x14ac:dyDescent="0.35">
      <c r="D39">
        <v>38</v>
      </c>
      <c r="E39">
        <v>45680</v>
      </c>
    </row>
    <row r="40" spans="4:5" x14ac:dyDescent="0.35">
      <c r="D40">
        <v>39</v>
      </c>
      <c r="E40">
        <v>47260</v>
      </c>
    </row>
    <row r="41" spans="4:5" x14ac:dyDescent="0.35">
      <c r="D41">
        <v>40</v>
      </c>
      <c r="E41">
        <v>50200</v>
      </c>
    </row>
    <row r="42" spans="4:5" x14ac:dyDescent="0.35">
      <c r="D42">
        <v>41</v>
      </c>
      <c r="E42">
        <v>53700</v>
      </c>
    </row>
    <row r="43" spans="4:5" x14ac:dyDescent="0.35">
      <c r="D43">
        <v>42</v>
      </c>
      <c r="E43">
        <v>56010</v>
      </c>
    </row>
    <row r="44" spans="4:5" x14ac:dyDescent="0.35">
      <c r="D44">
        <v>41</v>
      </c>
      <c r="E44">
        <v>59801</v>
      </c>
    </row>
    <row r="45" spans="4:5" x14ac:dyDescent="0.35">
      <c r="D45">
        <v>40</v>
      </c>
      <c r="E45">
        <v>63020</v>
      </c>
    </row>
    <row r="46" spans="4:5" x14ac:dyDescent="0.35">
      <c r="D46">
        <v>43</v>
      </c>
      <c r="E46">
        <v>67280</v>
      </c>
    </row>
    <row r="47" spans="4:5" x14ac:dyDescent="0.35">
      <c r="D47">
        <v>42</v>
      </c>
      <c r="E47">
        <v>70304</v>
      </c>
    </row>
    <row r="48" spans="4:5" x14ac:dyDescent="0.35">
      <c r="D48">
        <v>41</v>
      </c>
      <c r="E48">
        <v>72350</v>
      </c>
    </row>
    <row r="49" spans="4:5" x14ac:dyDescent="0.35">
      <c r="D49">
        <v>44</v>
      </c>
      <c r="E49">
        <v>75670</v>
      </c>
    </row>
    <row r="50" spans="4:5" x14ac:dyDescent="0.35">
      <c r="D50">
        <v>42</v>
      </c>
      <c r="E50">
        <v>78900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  <vt:lpstr>final</vt:lpstr>
      <vt:lpstr>price_Illustrate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2016-03-27T10:08:04Z</dcterms:modified>
</cp:coreProperties>
</file>