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28800" windowHeight="14240"/>
  </bookViews>
  <sheets>
    <sheet name="Primarily Monthly Contracts" sheetId="2" r:id="rId1"/>
    <sheet name="Dashboard" sheetId="1" r:id="rId2"/>
    <sheet name="Annual Contracts" sheetId="6" r:id="rId3"/>
    <sheet name="LTV 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D23" i="6"/>
  <c r="E24" i="2"/>
  <c r="I7" i="6" l="1"/>
  <c r="I10" i="6" s="1"/>
  <c r="I40" i="6" s="1"/>
  <c r="D7" i="6"/>
  <c r="D10" i="6" s="1"/>
  <c r="D40" i="6" s="1"/>
  <c r="F6" i="6"/>
  <c r="F7" i="6" s="1"/>
  <c r="F10" i="6" s="1"/>
  <c r="F40" i="6" s="1"/>
  <c r="G6" i="6"/>
  <c r="G7" i="6" s="1"/>
  <c r="G10" i="6" s="1"/>
  <c r="G40" i="6" s="1"/>
  <c r="H6" i="6"/>
  <c r="H7" i="6" s="1"/>
  <c r="H10" i="6" s="1"/>
  <c r="H40" i="6" s="1"/>
  <c r="I6" i="6"/>
  <c r="E6" i="6"/>
  <c r="E7" i="6" s="1"/>
  <c r="E10" i="6" s="1"/>
  <c r="E40" i="6" s="1"/>
  <c r="C20" i="6"/>
  <c r="D19" i="6" s="1"/>
  <c r="I82" i="6" l="1"/>
  <c r="H82" i="6"/>
  <c r="G82" i="6"/>
  <c r="F82" i="6"/>
  <c r="E82" i="6"/>
  <c r="D82" i="6"/>
  <c r="I78" i="6"/>
  <c r="I79" i="6" s="1"/>
  <c r="H78" i="6"/>
  <c r="H79" i="6" s="1"/>
  <c r="G78" i="6"/>
  <c r="G79" i="6" s="1"/>
  <c r="F78" i="6"/>
  <c r="F79" i="6" s="1"/>
  <c r="E78" i="6"/>
  <c r="E79" i="6" s="1"/>
  <c r="D78" i="6"/>
  <c r="D79" i="6" s="1"/>
  <c r="I72" i="6"/>
  <c r="H72" i="6"/>
  <c r="H70" i="6" s="1"/>
  <c r="G72" i="6"/>
  <c r="G70" i="6" s="1"/>
  <c r="F72" i="6"/>
  <c r="E72" i="6"/>
  <c r="E70" i="6" s="1"/>
  <c r="D72" i="6"/>
  <c r="D70" i="6" s="1"/>
  <c r="I70" i="6"/>
  <c r="F70" i="6"/>
  <c r="I54" i="6"/>
  <c r="I60" i="6" s="1"/>
  <c r="H54" i="6"/>
  <c r="H60" i="6" s="1"/>
  <c r="G54" i="6"/>
  <c r="G60" i="6" s="1"/>
  <c r="F54" i="6"/>
  <c r="F60" i="6" s="1"/>
  <c r="E54" i="6"/>
  <c r="E60" i="6" s="1"/>
  <c r="D54" i="6"/>
  <c r="D60" i="6" s="1"/>
  <c r="I41" i="6"/>
  <c r="I43" i="6" s="1"/>
  <c r="H41" i="6"/>
  <c r="H43" i="6" s="1"/>
  <c r="G41" i="6"/>
  <c r="G43" i="6" s="1"/>
  <c r="F41" i="6"/>
  <c r="F43" i="6" s="1"/>
  <c r="E41" i="6"/>
  <c r="E43" i="6" s="1"/>
  <c r="D41" i="6"/>
  <c r="D43" i="6" s="1"/>
  <c r="D28" i="6"/>
  <c r="D26" i="6"/>
  <c r="E25" i="6"/>
  <c r="D16" i="6"/>
  <c r="D15" i="6"/>
  <c r="G42" i="6"/>
  <c r="F32" i="2"/>
  <c r="G32" i="2"/>
  <c r="H32" i="2"/>
  <c r="I32" i="2"/>
  <c r="J32" i="2"/>
  <c r="E32" i="2"/>
  <c r="C31" i="3"/>
  <c r="B31" i="3"/>
  <c r="D30" i="3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U31" i="3" s="1"/>
  <c r="C30" i="3"/>
  <c r="B30" i="3"/>
  <c r="AY10" i="3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AJ10" i="3"/>
  <c r="AK10" i="3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D10" i="3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C10" i="3"/>
  <c r="B10" i="3"/>
  <c r="E29" i="2"/>
  <c r="J80" i="2"/>
  <c r="I80" i="2"/>
  <c r="H80" i="2"/>
  <c r="G80" i="2"/>
  <c r="F80" i="2"/>
  <c r="E80" i="2"/>
  <c r="J76" i="2"/>
  <c r="J77" i="2" s="1"/>
  <c r="I76" i="2"/>
  <c r="I77" i="2" s="1"/>
  <c r="H76" i="2"/>
  <c r="H77" i="2" s="1"/>
  <c r="G76" i="2"/>
  <c r="G77" i="2" s="1"/>
  <c r="F76" i="2"/>
  <c r="F77" i="2" s="1"/>
  <c r="E76" i="2"/>
  <c r="E77" i="2" s="1"/>
  <c r="J70" i="2"/>
  <c r="I70" i="2"/>
  <c r="H70" i="2"/>
  <c r="G70" i="2"/>
  <c r="F70" i="2"/>
  <c r="E70" i="2"/>
  <c r="J68" i="2"/>
  <c r="I68" i="2"/>
  <c r="H68" i="2"/>
  <c r="G68" i="2"/>
  <c r="F68" i="2"/>
  <c r="E68" i="2"/>
  <c r="J52" i="2"/>
  <c r="J58" i="2" s="1"/>
  <c r="I52" i="2"/>
  <c r="I58" i="2" s="1"/>
  <c r="H52" i="2"/>
  <c r="H58" i="2" s="1"/>
  <c r="G52" i="2"/>
  <c r="G58" i="2" s="1"/>
  <c r="F52" i="2"/>
  <c r="F58" i="2" s="1"/>
  <c r="E52" i="2"/>
  <c r="E58" i="2" s="1"/>
  <c r="J39" i="2"/>
  <c r="J41" i="2" s="1"/>
  <c r="I39" i="2"/>
  <c r="I41" i="2" s="1"/>
  <c r="H39" i="2"/>
  <c r="H41" i="2" s="1"/>
  <c r="G39" i="2"/>
  <c r="G41" i="2" s="1"/>
  <c r="F39" i="2"/>
  <c r="F41" i="2" s="1"/>
  <c r="E39" i="2"/>
  <c r="E41" i="2" s="1"/>
  <c r="E27" i="2"/>
  <c r="F26" i="2"/>
  <c r="F29" i="2" s="1"/>
  <c r="D21" i="2"/>
  <c r="E16" i="2"/>
  <c r="E15" i="2"/>
  <c r="E17" i="2" s="1"/>
  <c r="E20" i="2" s="1"/>
  <c r="J10" i="2"/>
  <c r="J38" i="2" s="1"/>
  <c r="J40" i="2" s="1"/>
  <c r="I10" i="2"/>
  <c r="I38" i="2" s="1"/>
  <c r="I40" i="2" s="1"/>
  <c r="H10" i="2"/>
  <c r="H38" i="2" s="1"/>
  <c r="H40" i="2" s="1"/>
  <c r="G10" i="2"/>
  <c r="G38" i="2" s="1"/>
  <c r="G40" i="2" s="1"/>
  <c r="F10" i="2"/>
  <c r="F38" i="2" s="1"/>
  <c r="F40" i="2" s="1"/>
  <c r="E10" i="2"/>
  <c r="E38" i="2" s="1"/>
  <c r="E40" i="2" s="1"/>
  <c r="E7" i="2"/>
  <c r="J6" i="2"/>
  <c r="J7" i="2" s="1"/>
  <c r="I6" i="2"/>
  <c r="I7" i="2" s="1"/>
  <c r="H6" i="2"/>
  <c r="H7" i="2" s="1"/>
  <c r="G6" i="2"/>
  <c r="G7" i="2" s="1"/>
  <c r="F6" i="2"/>
  <c r="F7" i="2" s="1"/>
  <c r="E42" i="6" l="1"/>
  <c r="I42" i="6"/>
  <c r="D31" i="6"/>
  <c r="D42" i="6"/>
  <c r="H42" i="6"/>
  <c r="D17" i="6"/>
  <c r="D20" i="6" s="1"/>
  <c r="F42" i="6"/>
  <c r="F25" i="6"/>
  <c r="E28" i="6"/>
  <c r="E26" i="6"/>
  <c r="BT31" i="3"/>
  <c r="BR31" i="3"/>
  <c r="BP31" i="3"/>
  <c r="BN31" i="3"/>
  <c r="BL31" i="3"/>
  <c r="BJ31" i="3"/>
  <c r="BH31" i="3"/>
  <c r="BF31" i="3"/>
  <c r="BD31" i="3"/>
  <c r="BB31" i="3"/>
  <c r="AZ31" i="3"/>
  <c r="AX31" i="3"/>
  <c r="AV31" i="3"/>
  <c r="AT31" i="3"/>
  <c r="AR31" i="3"/>
  <c r="AP31" i="3"/>
  <c r="AN31" i="3"/>
  <c r="AL31" i="3"/>
  <c r="AJ31" i="3"/>
  <c r="AH31" i="3"/>
  <c r="AF31" i="3"/>
  <c r="AD31" i="3"/>
  <c r="AB31" i="3"/>
  <c r="Z31" i="3"/>
  <c r="X31" i="3"/>
  <c r="V31" i="3"/>
  <c r="T31" i="3"/>
  <c r="R31" i="3"/>
  <c r="P31" i="3"/>
  <c r="N31" i="3"/>
  <c r="L31" i="3"/>
  <c r="J31" i="3"/>
  <c r="H31" i="3"/>
  <c r="F31" i="3"/>
  <c r="D31" i="3"/>
  <c r="BS31" i="3"/>
  <c r="BQ31" i="3"/>
  <c r="BO31" i="3"/>
  <c r="BM31" i="3"/>
  <c r="BK31" i="3"/>
  <c r="BI31" i="3"/>
  <c r="BG31" i="3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E21" i="2"/>
  <c r="F19" i="2"/>
  <c r="E11" i="2"/>
  <c r="E47" i="2"/>
  <c r="F16" i="2"/>
  <c r="F15" i="2"/>
  <c r="F17" i="2" s="1"/>
  <c r="F20" i="2" s="1"/>
  <c r="F27" i="2"/>
  <c r="F24" i="2" s="1"/>
  <c r="E16" i="6" l="1"/>
  <c r="D11" i="6"/>
  <c r="E15" i="6"/>
  <c r="E17" i="6" s="1"/>
  <c r="E20" i="6" s="1"/>
  <c r="E11" i="6" s="1"/>
  <c r="D49" i="6"/>
  <c r="E19" i="6"/>
  <c r="D50" i="6"/>
  <c r="D51" i="6" s="1"/>
  <c r="D59" i="6" s="1"/>
  <c r="F28" i="6"/>
  <c r="F26" i="6"/>
  <c r="F23" i="6" s="1"/>
  <c r="F47" i="2"/>
  <c r="G16" i="2"/>
  <c r="G15" i="2"/>
  <c r="G17" i="2" s="1"/>
  <c r="F21" i="2"/>
  <c r="G20" i="2"/>
  <c r="G19" i="2"/>
  <c r="F11" i="2"/>
  <c r="E48" i="2"/>
  <c r="E49" i="2" s="1"/>
  <c r="E57" i="2" s="1"/>
  <c r="G26" i="2"/>
  <c r="G29" i="2" s="1"/>
  <c r="E49" i="6" l="1"/>
  <c r="E50" i="6" s="1"/>
  <c r="E51" i="6" s="1"/>
  <c r="E59" i="6" s="1"/>
  <c r="F19" i="6"/>
  <c r="F31" i="6" s="1"/>
  <c r="F16" i="6"/>
  <c r="E31" i="6"/>
  <c r="F15" i="6"/>
  <c r="G25" i="6"/>
  <c r="G27" i="2"/>
  <c r="G24" i="2" s="1"/>
  <c r="G21" i="2"/>
  <c r="H19" i="2"/>
  <c r="G47" i="2"/>
  <c r="H16" i="2"/>
  <c r="H15" i="2"/>
  <c r="H17" i="2" s="1"/>
  <c r="H20" i="2" s="1"/>
  <c r="F49" i="2"/>
  <c r="F57" i="2" s="1"/>
  <c r="F48" i="2"/>
  <c r="F17" i="6" l="1"/>
  <c r="F20" i="6" s="1"/>
  <c r="F11" i="6" s="1"/>
  <c r="G19" i="6"/>
  <c r="F49" i="6"/>
  <c r="G16" i="6"/>
  <c r="G15" i="6"/>
  <c r="G28" i="6"/>
  <c r="G26" i="6"/>
  <c r="G23" i="6" s="1"/>
  <c r="H47" i="2"/>
  <c r="I16" i="2"/>
  <c r="I15" i="2"/>
  <c r="I17" i="2" s="1"/>
  <c r="H21" i="2"/>
  <c r="I20" i="2"/>
  <c r="I19" i="2"/>
  <c r="G48" i="2"/>
  <c r="G49" i="2" s="1"/>
  <c r="G57" i="2" s="1"/>
  <c r="H26" i="2"/>
  <c r="H29" i="2" s="1"/>
  <c r="G11" i="2"/>
  <c r="H25" i="6" l="1"/>
  <c r="H26" i="6"/>
  <c r="H23" i="6" s="1"/>
  <c r="H28" i="6"/>
  <c r="G31" i="6"/>
  <c r="G17" i="6"/>
  <c r="G20" i="6" s="1"/>
  <c r="G11" i="6" s="1"/>
  <c r="F50" i="6"/>
  <c r="F51" i="6" s="1"/>
  <c r="F59" i="6" s="1"/>
  <c r="H27" i="2"/>
  <c r="H24" i="2" s="1"/>
  <c r="H11" i="2" s="1"/>
  <c r="I21" i="2"/>
  <c r="J19" i="2"/>
  <c r="I47" i="2"/>
  <c r="J16" i="2"/>
  <c r="J15" i="2"/>
  <c r="J17" i="2" s="1"/>
  <c r="J20" i="2" s="1"/>
  <c r="H48" i="2"/>
  <c r="H49" i="2" s="1"/>
  <c r="H57" i="2" s="1"/>
  <c r="I26" i="2" l="1"/>
  <c r="I29" i="2" s="1"/>
  <c r="G49" i="6"/>
  <c r="H16" i="6"/>
  <c r="H15" i="6"/>
  <c r="H19" i="6"/>
  <c r="I25" i="6"/>
  <c r="J47" i="2"/>
  <c r="J21" i="2"/>
  <c r="I27" i="2"/>
  <c r="I24" i="2" s="1"/>
  <c r="I48" i="2"/>
  <c r="I49" i="2" s="1"/>
  <c r="I57" i="2" s="1"/>
  <c r="J26" i="2" l="1"/>
  <c r="J29" i="2" s="1"/>
  <c r="I11" i="2"/>
  <c r="I28" i="6"/>
  <c r="I26" i="6"/>
  <c r="I23" i="6" s="1"/>
  <c r="H17" i="6"/>
  <c r="H20" i="6" s="1"/>
  <c r="H11" i="6" s="1"/>
  <c r="H31" i="6"/>
  <c r="G50" i="6"/>
  <c r="G51" i="6" s="1"/>
  <c r="G59" i="6" s="1"/>
  <c r="J27" i="2"/>
  <c r="J24" i="2" s="1"/>
  <c r="J11" i="2" s="1"/>
  <c r="J49" i="2"/>
  <c r="J57" i="2" s="1"/>
  <c r="J48" i="2"/>
  <c r="I19" i="6" l="1"/>
  <c r="H49" i="6"/>
  <c r="I16" i="6"/>
  <c r="I15" i="6"/>
  <c r="I31" i="6" l="1"/>
  <c r="I17" i="6"/>
  <c r="I20" i="6" s="1"/>
  <c r="I11" i="6" s="1"/>
  <c r="H50" i="6"/>
  <c r="H51" i="6" s="1"/>
  <c r="H59" i="6" s="1"/>
  <c r="I49" i="6" l="1"/>
  <c r="I50" i="6" l="1"/>
  <c r="I51" i="6" s="1"/>
  <c r="I59" i="6" s="1"/>
</calcChain>
</file>

<file path=xl/sharedStrings.xml><?xml version="1.0" encoding="utf-8"?>
<sst xmlns="http://schemas.openxmlformats.org/spreadsheetml/2006/main" count="332" uniqueCount="165">
  <si>
    <t>SaaS Metrics 2.0</t>
  </si>
  <si>
    <t>For companies that book primarily monthly contracts</t>
  </si>
  <si>
    <t>Bookings</t>
  </si>
  <si>
    <t>Dec</t>
  </si>
  <si>
    <t>Jan</t>
  </si>
  <si>
    <t>Feb</t>
  </si>
  <si>
    <t>Mar</t>
  </si>
  <si>
    <t>Apr</t>
  </si>
  <si>
    <t>May</t>
  </si>
  <si>
    <t>Jun</t>
  </si>
  <si>
    <t>Bookings $,000's (new custs)</t>
  </si>
  <si>
    <t>Value of all closed contracts during the month (with varying durations)</t>
  </si>
  <si>
    <t>Average Deal Size $'s</t>
  </si>
  <si>
    <t>Average size of deal for full duration</t>
  </si>
  <si>
    <t>Average duration of contract signed by the new customers</t>
  </si>
  <si>
    <t>MRR</t>
  </si>
  <si>
    <t>New MRR added from new customers signed in the month</t>
  </si>
  <si>
    <t>Churned MRR</t>
  </si>
  <si>
    <t>Lost MRR from customers who churned in the month</t>
  </si>
  <si>
    <t>Expansion MRR</t>
  </si>
  <si>
    <t>Expansion MRR from the installed base of existing customers</t>
  </si>
  <si>
    <t>Starting MRR</t>
  </si>
  <si>
    <t>Ending MRR</t>
  </si>
  <si>
    <t>ARR (Annualized Run Rate)</t>
  </si>
  <si>
    <t>This is simply MRR  x 12</t>
  </si>
  <si>
    <t>Churn Metrics</t>
  </si>
  <si>
    <t>Total # of Customers</t>
  </si>
  <si>
    <t># of new Customers</t>
  </si>
  <si>
    <t># of churned Customers</t>
  </si>
  <si>
    <t>Net New Customers</t>
  </si>
  <si>
    <t>% Customer Churn</t>
  </si>
  <si>
    <t># of churned Customers / Total # of Customers (from last month)</t>
  </si>
  <si>
    <t>% MRR Churn</t>
  </si>
  <si>
    <t>Churned MRR / Last month's Ending MRR</t>
  </si>
  <si>
    <t>% MRR Expansion</t>
  </si>
  <si>
    <t>Expansion MRR / Last month's Ending MRR</t>
  </si>
  <si>
    <t>Customer Engagement Score</t>
  </si>
  <si>
    <t>The average Customer Engagement Score across the customer base</t>
  </si>
  <si>
    <t>Net Promoter Score</t>
  </si>
  <si>
    <t>Unit Economics (new customers)</t>
  </si>
  <si>
    <t>LTV</t>
  </si>
  <si>
    <t>CAC</t>
  </si>
  <si>
    <t>Adjusted Sales &amp; Marketing expense / # of new Customers</t>
  </si>
  <si>
    <t>LTV to CAC Ratio</t>
  </si>
  <si>
    <t>LTV/CAC</t>
  </si>
  <si>
    <t>Months to Recover CAC</t>
  </si>
  <si>
    <t>Summary Financial Metrics $000's</t>
  </si>
  <si>
    <t>Billings (what's invoiced this month)</t>
  </si>
  <si>
    <t>Custs may be billed in advance of when revenue can be recognized</t>
  </si>
  <si>
    <t>Revenue</t>
  </si>
  <si>
    <t>Revenue is typically recognized monthly, so may vary from Billings</t>
  </si>
  <si>
    <t>Cost of Goods Solds - COGS</t>
  </si>
  <si>
    <t>Gross Margin</t>
  </si>
  <si>
    <t>Gross Margin %</t>
  </si>
  <si>
    <t>Total Expenses</t>
  </si>
  <si>
    <t xml:space="preserve">   Sales &amp; Marketing</t>
  </si>
  <si>
    <t xml:space="preserve">   Research &amp; Development</t>
  </si>
  <si>
    <t xml:space="preserve">   General &amp; Administrative</t>
  </si>
  <si>
    <t>EBITDA</t>
  </si>
  <si>
    <t>Based on GAAP recognized revenue</t>
  </si>
  <si>
    <t>Billings-based operating profit/loss</t>
  </si>
  <si>
    <t>Given that cash will be collected based on Billings, this is a useful way</t>
  </si>
  <si>
    <t>to judge how the business is doing on cash basis</t>
  </si>
  <si>
    <t>Cash  &amp; Deferred Revenue</t>
  </si>
  <si>
    <t>Change in Cash</t>
  </si>
  <si>
    <t>Ending Cash</t>
  </si>
  <si>
    <t>Deferred Revenue</t>
  </si>
  <si>
    <t>Tracks what has been billed, but can't yet be recognized as revenue</t>
  </si>
  <si>
    <t>Funnel Metrics</t>
  </si>
  <si>
    <t>Vistors to Web Site</t>
  </si>
  <si>
    <t>Conversion from Visitors to Trials</t>
  </si>
  <si>
    <t>Trials in progress</t>
  </si>
  <si>
    <t>Conversion from Trials to Purchase</t>
  </si>
  <si>
    <t>Sales Metrics</t>
  </si>
  <si>
    <t xml:space="preserve">No of FTE Sales reps </t>
  </si>
  <si>
    <t>FTE = Full Time Equivalent (equivalent # of fully productive reps)</t>
  </si>
  <si>
    <t>Quota per sales rep</t>
  </si>
  <si>
    <t>MRR  value of new customers signed</t>
  </si>
  <si>
    <t xml:space="preserve">Forecasted Sales Capacity </t>
  </si>
  <si>
    <t># of FTE reps * quota (should translate into New MRR Bookings)</t>
  </si>
  <si>
    <t>Coverage ratio for plan</t>
  </si>
  <si>
    <t>Forcasted Sales Capacity / Bookings plan</t>
  </si>
  <si>
    <t>Productivity per FTE sales rep</t>
  </si>
  <si>
    <t>MRR value of new customers signed</t>
  </si>
  <si>
    <t># of new Customers - # of churned Customers</t>
  </si>
  <si>
    <t>Initial Cohort Size</t>
  </si>
  <si>
    <t>Cohort Size</t>
  </si>
  <si>
    <t>Churn Rate</t>
  </si>
  <si>
    <t>Time in Months</t>
  </si>
  <si>
    <t>Customer Lifetime Value Charts</t>
  </si>
  <si>
    <t>Simple Calculation</t>
  </si>
  <si>
    <t>Initial ARPC</t>
  </si>
  <si>
    <t>Monthly ARPC growth</t>
  </si>
  <si>
    <t>Monthly Customer Churn</t>
  </si>
  <si>
    <t>Cohort Payment</t>
  </si>
  <si>
    <t>% Net MRR Churn</t>
  </si>
  <si>
    <t>(Churned MRR - Expansion MRR)/Last months Ending MRR</t>
  </si>
  <si>
    <t>% ACV Churn</t>
  </si>
  <si>
    <t>% ACV Expansion</t>
  </si>
  <si>
    <t>% Net ACV Churn</t>
  </si>
  <si>
    <t>For companies that book annual contracts</t>
  </si>
  <si>
    <t xml:space="preserve">Sales Capacity </t>
  </si>
  <si>
    <t>Raw Leads / Enquiries</t>
  </si>
  <si>
    <t xml:space="preserve">Average MRR per customer across the installed base </t>
  </si>
  <si>
    <t>Starting ARR</t>
  </si>
  <si>
    <t>Ending ARR</t>
  </si>
  <si>
    <t>Net New MRR</t>
  </si>
  <si>
    <t>Average Months paid upfront</t>
  </si>
  <si>
    <t>Average number of months paid upfront by new customers</t>
  </si>
  <si>
    <t>Average Contract Length</t>
  </si>
  <si>
    <t>Average Contract Term</t>
  </si>
  <si>
    <t>New ACV added from new customers signed in the month</t>
  </si>
  <si>
    <t>New ACV</t>
  </si>
  <si>
    <t>Churned ACV</t>
  </si>
  <si>
    <t>Expansion ACV</t>
  </si>
  <si>
    <t>ACV</t>
  </si>
  <si>
    <t>Lost ACV from customers who churned in the month</t>
  </si>
  <si>
    <t>Expansion ACV from the installed base of existing customers</t>
  </si>
  <si>
    <t>Value of all closed contracts during the month (annualized)</t>
  </si>
  <si>
    <t>Average Months Paid Upfront</t>
  </si>
  <si>
    <t>Net New ACV</t>
  </si>
  <si>
    <t>Average ACV for new customers</t>
  </si>
  <si>
    <t>Average ACV (new contracts)</t>
  </si>
  <si>
    <t>Scroll right to see the dashboard ----&gt;</t>
  </si>
  <si>
    <t>Renewal rate (# of Custs)</t>
  </si>
  <si>
    <t>Renewal rate (ACV $'s)</t>
  </si>
  <si>
    <t>Slightly different to Churn, as it measures Renewal against contracts</t>
  </si>
  <si>
    <t>that are up for renewal. (Churn is against the whole customer base)</t>
  </si>
  <si>
    <t>Conversion Raw Leads to MQLs</t>
  </si>
  <si>
    <t>Opportunities</t>
  </si>
  <si>
    <t>Conversion: Oppties to Win</t>
  </si>
  <si>
    <t>Win/Losss ratio</t>
  </si>
  <si>
    <t>ARPA - Avg MRR (for new Custs)</t>
  </si>
  <si>
    <t>ARPA - across installed base</t>
  </si>
  <si>
    <t>ARPA * Gross Margin % / %MRR Churn Rate</t>
  </si>
  <si>
    <t>Average Revenue per Account - Avg MRR (for the new customers)</t>
  </si>
  <si>
    <t xml:space="preserve">Average MRR across the installed base </t>
  </si>
  <si>
    <t>CAC/(ARPA * GM%)</t>
  </si>
  <si>
    <t>ARPA (Average MRR) for new custs</t>
  </si>
  <si>
    <t>ARPA - across the installed base</t>
  </si>
  <si>
    <t xml:space="preserve">ARPA = Avg Revenue Per Acct - Avg MRR across the new customers </t>
  </si>
  <si>
    <t>New MRR(Monthly recurring Revenue)</t>
  </si>
  <si>
    <t># New Customers*ARPA of new Cust/1000*avg months paid upfront</t>
  </si>
  <si>
    <t>Bookings/# new customers*1000</t>
  </si>
  <si>
    <t>Input</t>
  </si>
  <si>
    <t>New MRR/# new customers*1000</t>
  </si>
  <si>
    <t>Ending MRR/Total# customers*1000</t>
  </si>
  <si>
    <t>INPUT</t>
  </si>
  <si>
    <t>NA</t>
  </si>
  <si>
    <t>New MRR+ Churned MRR</t>
  </si>
  <si>
    <t>Ending MRR of last month</t>
  </si>
  <si>
    <t>Ending MRR of last month + New New MRR</t>
  </si>
  <si>
    <t>Ending MRR*12</t>
  </si>
  <si>
    <t>Total # customer last month+New new customers this month</t>
  </si>
  <si>
    <t>%customer churn*Total # customers</t>
  </si>
  <si>
    <t># new customers+ # churned customers</t>
  </si>
  <si>
    <t>Number of churned customers/total # customers last month</t>
  </si>
  <si>
    <t>Negative(churned MRR+Expansion MRR)/starting MRR</t>
  </si>
  <si>
    <t>ARPS for new customers*gross marin%/% MRR churn</t>
  </si>
  <si>
    <t>Sales/Mktg expense/# new customers*1000</t>
  </si>
  <si>
    <t>CAC/(ARPS for new Cust*gorss margin %)</t>
  </si>
  <si>
    <t>revenue- COGS</t>
  </si>
  <si>
    <t>Gross margin/revenue*100</t>
  </si>
  <si>
    <t>Billing * gross margin% - Total Expenses</t>
  </si>
  <si>
    <t>Negative (% MRR Churn*Ending MRR of last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</si>
</sst>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&quot;$&quot;* #,##0.0_);_(&quot;$&quot;* \(#,##0.0\);_(&quot;$&quot;* &quot;-&quot;??_);_(@_)"/>
    <numFmt numFmtId="170" formatCode="_(&quot;$&quot;* #,##0.0_);_(&quot;$&quot;* \(#,##0.0\);_(&quot;$&quot;* &quot;-&quot;?_);_(@_)"/>
    <numFmt numFmtId="171" formatCode="_(&quot;$&quot;* #,##0_);_(&quot;$&quot;* \(#,##0\);_(&quot;$&quot;* &quot;-&quot;?_);_(@_)"/>
    <numFmt numFmtId="172" formatCode="_(* #,##0_);_(* \(#,##0\);_(* &quot;-&quot;??_);_(@_)"/>
    <numFmt numFmtId="173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 Black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4" fillId="0" borderId="2" xfId="6"/>
    <xf numFmtId="0" fontId="5" fillId="0" borderId="3" xfId="7"/>
    <xf numFmtId="0" fontId="7" fillId="2" borderId="0" xfId="9" applyAlignment="1">
      <alignment horizontal="right"/>
    </xf>
    <xf numFmtId="167" fontId="0" fillId="0" borderId="0" xfId="2" applyNumberFormat="1" applyFont="1"/>
    <xf numFmtId="168" fontId="0" fillId="0" borderId="0" xfId="1" applyNumberFormat="1" applyFont="1"/>
    <xf numFmtId="169" fontId="0" fillId="0" borderId="0" xfId="2" applyNumberFormat="1" applyFont="1"/>
    <xf numFmtId="0" fontId="6" fillId="0" borderId="4" xfId="8"/>
    <xf numFmtId="169" fontId="6" fillId="0" borderId="4" xfId="8" applyNumberForma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172" fontId="0" fillId="0" borderId="0" xfId="0" applyNumberFormat="1"/>
    <xf numFmtId="0" fontId="0" fillId="0" borderId="5" xfId="0" applyBorder="1"/>
    <xf numFmtId="0" fontId="0" fillId="0" borderId="6" xfId="0" applyBorder="1"/>
    <xf numFmtId="172" fontId="0" fillId="0" borderId="5" xfId="0" applyNumberFormat="1" applyBorder="1"/>
    <xf numFmtId="173" fontId="0" fillId="0" borderId="0" xfId="0" applyNumberFormat="1"/>
    <xf numFmtId="167" fontId="0" fillId="0" borderId="0" xfId="0" applyNumberFormat="1"/>
    <xf numFmtId="9" fontId="0" fillId="0" borderId="0" xfId="0" applyNumberFormat="1"/>
    <xf numFmtId="167" fontId="6" fillId="0" borderId="4" xfId="8" applyNumberFormat="1"/>
    <xf numFmtId="173" fontId="0" fillId="0" borderId="0" xfId="3" applyNumberFormat="1" applyFont="1"/>
    <xf numFmtId="0" fontId="8" fillId="0" borderId="0" xfId="4" applyFont="1"/>
    <xf numFmtId="1" fontId="0" fillId="0" borderId="0" xfId="0" applyNumberFormat="1"/>
    <xf numFmtId="0" fontId="3" fillId="0" borderId="1" xfId="5"/>
    <xf numFmtId="173" fontId="0" fillId="0" borderId="5" xfId="0" applyNumberFormat="1" applyBorder="1"/>
    <xf numFmtId="164" fontId="0" fillId="0" borderId="0" xfId="10" applyNumberFormat="1" applyFont="1"/>
    <xf numFmtId="0" fontId="9" fillId="0" borderId="0" xfId="0" applyFont="1"/>
    <xf numFmtId="0" fontId="0" fillId="0" borderId="0" xfId="0" applyBorder="1"/>
    <xf numFmtId="173" fontId="0" fillId="0" borderId="0" xfId="0" applyNumberFormat="1" applyBorder="1"/>
    <xf numFmtId="0" fontId="0" fillId="0" borderId="0" xfId="0" applyFill="1" applyBorder="1"/>
    <xf numFmtId="0" fontId="10" fillId="3" borderId="0" xfId="0" applyFont="1" applyFill="1"/>
    <xf numFmtId="0" fontId="10" fillId="0" borderId="0" xfId="0" applyFont="1"/>
    <xf numFmtId="167" fontId="0" fillId="4" borderId="0" xfId="2" applyNumberFormat="1" applyFont="1" applyFill="1"/>
    <xf numFmtId="168" fontId="0" fillId="4" borderId="0" xfId="1" applyNumberFormat="1" applyFont="1" applyFill="1"/>
    <xf numFmtId="169" fontId="0" fillId="4" borderId="0" xfId="2" applyNumberFormat="1" applyFont="1" applyFill="1"/>
    <xf numFmtId="172" fontId="0" fillId="4" borderId="0" xfId="1" applyNumberFormat="1" applyFont="1" applyFill="1"/>
    <xf numFmtId="172" fontId="0" fillId="4" borderId="0" xfId="0" applyNumberFormat="1" applyFill="1"/>
    <xf numFmtId="173" fontId="0" fillId="4" borderId="0" xfId="0" applyNumberFormat="1" applyFill="1"/>
    <xf numFmtId="0" fontId="0" fillId="4" borderId="0" xfId="0" applyFill="1"/>
    <xf numFmtId="167" fontId="0" fillId="4" borderId="0" xfId="0" applyNumberFormat="1" applyFill="1"/>
    <xf numFmtId="173" fontId="0" fillId="4" borderId="0" xfId="3" applyNumberFormat="1" applyFont="1" applyFill="1"/>
    <xf numFmtId="9" fontId="0" fillId="4" borderId="0" xfId="0" applyNumberFormat="1" applyFill="1"/>
    <xf numFmtId="0" fontId="0" fillId="5" borderId="0" xfId="0" applyFill="1"/>
    <xf numFmtId="0" fontId="0" fillId="0" borderId="0" xfId="0" applyAlignment="1">
      <alignment wrapText="1"/>
    </xf>
    <xf numFmtId="0" fontId="4" fillId="0" borderId="2" xfId="6" applyAlignment="1">
      <alignment wrapText="1"/>
    </xf>
    <xf numFmtId="0" fontId="5" fillId="0" borderId="3" xfId="7" applyAlignment="1">
      <alignment wrapText="1"/>
    </xf>
    <xf numFmtId="0" fontId="0" fillId="5" borderId="0" xfId="0" applyFill="1" applyAlignment="1">
      <alignment wrapText="1"/>
    </xf>
    <xf numFmtId="0" fontId="0" fillId="0" borderId="5" xfId="0" applyBorder="1" applyAlignment="1">
      <alignment wrapText="1"/>
    </xf>
    <xf numFmtId="0" fontId="6" fillId="0" borderId="4" xfId="8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6" fillId="6" borderId="7" xfId="8" applyFill="1" applyBorder="1"/>
    <xf numFmtId="0" fontId="6" fillId="6" borderId="7" xfId="8" applyFill="1" applyBorder="1" applyAlignment="1">
      <alignment wrapText="1"/>
    </xf>
    <xf numFmtId="0" fontId="0" fillId="6" borderId="5" xfId="0" applyFill="1" applyBorder="1"/>
    <xf numFmtId="0" fontId="0" fillId="6" borderId="6" xfId="0" applyFill="1" applyBorder="1" applyAlignment="1">
      <alignment wrapText="1"/>
    </xf>
  </cellXfs>
  <cellStyles count="11">
    <cellStyle name="Accent1" xfId="9" builtinId="29"/>
    <cellStyle name="Comma" xfId="1" builtinId="3"/>
    <cellStyle name="Comma [0]" xfId="10" builtinId="6"/>
    <cellStyle name="Currency" xfId="2" builtinId="4"/>
    <cellStyle name="Heading 1" xfId="5" builtinId="16"/>
    <cellStyle name="Heading 2" xfId="6" builtinId="17"/>
    <cellStyle name="Heading 3" xfId="7" builtinId="18"/>
    <cellStyle name="Normal" xfId="0" builtinId="0"/>
    <cellStyle name="Percent" xfId="3" builtinId="5"/>
    <cellStyle name="Title" xfId="4" builtinId="15"/>
    <cellStyle name="Total" xfId="8" builtinId="2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Contracts'!$B$14:$D$14</c:f>
              <c:strCache>
                <c:ptCount val="3"/>
                <c:pt idx="0">
                  <c:v>New MRR(Monthly recurring Revenue)</c:v>
                </c:pt>
                <c:pt idx="1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Contracts'!$E$14:$J$14</c:f>
              <c:numCache>
                <c:formatCode>_("$"* #,##0.0_);_("$"* \(#,##0.0\);_("$"* "-"??_);_(@_)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24.5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Contracts'!$B$15:$D$15</c:f>
              <c:strCache>
                <c:ptCount val="3"/>
                <c:pt idx="0">
                  <c:v>Churned MRR</c:v>
                </c:pt>
                <c:pt idx="1">
                  <c:v>Negative (% MRR Churn*Ending MRR of last month)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Contracts'!$E$15:$J$15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-9.0273204000000007</c:v>
                </c:pt>
                <c:pt idx="3">
                  <c:v>-8.949888832000001</c:v>
                </c:pt>
                <c:pt idx="4">
                  <c:v>-8.8518536857632011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Contracts'!$B$16:$D$16</c:f>
              <c:strCache>
                <c:ptCount val="3"/>
                <c:pt idx="0">
                  <c:v>Expansion MRR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Contracts'!$E$16:$J$16</c:f>
              <c:numCache>
                <c:formatCode>_("$"* #,##0.0_);_("$"* \(#,##0.0\);_("$"* "-"??_);_(@_)</c:formatCode>
                <c:ptCount val="6"/>
                <c:pt idx="0">
                  <c:v>2</c:v>
                </c:pt>
                <c:pt idx="1">
                  <c:v>2.4936000000000003</c:v>
                </c:pt>
                <c:pt idx="2">
                  <c:v>2.149362</c:v>
                </c:pt>
                <c:pt idx="3">
                  <c:v>1.3424833248000001</c:v>
                </c:pt>
                <c:pt idx="4">
                  <c:v>6.9883055413920001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Contracts'!$B$17:$D$17</c:f>
              <c:strCache>
                <c:ptCount val="3"/>
                <c:pt idx="0">
                  <c:v>Net New MRR</c:v>
                </c:pt>
                <c:pt idx="1">
                  <c:v>New MRR+ Churned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Contracts'!$E$17:$J$17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14.272400000000001</c:v>
                </c:pt>
                <c:pt idx="2">
                  <c:v>17.622041599999999</c:v>
                </c:pt>
                <c:pt idx="3">
                  <c:v>18.392594492800001</c:v>
                </c:pt>
                <c:pt idx="4">
                  <c:v>25.136451855628799</c:v>
                </c:pt>
                <c:pt idx="5">
                  <c:v>23.598741632567283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225520"/>
        <c:axId val="330225128"/>
      </c:lineChart>
      <c:catAx>
        <c:axId val="3302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5128"/>
        <c:crosses val="autoZero"/>
        <c:auto val="1"/>
        <c:lblAlgn val="ctr"/>
        <c:lblOffset val="100"/>
        <c:noMultiLvlLbl val="0"/>
      </c:catAx>
      <c:valAx>
        <c:axId val="3302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Contracts'!$D$34:$J$34</c:f>
              <c:numCache>
                <c:formatCode>General</c:formatCode>
                <c:ptCount val="7"/>
                <c:pt idx="1">
                  <c:v>121</c:v>
                </c:pt>
                <c:pt idx="2">
                  <c:v>120</c:v>
                </c:pt>
                <c:pt idx="3">
                  <c:v>125</c:v>
                </c:pt>
                <c:pt idx="4">
                  <c:v>126</c:v>
                </c:pt>
                <c:pt idx="5">
                  <c:v>130</c:v>
                </c:pt>
                <c:pt idx="6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7384"/>
        <c:axId val="332700328"/>
      </c:lineChart>
      <c:catAx>
        <c:axId val="33270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0328"/>
        <c:crosses val="autoZero"/>
        <c:auto val="1"/>
        <c:lblAlgn val="ctr"/>
        <c:lblOffset val="100"/>
        <c:noMultiLvlLbl val="0"/>
      </c:catAx>
      <c:valAx>
        <c:axId val="3327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Contracts'!$D$35:$J$35</c:f>
              <c:numCache>
                <c:formatCode>_(* #,##0_);_(* \(#,##0\);_(* "-"??_);_(@_)</c:formatCode>
                <c:ptCount val="7"/>
                <c:pt idx="1">
                  <c:v>28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1112"/>
        <c:axId val="332706600"/>
      </c:lineChart>
      <c:catAx>
        <c:axId val="33270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6600"/>
        <c:crosses val="autoZero"/>
        <c:auto val="1"/>
        <c:lblAlgn val="ctr"/>
        <c:lblOffset val="100"/>
        <c:noMultiLvlLbl val="0"/>
      </c:catAx>
      <c:valAx>
        <c:axId val="3327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Contracts'!$B$68:$D$68</c:f>
              <c:strCache>
                <c:ptCount val="3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Contracts'!$E$68:$J$68</c:f>
              <c:numCache>
                <c:formatCode>_(* #,##0_);_(* \(#,##0\);_(* "-"??_);_(@_)</c:formatCode>
                <c:ptCount val="6"/>
                <c:pt idx="0">
                  <c:v>4700</c:v>
                </c:pt>
                <c:pt idx="1">
                  <c:v>5178</c:v>
                </c:pt>
                <c:pt idx="2">
                  <c:v>4574</c:v>
                </c:pt>
                <c:pt idx="3">
                  <c:v>4923</c:v>
                </c:pt>
                <c:pt idx="4">
                  <c:v>5000</c:v>
                </c:pt>
                <c:pt idx="5">
                  <c:v>5170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0720"/>
        <c:axId val="332702680"/>
      </c:lineChart>
      <c:catAx>
        <c:axId val="3327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2680"/>
        <c:crosses val="autoZero"/>
        <c:auto val="1"/>
        <c:lblAlgn val="ctr"/>
        <c:lblOffset val="100"/>
        <c:noMultiLvlLbl val="0"/>
      </c:catAx>
      <c:valAx>
        <c:axId val="3327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Contracts'!$B$69:$D$69</c:f>
              <c:strCache>
                <c:ptCount val="3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Contracts'!$E$69:$J$69</c:f>
              <c:numCache>
                <c:formatCode>0.0%</c:formatCode>
                <c:ptCount val="6"/>
                <c:pt idx="0">
                  <c:v>0.05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5.1999999999999998E-2</c:v>
                </c:pt>
                <c:pt idx="4">
                  <c:v>4.8000000000000001E-2</c:v>
                </c:pt>
                <c:pt idx="5">
                  <c:v>5.2999999999999999E-2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5816"/>
        <c:axId val="332705032"/>
      </c:lineChart>
      <c:catAx>
        <c:axId val="33270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5032"/>
        <c:crosses val="autoZero"/>
        <c:auto val="1"/>
        <c:lblAlgn val="ctr"/>
        <c:lblOffset val="100"/>
        <c:noMultiLvlLbl val="0"/>
      </c:catAx>
      <c:valAx>
        <c:axId val="3327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Contracts'!$B$70:$D$70</c:f>
              <c:strCache>
                <c:ptCount val="3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Contracts'!$E$70:$J$70</c:f>
              <c:numCache>
                <c:formatCode>_(* #,##0_);_(* \(#,##0\);_(* "-"??_);_(@_)</c:formatCode>
                <c:ptCount val="6"/>
                <c:pt idx="0">
                  <c:v>235</c:v>
                </c:pt>
                <c:pt idx="1">
                  <c:v>233</c:v>
                </c:pt>
                <c:pt idx="2">
                  <c:v>215</c:v>
                </c:pt>
                <c:pt idx="3">
                  <c:v>256</c:v>
                </c:pt>
                <c:pt idx="4">
                  <c:v>240</c:v>
                </c:pt>
                <c:pt idx="5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5424"/>
        <c:axId val="332702288"/>
      </c:lineChart>
      <c:catAx>
        <c:axId val="332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2288"/>
        <c:crosses val="autoZero"/>
        <c:auto val="1"/>
        <c:lblAlgn val="ctr"/>
        <c:lblOffset val="100"/>
        <c:noMultiLvlLbl val="0"/>
      </c:catAx>
      <c:valAx>
        <c:axId val="332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Contracts'!$B$71:$D$71</c:f>
              <c:strCache>
                <c:ptCount val="3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Contracts'!$E$71:$J$71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03072"/>
        <c:axId val="333082936"/>
      </c:lineChart>
      <c:catAx>
        <c:axId val="332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2936"/>
        <c:crosses val="autoZero"/>
        <c:auto val="1"/>
        <c:lblAlgn val="ctr"/>
        <c:lblOffset val="100"/>
        <c:noMultiLvlLbl val="0"/>
      </c:catAx>
      <c:valAx>
        <c:axId val="333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Contracts'!$D$25:$J$25</c:f>
              <c:numCache>
                <c:formatCode>_(* #,##0_);_(* \(#,##0\);_(* "-"??_);_(@_)</c:formatCode>
                <c:ptCount val="7"/>
                <c:pt idx="1">
                  <c:v>40</c:v>
                </c:pt>
                <c:pt idx="2">
                  <c:v>42</c:v>
                </c:pt>
                <c:pt idx="3">
                  <c:v>43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6072"/>
        <c:axId val="333084896"/>
      </c:lineChart>
      <c:catAx>
        <c:axId val="3330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4896"/>
        <c:crosses val="autoZero"/>
        <c:auto val="1"/>
        <c:lblAlgn val="ctr"/>
        <c:lblOffset val="100"/>
        <c:noMultiLvlLbl val="0"/>
      </c:catAx>
      <c:valAx>
        <c:axId val="3330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Contracts'!$B$75:$D$75</c:f>
              <c:strCache>
                <c:ptCount val="3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Contracts'!$E$74:$J$74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Contracts'!$E$75:$J$75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3328"/>
        <c:axId val="333089208"/>
      </c:lineChart>
      <c:catAx>
        <c:axId val="333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9208"/>
        <c:crosses val="autoZero"/>
        <c:auto val="1"/>
        <c:lblAlgn val="ctr"/>
        <c:lblOffset val="100"/>
        <c:noMultiLvlLbl val="0"/>
      </c:catAx>
      <c:valAx>
        <c:axId val="3330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Contracts'!$B$80:$D$80</c:f>
              <c:strCache>
                <c:ptCount val="3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Contracts'!$E$74:$J$74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Contracts'!$E$80:$J$80</c:f>
              <c:numCache>
                <c:formatCode>_("$"* #,##0.0_);_("$"* \(#,##0.0\);_("$"* "-"??_);_(@_)</c:formatCode>
                <c:ptCount val="6"/>
                <c:pt idx="0">
                  <c:v>3.6666666666666665</c:v>
                </c:pt>
                <c:pt idx="1">
                  <c:v>3.5384615384615383</c:v>
                </c:pt>
                <c:pt idx="2">
                  <c:v>3.5</c:v>
                </c:pt>
                <c:pt idx="3">
                  <c:v>3.4666666666666668</c:v>
                </c:pt>
                <c:pt idx="4">
                  <c:v>3.375</c:v>
                </c:pt>
                <c:pt idx="5">
                  <c:v>3.4117647058823528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3720"/>
        <c:axId val="333088032"/>
      </c:lineChart>
      <c:catAx>
        <c:axId val="3330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8032"/>
        <c:crosses val="autoZero"/>
        <c:auto val="1"/>
        <c:lblAlgn val="ctr"/>
        <c:lblOffset val="100"/>
        <c:noMultiLvlLbl val="0"/>
      </c:catAx>
      <c:valAx>
        <c:axId val="33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MRR</a:t>
            </a:r>
            <a:br>
              <a:rPr lang="en-US"/>
            </a:br>
            <a:r>
              <a:rPr lang="en-US"/>
              <a:t>(for</a:t>
            </a:r>
            <a:r>
              <a:rPr lang="en-US" baseline="0"/>
              <a:t> </a:t>
            </a:r>
            <a:r>
              <a:rPr lang="en-US"/>
              <a:t>new customers)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Contracts'!$D$10:$J$10</c:f>
              <c:numCache>
                <c:formatCode>_("$"* #,##0_);_("$"* \(#,##0\);_("$"* "-"??_);_(@_)</c:formatCode>
                <c:ptCount val="7"/>
                <c:pt idx="1">
                  <c:v>550</c:v>
                </c:pt>
                <c:pt idx="2">
                  <c:v>547.61904761904771</c:v>
                </c:pt>
                <c:pt idx="3">
                  <c:v>569.76744186046517</c:v>
                </c:pt>
                <c:pt idx="4">
                  <c:v>565.21739130434776</c:v>
                </c:pt>
                <c:pt idx="5">
                  <c:v>562.5</c:v>
                </c:pt>
                <c:pt idx="6">
                  <c:v>557.69230769230774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5680"/>
        <c:axId val="333088424"/>
      </c:lineChart>
      <c:catAx>
        <c:axId val="3330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8424"/>
        <c:crosses val="autoZero"/>
        <c:auto val="1"/>
        <c:lblAlgn val="ctr"/>
        <c:lblOffset val="100"/>
        <c:noMultiLvlLbl val="0"/>
      </c:catAx>
      <c:valAx>
        <c:axId val="3330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/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Contracts'!$B$6:$D$6</c:f>
              <c:strCache>
                <c:ptCount val="3"/>
                <c:pt idx="0">
                  <c:v>Bookings $,000's (new custs)</c:v>
                </c:pt>
                <c:pt idx="1">
                  <c:v># New Customers*ARPA of new Cust/1000*avg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Contracts'!$E$5:$J$5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Contracts'!$E$6:$J$6</c:f>
              <c:numCache>
                <c:formatCode>_("$"* #,##0_);_("$"* \(#,##0\);_("$"* "-"??_);_(@_)</c:formatCode>
                <c:ptCount val="6"/>
                <c:pt idx="0">
                  <c:v>121</c:v>
                </c:pt>
                <c:pt idx="1">
                  <c:v>161.00000000000003</c:v>
                </c:pt>
                <c:pt idx="2">
                  <c:v>122.50000000000001</c:v>
                </c:pt>
                <c:pt idx="3">
                  <c:v>168.99999999999997</c:v>
                </c:pt>
                <c:pt idx="4">
                  <c:v>156.6</c:v>
                </c:pt>
                <c:pt idx="5">
                  <c:v>179.80000000000004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8432"/>
        <c:axId val="332490000"/>
      </c:lineChart>
      <c:catAx>
        <c:axId val="3324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0000"/>
        <c:crosses val="autoZero"/>
        <c:auto val="1"/>
        <c:lblAlgn val="ctr"/>
        <c:lblOffset val="100"/>
        <c:noMultiLvlLbl val="0"/>
      </c:catAx>
      <c:valAx>
        <c:axId val="332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Contracts'!$B$32</c:f>
              <c:strCache>
                <c:ptCount val="1"/>
                <c:pt idx="0">
                  <c:v>% Net MRR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Contracts'!$D$32:$J$32</c:f>
              <c:numCache>
                <c:formatCode>0.0%</c:formatCode>
                <c:ptCount val="7"/>
                <c:pt idx="1">
                  <c:v>1.6E-2</c:v>
                </c:pt>
                <c:pt idx="2">
                  <c:v>2.0999999999999998E-2</c:v>
                </c:pt>
                <c:pt idx="3">
                  <c:v>1.6E-2</c:v>
                </c:pt>
                <c:pt idx="4">
                  <c:v>1.7000000000000001E-2</c:v>
                </c:pt>
                <c:pt idx="5">
                  <c:v>4.0000000000000018E-3</c:v>
                </c:pt>
                <c:pt idx="6">
                  <c:v>1.1000000000000001E-2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6856"/>
        <c:axId val="333087248"/>
      </c:lineChart>
      <c:catAx>
        <c:axId val="3330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7248"/>
        <c:crosses val="autoZero"/>
        <c:auto val="1"/>
        <c:lblAlgn val="ctr"/>
        <c:lblOffset val="100"/>
        <c:noMultiLvlLbl val="0"/>
      </c:catAx>
      <c:valAx>
        <c:axId val="3330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MRR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Contracts'!$B$14:$D$14</c:f>
              <c:strCache>
                <c:ptCount val="3"/>
                <c:pt idx="0">
                  <c:v>New MRR(Monthly recurring Revenue)</c:v>
                </c:pt>
                <c:pt idx="1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Contracts'!$E$14:$J$14</c:f>
              <c:numCache>
                <c:formatCode>_("$"* #,##0.0_);_("$"* \(#,##0.0\);_("$"* "-"??_);_(@_)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24.5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Contracts'!$B$15:$D$15</c:f>
              <c:strCache>
                <c:ptCount val="3"/>
                <c:pt idx="0">
                  <c:v>Churned MRR</c:v>
                </c:pt>
                <c:pt idx="1">
                  <c:v>Negative (% MRR Churn*Ending MRR of last month)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Contracts'!$E$15:$J$15</c:f>
              <c:numCache>
                <c:formatCode>_("$"* #,##0.0_);_("$"* \(#,##0.0\);_("$"* "-"??_);_(@_)</c:formatCode>
                <c:ptCount val="6"/>
                <c:pt idx="0">
                  <c:v>-8.4</c:v>
                </c:pt>
                <c:pt idx="1">
                  <c:v>-11.2212</c:v>
                </c:pt>
                <c:pt idx="2">
                  <c:v>-9.0273204000000007</c:v>
                </c:pt>
                <c:pt idx="3">
                  <c:v>-8.949888832000001</c:v>
                </c:pt>
                <c:pt idx="4">
                  <c:v>-8.8518536857632011</c:v>
                </c:pt>
                <c:pt idx="5">
                  <c:v>-8.838422783071719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Contracts'!$B$16:$D$16</c:f>
              <c:strCache>
                <c:ptCount val="3"/>
                <c:pt idx="0">
                  <c:v>Expansion MRR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Contracts'!$E$16:$J$16</c:f>
              <c:numCache>
                <c:formatCode>_("$"* #,##0.0_);_("$"* \(#,##0.0\);_("$"* "-"??_);_(@_)</c:formatCode>
                <c:ptCount val="6"/>
                <c:pt idx="0">
                  <c:v>2</c:v>
                </c:pt>
                <c:pt idx="1">
                  <c:v>2.4936000000000003</c:v>
                </c:pt>
                <c:pt idx="2">
                  <c:v>2.149362</c:v>
                </c:pt>
                <c:pt idx="3">
                  <c:v>1.3424833248000001</c:v>
                </c:pt>
                <c:pt idx="4">
                  <c:v>6.9883055413920001</c:v>
                </c:pt>
                <c:pt idx="5">
                  <c:v>3.437164415639002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'Primarily Monthly Contracts'!$B$17:$D$17</c:f>
              <c:strCache>
                <c:ptCount val="3"/>
                <c:pt idx="0">
                  <c:v>Net New MRR</c:v>
                </c:pt>
                <c:pt idx="1">
                  <c:v>New MRR+ Churned MRR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Contracts'!$E$13:$J$13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Contracts'!$E$17:$J$17</c:f>
              <c:numCache>
                <c:formatCode>_("$"* #,##0.0_);_("$"* \(#,##0.0\);_("$"* "-"??_);_(@_)</c:formatCode>
                <c:ptCount val="6"/>
                <c:pt idx="0">
                  <c:v>15.6</c:v>
                </c:pt>
                <c:pt idx="1">
                  <c:v>14.272400000000001</c:v>
                </c:pt>
                <c:pt idx="2">
                  <c:v>17.622041599999999</c:v>
                </c:pt>
                <c:pt idx="3">
                  <c:v>18.392594492800001</c:v>
                </c:pt>
                <c:pt idx="4">
                  <c:v>25.136451855628799</c:v>
                </c:pt>
                <c:pt idx="5">
                  <c:v>23.598741632567283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88816"/>
        <c:axId val="333087640"/>
      </c:lineChart>
      <c:catAx>
        <c:axId val="3330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7640"/>
        <c:crosses val="autoZero"/>
        <c:auto val="1"/>
        <c:lblAlgn val="ctr"/>
        <c:lblOffset val="100"/>
        <c:noMultiLvlLbl val="0"/>
      </c:catAx>
      <c:valAx>
        <c:axId val="3330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/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Contracts'!$B$6:$D$6</c:f>
              <c:strCache>
                <c:ptCount val="3"/>
                <c:pt idx="0">
                  <c:v>Bookings $,000's (new custs)</c:v>
                </c:pt>
                <c:pt idx="1">
                  <c:v># New Customers*ARPA of new Cust/1000*avg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Contracts'!$E$5:$J$5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Contracts'!$E$6:$J$6</c:f>
              <c:numCache>
                <c:formatCode>_("$"* #,##0_);_("$"* \(#,##0\);_("$"* "-"??_);_(@_)</c:formatCode>
                <c:ptCount val="6"/>
                <c:pt idx="0">
                  <c:v>121</c:v>
                </c:pt>
                <c:pt idx="1">
                  <c:v>161.00000000000003</c:v>
                </c:pt>
                <c:pt idx="2">
                  <c:v>122.50000000000001</c:v>
                </c:pt>
                <c:pt idx="3">
                  <c:v>168.99999999999997</c:v>
                </c:pt>
                <c:pt idx="4">
                  <c:v>156.6</c:v>
                </c:pt>
                <c:pt idx="5">
                  <c:v>179.80000000000004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9168"/>
        <c:axId val="334544856"/>
      </c:lineChart>
      <c:catAx>
        <c:axId val="334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4856"/>
        <c:crosses val="autoZero"/>
        <c:auto val="1"/>
        <c:lblAlgn val="ctr"/>
        <c:lblOffset val="100"/>
        <c:noMultiLvlLbl val="0"/>
      </c:catAx>
      <c:valAx>
        <c:axId val="3345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Contracts'!$D$7:$J$7</c:f>
              <c:numCache>
                <c:formatCode>_("$"* #,##0_);_("$"* \(#,##0\);_("$"* "-"??_);_(@_)</c:formatCode>
                <c:ptCount val="7"/>
                <c:pt idx="1">
                  <c:v>3025</c:v>
                </c:pt>
                <c:pt idx="2">
                  <c:v>3833.3333333333339</c:v>
                </c:pt>
                <c:pt idx="3">
                  <c:v>2848.8372093023258</c:v>
                </c:pt>
                <c:pt idx="4">
                  <c:v>3673.9130434782605</c:v>
                </c:pt>
                <c:pt idx="5">
                  <c:v>3262.4999999999995</c:v>
                </c:pt>
                <c:pt idx="6">
                  <c:v>3457.6923076923081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5248"/>
        <c:axId val="334547992"/>
      </c:lineChart>
      <c:catAx>
        <c:axId val="3345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992"/>
        <c:crosses val="autoZero"/>
        <c:auto val="1"/>
        <c:lblAlgn val="ctr"/>
        <c:lblOffset val="100"/>
        <c:noMultiLvlLbl val="0"/>
      </c:catAx>
      <c:valAx>
        <c:axId val="3345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Contracts'!$D$9:$J$9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</c:v>
                </c:pt>
                <c:pt idx="3">
                  <c:v>5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5640"/>
        <c:axId val="334547208"/>
      </c:lineChart>
      <c:catAx>
        <c:axId val="3345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208"/>
        <c:crosses val="autoZero"/>
        <c:auto val="1"/>
        <c:lblAlgn val="ctr"/>
        <c:lblOffset val="100"/>
        <c:noMultiLvlLbl val="0"/>
      </c:catAx>
      <c:valAx>
        <c:axId val="3345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Contracts'!$D$29:$J$29</c:f>
              <c:numCache>
                <c:formatCode>0.0%</c:formatCode>
                <c:ptCount val="7"/>
                <c:pt idx="1">
                  <c:v>3.0303030303030304E-2</c:v>
                </c:pt>
                <c:pt idx="2">
                  <c:v>3.094059405940594E-2</c:v>
                </c:pt>
                <c:pt idx="3">
                  <c:v>2.7878787878787878E-2</c:v>
                </c:pt>
                <c:pt idx="4">
                  <c:v>2.9585798816568046E-2</c:v>
                </c:pt>
                <c:pt idx="5">
                  <c:v>2.771362586605081E-2</c:v>
                </c:pt>
                <c:pt idx="6">
                  <c:v>2.9213483146067417E-2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Contracts'!$D$30:$J$30</c:f>
              <c:numCache>
                <c:formatCode>0.0%</c:formatCode>
                <c:ptCount val="7"/>
                <c:pt idx="1">
                  <c:v>2.1000000000000001E-2</c:v>
                </c:pt>
                <c:pt idx="2">
                  <c:v>2.7E-2</c:v>
                </c:pt>
                <c:pt idx="3">
                  <c:v>2.1000000000000001E-2</c:v>
                </c:pt>
                <c:pt idx="4">
                  <c:v>0.02</c:v>
                </c:pt>
                <c:pt idx="5">
                  <c:v>1.9E-2</c:v>
                </c:pt>
                <c:pt idx="6">
                  <c:v>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Contracts'!$D$31:$J$31</c:f>
              <c:numCache>
                <c:formatCode>0.0%</c:formatCode>
                <c:ptCount val="7"/>
                <c:pt idx="1">
                  <c:v>5.0000000000000001E-3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7600"/>
        <c:axId val="334548384"/>
      </c:lineChart>
      <c:catAx>
        <c:axId val="3345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8384"/>
        <c:crosses val="autoZero"/>
        <c:auto val="1"/>
        <c:lblAlgn val="ctr"/>
        <c:lblOffset val="100"/>
        <c:noMultiLvlLbl val="0"/>
      </c:catAx>
      <c:valAx>
        <c:axId val="334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Contracts'!$D$38:$J$38</c:f>
              <c:numCache>
                <c:formatCode>_("$"* #,##0_);_("$"* \(#,##0\);_("$"* "-"??_);_(@_)</c:formatCode>
                <c:ptCount val="7"/>
                <c:pt idx="1">
                  <c:v>21738.095238095237</c:v>
                </c:pt>
                <c:pt idx="2">
                  <c:v>16834.215167548504</c:v>
                </c:pt>
                <c:pt idx="3">
                  <c:v>22519.37984496124</c:v>
                </c:pt>
                <c:pt idx="4">
                  <c:v>23456.521739130432</c:v>
                </c:pt>
                <c:pt idx="5">
                  <c:v>24572.368421052633</c:v>
                </c:pt>
                <c:pt idx="6">
                  <c:v>25715.811965811969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Contracts'!$D$39:$J$39</c:f>
              <c:numCache>
                <c:formatCode>_("$"* #,##0_);_("$"* \(#,##0\);_("$"* "-"??_);_(@_)</c:formatCode>
                <c:ptCount val="7"/>
                <c:pt idx="1">
                  <c:v>8750</c:v>
                </c:pt>
                <c:pt idx="2">
                  <c:v>8571.4285714285706</c:v>
                </c:pt>
                <c:pt idx="3">
                  <c:v>8604.6511627906966</c:v>
                </c:pt>
                <c:pt idx="4">
                  <c:v>8260.8695652173901</c:v>
                </c:pt>
                <c:pt idx="5">
                  <c:v>8125</c:v>
                </c:pt>
                <c:pt idx="6">
                  <c:v>7692.3076923076924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6424"/>
        <c:axId val="334544464"/>
      </c:lineChart>
      <c:catAx>
        <c:axId val="3345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4464"/>
        <c:crosses val="autoZero"/>
        <c:auto val="1"/>
        <c:lblAlgn val="ctr"/>
        <c:lblOffset val="100"/>
        <c:noMultiLvlLbl val="0"/>
      </c:catAx>
      <c:valAx>
        <c:axId val="334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Contracts'!$D$40:$J$40</c:f>
              <c:numCache>
                <c:formatCode>_(* #,##0.0_);_(* \(#,##0.0\);_(* "-"??_);_(@_)</c:formatCode>
                <c:ptCount val="7"/>
                <c:pt idx="1">
                  <c:v>2.4843537414965984</c:v>
                </c:pt>
                <c:pt idx="2">
                  <c:v>1.9639917695473257</c:v>
                </c:pt>
                <c:pt idx="3">
                  <c:v>2.6171171171171173</c:v>
                </c:pt>
                <c:pt idx="4">
                  <c:v>2.8394736842105264</c:v>
                </c:pt>
                <c:pt idx="5">
                  <c:v>3.024291497975709</c:v>
                </c:pt>
                <c:pt idx="6">
                  <c:v>3.3430555555555559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9952"/>
        <c:axId val="334550344"/>
      </c:lineChart>
      <c:catAx>
        <c:axId val="3345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0344"/>
        <c:crosses val="autoZero"/>
        <c:auto val="1"/>
        <c:lblAlgn val="ctr"/>
        <c:lblOffset val="100"/>
        <c:noMultiLvlLbl val="0"/>
      </c:catAx>
      <c:valAx>
        <c:axId val="334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Contracts'!$D$41:$J$41</c:f>
              <c:numCache>
                <c:formatCode>_(* #,##0_);_(* \(#,##0\);_(* "-"??_);_(@_)</c:formatCode>
                <c:ptCount val="7"/>
                <c:pt idx="1">
                  <c:v>19.167579408543265</c:v>
                </c:pt>
                <c:pt idx="2">
                  <c:v>18.858040859088526</c:v>
                </c:pt>
                <c:pt idx="3">
                  <c:v>18.19522989918859</c:v>
                </c:pt>
                <c:pt idx="4">
                  <c:v>17.608897126969417</c:v>
                </c:pt>
                <c:pt idx="5">
                  <c:v>17.402945113788487</c:v>
                </c:pt>
                <c:pt idx="6">
                  <c:v>16.618196925633569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2896"/>
        <c:axId val="334543288"/>
      </c:lineChart>
      <c:catAx>
        <c:axId val="3345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3288"/>
        <c:crosses val="autoZero"/>
        <c:auto val="1"/>
        <c:lblAlgn val="ctr"/>
        <c:lblOffset val="100"/>
        <c:noMultiLvlLbl val="0"/>
      </c:catAx>
      <c:valAx>
        <c:axId val="3345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Contracts'!$D$13:$J$13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Contracts'!$D$20:$J$20</c:f>
              <c:numCache>
                <c:formatCode>_("$"* #,##0.0_);_("$"* \(#,##0.0\);_("$"* "-"?_);_(@_)</c:formatCode>
                <c:ptCount val="7"/>
                <c:pt idx="0">
                  <c:v>400</c:v>
                </c:pt>
                <c:pt idx="1">
                  <c:v>415.6</c:v>
                </c:pt>
                <c:pt idx="2">
                  <c:v>429.87240000000003</c:v>
                </c:pt>
                <c:pt idx="3">
                  <c:v>447.49444160000002</c:v>
                </c:pt>
                <c:pt idx="4">
                  <c:v>465.88703609280003</c:v>
                </c:pt>
                <c:pt idx="5">
                  <c:v>491.02348794842885</c:v>
                </c:pt>
                <c:pt idx="6">
                  <c:v>514.62222958099619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5168"/>
        <c:axId val="334197520"/>
      </c:lineChart>
      <c:catAx>
        <c:axId val="3341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7520"/>
        <c:crosses val="autoZero"/>
        <c:auto val="1"/>
        <c:lblAlgn val="ctr"/>
        <c:lblOffset val="100"/>
        <c:noMultiLvlLbl val="0"/>
      </c:catAx>
      <c:valAx>
        <c:axId val="334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</c:f>
              <c:strCache>
                <c:ptCount val="1"/>
                <c:pt idx="0">
                  <c:v>Average Deal Size $'s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Contracts'!$D$7:$J$7</c:f>
              <c:numCache>
                <c:formatCode>_("$"* #,##0_);_("$"* \(#,##0\);_("$"* "-"??_);_(@_)</c:formatCode>
                <c:ptCount val="7"/>
                <c:pt idx="1">
                  <c:v>3025</c:v>
                </c:pt>
                <c:pt idx="2">
                  <c:v>3833.3333333333339</c:v>
                </c:pt>
                <c:pt idx="3">
                  <c:v>2848.8372093023258</c:v>
                </c:pt>
                <c:pt idx="4">
                  <c:v>3673.9130434782605</c:v>
                </c:pt>
                <c:pt idx="5">
                  <c:v>3262.4999999999995</c:v>
                </c:pt>
                <c:pt idx="6">
                  <c:v>3457.6923076923081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9216"/>
        <c:axId val="332488824"/>
      </c:lineChart>
      <c:catAx>
        <c:axId val="3324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8824"/>
        <c:crosses val="autoZero"/>
        <c:auto val="1"/>
        <c:lblAlgn val="ctr"/>
        <c:lblOffset val="100"/>
        <c:noMultiLvlLbl val="0"/>
      </c:catAx>
      <c:valAx>
        <c:axId val="3324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Contracts'!$B$34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Contracts'!$D$34:$J$34</c:f>
              <c:numCache>
                <c:formatCode>General</c:formatCode>
                <c:ptCount val="7"/>
                <c:pt idx="1">
                  <c:v>121</c:v>
                </c:pt>
                <c:pt idx="2">
                  <c:v>120</c:v>
                </c:pt>
                <c:pt idx="3">
                  <c:v>125</c:v>
                </c:pt>
                <c:pt idx="4">
                  <c:v>126</c:v>
                </c:pt>
                <c:pt idx="5">
                  <c:v>130</c:v>
                </c:pt>
                <c:pt idx="6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1440"/>
        <c:axId val="334201048"/>
      </c:lineChart>
      <c:catAx>
        <c:axId val="3342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1048"/>
        <c:crosses val="autoZero"/>
        <c:auto val="1"/>
        <c:lblAlgn val="ctr"/>
        <c:lblOffset val="100"/>
        <c:noMultiLvlLbl val="0"/>
      </c:catAx>
      <c:valAx>
        <c:axId val="3342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Contracts'!$B$35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Contracts'!$D$35:$J$35</c:f>
              <c:numCache>
                <c:formatCode>_(* #,##0_);_(* \(#,##0\);_(* "-"??_);_(@_)</c:formatCode>
                <c:ptCount val="7"/>
                <c:pt idx="1">
                  <c:v>28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0264"/>
        <c:axId val="334196344"/>
      </c:lineChart>
      <c:catAx>
        <c:axId val="33420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6344"/>
        <c:crosses val="autoZero"/>
        <c:auto val="1"/>
        <c:lblAlgn val="ctr"/>
        <c:lblOffset val="100"/>
        <c:noMultiLvlLbl val="0"/>
      </c:catAx>
      <c:valAx>
        <c:axId val="3341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Contracts'!$B$68:$D$68</c:f>
              <c:strCache>
                <c:ptCount val="3"/>
                <c:pt idx="0">
                  <c:v>Vistors to Web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Contracts'!$E$68:$J$68</c:f>
              <c:numCache>
                <c:formatCode>_(* #,##0_);_(* \(#,##0\);_(* "-"??_);_(@_)</c:formatCode>
                <c:ptCount val="6"/>
                <c:pt idx="0">
                  <c:v>4700</c:v>
                </c:pt>
                <c:pt idx="1">
                  <c:v>5178</c:v>
                </c:pt>
                <c:pt idx="2">
                  <c:v>4574</c:v>
                </c:pt>
                <c:pt idx="3">
                  <c:v>4923</c:v>
                </c:pt>
                <c:pt idx="4">
                  <c:v>5000</c:v>
                </c:pt>
                <c:pt idx="5">
                  <c:v>5170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1832"/>
        <c:axId val="334195560"/>
      </c:lineChart>
      <c:catAx>
        <c:axId val="3342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560"/>
        <c:crosses val="autoZero"/>
        <c:auto val="1"/>
        <c:lblAlgn val="ctr"/>
        <c:lblOffset val="100"/>
        <c:noMultiLvlLbl val="0"/>
      </c:catAx>
      <c:valAx>
        <c:axId val="3341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Contracts'!$B$69:$D$69</c:f>
              <c:strCache>
                <c:ptCount val="3"/>
                <c:pt idx="0">
                  <c:v>Conversion from Visitors to Trials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Contracts'!$E$69:$J$69</c:f>
              <c:numCache>
                <c:formatCode>0.0%</c:formatCode>
                <c:ptCount val="6"/>
                <c:pt idx="0">
                  <c:v>0.05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5.1999999999999998E-2</c:v>
                </c:pt>
                <c:pt idx="4">
                  <c:v>4.8000000000000001E-2</c:v>
                </c:pt>
                <c:pt idx="5">
                  <c:v>5.2999999999999999E-2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9088"/>
        <c:axId val="334196736"/>
      </c:lineChart>
      <c:catAx>
        <c:axId val="3341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6736"/>
        <c:crosses val="autoZero"/>
        <c:auto val="1"/>
        <c:lblAlgn val="ctr"/>
        <c:lblOffset val="100"/>
        <c:noMultiLvlLbl val="0"/>
      </c:catAx>
      <c:valAx>
        <c:axId val="3341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Contracts'!$B$70:$D$70</c:f>
              <c:strCache>
                <c:ptCount val="3"/>
                <c:pt idx="0">
                  <c:v>Trials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Contracts'!$E$70:$J$70</c:f>
              <c:numCache>
                <c:formatCode>_(* #,##0_);_(* \(#,##0\);_(* "-"??_);_(@_)</c:formatCode>
                <c:ptCount val="6"/>
                <c:pt idx="0">
                  <c:v>235</c:v>
                </c:pt>
                <c:pt idx="1">
                  <c:v>233</c:v>
                </c:pt>
                <c:pt idx="2">
                  <c:v>215</c:v>
                </c:pt>
                <c:pt idx="3">
                  <c:v>256</c:v>
                </c:pt>
                <c:pt idx="4">
                  <c:v>240</c:v>
                </c:pt>
                <c:pt idx="5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5952"/>
        <c:axId val="334198696"/>
      </c:lineChart>
      <c:catAx>
        <c:axId val="33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8696"/>
        <c:crosses val="autoZero"/>
        <c:auto val="1"/>
        <c:lblAlgn val="ctr"/>
        <c:lblOffset val="100"/>
        <c:noMultiLvlLbl val="0"/>
      </c:catAx>
      <c:valAx>
        <c:axId val="3341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Contracts'!$B$71:$D$71</c:f>
              <c:strCache>
                <c:ptCount val="3"/>
                <c:pt idx="0">
                  <c:v>Conversion from Trials to Purchase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Contracts'!$E$67:$J$67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'Primarily Monthly Contracts'!$E$71:$J$71</c:f>
              <c:numCache>
                <c:formatCode>0%</c:formatCode>
                <c:ptCount val="6"/>
                <c:pt idx="0">
                  <c:v>0.17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99872"/>
        <c:axId val="334719312"/>
      </c:lineChart>
      <c:catAx>
        <c:axId val="3341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9312"/>
        <c:crosses val="autoZero"/>
        <c:auto val="1"/>
        <c:lblAlgn val="ctr"/>
        <c:lblOffset val="100"/>
        <c:noMultiLvlLbl val="0"/>
      </c:catAx>
      <c:valAx>
        <c:axId val="3347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Contracts'!$B$25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Contracts'!$D$25:$J$25</c:f>
              <c:numCache>
                <c:formatCode>_(* #,##0_);_(* \(#,##0\);_(* "-"??_);_(@_)</c:formatCode>
                <c:ptCount val="7"/>
                <c:pt idx="1">
                  <c:v>40</c:v>
                </c:pt>
                <c:pt idx="2">
                  <c:v>42</c:v>
                </c:pt>
                <c:pt idx="3">
                  <c:v>43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7744"/>
        <c:axId val="334716568"/>
      </c:lineChart>
      <c:catAx>
        <c:axId val="3347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6568"/>
        <c:crosses val="autoZero"/>
        <c:auto val="1"/>
        <c:lblAlgn val="ctr"/>
        <c:lblOffset val="100"/>
        <c:noMultiLvlLbl val="0"/>
      </c:catAx>
      <c:valAx>
        <c:axId val="3347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Contracts'!$B$10</c:f>
              <c:strCache>
                <c:ptCount val="1"/>
                <c:pt idx="0">
                  <c:v>ARPA (Average MRR) for new custs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Contracts'!$D$10:$J$10</c:f>
              <c:numCache>
                <c:formatCode>_("$"* #,##0_);_("$"* \(#,##0\);_("$"* "-"??_);_(@_)</c:formatCode>
                <c:ptCount val="7"/>
                <c:pt idx="1">
                  <c:v>550</c:v>
                </c:pt>
                <c:pt idx="2">
                  <c:v>547.61904761904771</c:v>
                </c:pt>
                <c:pt idx="3">
                  <c:v>569.76744186046517</c:v>
                </c:pt>
                <c:pt idx="4">
                  <c:v>565.21739130434776</c:v>
                </c:pt>
                <c:pt idx="5">
                  <c:v>562.5</c:v>
                </c:pt>
                <c:pt idx="6">
                  <c:v>557.69230769230774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21664"/>
        <c:axId val="334720880"/>
      </c:lineChart>
      <c:catAx>
        <c:axId val="3347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0880"/>
        <c:crosses val="autoZero"/>
        <c:auto val="1"/>
        <c:lblAlgn val="ctr"/>
        <c:lblOffset val="100"/>
        <c:noMultiLvlLbl val="0"/>
      </c:catAx>
      <c:valAx>
        <c:axId val="334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2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8528"/>
        <c:axId val="334715392"/>
      </c:lineChart>
      <c:catAx>
        <c:axId val="3347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5392"/>
        <c:crosses val="autoZero"/>
        <c:auto val="1"/>
        <c:lblAlgn val="ctr"/>
        <c:lblOffset val="100"/>
        <c:noMultiLvlLbl val="0"/>
      </c:catAx>
      <c:valAx>
        <c:axId val="334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2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</c:v>
                </c:pt>
                <c:pt idx="1">
                  <c:v>42.46153846153846</c:v>
                </c:pt>
                <c:pt idx="2">
                  <c:v>42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8920"/>
        <c:axId val="334719704"/>
      </c:lineChart>
      <c:catAx>
        <c:axId val="3347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9704"/>
        <c:crosses val="autoZero"/>
        <c:auto val="1"/>
        <c:lblAlgn val="ctr"/>
        <c:lblOffset val="100"/>
        <c:noMultiLvlLbl val="0"/>
      </c:catAx>
      <c:valAx>
        <c:axId val="33471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Contracts'!$D$5:$J$5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Contracts'!$D$9:$J$9</c:f>
              <c:numCache>
                <c:formatCode>_(* #,##0.0_);_(* \(#,##0.0\);_(* "-"??_);_(@_)</c:formatCode>
                <c:ptCount val="7"/>
                <c:pt idx="1">
                  <c:v>5.5</c:v>
                </c:pt>
                <c:pt idx="2">
                  <c:v>7</c:v>
                </c:pt>
                <c:pt idx="3">
                  <c:v>5</c:v>
                </c:pt>
                <c:pt idx="4">
                  <c:v>6.5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9608"/>
        <c:axId val="332486864"/>
      </c:lineChart>
      <c:catAx>
        <c:axId val="33248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6864"/>
        <c:crosses val="autoZero"/>
        <c:auto val="1"/>
        <c:lblAlgn val="ctr"/>
        <c:lblOffset val="100"/>
        <c:noMultiLvlLbl val="0"/>
      </c:catAx>
      <c:valAx>
        <c:axId val="332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2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</c:v>
                </c:pt>
                <c:pt idx="1">
                  <c:v>27.083333333333336</c:v>
                </c:pt>
                <c:pt idx="2">
                  <c:v>29.166666666666668</c:v>
                </c:pt>
                <c:pt idx="3">
                  <c:v>31.250000000000004</c:v>
                </c:pt>
                <c:pt idx="4">
                  <c:v>33.333333333333336</c:v>
                </c:pt>
                <c:pt idx="5">
                  <c:v>35.416666666666671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6960"/>
        <c:axId val="334722448"/>
      </c:lineChart>
      <c:catAx>
        <c:axId val="3347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2448"/>
        <c:crosses val="autoZero"/>
        <c:auto val="1"/>
        <c:lblAlgn val="ctr"/>
        <c:lblOffset val="100"/>
        <c:noMultiLvlLbl val="0"/>
      </c:catAx>
      <c:valAx>
        <c:axId val="334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ACV 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Contracts'!$B$14:$C$14</c:f>
              <c:strCache>
                <c:ptCount val="2"/>
                <c:pt idx="0">
                  <c:v>New ACV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Contracts'!$D$14:$I$14</c:f>
              <c:numCache>
                <c:formatCode>_("$"* #,##0.0_);_("$"* \(#,##0.0\);_("$"* "-"??_);_(@_)</c:formatCode>
                <c:ptCount val="6"/>
                <c:pt idx="0">
                  <c:v>264</c:v>
                </c:pt>
                <c:pt idx="1">
                  <c:v>276</c:v>
                </c:pt>
                <c:pt idx="2">
                  <c:v>294</c:v>
                </c:pt>
                <c:pt idx="3">
                  <c:v>312</c:v>
                </c:pt>
                <c:pt idx="4">
                  <c:v>324</c:v>
                </c:pt>
                <c:pt idx="5">
                  <c:v>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Contracts'!$B$15:$C$15</c:f>
              <c:strCache>
                <c:ptCount val="2"/>
                <c:pt idx="0">
                  <c:v>Churned ACV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Contracts'!$D$15:$I$15</c:f>
              <c:numCache>
                <c:formatCode>_("$"* #,##0.0_);_("$"* \(#,##0.0\);_("$"* "-"??_);_(@_)</c:formatCode>
                <c:ptCount val="6"/>
                <c:pt idx="0">
                  <c:v>-100.80000000000001</c:v>
                </c:pt>
                <c:pt idx="1">
                  <c:v>-134.65439999999998</c:v>
                </c:pt>
                <c:pt idx="2">
                  <c:v>-108.32784479999999</c:v>
                </c:pt>
                <c:pt idx="3">
                  <c:v>-107.398665984</c:v>
                </c:pt>
                <c:pt idx="4">
                  <c:v>-106.22224422915839</c:v>
                </c:pt>
                <c:pt idx="5">
                  <c:v>-106.06107339686062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Contracts'!$B$16:$C$16</c:f>
              <c:strCache>
                <c:ptCount val="2"/>
                <c:pt idx="0">
                  <c:v>Expansion ACV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Contracts'!$D$16:$I$16</c:f>
              <c:numCache>
                <c:formatCode>_("$"* #,##0.0_);_("$"* \(#,##0.0\);_("$"* "-"??_);_(@_)</c:formatCode>
                <c:ptCount val="6"/>
                <c:pt idx="0">
                  <c:v>24</c:v>
                </c:pt>
                <c:pt idx="1">
                  <c:v>29.923199999999998</c:v>
                </c:pt>
                <c:pt idx="2">
                  <c:v>25.792344</c:v>
                </c:pt>
                <c:pt idx="3">
                  <c:v>16.109799897599999</c:v>
                </c:pt>
                <c:pt idx="4">
                  <c:v>83.859666496703994</c:v>
                </c:pt>
                <c:pt idx="5">
                  <c:v>41.245972987668019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'Annual Contracts'!$B$17:$C$17</c:f>
              <c:strCache>
                <c:ptCount val="2"/>
                <c:pt idx="0">
                  <c:v>Net New ACV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Contracts'!$D$17:$I$17</c:f>
              <c:numCache>
                <c:formatCode>_("$"* #,##0.0_);_("$"* \(#,##0.0\);_("$"* "-"??_);_(@_)</c:formatCode>
                <c:ptCount val="6"/>
                <c:pt idx="0">
                  <c:v>187.2</c:v>
                </c:pt>
                <c:pt idx="1">
                  <c:v>171.26880000000003</c:v>
                </c:pt>
                <c:pt idx="2">
                  <c:v>211.46449920000003</c:v>
                </c:pt>
                <c:pt idx="3">
                  <c:v>220.71113391360001</c:v>
                </c:pt>
                <c:pt idx="4">
                  <c:v>301.63742226754562</c:v>
                </c:pt>
                <c:pt idx="5">
                  <c:v>283.18489959080739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5000"/>
        <c:axId val="334717352"/>
      </c:lineChart>
      <c:catAx>
        <c:axId val="3347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571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7352"/>
        <c:crosses val="autoZero"/>
        <c:auto val="1"/>
        <c:lblAlgn val="ctr"/>
        <c:lblOffset val="100"/>
        <c:noMultiLvlLbl val="0"/>
      </c:catAx>
      <c:valAx>
        <c:axId val="3347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Bookings $,000's</a:t>
            </a:r>
          </a:p>
          <a:p>
            <a:pPr>
              <a:defRPr/>
            </a:pPr>
            <a:r>
              <a:rPr lang="en-US"/>
              <a:t>(from new custs</a:t>
            </a:r>
            <a:r>
              <a:rPr lang="en-US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Contracts'!$B$6:$C$6</c:f>
              <c:strCache>
                <c:ptCount val="2"/>
                <c:pt idx="0">
                  <c:v>Bookings $,000's (new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Contracts'!$D$6:$I$6</c:f>
              <c:numCache>
                <c:formatCode>_("$"* #,##0_);_("$"* \(#,##0\);_("$"* "-"??_);_(@_)</c:formatCode>
                <c:ptCount val="6"/>
                <c:pt idx="0">
                  <c:v>264</c:v>
                </c:pt>
                <c:pt idx="1">
                  <c:v>276</c:v>
                </c:pt>
                <c:pt idx="2">
                  <c:v>294</c:v>
                </c:pt>
                <c:pt idx="3">
                  <c:v>312</c:v>
                </c:pt>
                <c:pt idx="4">
                  <c:v>324</c:v>
                </c:pt>
                <c:pt idx="5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5304"/>
        <c:axId val="335024912"/>
      </c:lineChart>
      <c:catAx>
        <c:axId val="33502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4912"/>
        <c:crosses val="autoZero"/>
        <c:auto val="1"/>
        <c:lblAlgn val="ctr"/>
        <c:lblOffset val="100"/>
        <c:noMultiLvlLbl val="0"/>
      </c:catAx>
      <c:valAx>
        <c:axId val="3350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Contracts'!$B$9</c:f>
              <c:strCache>
                <c:ptCount val="1"/>
                <c:pt idx="0">
                  <c:v>Average Months Paid Upfront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Contracts'!$C$9:$I$9</c:f>
              <c:numCache>
                <c:formatCode>_(* #,##0.0_);_(* \(#,##0.0\);_(* "-"??_);_(@_)</c:formatCode>
                <c:ptCount val="6"/>
                <c:pt idx="0">
                  <c:v>5.5</c:v>
                </c:pt>
                <c:pt idx="1">
                  <c:v>7</c:v>
                </c:pt>
                <c:pt idx="2">
                  <c:v>5</c:v>
                </c:pt>
                <c:pt idx="3">
                  <c:v>6.5</c:v>
                </c:pt>
                <c:pt idx="4">
                  <c:v>5.8</c:v>
                </c:pt>
                <c:pt idx="5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7264"/>
        <c:axId val="335029616"/>
      </c:lineChart>
      <c:catAx>
        <c:axId val="3350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9616"/>
        <c:crosses val="autoZero"/>
        <c:auto val="1"/>
        <c:lblAlgn val="ctr"/>
        <c:lblOffset val="100"/>
        <c:noMultiLvlLbl val="0"/>
      </c:catAx>
      <c:valAx>
        <c:axId val="335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ACV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Contracts'!$B$28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Contracts'!$C$28:$I$28</c:f>
              <c:numCache>
                <c:formatCode>0.0%</c:formatCode>
                <c:ptCount val="6"/>
                <c:pt idx="0">
                  <c:v>3.0303030303030304E-2</c:v>
                </c:pt>
                <c:pt idx="1">
                  <c:v>3.094059405940594E-2</c:v>
                </c:pt>
                <c:pt idx="2">
                  <c:v>2.7878787878787878E-2</c:v>
                </c:pt>
                <c:pt idx="3">
                  <c:v>2.9585798816568046E-2</c:v>
                </c:pt>
                <c:pt idx="4">
                  <c:v>2.771362586605081E-2</c:v>
                </c:pt>
                <c:pt idx="5">
                  <c:v>2.9213483146067417E-2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Contracts'!$B$29</c:f>
              <c:strCache>
                <c:ptCount val="1"/>
                <c:pt idx="0">
                  <c:v>% ACV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Contracts'!$C$29:$I$29</c:f>
              <c:numCache>
                <c:formatCode>0.0%</c:formatCode>
                <c:ptCount val="6"/>
                <c:pt idx="0">
                  <c:v>2.1000000000000001E-2</c:v>
                </c:pt>
                <c:pt idx="1">
                  <c:v>2.7E-2</c:v>
                </c:pt>
                <c:pt idx="2">
                  <c:v>2.1000000000000001E-2</c:v>
                </c:pt>
                <c:pt idx="3">
                  <c:v>0.02</c:v>
                </c:pt>
                <c:pt idx="4">
                  <c:v>1.9E-2</c:v>
                </c:pt>
                <c:pt idx="5">
                  <c:v>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'Annual Contracts'!$B$30</c:f>
              <c:strCache>
                <c:ptCount val="1"/>
                <c:pt idx="0">
                  <c:v>% ACV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Contracts'!$C$30:$I$30</c:f>
              <c:numCache>
                <c:formatCode>0.0%</c:formatCode>
                <c:ptCount val="6"/>
                <c:pt idx="0">
                  <c:v>5.0000000000000001E-3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1.4999999999999999E-2</c:v>
                </c:pt>
                <c:pt idx="5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6088"/>
        <c:axId val="335026480"/>
      </c:lineChart>
      <c:catAx>
        <c:axId val="33502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6480"/>
        <c:crosses val="autoZero"/>
        <c:auto val="1"/>
        <c:lblAlgn val="ctr"/>
        <c:lblOffset val="100"/>
        <c:noMultiLvlLbl val="0"/>
      </c:catAx>
      <c:valAx>
        <c:axId val="335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Contracts'!$B$40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Contracts'!$C$40:$I$40</c:f>
              <c:numCache>
                <c:formatCode>_("$"* #,##0_);_("$"* \(#,##0\);_("$"* "-"??_);_(@_)</c:formatCode>
                <c:ptCount val="6"/>
                <c:pt idx="0">
                  <c:v>21738.095238095237</c:v>
                </c:pt>
                <c:pt idx="1">
                  <c:v>16834.2151675485</c:v>
                </c:pt>
                <c:pt idx="2">
                  <c:v>22519.379844961233</c:v>
                </c:pt>
                <c:pt idx="3">
                  <c:v>23456.521739130432</c:v>
                </c:pt>
                <c:pt idx="4">
                  <c:v>24572.368421052633</c:v>
                </c:pt>
                <c:pt idx="5">
                  <c:v>25715.811965811969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 Contracts'!$B$41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Contracts'!$C$41:$I$41</c:f>
              <c:numCache>
                <c:formatCode>_("$"* #,##0_);_("$"* \(#,##0\);_("$"* "-"??_);_(@_)</c:formatCode>
                <c:ptCount val="6"/>
                <c:pt idx="0">
                  <c:v>8750</c:v>
                </c:pt>
                <c:pt idx="1">
                  <c:v>8571.4285714285706</c:v>
                </c:pt>
                <c:pt idx="2">
                  <c:v>8604.6511627906966</c:v>
                </c:pt>
                <c:pt idx="3">
                  <c:v>8260.8695652173901</c:v>
                </c:pt>
                <c:pt idx="4">
                  <c:v>8125</c:v>
                </c:pt>
                <c:pt idx="5">
                  <c:v>7692.3076923076924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30008"/>
        <c:axId val="335029224"/>
      </c:lineChart>
      <c:catAx>
        <c:axId val="3350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9224"/>
        <c:crosses val="autoZero"/>
        <c:auto val="1"/>
        <c:lblAlgn val="ctr"/>
        <c:lblOffset val="100"/>
        <c:noMultiLvlLbl val="0"/>
      </c:catAx>
      <c:valAx>
        <c:axId val="3350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3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Contracts'!$B$42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Contracts'!$C$42:$I$42</c:f>
              <c:numCache>
                <c:formatCode>_(* #,##0.0_);_(* \(#,##0.0\);_(* "-"??_);_(@_)</c:formatCode>
                <c:ptCount val="6"/>
                <c:pt idx="0">
                  <c:v>2.4843537414965984</c:v>
                </c:pt>
                <c:pt idx="1">
                  <c:v>1.9639917695473252</c:v>
                </c:pt>
                <c:pt idx="2">
                  <c:v>2.6171171171171168</c:v>
                </c:pt>
                <c:pt idx="3">
                  <c:v>2.8394736842105264</c:v>
                </c:pt>
                <c:pt idx="4">
                  <c:v>3.024291497975709</c:v>
                </c:pt>
                <c:pt idx="5">
                  <c:v>3.3430555555555559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4520"/>
        <c:axId val="335031184"/>
      </c:lineChart>
      <c:catAx>
        <c:axId val="33502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31184"/>
        <c:crosses val="autoZero"/>
        <c:auto val="1"/>
        <c:lblAlgn val="ctr"/>
        <c:lblOffset val="100"/>
        <c:noMultiLvlLbl val="0"/>
      </c:catAx>
      <c:valAx>
        <c:axId val="3350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Contracts'!$B$43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Contracts'!$C$39:$I$39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Contracts'!$C$43:$I$43</c:f>
              <c:numCache>
                <c:formatCode>_(* #,##0_);_(* \(#,##0\);_(* "-"??_);_(@_)</c:formatCode>
                <c:ptCount val="6"/>
                <c:pt idx="0">
                  <c:v>19.167579408543265</c:v>
                </c:pt>
                <c:pt idx="1">
                  <c:v>18.858040859088529</c:v>
                </c:pt>
                <c:pt idx="2">
                  <c:v>18.195229899188593</c:v>
                </c:pt>
                <c:pt idx="3">
                  <c:v>17.608897126969413</c:v>
                </c:pt>
                <c:pt idx="4">
                  <c:v>17.402945113788487</c:v>
                </c:pt>
                <c:pt idx="5">
                  <c:v>16.618196925633569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3736"/>
        <c:axId val="335026872"/>
      </c:lineChart>
      <c:catAx>
        <c:axId val="33502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6872"/>
        <c:crosses val="autoZero"/>
        <c:auto val="1"/>
        <c:lblAlgn val="ctr"/>
        <c:lblOffset val="100"/>
        <c:noMultiLvlLbl val="0"/>
      </c:catAx>
      <c:valAx>
        <c:axId val="3350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Contracts'!$B$20</c:f>
              <c:strCache>
                <c:ptCount val="1"/>
                <c:pt idx="0">
                  <c:v>Ending ARR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Contracts'!$C$13:$I$13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Contracts'!$C$20:$I$20</c:f>
              <c:numCache>
                <c:formatCode>_("$"* #,##0_);_("$"* \(#,##0\);_("$"* "-"??_);_(@_)</c:formatCode>
                <c:ptCount val="6"/>
                <c:pt idx="0">
                  <c:v>4987.2</c:v>
                </c:pt>
                <c:pt idx="1">
                  <c:v>5158.4687999999996</c:v>
                </c:pt>
                <c:pt idx="2">
                  <c:v>5369.9332992</c:v>
                </c:pt>
                <c:pt idx="3">
                  <c:v>5590.6444331135999</c:v>
                </c:pt>
                <c:pt idx="4">
                  <c:v>5892.2818553811458</c:v>
                </c:pt>
                <c:pt idx="5">
                  <c:v>6175.4667549719534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28440"/>
        <c:axId val="335028832"/>
      </c:lineChart>
      <c:catAx>
        <c:axId val="3350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8832"/>
        <c:crosses val="autoZero"/>
        <c:auto val="1"/>
        <c:lblAlgn val="ctr"/>
        <c:lblOffset val="100"/>
        <c:noMultiLvlLbl val="0"/>
      </c:catAx>
      <c:valAx>
        <c:axId val="3350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Contracts'!$B$36</c:f>
              <c:strCache>
                <c:ptCount val="1"/>
                <c:pt idx="0">
                  <c:v>Customer Engagement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Contracts'!$C$36:$I$36</c:f>
              <c:numCache>
                <c:formatCode>General</c:formatCode>
                <c:ptCount val="6"/>
                <c:pt idx="0">
                  <c:v>121</c:v>
                </c:pt>
                <c:pt idx="1">
                  <c:v>120</c:v>
                </c:pt>
                <c:pt idx="2">
                  <c:v>125</c:v>
                </c:pt>
                <c:pt idx="3">
                  <c:v>126</c:v>
                </c:pt>
                <c:pt idx="4">
                  <c:v>130</c:v>
                </c:pt>
                <c:pt idx="5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0256"/>
        <c:axId val="335650648"/>
      </c:lineChart>
      <c:catAx>
        <c:axId val="335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648"/>
        <c:crosses val="autoZero"/>
        <c:auto val="1"/>
        <c:lblAlgn val="ctr"/>
        <c:lblOffset val="100"/>
        <c:noMultiLvlLbl val="0"/>
      </c:catAx>
      <c:valAx>
        <c:axId val="3356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and Expansion as %</a:t>
            </a:r>
            <a:r>
              <a:rPr lang="en-US" baseline="0"/>
              <a:t> of MRR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Contracts'!$B$29</c:f>
              <c:strCache>
                <c:ptCount val="1"/>
                <c:pt idx="0">
                  <c:v>% Customer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Contracts'!$D$29:$J$29</c:f>
              <c:numCache>
                <c:formatCode>0.0%</c:formatCode>
                <c:ptCount val="7"/>
                <c:pt idx="1">
                  <c:v>3.0303030303030304E-2</c:v>
                </c:pt>
                <c:pt idx="2">
                  <c:v>3.094059405940594E-2</c:v>
                </c:pt>
                <c:pt idx="3">
                  <c:v>2.7878787878787878E-2</c:v>
                </c:pt>
                <c:pt idx="4">
                  <c:v>2.9585798816568046E-2</c:v>
                </c:pt>
                <c:pt idx="5">
                  <c:v>2.771362586605081E-2</c:v>
                </c:pt>
                <c:pt idx="6">
                  <c:v>2.9213483146067417E-2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Contracts'!$B$30</c:f>
              <c:strCache>
                <c:ptCount val="1"/>
                <c:pt idx="0">
                  <c:v>% MRR Churn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Contracts'!$D$30:$J$30</c:f>
              <c:numCache>
                <c:formatCode>0.0%</c:formatCode>
                <c:ptCount val="7"/>
                <c:pt idx="1">
                  <c:v>2.1000000000000001E-2</c:v>
                </c:pt>
                <c:pt idx="2">
                  <c:v>2.7E-2</c:v>
                </c:pt>
                <c:pt idx="3">
                  <c:v>2.1000000000000001E-2</c:v>
                </c:pt>
                <c:pt idx="4">
                  <c:v>0.02</c:v>
                </c:pt>
                <c:pt idx="5">
                  <c:v>1.9E-2</c:v>
                </c:pt>
                <c:pt idx="6">
                  <c:v>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'Primarily Monthly Contracts'!$B$31</c:f>
              <c:strCache>
                <c:ptCount val="1"/>
                <c:pt idx="0">
                  <c:v>% MRR Expansion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Contracts'!$D$23:$J$23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Contracts'!$D$31:$J$31</c:f>
              <c:numCache>
                <c:formatCode>0.0%</c:formatCode>
                <c:ptCount val="7"/>
                <c:pt idx="1">
                  <c:v>5.0000000000000001E-3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7648"/>
        <c:axId val="332492352"/>
      </c:lineChart>
      <c:catAx>
        <c:axId val="3324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2352"/>
        <c:crosses val="autoZero"/>
        <c:auto val="1"/>
        <c:lblAlgn val="ctr"/>
        <c:lblOffset val="100"/>
        <c:noMultiLvlLbl val="0"/>
      </c:catAx>
      <c:valAx>
        <c:axId val="3324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Contracts'!$B$37</c:f>
              <c:strCache>
                <c:ptCount val="1"/>
                <c:pt idx="0">
                  <c:v>Net Promoter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Contracts'!$C$37:$I$37</c:f>
              <c:numCache>
                <c:formatCode>_(* #,##0_);_(* \(#,##0\);_(* "-"??_);_(@_)</c:formatCode>
                <c:ptCount val="6"/>
                <c:pt idx="0">
                  <c:v>28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1040"/>
        <c:axId val="335655352"/>
      </c:lineChart>
      <c:catAx>
        <c:axId val="3356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5352"/>
        <c:crosses val="autoZero"/>
        <c:auto val="1"/>
        <c:lblAlgn val="ctr"/>
        <c:lblOffset val="100"/>
        <c:noMultiLvlLbl val="0"/>
      </c:catAx>
      <c:valAx>
        <c:axId val="3356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Contracts'!$B$70:$C$70</c:f>
              <c:strCache>
                <c:ptCount val="2"/>
                <c:pt idx="0">
                  <c:v>Raw Leads / Enquiries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Contracts'!$D$70:$I$70</c:f>
              <c:numCache>
                <c:formatCode>_(* #,##0_);_(* \(#,##0\);_(* "-"??_);_(@_)</c:formatCode>
                <c:ptCount val="6"/>
                <c:pt idx="0">
                  <c:v>3611</c:v>
                </c:pt>
                <c:pt idx="1">
                  <c:v>3429</c:v>
                </c:pt>
                <c:pt idx="2">
                  <c:v>5200</c:v>
                </c:pt>
                <c:pt idx="3">
                  <c:v>5357</c:v>
                </c:pt>
                <c:pt idx="4">
                  <c:v>4684</c:v>
                </c:pt>
                <c:pt idx="5">
                  <c:v>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4176"/>
        <c:axId val="335656528"/>
      </c:lineChart>
      <c:catAx>
        <c:axId val="3356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6528"/>
        <c:crosses val="autoZero"/>
        <c:auto val="1"/>
        <c:lblAlgn val="ctr"/>
        <c:lblOffset val="100"/>
        <c:noMultiLvlLbl val="0"/>
      </c:catAx>
      <c:valAx>
        <c:axId val="3356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Contracts'!$B$71:$C$71</c:f>
              <c:strCache>
                <c:ptCount val="2"/>
                <c:pt idx="0">
                  <c:v>Conversion Raw Leads to MQLs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Contracts'!$D$71:$I$71</c:f>
              <c:numCache>
                <c:formatCode>0.0%</c:formatCode>
                <c:ptCount val="6"/>
                <c:pt idx="0">
                  <c:v>1.7999999999999999E-2</c:v>
                </c:pt>
                <c:pt idx="1">
                  <c:v>2.1000000000000001E-2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1.9E-2</c:v>
                </c:pt>
                <c:pt idx="5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6136"/>
        <c:axId val="335649472"/>
      </c:lineChart>
      <c:catAx>
        <c:axId val="33565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9472"/>
        <c:crosses val="autoZero"/>
        <c:auto val="1"/>
        <c:lblAlgn val="ctr"/>
        <c:lblOffset val="100"/>
        <c:noMultiLvlLbl val="0"/>
      </c:catAx>
      <c:valAx>
        <c:axId val="335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Contracts'!$B$72:$C$72</c:f>
              <c:strCache>
                <c:ptCount val="2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Contracts'!$D$72:$I$72</c:f>
              <c:numCache>
                <c:formatCode>_(* #,##0_);_(* \(#,##0\);_(* "-"??_);_(@_)</c:formatCode>
                <c:ptCount val="6"/>
                <c:pt idx="0">
                  <c:v>65</c:v>
                </c:pt>
                <c:pt idx="1">
                  <c:v>72</c:v>
                </c:pt>
                <c:pt idx="2">
                  <c:v>78</c:v>
                </c:pt>
                <c:pt idx="3">
                  <c:v>75</c:v>
                </c:pt>
                <c:pt idx="4">
                  <c:v>89</c:v>
                </c:pt>
                <c:pt idx="5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2608"/>
        <c:axId val="335653000"/>
      </c:lineChart>
      <c:catAx>
        <c:axId val="3356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3000"/>
        <c:crosses val="autoZero"/>
        <c:auto val="1"/>
        <c:lblAlgn val="ctr"/>
        <c:lblOffset val="100"/>
        <c:noMultiLvlLbl val="0"/>
      </c:catAx>
      <c:valAx>
        <c:axId val="3356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Contracts'!$B$73:$C$73</c:f>
              <c:strCache>
                <c:ptCount val="2"/>
                <c:pt idx="0">
                  <c:v>Conversion: Oppties to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Contracts'!$D$73:$I$73</c:f>
              <c:numCache>
                <c:formatCode>0%</c:formatCode>
                <c:ptCount val="6"/>
                <c:pt idx="0">
                  <c:v>0.62</c:v>
                </c:pt>
                <c:pt idx="1">
                  <c:v>0.57999999999999996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53392"/>
        <c:axId val="335654568"/>
      </c:lineChart>
      <c:catAx>
        <c:axId val="3356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4568"/>
        <c:crosses val="autoZero"/>
        <c:auto val="1"/>
        <c:lblAlgn val="ctr"/>
        <c:lblOffset val="100"/>
        <c:noMultiLvlLbl val="0"/>
      </c:catAx>
      <c:valAx>
        <c:axId val="3356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Contracts'!$B$24</c:f>
              <c:strCache>
                <c:ptCount val="1"/>
                <c:pt idx="0">
                  <c:v># of new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Contracts'!$C$24:$I$24</c:f>
              <c:numCache>
                <c:formatCode>_(* #,##0_);_(* \(#,##0\);_(* "-"??_);_(@_)</c:formatCode>
                <c:ptCount val="6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49080"/>
        <c:axId val="336079808"/>
      </c:lineChart>
      <c:catAx>
        <c:axId val="3356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9808"/>
        <c:crosses val="autoZero"/>
        <c:auto val="1"/>
        <c:lblAlgn val="ctr"/>
        <c:lblOffset val="100"/>
        <c:noMultiLvlLbl val="0"/>
      </c:catAx>
      <c:valAx>
        <c:axId val="336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Contracts'!$B$77:$C$77</c:f>
              <c:strCache>
                <c:ptCount val="2"/>
                <c:pt idx="0">
                  <c:v>No of FTE Sales reps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Contracts'!$D$77:$I$77</c:f>
              <c:numCache>
                <c:formatCode>General</c:formatCode>
                <c:ptCount val="6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79416"/>
        <c:axId val="336075888"/>
      </c:lineChart>
      <c:catAx>
        <c:axId val="33607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5888"/>
        <c:crosses val="autoZero"/>
        <c:auto val="1"/>
        <c:lblAlgn val="ctr"/>
        <c:lblOffset val="100"/>
        <c:noMultiLvlLbl val="0"/>
      </c:catAx>
      <c:valAx>
        <c:axId val="3360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Contracts'!$B$82:$C$82</c:f>
              <c:strCache>
                <c:ptCount val="2"/>
                <c:pt idx="0">
                  <c:v>Productivity per FTE sales 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Contracts'!$D$82:$I$82</c:f>
              <c:numCache>
                <c:formatCode>_("$"* #,##0.0_);_("$"* \(#,##0.0\);_("$"* "-"??_);_(@_)</c:formatCode>
                <c:ptCount val="6"/>
                <c:pt idx="0">
                  <c:v>44</c:v>
                </c:pt>
                <c:pt idx="1">
                  <c:v>42.46153846153846</c:v>
                </c:pt>
                <c:pt idx="2">
                  <c:v>42</c:v>
                </c:pt>
                <c:pt idx="3">
                  <c:v>41.6</c:v>
                </c:pt>
                <c:pt idx="4">
                  <c:v>40.5</c:v>
                </c:pt>
                <c:pt idx="5">
                  <c:v>40.941176470588232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3728"/>
        <c:axId val="336080200"/>
      </c:lineChart>
      <c:catAx>
        <c:axId val="3360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0200"/>
        <c:crosses val="autoZero"/>
        <c:auto val="1"/>
        <c:lblAlgn val="ctr"/>
        <c:lblOffset val="100"/>
        <c:noMultiLvlLbl val="0"/>
      </c:catAx>
      <c:valAx>
        <c:axId val="3360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Contracts'!$B$10</c:f>
              <c:strCache>
                <c:ptCount val="1"/>
                <c:pt idx="0">
                  <c:v>ARPA - Avg MRR (for new Custs)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Contracts'!$C$5:$I$5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Contracts'!$C$10:$I$10</c:f>
              <c:numCache>
                <c:formatCode>_("$"* #,##0_);_("$"* \(#,##0\);_("$"* "-"??_);_(@_)</c:formatCode>
                <c:ptCount val="6"/>
                <c:pt idx="0">
                  <c:v>550</c:v>
                </c:pt>
                <c:pt idx="1">
                  <c:v>547.61904761904759</c:v>
                </c:pt>
                <c:pt idx="2">
                  <c:v>569.76744186046506</c:v>
                </c:pt>
                <c:pt idx="3">
                  <c:v>565.21739130434787</c:v>
                </c:pt>
                <c:pt idx="4">
                  <c:v>562.5</c:v>
                </c:pt>
                <c:pt idx="5">
                  <c:v>557.69230769230774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6864"/>
        <c:axId val="336077064"/>
      </c:lineChart>
      <c:catAx>
        <c:axId val="3360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7064"/>
        <c:crosses val="autoZero"/>
        <c:auto val="1"/>
        <c:lblAlgn val="ctr"/>
        <c:lblOffset val="100"/>
        <c:noMultiLvlLbl val="0"/>
      </c:catAx>
      <c:valAx>
        <c:axId val="3360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Contracts'!$B$31</c:f>
              <c:strCache>
                <c:ptCount val="1"/>
                <c:pt idx="0">
                  <c:v>% Net ACV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Contracts'!$C$22:$I$22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Contracts'!$C$31:$I$31</c:f>
              <c:numCache>
                <c:formatCode>0.0%</c:formatCode>
                <c:ptCount val="6"/>
                <c:pt idx="0">
                  <c:v>1.6000000000000004E-2</c:v>
                </c:pt>
                <c:pt idx="1">
                  <c:v>2.0999999999999998E-2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3.9999999999999992E-3</c:v>
                </c:pt>
                <c:pt idx="5">
                  <c:v>1.1000000000000001E-2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0984"/>
        <c:axId val="336077456"/>
      </c:lineChart>
      <c:catAx>
        <c:axId val="33608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7456"/>
        <c:crosses val="autoZero"/>
        <c:auto val="1"/>
        <c:lblAlgn val="ctr"/>
        <c:lblOffset val="100"/>
        <c:noMultiLvlLbl val="0"/>
      </c:catAx>
      <c:valAx>
        <c:axId val="3360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and CAC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Contracts'!$B$38</c:f>
              <c:strCache>
                <c:ptCount val="1"/>
                <c:pt idx="0">
                  <c:v>LTV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Contracts'!$D$38:$J$38</c:f>
              <c:numCache>
                <c:formatCode>_("$"* #,##0_);_("$"* \(#,##0\);_("$"* "-"??_);_(@_)</c:formatCode>
                <c:ptCount val="7"/>
                <c:pt idx="1">
                  <c:v>21738.095238095237</c:v>
                </c:pt>
                <c:pt idx="2">
                  <c:v>16834.215167548504</c:v>
                </c:pt>
                <c:pt idx="3">
                  <c:v>22519.37984496124</c:v>
                </c:pt>
                <c:pt idx="4">
                  <c:v>23456.521739130432</c:v>
                </c:pt>
                <c:pt idx="5">
                  <c:v>24572.368421052633</c:v>
                </c:pt>
                <c:pt idx="6">
                  <c:v>25715.811965811969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'Primarily Monthly Contracts'!$B$39</c:f>
              <c:strCache>
                <c:ptCount val="1"/>
                <c:pt idx="0">
                  <c:v>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Contracts'!$D$39:$J$39</c:f>
              <c:numCache>
                <c:formatCode>_("$"* #,##0_);_("$"* \(#,##0\);_("$"* "-"??_);_(@_)</c:formatCode>
                <c:ptCount val="7"/>
                <c:pt idx="1">
                  <c:v>8750</c:v>
                </c:pt>
                <c:pt idx="2">
                  <c:v>8571.4285714285706</c:v>
                </c:pt>
                <c:pt idx="3">
                  <c:v>8604.6511627906966</c:v>
                </c:pt>
                <c:pt idx="4">
                  <c:v>8260.8695652173901</c:v>
                </c:pt>
                <c:pt idx="5">
                  <c:v>8125</c:v>
                </c:pt>
                <c:pt idx="6">
                  <c:v>7692.3076923076924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7256"/>
        <c:axId val="332488040"/>
      </c:lineChart>
      <c:catAx>
        <c:axId val="33248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8040"/>
        <c:crosses val="autoZero"/>
        <c:auto val="1"/>
        <c:lblAlgn val="ctr"/>
        <c:lblOffset val="100"/>
        <c:noMultiLvlLbl val="0"/>
      </c:catAx>
      <c:valAx>
        <c:axId val="3324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Contracts'!$B$79:$C$79</c:f>
              <c:strCache>
                <c:ptCount val="2"/>
                <c:pt idx="0">
                  <c:v>Sales Capacity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Contracts'!$D$76:$I$76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Contracts'!$D$79:$I$79</c:f>
              <c:numCache>
                <c:formatCode>_("$"* #,##0.0_);_("$"* \(#,##0.0\);_("$"* "-"??_);_(@_)</c:formatCode>
                <c:ptCount val="6"/>
                <c:pt idx="0">
                  <c:v>25</c:v>
                </c:pt>
                <c:pt idx="1">
                  <c:v>27.083333333333336</c:v>
                </c:pt>
                <c:pt idx="2">
                  <c:v>29.166666666666668</c:v>
                </c:pt>
                <c:pt idx="3">
                  <c:v>31.250000000000004</c:v>
                </c:pt>
                <c:pt idx="4">
                  <c:v>33.333333333333336</c:v>
                </c:pt>
                <c:pt idx="5">
                  <c:v>35.416666666666671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6080"/>
        <c:axId val="336082552"/>
      </c:lineChart>
      <c:catAx>
        <c:axId val="336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2552"/>
        <c:crosses val="autoZero"/>
        <c:auto val="1"/>
        <c:lblAlgn val="ctr"/>
        <c:lblOffset val="100"/>
        <c:noMultiLvlLbl val="0"/>
      </c:catAx>
      <c:valAx>
        <c:axId val="3360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Contracts'!$B$74</c:f>
              <c:strCache>
                <c:ptCount val="1"/>
                <c:pt idx="0">
                  <c:v>Win/Losss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 Contracts'!$C$69:$I$69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'Annual Contracts'!$C$74:$I$74</c:f>
              <c:numCache>
                <c:formatCode>0%</c:formatCode>
                <c:ptCount val="6"/>
                <c:pt idx="0">
                  <c:v>0.75</c:v>
                </c:pt>
                <c:pt idx="1">
                  <c:v>0.82</c:v>
                </c:pt>
                <c:pt idx="2">
                  <c:v>0.65</c:v>
                </c:pt>
                <c:pt idx="3">
                  <c:v>0.79</c:v>
                </c:pt>
                <c:pt idx="4">
                  <c:v>0.85</c:v>
                </c:pt>
                <c:pt idx="5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1768"/>
        <c:axId val="336077848"/>
      </c:lineChart>
      <c:catAx>
        <c:axId val="3360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7848"/>
        <c:crosses val="autoZero"/>
        <c:auto val="1"/>
        <c:lblAlgn val="ctr"/>
        <c:lblOffset val="100"/>
        <c:noMultiLvlLbl val="0"/>
      </c:catAx>
      <c:valAx>
        <c:axId val="3360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Charts'!$A$10</c:f>
              <c:strCache>
                <c:ptCount val="1"/>
                <c:pt idx="0">
                  <c:v>Cohort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Charts'!$B$10:$BU$10</c:f>
              <c:numCache>
                <c:formatCode>0</c:formatCode>
                <c:ptCount val="72"/>
                <c:pt idx="0">
                  <c:v>100</c:v>
                </c:pt>
                <c:pt idx="1">
                  <c:v>97</c:v>
                </c:pt>
                <c:pt idx="2">
                  <c:v>94.09</c:v>
                </c:pt>
                <c:pt idx="3">
                  <c:v>91.267300000000006</c:v>
                </c:pt>
                <c:pt idx="4">
                  <c:v>88.529280999999997</c:v>
                </c:pt>
                <c:pt idx="5">
                  <c:v>85.873402569999996</c:v>
                </c:pt>
                <c:pt idx="6">
                  <c:v>83.297200492899989</c:v>
                </c:pt>
                <c:pt idx="7">
                  <c:v>80.79828447811299</c:v>
                </c:pt>
                <c:pt idx="8">
                  <c:v>78.374335943769594</c:v>
                </c:pt>
                <c:pt idx="9">
                  <c:v>76.0231058654565</c:v>
                </c:pt>
                <c:pt idx="10">
                  <c:v>73.742412689492809</c:v>
                </c:pt>
                <c:pt idx="11">
                  <c:v>71.530140308808029</c:v>
                </c:pt>
                <c:pt idx="12">
                  <c:v>69.384236099543784</c:v>
                </c:pt>
                <c:pt idx="13">
                  <c:v>67.302709016557472</c:v>
                </c:pt>
                <c:pt idx="14">
                  <c:v>65.283627746060745</c:v>
                </c:pt>
                <c:pt idx="15">
                  <c:v>63.325118913678921</c:v>
                </c:pt>
                <c:pt idx="16">
                  <c:v>61.425365346268549</c:v>
                </c:pt>
                <c:pt idx="17">
                  <c:v>59.582604385880494</c:v>
                </c:pt>
                <c:pt idx="18">
                  <c:v>57.79512625430408</c:v>
                </c:pt>
                <c:pt idx="19">
                  <c:v>56.061272466674957</c:v>
                </c:pt>
                <c:pt idx="20">
                  <c:v>54.379434292674709</c:v>
                </c:pt>
                <c:pt idx="21">
                  <c:v>52.748051263894467</c:v>
                </c:pt>
                <c:pt idx="22">
                  <c:v>51.165609725977632</c:v>
                </c:pt>
                <c:pt idx="23">
                  <c:v>49.630641434198303</c:v>
                </c:pt>
                <c:pt idx="24">
                  <c:v>48.141722191172356</c:v>
                </c:pt>
                <c:pt idx="25">
                  <c:v>46.697470525437183</c:v>
                </c:pt>
                <c:pt idx="26">
                  <c:v>45.296546409674065</c:v>
                </c:pt>
                <c:pt idx="27">
                  <c:v>43.937650017383838</c:v>
                </c:pt>
                <c:pt idx="28">
                  <c:v>42.619520516862323</c:v>
                </c:pt>
                <c:pt idx="29">
                  <c:v>41.340934901356455</c:v>
                </c:pt>
                <c:pt idx="30">
                  <c:v>40.10070685431576</c:v>
                </c:pt>
                <c:pt idx="31">
                  <c:v>38.897685648686284</c:v>
                </c:pt>
                <c:pt idx="32">
                  <c:v>37.730755079225695</c:v>
                </c:pt>
                <c:pt idx="33">
                  <c:v>36.598832426848922</c:v>
                </c:pt>
                <c:pt idx="34">
                  <c:v>35.500867454043451</c:v>
                </c:pt>
                <c:pt idx="35">
                  <c:v>34.435841430422144</c:v>
                </c:pt>
                <c:pt idx="36">
                  <c:v>33.402766187509478</c:v>
                </c:pt>
                <c:pt idx="37">
                  <c:v>32.400683201884192</c:v>
                </c:pt>
                <c:pt idx="38">
                  <c:v>31.428662705827666</c:v>
                </c:pt>
                <c:pt idx="39">
                  <c:v>30.485802824652836</c:v>
                </c:pt>
                <c:pt idx="40">
                  <c:v>29.571228739913252</c:v>
                </c:pt>
                <c:pt idx="41">
                  <c:v>28.684091877715854</c:v>
                </c:pt>
                <c:pt idx="42">
                  <c:v>27.823569121384377</c:v>
                </c:pt>
                <c:pt idx="43">
                  <c:v>26.988862047742845</c:v>
                </c:pt>
                <c:pt idx="44">
                  <c:v>26.179196186310559</c:v>
                </c:pt>
                <c:pt idx="45">
                  <c:v>25.393820300721242</c:v>
                </c:pt>
                <c:pt idx="46">
                  <c:v>24.632005691699604</c:v>
                </c:pt>
                <c:pt idx="47">
                  <c:v>23.893045520948615</c:v>
                </c:pt>
                <c:pt idx="48">
                  <c:v>23.176254155320155</c:v>
                </c:pt>
                <c:pt idx="49">
                  <c:v>22.480966530660549</c:v>
                </c:pt>
                <c:pt idx="50">
                  <c:v>21.80653753474073</c:v>
                </c:pt>
                <c:pt idx="51">
                  <c:v>21.152341408698508</c:v>
                </c:pt>
                <c:pt idx="52">
                  <c:v>20.517771166437551</c:v>
                </c:pt>
                <c:pt idx="53">
                  <c:v>19.902238031444423</c:v>
                </c:pt>
                <c:pt idx="54">
                  <c:v>19.305170890501088</c:v>
                </c:pt>
                <c:pt idx="55">
                  <c:v>18.726015763786055</c:v>
                </c:pt>
                <c:pt idx="56">
                  <c:v>18.164235290872472</c:v>
                </c:pt>
                <c:pt idx="57">
                  <c:v>17.619308232146299</c:v>
                </c:pt>
                <c:pt idx="58">
                  <c:v>17.090728985181908</c:v>
                </c:pt>
                <c:pt idx="59">
                  <c:v>16.578007115626452</c:v>
                </c:pt>
                <c:pt idx="60">
                  <c:v>16.08066690215766</c:v>
                </c:pt>
                <c:pt idx="61">
                  <c:v>15.598246895092929</c:v>
                </c:pt>
                <c:pt idx="62">
                  <c:v>15.130299488240141</c:v>
                </c:pt>
                <c:pt idx="63">
                  <c:v>14.676390503592936</c:v>
                </c:pt>
                <c:pt idx="64">
                  <c:v>14.236098788485148</c:v>
                </c:pt>
                <c:pt idx="65">
                  <c:v>13.809015824830592</c:v>
                </c:pt>
                <c:pt idx="66">
                  <c:v>13.394745350085675</c:v>
                </c:pt>
                <c:pt idx="67">
                  <c:v>12.992902989583104</c:v>
                </c:pt>
                <c:pt idx="68">
                  <c:v>12.603115899895611</c:v>
                </c:pt>
                <c:pt idx="69">
                  <c:v>12.225022422898743</c:v>
                </c:pt>
                <c:pt idx="70">
                  <c:v>11.858271750211781</c:v>
                </c:pt>
                <c:pt idx="71">
                  <c:v>11.502523597705427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78240"/>
        <c:axId val="336082160"/>
      </c:lineChart>
      <c:catAx>
        <c:axId val="33607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2160"/>
        <c:crosses val="autoZero"/>
        <c:auto val="1"/>
        <c:lblAlgn val="ctr"/>
        <c:lblOffset val="100"/>
        <c:noMultiLvlLbl val="0"/>
      </c:catAx>
      <c:valAx>
        <c:axId val="336082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'LTV Charts'!$A$31</c:f>
              <c:strCache>
                <c:ptCount val="1"/>
                <c:pt idx="0">
                  <c:v>Cohort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'LTV Charts'!$B$31:$BU$31</c:f>
              <c:numCache>
                <c:formatCode>General</c:formatCode>
                <c:ptCount val="72"/>
                <c:pt idx="0">
                  <c:v>10000</c:v>
                </c:pt>
                <c:pt idx="1">
                  <c:v>10185</c:v>
                </c:pt>
                <c:pt idx="2">
                  <c:v>10349.9</c:v>
                </c:pt>
                <c:pt idx="3">
                  <c:v>10495.739500000001</c:v>
                </c:pt>
                <c:pt idx="4">
                  <c:v>10623.513719999999</c:v>
                </c:pt>
                <c:pt idx="5">
                  <c:v>10734.175321249999</c:v>
                </c:pt>
                <c:pt idx="6">
                  <c:v>10828.636064076998</c:v>
                </c:pt>
                <c:pt idx="7">
                  <c:v>10907.768404545253</c:v>
                </c:pt>
                <c:pt idx="8">
                  <c:v>10972.407032127743</c:v>
                </c:pt>
                <c:pt idx="9">
                  <c:v>11023.350350491193</c:v>
                </c:pt>
                <c:pt idx="10">
                  <c:v>11061.361903423922</c:v>
                </c:pt>
                <c:pt idx="11">
                  <c:v>11087.171747865244</c:v>
                </c:pt>
                <c:pt idx="12">
                  <c:v>11101.477775927005</c:v>
                </c:pt>
                <c:pt idx="13">
                  <c:v>11104.946987731983</c:v>
                </c:pt>
                <c:pt idx="14">
                  <c:v>11098.216716830326</c:v>
                </c:pt>
                <c:pt idx="15">
                  <c:v>11081.895809893811</c:v>
                </c:pt>
                <c:pt idx="16">
                  <c:v>11056.565762328339</c:v>
                </c:pt>
                <c:pt idx="17">
                  <c:v>11022.781811387891</c:v>
                </c:pt>
                <c:pt idx="18">
                  <c:v>10981.073988317776</c:v>
                </c:pt>
                <c:pt idx="19">
                  <c:v>10931.948131001616</c:v>
                </c:pt>
                <c:pt idx="20">
                  <c:v>10875.886858534941</c:v>
                </c:pt>
                <c:pt idx="21">
                  <c:v>10813.350509098365</c:v>
                </c:pt>
                <c:pt idx="22">
                  <c:v>10744.778042455302</c:v>
                </c:pt>
                <c:pt idx="23">
                  <c:v>10670.587908352634</c:v>
                </c:pt>
                <c:pt idx="24">
                  <c:v>10591.178882057919</c:v>
                </c:pt>
                <c:pt idx="25">
                  <c:v>10506.930868223366</c:v>
                </c:pt>
                <c:pt idx="26">
                  <c:v>10418.205674225035</c:v>
                </c:pt>
                <c:pt idx="27">
                  <c:v>10325.347754085202</c:v>
                </c:pt>
                <c:pt idx="28">
                  <c:v>10228.684924046958</c:v>
                </c:pt>
                <c:pt idx="29">
                  <c:v>10128.529050832332</c:v>
                </c:pt>
                <c:pt idx="30">
                  <c:v>10025.17671357894</c:v>
                </c:pt>
                <c:pt idx="31">
                  <c:v>9918.9098404150027</c:v>
                </c:pt>
                <c:pt idx="32">
                  <c:v>9809.9963205986805</c:v>
                </c:pt>
                <c:pt idx="33">
                  <c:v>9698.6905931149649</c:v>
                </c:pt>
                <c:pt idx="34">
                  <c:v>9585.2342125917312</c:v>
                </c:pt>
                <c:pt idx="35">
                  <c:v>9469.8563933660898</c:v>
                </c:pt>
                <c:pt idx="36">
                  <c:v>9352.7745325026535</c:v>
                </c:pt>
                <c:pt idx="37">
                  <c:v>9234.1947125369952</c:v>
                </c:pt>
                <c:pt idx="38">
                  <c:v>9114.3121846900231</c:v>
                </c:pt>
                <c:pt idx="39">
                  <c:v>8993.3118332725862</c:v>
                </c:pt>
                <c:pt idx="40">
                  <c:v>8871.3686219739757</c:v>
                </c:pt>
                <c:pt idx="41">
                  <c:v>8748.6480227033353</c:v>
                </c:pt>
                <c:pt idx="42">
                  <c:v>8625.306427629157</c:v>
                </c:pt>
                <c:pt idx="43">
                  <c:v>8501.4915450389963</c:v>
                </c:pt>
                <c:pt idx="44">
                  <c:v>8377.3427796193791</c:v>
                </c:pt>
                <c:pt idx="45">
                  <c:v>8252.9915977344026</c:v>
                </c:pt>
                <c:pt idx="46">
                  <c:v>8128.561878260869</c:v>
                </c:pt>
                <c:pt idx="47">
                  <c:v>8004.170249517786</c:v>
                </c:pt>
                <c:pt idx="48">
                  <c:v>7879.9264128088525</c:v>
                </c:pt>
                <c:pt idx="49">
                  <c:v>7755.9334530778897</c:v>
                </c:pt>
                <c:pt idx="50">
                  <c:v>7632.2881371592557</c:v>
                </c:pt>
                <c:pt idx="51">
                  <c:v>7509.0812000879705</c:v>
                </c:pt>
                <c:pt idx="52">
                  <c:v>7386.3976199175186</c:v>
                </c:pt>
                <c:pt idx="53">
                  <c:v>7264.3168814772143</c:v>
                </c:pt>
                <c:pt idx="54">
                  <c:v>7142.9132294854026</c:v>
                </c:pt>
                <c:pt idx="55">
                  <c:v>7022.2559114197711</c:v>
                </c:pt>
                <c:pt idx="56">
                  <c:v>6902.4094105315398</c:v>
                </c:pt>
                <c:pt idx="57">
                  <c:v>6783.4336693763253</c:v>
                </c:pt>
                <c:pt idx="58">
                  <c:v>6665.3843042209437</c:v>
                </c:pt>
                <c:pt idx="59">
                  <c:v>6548.3128106724489</c:v>
                </c:pt>
                <c:pt idx="60">
                  <c:v>6432.2667608630636</c:v>
                </c:pt>
                <c:pt idx="61">
                  <c:v>6317.2899925126367</c:v>
                </c:pt>
                <c:pt idx="62">
                  <c:v>6203.4227901784579</c:v>
                </c:pt>
                <c:pt idx="63">
                  <c:v>6090.702058991068</c:v>
                </c:pt>
                <c:pt idx="64">
                  <c:v>5979.1614911637616</c:v>
                </c:pt>
                <c:pt idx="65">
                  <c:v>5868.8317255530019</c:v>
                </c:pt>
                <c:pt idx="66">
                  <c:v>5759.74050053684</c:v>
                </c:pt>
                <c:pt idx="67">
                  <c:v>5651.9128004686499</c:v>
                </c:pt>
                <c:pt idx="68">
                  <c:v>5545.3709959540693</c:v>
                </c:pt>
                <c:pt idx="69">
                  <c:v>5440.1349781899407</c:v>
                </c:pt>
                <c:pt idx="70">
                  <c:v>5336.2222875953012</c:v>
                </c:pt>
                <c:pt idx="71">
                  <c:v>5233.648236955969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084512"/>
        <c:axId val="336085688"/>
      </c:lineChart>
      <c:catAx>
        <c:axId val="33608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5688"/>
        <c:crosses val="autoZero"/>
        <c:auto val="1"/>
        <c:lblAlgn val="ctr"/>
        <c:lblOffset val="100"/>
        <c:tickLblSkip val="5"/>
        <c:tickMarkSkip val="6"/>
        <c:noMultiLvlLbl val="0"/>
      </c:catAx>
      <c:valAx>
        <c:axId val="3360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Contracts'!$B$40</c:f>
              <c:strCache>
                <c:ptCount val="1"/>
                <c:pt idx="0">
                  <c:v>LTV to CAC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Contracts'!$D$40:$J$40</c:f>
              <c:numCache>
                <c:formatCode>_(* #,##0.0_);_(* \(#,##0.0\);_(* "-"??_);_(@_)</c:formatCode>
                <c:ptCount val="7"/>
                <c:pt idx="1">
                  <c:v>2.4843537414965984</c:v>
                </c:pt>
                <c:pt idx="2">
                  <c:v>1.9639917695473257</c:v>
                </c:pt>
                <c:pt idx="3">
                  <c:v>2.6171171171171173</c:v>
                </c:pt>
                <c:pt idx="4">
                  <c:v>2.8394736842105264</c:v>
                </c:pt>
                <c:pt idx="5">
                  <c:v>3.024291497975709</c:v>
                </c:pt>
                <c:pt idx="6">
                  <c:v>3.3430555555555559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91176"/>
        <c:axId val="332491568"/>
      </c:lineChart>
      <c:catAx>
        <c:axId val="33249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1568"/>
        <c:crosses val="autoZero"/>
        <c:auto val="1"/>
        <c:lblAlgn val="ctr"/>
        <c:lblOffset val="100"/>
        <c:noMultiLvlLbl val="0"/>
      </c:catAx>
      <c:valAx>
        <c:axId val="3324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Contracts'!$B$41</c:f>
              <c:strCache>
                <c:ptCount val="1"/>
                <c:pt idx="0">
                  <c:v>Months to Recover CAC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Contracts'!$D$37:$J$37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Contracts'!$D$41:$J$41</c:f>
              <c:numCache>
                <c:formatCode>_(* #,##0_);_(* \(#,##0\);_(* "-"??_);_(@_)</c:formatCode>
                <c:ptCount val="7"/>
                <c:pt idx="1">
                  <c:v>19.167579408543265</c:v>
                </c:pt>
                <c:pt idx="2">
                  <c:v>18.858040859088526</c:v>
                </c:pt>
                <c:pt idx="3">
                  <c:v>18.19522989918859</c:v>
                </c:pt>
                <c:pt idx="4">
                  <c:v>17.608897126969417</c:v>
                </c:pt>
                <c:pt idx="5">
                  <c:v>17.402945113788487</c:v>
                </c:pt>
                <c:pt idx="6">
                  <c:v>16.618196925633569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93528"/>
        <c:axId val="332494312"/>
      </c:lineChart>
      <c:catAx>
        <c:axId val="3324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4312"/>
        <c:crosses val="autoZero"/>
        <c:auto val="1"/>
        <c:lblAlgn val="ctr"/>
        <c:lblOffset val="100"/>
        <c:noMultiLvlLbl val="0"/>
      </c:catAx>
      <c:valAx>
        <c:axId val="3324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'Primarily Monthly Contracts'!$B$20</c:f>
              <c:strCache>
                <c:ptCount val="1"/>
                <c:pt idx="0">
                  <c:v>Ending 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'Primarily Monthly Contracts'!$D$13:$J$13</c:f>
              <c:strCache>
                <c:ptCount val="7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'Primarily Monthly Contracts'!$D$20:$J$20</c:f>
              <c:numCache>
                <c:formatCode>_("$"* #,##0.0_);_("$"* \(#,##0.0\);_("$"* "-"?_);_(@_)</c:formatCode>
                <c:ptCount val="7"/>
                <c:pt idx="0">
                  <c:v>400</c:v>
                </c:pt>
                <c:pt idx="1">
                  <c:v>415.6</c:v>
                </c:pt>
                <c:pt idx="2">
                  <c:v>429.87240000000003</c:v>
                </c:pt>
                <c:pt idx="3">
                  <c:v>447.49444160000002</c:v>
                </c:pt>
                <c:pt idx="4">
                  <c:v>465.88703609280003</c:v>
                </c:pt>
                <c:pt idx="5">
                  <c:v>491.02348794842885</c:v>
                </c:pt>
                <c:pt idx="6">
                  <c:v>514.62222958099619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99936"/>
        <c:axId val="332706208"/>
      </c:lineChart>
      <c:catAx>
        <c:axId val="3326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06208"/>
        <c:crosses val="autoZero"/>
        <c:auto val="1"/>
        <c:lblAlgn val="ctr"/>
        <c:lblOffset val="100"/>
        <c:noMultiLvlLbl val="0"/>
      </c:catAx>
      <c:valAx>
        <c:axId val="3327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21" Type="http://schemas.openxmlformats.org/officeDocument/2006/relationships/chart" Target="../charts/chart61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11907</xdr:colOff>
      <xdr:row>13</xdr:row>
      <xdr:rowOff>121442</xdr:rowOff>
    </xdr:from>
    <xdr:to>
      <xdr:col>32</xdr:col>
      <xdr:colOff>11907</xdr:colOff>
      <xdr:row>22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39</xdr:row>
      <xdr:rowOff>0</xdr:rowOff>
    </xdr:from>
    <xdr:to>
      <xdr:col>22</xdr:col>
      <xdr:colOff>404813</xdr:colOff>
      <xdr:row>52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59531</xdr:colOff>
      <xdr:row>38</xdr:row>
      <xdr:rowOff>180975</xdr:rowOff>
    </xdr:from>
    <xdr:to>
      <xdr:col>32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190500</xdr:rowOff>
    </xdr:from>
    <xdr:to>
      <xdr:col>26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47624</xdr:colOff>
      <xdr:row>119</xdr:row>
      <xdr:rowOff>19050</xdr:rowOff>
    </xdr:from>
    <xdr:to>
      <xdr:col>26</xdr:col>
      <xdr:colOff>47624</xdr:colOff>
      <xdr:row>132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47624</xdr:colOff>
      <xdr:row>133</xdr:row>
      <xdr:rowOff>47625</xdr:rowOff>
    </xdr:from>
    <xdr:to>
      <xdr:col>23</xdr:col>
      <xdr:colOff>514349</xdr:colOff>
      <xdr:row>145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57149</xdr:colOff>
      <xdr:row>133</xdr:row>
      <xdr:rowOff>47625</xdr:rowOff>
    </xdr:from>
    <xdr:to>
      <xdr:col>29</xdr:col>
      <xdr:colOff>57149</xdr:colOff>
      <xdr:row>145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2380</xdr:colOff>
      <xdr:row>2</xdr:row>
      <xdr:rowOff>19050</xdr:rowOff>
    </xdr:from>
    <xdr:to>
      <xdr:col>32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150</xdr:row>
      <xdr:rowOff>0</xdr:rowOff>
    </xdr:from>
    <xdr:to>
      <xdr:col>23</xdr:col>
      <xdr:colOff>457199</xdr:colOff>
      <xdr:row>161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150</xdr:row>
      <xdr:rowOff>0</xdr:rowOff>
    </xdr:from>
    <xdr:to>
      <xdr:col>29</xdr:col>
      <xdr:colOff>0</xdr:colOff>
      <xdr:row>161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142876</xdr:colOff>
      <xdr:row>54</xdr:row>
      <xdr:rowOff>123825</xdr:rowOff>
    </xdr:from>
    <xdr:to>
      <xdr:col>23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171450</xdr:colOff>
      <xdr:row>62</xdr:row>
      <xdr:rowOff>57150</xdr:rowOff>
    </xdr:from>
    <xdr:to>
      <xdr:col>31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142875</xdr:colOff>
      <xdr:row>69</xdr:row>
      <xdr:rowOff>114300</xdr:rowOff>
    </xdr:from>
    <xdr:to>
      <xdr:col>23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77</xdr:row>
      <xdr:rowOff>114300</xdr:rowOff>
    </xdr:from>
    <xdr:to>
      <xdr:col>32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24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514350</xdr:colOff>
      <xdr:row>65</xdr:row>
      <xdr:rowOff>133350</xdr:rowOff>
    </xdr:from>
    <xdr:to>
      <xdr:col>25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401800" y="1237297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514350</xdr:colOff>
      <xdr:row>81</xdr:row>
      <xdr:rowOff>104775</xdr:rowOff>
    </xdr:from>
    <xdr:to>
      <xdr:col>25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401800" y="1541145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9526</xdr:colOff>
      <xdr:row>52</xdr:row>
      <xdr:rowOff>152400</xdr:rowOff>
    </xdr:from>
    <xdr:to>
      <xdr:col>32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58576" y="98869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19</xdr:col>
      <xdr:colOff>0</xdr:colOff>
      <xdr:row>117</xdr:row>
      <xdr:rowOff>0</xdr:rowOff>
    </xdr:from>
    <xdr:to>
      <xdr:col>32</xdr:col>
      <xdr:colOff>9524</xdr:colOff>
      <xdr:row>118</xdr:row>
      <xdr:rowOff>76200</xdr:rowOff>
    </xdr:to>
    <xdr:sp macro="" textlink="">
      <xdr:nvSpPr>
        <xdr:cNvPr id="21" name="Rectangle 20"/>
        <xdr:cNvSpPr/>
      </xdr:nvSpPr>
      <xdr:spPr>
        <a:xfrm>
          <a:off x="11449050" y="2216467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19</xdr:col>
      <xdr:colOff>9525</xdr:colOff>
      <xdr:row>100</xdr:row>
      <xdr:rowOff>114300</xdr:rowOff>
    </xdr:from>
    <xdr:to>
      <xdr:col>24</xdr:col>
      <xdr:colOff>0</xdr:colOff>
      <xdr:row>115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100</xdr:row>
      <xdr:rowOff>114300</xdr:rowOff>
    </xdr:from>
    <xdr:to>
      <xdr:col>32</xdr:col>
      <xdr:colOff>0</xdr:colOff>
      <xdr:row>115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147</xdr:row>
      <xdr:rowOff>104775</xdr:rowOff>
    </xdr:from>
    <xdr:to>
      <xdr:col>32</xdr:col>
      <xdr:colOff>9524</xdr:colOff>
      <xdr:row>148</xdr:row>
      <xdr:rowOff>180975</xdr:rowOff>
    </xdr:to>
    <xdr:sp macro="" textlink="">
      <xdr:nvSpPr>
        <xdr:cNvPr id="24" name="Rectangle 23"/>
        <xdr:cNvSpPr/>
      </xdr:nvSpPr>
      <xdr:spPr>
        <a:xfrm>
          <a:off x="11449050" y="279844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19</xdr:col>
      <xdr:colOff>9526</xdr:colOff>
      <xdr:row>0</xdr:row>
      <xdr:rowOff>133350</xdr:rowOff>
    </xdr:from>
    <xdr:to>
      <xdr:col>32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58576" y="13335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22</xdr:col>
      <xdr:colOff>511970</xdr:colOff>
      <xdr:row>39</xdr:row>
      <xdr:rowOff>0</xdr:rowOff>
    </xdr:from>
    <xdr:to>
      <xdr:col>27</xdr:col>
      <xdr:colOff>511969</xdr:colOff>
      <xdr:row>52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17861</xdr:colOff>
      <xdr:row>23</xdr:row>
      <xdr:rowOff>0</xdr:rowOff>
    </xdr:from>
    <xdr:to>
      <xdr:col>32</xdr:col>
      <xdr:colOff>1</xdr:colOff>
      <xdr:row>38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180975</xdr:rowOff>
    </xdr:from>
    <xdr:to>
      <xdr:col>15</xdr:col>
      <xdr:colOff>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37</xdr:row>
      <xdr:rowOff>0</xdr:rowOff>
    </xdr:from>
    <xdr:to>
      <xdr:col>5</xdr:col>
      <xdr:colOff>404813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</xdr:colOff>
      <xdr:row>36</xdr:row>
      <xdr:rowOff>180975</xdr:rowOff>
    </xdr:from>
    <xdr:to>
      <xdr:col>15</xdr:col>
      <xdr:colOff>0</xdr:colOff>
      <xdr:row>49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21</xdr:row>
      <xdr:rowOff>190500</xdr:rowOff>
    </xdr:from>
    <xdr:to>
      <xdr:col>9</xdr:col>
      <xdr:colOff>0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47624</xdr:colOff>
      <xdr:row>117</xdr:row>
      <xdr:rowOff>19050</xdr:rowOff>
    </xdr:from>
    <xdr:to>
      <xdr:col>9</xdr:col>
      <xdr:colOff>47624</xdr:colOff>
      <xdr:row>130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47624</xdr:colOff>
      <xdr:row>131</xdr:row>
      <xdr:rowOff>47625</xdr:rowOff>
    </xdr:from>
    <xdr:to>
      <xdr:col>6</xdr:col>
      <xdr:colOff>514349</xdr:colOff>
      <xdr:row>143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57149</xdr:colOff>
      <xdr:row>131</xdr:row>
      <xdr:rowOff>47625</xdr:rowOff>
    </xdr:from>
    <xdr:to>
      <xdr:col>12</xdr:col>
      <xdr:colOff>57149</xdr:colOff>
      <xdr:row>143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133349</xdr:colOff>
      <xdr:row>2</xdr:row>
      <xdr:rowOff>19050</xdr:rowOff>
    </xdr:from>
    <xdr:to>
      <xdr:col>14</xdr:col>
      <xdr:colOff>609599</xdr:colOff>
      <xdr:row>21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148</xdr:row>
      <xdr:rowOff>0</xdr:rowOff>
    </xdr:from>
    <xdr:to>
      <xdr:col>6</xdr:col>
      <xdr:colOff>457199</xdr:colOff>
      <xdr:row>159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19050</xdr:colOff>
      <xdr:row>148</xdr:row>
      <xdr:rowOff>0</xdr:rowOff>
    </xdr:from>
    <xdr:to>
      <xdr:col>12</xdr:col>
      <xdr:colOff>0</xdr:colOff>
      <xdr:row>159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142876</xdr:colOff>
      <xdr:row>52</xdr:row>
      <xdr:rowOff>123825</xdr:rowOff>
    </xdr:from>
    <xdr:to>
      <xdr:col>6</xdr:col>
      <xdr:colOff>600076</xdr:colOff>
      <xdr:row>66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171450</xdr:colOff>
      <xdr:row>60</xdr:row>
      <xdr:rowOff>57150</xdr:rowOff>
    </xdr:from>
    <xdr:to>
      <xdr:col>14</xdr:col>
      <xdr:colOff>600075</xdr:colOff>
      <xdr:row>74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142875</xdr:colOff>
      <xdr:row>67</xdr:row>
      <xdr:rowOff>114300</xdr:rowOff>
    </xdr:from>
    <xdr:to>
      <xdr:col>6</xdr:col>
      <xdr:colOff>600075</xdr:colOff>
      <xdr:row>81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75</xdr:row>
      <xdr:rowOff>114300</xdr:rowOff>
    </xdr:from>
    <xdr:to>
      <xdr:col>15</xdr:col>
      <xdr:colOff>0</xdr:colOff>
      <xdr:row>90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7</xdr:col>
      <xdr:colOff>0</xdr:colOff>
      <xdr:row>97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514350</xdr:colOff>
      <xdr:row>63</xdr:row>
      <xdr:rowOff>133350</xdr:rowOff>
    </xdr:from>
    <xdr:to>
      <xdr:col>8</xdr:col>
      <xdr:colOff>57150</xdr:colOff>
      <xdr:row>70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4301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514350</xdr:colOff>
      <xdr:row>79</xdr:row>
      <xdr:rowOff>104775</xdr:rowOff>
    </xdr:from>
    <xdr:to>
      <xdr:col>8</xdr:col>
      <xdr:colOff>57150</xdr:colOff>
      <xdr:row>86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4686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9526</xdr:colOff>
      <xdr:row>50</xdr:row>
      <xdr:rowOff>152400</xdr:rowOff>
    </xdr:from>
    <xdr:to>
      <xdr:col>15</xdr:col>
      <xdr:colOff>19050</xdr:colOff>
      <xdr:row>52</xdr:row>
      <xdr:rowOff>38100</xdr:rowOff>
    </xdr:to>
    <xdr:sp macro="" textlink="">
      <xdr:nvSpPr>
        <xdr:cNvPr id="20" name="Rectangle 19"/>
        <xdr:cNvSpPr/>
      </xdr:nvSpPr>
      <xdr:spPr>
        <a:xfrm>
          <a:off x="11430001" y="9944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115</xdr:row>
      <xdr:rowOff>0</xdr:rowOff>
    </xdr:from>
    <xdr:to>
      <xdr:col>15</xdr:col>
      <xdr:colOff>9524</xdr:colOff>
      <xdr:row>116</xdr:row>
      <xdr:rowOff>76200</xdr:rowOff>
    </xdr:to>
    <xdr:sp macro="" textlink="">
      <xdr:nvSpPr>
        <xdr:cNvPr id="21" name="Rectangle 20"/>
        <xdr:cNvSpPr/>
      </xdr:nvSpPr>
      <xdr:spPr>
        <a:xfrm>
          <a:off x="11420475" y="222218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2</xdr:col>
      <xdr:colOff>0</xdr:colOff>
      <xdr:row>145</xdr:row>
      <xdr:rowOff>104775</xdr:rowOff>
    </xdr:from>
    <xdr:to>
      <xdr:col>15</xdr:col>
      <xdr:colOff>9524</xdr:colOff>
      <xdr:row>146</xdr:row>
      <xdr:rowOff>180975</xdr:rowOff>
    </xdr:to>
    <xdr:sp macro="" textlink="">
      <xdr:nvSpPr>
        <xdr:cNvPr id="24" name="Rectangle 23"/>
        <xdr:cNvSpPr/>
      </xdr:nvSpPr>
      <xdr:spPr>
        <a:xfrm>
          <a:off x="11420475" y="28041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2</xdr:col>
      <xdr:colOff>9526</xdr:colOff>
      <xdr:row>0</xdr:row>
      <xdr:rowOff>133350</xdr:rowOff>
    </xdr:from>
    <xdr:to>
      <xdr:col>15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5</xdr:col>
      <xdr:colOff>511970</xdr:colOff>
      <xdr:row>37</xdr:row>
      <xdr:rowOff>0</xdr:rowOff>
    </xdr:from>
    <xdr:to>
      <xdr:col>10</xdr:col>
      <xdr:colOff>511969</xdr:colOff>
      <xdr:row>50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98</xdr:row>
      <xdr:rowOff>76200</xdr:rowOff>
    </xdr:from>
    <xdr:to>
      <xdr:col>5</xdr:col>
      <xdr:colOff>338137</xdr:colOff>
      <xdr:row>112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457199</xdr:colOff>
      <xdr:row>98</xdr:row>
      <xdr:rowOff>76200</xdr:rowOff>
    </xdr:from>
    <xdr:to>
      <xdr:col>14</xdr:col>
      <xdr:colOff>581024</xdr:colOff>
      <xdr:row>112</xdr:row>
      <xdr:rowOff>152400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481010</xdr:colOff>
      <xdr:row>98</xdr:row>
      <xdr:rowOff>84532</xdr:rowOff>
    </xdr:from>
    <xdr:to>
      <xdr:col>10</xdr:col>
      <xdr:colOff>326230</xdr:colOff>
      <xdr:row>112</xdr:row>
      <xdr:rowOff>160732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0.46563</cdr:x>
      <cdr:y>0.20695</cdr:y>
    </cdr:from>
    <cdr:to>
      <cdr:x>0.66563</cdr:x>
      <cdr:y>0.27641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8838" y="681038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0.45938</cdr:x>
      <cdr:y>0.40872</cdr:y>
    </cdr:from>
    <cdr:to>
      <cdr:x>0.65938</cdr:x>
      <cdr:y>0.47818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00285" y="1426815"/>
          <a:ext cx="914400" cy="24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MRR</a:t>
          </a:r>
          <a:endParaRPr lang="en-US" sz="1100"/>
        </a:p>
      </cdr:txBody>
    </cdr:sp>
  </cdr:relSizeAnchor>
  <cdr:relSizeAnchor xmlns:cdr="http://schemas.openxmlformats.org/drawingml/2006/chartDrawing">
    <cdr:from>
      <cdr:x>0.45105</cdr:x>
      <cdr:y>0.57394</cdr:y>
    </cdr:from>
    <cdr:to>
      <cdr:x>0.65105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62185" y="2003570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</a:t>
          </a:r>
          <a:r>
            <a:rPr lang="en-US" sz="1100" baseline="0"/>
            <a:t>MRR</a:t>
          </a:r>
          <a:endParaRPr lang="en-US" sz="1100"/>
        </a:p>
      </cdr:txBody>
    </cdr:sp>
  </cdr:relSizeAnchor>
  <cdr:relSizeAnchor xmlns:cdr="http://schemas.openxmlformats.org/drawingml/2006/chartDrawing">
    <cdr:from>
      <cdr:x>0.44271</cdr:x>
      <cdr:y>0.85379</cdr:y>
    </cdr:from>
    <cdr:to>
      <cdr:x>0.64271</cdr:x>
      <cdr:y>0.92326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24070" y="2980495"/>
          <a:ext cx="914400" cy="242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MRR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11907</xdr:colOff>
      <xdr:row>13</xdr:row>
      <xdr:rowOff>121442</xdr:rowOff>
    </xdr:from>
    <xdr:to>
      <xdr:col>31</xdr:col>
      <xdr:colOff>11907</xdr:colOff>
      <xdr:row>21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38</xdr:row>
      <xdr:rowOff>180975</xdr:rowOff>
    </xdr:from>
    <xdr:to>
      <xdr:col>31</xdr:col>
      <xdr:colOff>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190500</xdr:rowOff>
    </xdr:from>
    <xdr:to>
      <xdr:col>25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47624</xdr:colOff>
      <xdr:row>125</xdr:row>
      <xdr:rowOff>19050</xdr:rowOff>
    </xdr:from>
    <xdr:to>
      <xdr:col>25</xdr:col>
      <xdr:colOff>47624</xdr:colOff>
      <xdr:row>138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139</xdr:row>
      <xdr:rowOff>47625</xdr:rowOff>
    </xdr:from>
    <xdr:to>
      <xdr:col>22</xdr:col>
      <xdr:colOff>514349</xdr:colOff>
      <xdr:row>151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57149</xdr:colOff>
      <xdr:row>139</xdr:row>
      <xdr:rowOff>47625</xdr:rowOff>
    </xdr:from>
    <xdr:to>
      <xdr:col>28</xdr:col>
      <xdr:colOff>57149</xdr:colOff>
      <xdr:row>151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2380</xdr:colOff>
      <xdr:row>2</xdr:row>
      <xdr:rowOff>19050</xdr:rowOff>
    </xdr:from>
    <xdr:to>
      <xdr:col>31</xdr:col>
      <xdr:colOff>2380</xdr:colOff>
      <xdr:row>13</xdr:row>
      <xdr:rowOff>11906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156</xdr:row>
      <xdr:rowOff>0</xdr:rowOff>
    </xdr:from>
    <xdr:to>
      <xdr:col>22</xdr:col>
      <xdr:colOff>457199</xdr:colOff>
      <xdr:row>167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19050</xdr:colOff>
      <xdr:row>156</xdr:row>
      <xdr:rowOff>0</xdr:rowOff>
    </xdr:from>
    <xdr:to>
      <xdr:col>28</xdr:col>
      <xdr:colOff>0</xdr:colOff>
      <xdr:row>167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142876</xdr:colOff>
      <xdr:row>54</xdr:row>
      <xdr:rowOff>123825</xdr:rowOff>
    </xdr:from>
    <xdr:to>
      <xdr:col>22</xdr:col>
      <xdr:colOff>600076</xdr:colOff>
      <xdr:row>68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171450</xdr:colOff>
      <xdr:row>62</xdr:row>
      <xdr:rowOff>57150</xdr:rowOff>
    </xdr:from>
    <xdr:to>
      <xdr:col>30</xdr:col>
      <xdr:colOff>600075</xdr:colOff>
      <xdr:row>76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142875</xdr:colOff>
      <xdr:row>69</xdr:row>
      <xdr:rowOff>114300</xdr:rowOff>
    </xdr:from>
    <xdr:to>
      <xdr:col>22</xdr:col>
      <xdr:colOff>600075</xdr:colOff>
      <xdr:row>83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77</xdr:row>
      <xdr:rowOff>114300</xdr:rowOff>
    </xdr:from>
    <xdr:to>
      <xdr:col>31</xdr:col>
      <xdr:colOff>0</xdr:colOff>
      <xdr:row>92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85</xdr:row>
      <xdr:rowOff>0</xdr:rowOff>
    </xdr:from>
    <xdr:to>
      <xdr:col>23</xdr:col>
      <xdr:colOff>0</xdr:colOff>
      <xdr:row>99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514350</xdr:colOff>
      <xdr:row>65</xdr:row>
      <xdr:rowOff>133350</xdr:rowOff>
    </xdr:from>
    <xdr:to>
      <xdr:col>24</xdr:col>
      <xdr:colOff>57150</xdr:colOff>
      <xdr:row>72</xdr:row>
      <xdr:rowOff>19050</xdr:rowOff>
    </xdr:to>
    <xdr:sp macro="" textlink="">
      <xdr:nvSpPr>
        <xdr:cNvPr id="18" name="Curved Left Arrow 17"/>
        <xdr:cNvSpPr/>
      </xdr:nvSpPr>
      <xdr:spPr>
        <a:xfrm>
          <a:off x="14373225" y="12620625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514350</xdr:colOff>
      <xdr:row>81</xdr:row>
      <xdr:rowOff>104775</xdr:rowOff>
    </xdr:from>
    <xdr:to>
      <xdr:col>24</xdr:col>
      <xdr:colOff>57150</xdr:colOff>
      <xdr:row>88</xdr:row>
      <xdr:rowOff>0</xdr:rowOff>
    </xdr:to>
    <xdr:sp macro="" textlink="">
      <xdr:nvSpPr>
        <xdr:cNvPr id="19" name="Curved Left Arrow 18"/>
        <xdr:cNvSpPr/>
      </xdr:nvSpPr>
      <xdr:spPr>
        <a:xfrm>
          <a:off x="14373225" y="15659100"/>
          <a:ext cx="333375" cy="1228725"/>
        </a:xfrm>
        <a:prstGeom prst="curvedLeftArrow">
          <a:avLst>
            <a:gd name="adj1" fmla="val 25000"/>
            <a:gd name="adj2" fmla="val 67682"/>
            <a:gd name="adj3" fmla="val 478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9526</xdr:colOff>
      <xdr:row>52</xdr:row>
      <xdr:rowOff>152400</xdr:rowOff>
    </xdr:from>
    <xdr:to>
      <xdr:col>31</xdr:col>
      <xdr:colOff>19050</xdr:colOff>
      <xdr:row>54</xdr:row>
      <xdr:rowOff>38100</xdr:rowOff>
    </xdr:to>
    <xdr:sp macro="" textlink="">
      <xdr:nvSpPr>
        <xdr:cNvPr id="20" name="Rectangle 19"/>
        <xdr:cNvSpPr/>
      </xdr:nvSpPr>
      <xdr:spPr>
        <a:xfrm>
          <a:off x="11430001" y="101346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Funnel Metrics (your</a:t>
          </a:r>
          <a:r>
            <a:rPr lang="en-US" sz="1200" b="1" baseline="0"/>
            <a:t> key funnel stages will likely vary)</a:t>
          </a:r>
          <a:endParaRPr lang="en-US" sz="1200" b="1"/>
        </a:p>
      </xdr:txBody>
    </xdr:sp>
    <xdr:clientData/>
  </xdr:twoCellAnchor>
  <xdr:twoCellAnchor>
    <xdr:from>
      <xdr:col>18</xdr:col>
      <xdr:colOff>0</xdr:colOff>
      <xdr:row>123</xdr:row>
      <xdr:rowOff>0</xdr:rowOff>
    </xdr:from>
    <xdr:to>
      <xdr:col>31</xdr:col>
      <xdr:colOff>9524</xdr:colOff>
      <xdr:row>124</xdr:row>
      <xdr:rowOff>76200</xdr:rowOff>
    </xdr:to>
    <xdr:sp macro="" textlink="">
      <xdr:nvSpPr>
        <xdr:cNvPr id="21" name="Rectangle 20"/>
        <xdr:cNvSpPr/>
      </xdr:nvSpPr>
      <xdr:spPr>
        <a:xfrm>
          <a:off x="11420475" y="22412325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Unit</a:t>
          </a:r>
          <a:r>
            <a:rPr lang="en-US" sz="1200" b="1" baseline="0"/>
            <a:t> Economics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106</xdr:row>
      <xdr:rowOff>114300</xdr:rowOff>
    </xdr:from>
    <xdr:to>
      <xdr:col>21</xdr:col>
      <xdr:colOff>345282</xdr:colOff>
      <xdr:row>121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476250</xdr:colOff>
      <xdr:row>106</xdr:row>
      <xdr:rowOff>114300</xdr:rowOff>
    </xdr:from>
    <xdr:to>
      <xdr:col>31</xdr:col>
      <xdr:colOff>0</xdr:colOff>
      <xdr:row>121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153</xdr:row>
      <xdr:rowOff>104775</xdr:rowOff>
    </xdr:from>
    <xdr:to>
      <xdr:col>31</xdr:col>
      <xdr:colOff>9524</xdr:colOff>
      <xdr:row>154</xdr:row>
      <xdr:rowOff>180975</xdr:rowOff>
    </xdr:to>
    <xdr:sp macro="" textlink="">
      <xdr:nvSpPr>
        <xdr:cNvPr id="24" name="Rectangle 23"/>
        <xdr:cNvSpPr/>
      </xdr:nvSpPr>
      <xdr:spPr>
        <a:xfrm>
          <a:off x="11420475" y="28232100"/>
          <a:ext cx="65627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Customer</a:t>
          </a:r>
          <a:r>
            <a:rPr lang="en-US" sz="1200" b="1" baseline="0"/>
            <a:t> Engagement and Customer Happiness  (both are churn predictors)</a:t>
          </a:r>
          <a:endParaRPr lang="en-US" sz="1200" b="1"/>
        </a:p>
      </xdr:txBody>
    </xdr:sp>
    <xdr:clientData/>
  </xdr:twoCellAnchor>
  <xdr:twoCellAnchor>
    <xdr:from>
      <xdr:col>18</xdr:col>
      <xdr:colOff>9526</xdr:colOff>
      <xdr:row>0</xdr:row>
      <xdr:rowOff>133350</xdr:rowOff>
    </xdr:from>
    <xdr:to>
      <xdr:col>31</xdr:col>
      <xdr:colOff>19050</xdr:colOff>
      <xdr:row>1</xdr:row>
      <xdr:rowOff>114300</xdr:rowOff>
    </xdr:to>
    <xdr:sp macro="" textlink="">
      <xdr:nvSpPr>
        <xdr:cNvPr id="25" name="Rectangle 24"/>
        <xdr:cNvSpPr/>
      </xdr:nvSpPr>
      <xdr:spPr>
        <a:xfrm>
          <a:off x="11430001" y="133350"/>
          <a:ext cx="6562724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Bookings Metrics</a:t>
          </a:r>
        </a:p>
      </xdr:txBody>
    </xdr:sp>
    <xdr:clientData/>
  </xdr:twoCellAnchor>
  <xdr:twoCellAnchor>
    <xdr:from>
      <xdr:col>18</xdr:col>
      <xdr:colOff>0</xdr:colOff>
      <xdr:row>39</xdr:row>
      <xdr:rowOff>0</xdr:rowOff>
    </xdr:from>
    <xdr:to>
      <xdr:col>25</xdr:col>
      <xdr:colOff>0</xdr:colOff>
      <xdr:row>52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17861</xdr:colOff>
      <xdr:row>22</xdr:row>
      <xdr:rowOff>0</xdr:rowOff>
    </xdr:from>
    <xdr:to>
      <xdr:col>31</xdr:col>
      <xdr:colOff>1</xdr:colOff>
      <xdr:row>38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488155</xdr:colOff>
      <xdr:row>106</xdr:row>
      <xdr:rowOff>122632</xdr:rowOff>
    </xdr:from>
    <xdr:to>
      <xdr:col>26</xdr:col>
      <xdr:colOff>345281</xdr:colOff>
      <xdr:row>121</xdr:row>
      <xdr:rowOff>8332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0</xdr:colOff>
      <xdr:row>106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0.44694</cdr:x>
      <cdr:y>0.19397</cdr:y>
    </cdr:from>
    <cdr:to>
      <cdr:x>0.64694</cdr:x>
      <cdr:y>0.26343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8157" y="711779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0.50299</cdr:x>
      <cdr:y>0.3925</cdr:y>
    </cdr:from>
    <cdr:to>
      <cdr:x>0.70299</cdr:x>
      <cdr:y>0.46196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22395" y="1440268"/>
          <a:ext cx="764381" cy="254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Net New</a:t>
          </a:r>
          <a:r>
            <a:rPr lang="en-US" sz="1100" baseline="0"/>
            <a:t> ACV</a:t>
          </a:r>
          <a:endParaRPr lang="en-US" sz="1100"/>
        </a:p>
      </cdr:txBody>
    </cdr:sp>
  </cdr:relSizeAnchor>
  <cdr:relSizeAnchor xmlns:cdr="http://schemas.openxmlformats.org/drawingml/2006/chartDrawing">
    <cdr:from>
      <cdr:x>0.40432</cdr:x>
      <cdr:y>0.57394</cdr:y>
    </cdr:from>
    <cdr:to>
      <cdr:x>0.60432</cdr:x>
      <cdr:y>0.64341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45277" y="2106075"/>
          <a:ext cx="764381" cy="254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Expansion ACV</a:t>
          </a:r>
        </a:p>
      </cdr:txBody>
    </cdr:sp>
  </cdr:relSizeAnchor>
  <cdr:relSizeAnchor xmlns:cdr="http://schemas.openxmlformats.org/drawingml/2006/chartDrawing">
    <cdr:from>
      <cdr:x>0.45517</cdr:x>
      <cdr:y>0.83432</cdr:y>
    </cdr:from>
    <cdr:to>
      <cdr:x>0.65517</cdr:x>
      <cdr:y>0.90379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739621" y="3061551"/>
          <a:ext cx="764381" cy="254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Churned </a:t>
          </a:r>
          <a:r>
            <a:rPr lang="en-US" sz="1100" baseline="0"/>
            <a:t>ACV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11</xdr:row>
      <xdr:rowOff>104775</xdr:rowOff>
    </xdr:from>
    <xdr:to>
      <xdr:col>10</xdr:col>
      <xdr:colOff>114300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176212</xdr:colOff>
      <xdr:row>33</xdr:row>
      <xdr:rowOff>23812</xdr:rowOff>
    </xdr:from>
    <xdr:to>
      <xdr:col>12</xdr:col>
      <xdr:colOff>76200</xdr:colOff>
      <xdr:row>47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0.40959</cdr:x>
      <cdr:y>0.75202</cdr:y>
    </cdr:from>
    <cdr:to>
      <cdr:x>0.65683</cdr:x>
      <cdr:y>0.86936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507809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0.61111</cdr:x>
      <cdr:y>0.7963</cdr:y>
    </cdr:from>
    <cdr:to>
      <cdr:x>0.75069</cdr:x>
      <cdr:y>0.88206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94000" y="2184400"/>
          <a:ext cx="638175" cy="235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Months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62"/>
  <sheetViews>
    <sheetView tabSelected="1" topLeftCell="A13" zoomScale="80" zoomScaleNormal="80" zoomScalePageLayoutView="30" workbookViewId="0">
      <selection activeCell="C15" sqref="C15"/>
    </sheetView>
  </sheetViews>
  <sheetFormatPr defaultRowHeight="14.5" x14ac:dyDescent="0.35"/>
  <cols>
    <col min="1" max="1" width="4.7265625" customWidth="1"/>
    <col min="2" max="2" width="34.7265625" customWidth="1"/>
    <col min="3" max="3" width="34.7265625" style="44" customWidth="1"/>
    <col min="4" max="4" width="32.36328125" customWidth="1"/>
    <col min="5" max="5" width="10.7265625" customWidth="1"/>
    <col min="6" max="6" width="10.26953125" customWidth="1"/>
    <col min="7" max="10" width="9.54296875" bestFit="1" customWidth="1"/>
    <col min="19" max="19" width="2.26953125" customWidth="1"/>
    <col min="24" max="24" width="9.1796875" customWidth="1"/>
    <col min="25" max="25" width="2.7265625" customWidth="1"/>
    <col min="27" max="27" width="2" customWidth="1"/>
    <col min="30" max="30" width="2.1796875" customWidth="1"/>
    <col min="33" max="33" width="2.81640625" customWidth="1"/>
  </cols>
  <sheetData>
    <row r="1" spans="1:33" ht="28" x14ac:dyDescent="0.8">
      <c r="A1" s="22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7.5" thickBot="1" x14ac:dyDescent="0.45">
      <c r="A2" s="2" t="s">
        <v>1</v>
      </c>
      <c r="B2" s="2"/>
      <c r="C2" s="45"/>
      <c r="D2" s="2"/>
      <c r="E2" s="2"/>
      <c r="F2" s="2"/>
      <c r="G2" s="2"/>
      <c r="H2" s="2"/>
      <c r="I2" s="2"/>
      <c r="J2" s="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" thickTop="1" x14ac:dyDescent="0.35"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thickBot="1" x14ac:dyDescent="0.4">
      <c r="A5" s="3" t="s">
        <v>2</v>
      </c>
      <c r="B5" s="3"/>
      <c r="C5" s="46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9" x14ac:dyDescent="0.35">
      <c r="B6" t="s">
        <v>10</v>
      </c>
      <c r="C6" s="44" t="s">
        <v>142</v>
      </c>
      <c r="E6" s="33">
        <v>121</v>
      </c>
      <c r="F6" s="5">
        <f>F25*F10/1000*F9</f>
        <v>161.00000000000003</v>
      </c>
      <c r="G6" s="5">
        <f>G25*G10/1000*G9</f>
        <v>122.50000000000001</v>
      </c>
      <c r="H6" s="5">
        <f>H25*H10/1000*H9</f>
        <v>168.99999999999997</v>
      </c>
      <c r="I6" s="5">
        <f>I25*I10/1000*I9</f>
        <v>156.6</v>
      </c>
      <c r="J6" s="5">
        <f>J25*J10/1000*J9</f>
        <v>179.80000000000004</v>
      </c>
      <c r="K6" t="s">
        <v>11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B7" t="s">
        <v>12</v>
      </c>
      <c r="C7" s="44" t="s">
        <v>143</v>
      </c>
      <c r="E7" s="5">
        <f t="shared" ref="E7:J7" si="0">E6/E25*1000</f>
        <v>3025</v>
      </c>
      <c r="F7" s="5">
        <f t="shared" si="0"/>
        <v>3833.3333333333339</v>
      </c>
      <c r="G7" s="5">
        <f t="shared" si="0"/>
        <v>2848.8372093023258</v>
      </c>
      <c r="H7" s="5">
        <f t="shared" si="0"/>
        <v>3673.9130434782605</v>
      </c>
      <c r="I7" s="5">
        <f t="shared" si="0"/>
        <v>3262.4999999999995</v>
      </c>
      <c r="J7" s="5">
        <f t="shared" si="0"/>
        <v>3457.6923076923081</v>
      </c>
      <c r="K7" t="s">
        <v>13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B8" t="s">
        <v>109</v>
      </c>
      <c r="E8" s="26"/>
      <c r="F8" s="26"/>
      <c r="G8" s="26"/>
      <c r="H8" s="26"/>
      <c r="I8" s="26"/>
      <c r="J8" s="26"/>
      <c r="K8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B9" s="43" t="s">
        <v>107</v>
      </c>
      <c r="C9" s="47" t="s">
        <v>144</v>
      </c>
      <c r="E9" s="34">
        <v>5.5</v>
      </c>
      <c r="F9" s="34">
        <v>7</v>
      </c>
      <c r="G9" s="6">
        <v>5</v>
      </c>
      <c r="H9" s="6">
        <v>6.5</v>
      </c>
      <c r="I9" s="6">
        <v>5.8</v>
      </c>
      <c r="J9" s="6">
        <v>6.2</v>
      </c>
      <c r="K9" t="s">
        <v>108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B10" t="s">
        <v>138</v>
      </c>
      <c r="C10" s="44" t="s">
        <v>145</v>
      </c>
      <c r="E10" s="5">
        <f t="shared" ref="E10:J10" si="1">E14/E25*1000</f>
        <v>550</v>
      </c>
      <c r="F10" s="5">
        <f t="shared" si="1"/>
        <v>547.61904761904771</v>
      </c>
      <c r="G10" s="5">
        <f t="shared" si="1"/>
        <v>569.76744186046517</v>
      </c>
      <c r="H10" s="5">
        <f t="shared" si="1"/>
        <v>565.21739130434776</v>
      </c>
      <c r="I10" s="5">
        <f t="shared" si="1"/>
        <v>562.5</v>
      </c>
      <c r="J10" s="5">
        <f t="shared" si="1"/>
        <v>557.69230769230774</v>
      </c>
      <c r="K10" t="s">
        <v>140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B11" t="s">
        <v>139</v>
      </c>
      <c r="C11" s="44" t="s">
        <v>146</v>
      </c>
      <c r="E11" s="5">
        <f t="shared" ref="E11:J11" si="2">E20/E24*1000</f>
        <v>514.3564356435644</v>
      </c>
      <c r="F11" s="5">
        <f t="shared" si="2"/>
        <v>521.05745454545456</v>
      </c>
      <c r="G11" s="5">
        <f t="shared" si="2"/>
        <v>529.57922082840241</v>
      </c>
      <c r="H11" s="5">
        <f t="shared" si="2"/>
        <v>537.97579225496543</v>
      </c>
      <c r="I11" s="5">
        <f t="shared" si="2"/>
        <v>551.71178421171783</v>
      </c>
      <c r="J11" s="5">
        <f t="shared" si="2"/>
        <v>561.81466111462464</v>
      </c>
      <c r="K11" t="s">
        <v>103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E12" s="7"/>
      <c r="F12" s="7"/>
      <c r="G12" s="7"/>
      <c r="H12" s="7"/>
      <c r="I12" s="7"/>
      <c r="J12" s="7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thickBot="1" x14ac:dyDescent="0.4">
      <c r="A13" s="3" t="s">
        <v>15</v>
      </c>
      <c r="B13" s="3"/>
      <c r="C13" s="46"/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B14" s="43" t="s">
        <v>141</v>
      </c>
      <c r="C14" s="47" t="s">
        <v>147</v>
      </c>
      <c r="E14" s="35">
        <v>22</v>
      </c>
      <c r="F14" s="35">
        <v>23</v>
      </c>
      <c r="G14" s="7">
        <v>24.5</v>
      </c>
      <c r="H14" s="7">
        <v>26</v>
      </c>
      <c r="I14" s="7">
        <v>27</v>
      </c>
      <c r="J14" s="7">
        <v>29</v>
      </c>
      <c r="K14" t="s">
        <v>16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9" x14ac:dyDescent="0.35">
      <c r="B15" s="50" t="s">
        <v>17</v>
      </c>
      <c r="C15" s="51" t="s">
        <v>164</v>
      </c>
      <c r="E15" s="7">
        <f t="shared" ref="E15:J15" si="3">-E30*D20</f>
        <v>-8.4</v>
      </c>
      <c r="F15" s="7">
        <f t="shared" si="3"/>
        <v>-11.2212</v>
      </c>
      <c r="G15" s="7">
        <f t="shared" si="3"/>
        <v>-9.0273204000000007</v>
      </c>
      <c r="H15" s="7">
        <f t="shared" si="3"/>
        <v>-8.949888832000001</v>
      </c>
      <c r="I15" s="7">
        <f t="shared" si="3"/>
        <v>-8.8518536857632011</v>
      </c>
      <c r="J15" s="7">
        <f t="shared" si="3"/>
        <v>-8.838422783071719</v>
      </c>
      <c r="K15" s="7" t="s">
        <v>18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5">
      <c r="B16" s="50" t="s">
        <v>19</v>
      </c>
      <c r="C16" s="51" t="s">
        <v>148</v>
      </c>
      <c r="E16" s="7">
        <f t="shared" ref="E16:J16" si="4">E31*D20</f>
        <v>2</v>
      </c>
      <c r="F16" s="7">
        <f t="shared" si="4"/>
        <v>2.4936000000000003</v>
      </c>
      <c r="G16" s="7">
        <f t="shared" si="4"/>
        <v>2.149362</v>
      </c>
      <c r="H16" s="7">
        <f t="shared" si="4"/>
        <v>1.3424833248000001</v>
      </c>
      <c r="I16" s="7">
        <f t="shared" si="4"/>
        <v>6.9883055413920001</v>
      </c>
      <c r="J16" s="7">
        <f t="shared" si="4"/>
        <v>3.437164415639002</v>
      </c>
      <c r="K16" t="s">
        <v>20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thickBot="1" x14ac:dyDescent="0.4">
      <c r="B17" s="52" t="s">
        <v>106</v>
      </c>
      <c r="C17" s="53" t="s">
        <v>149</v>
      </c>
      <c r="D17" s="8"/>
      <c r="E17" s="9">
        <f t="shared" ref="E17:J17" si="5">E14+E15+E16</f>
        <v>15.6</v>
      </c>
      <c r="F17" s="9">
        <f t="shared" si="5"/>
        <v>14.272400000000001</v>
      </c>
      <c r="G17" s="9">
        <f t="shared" si="5"/>
        <v>17.622041599999999</v>
      </c>
      <c r="H17" s="9">
        <f t="shared" si="5"/>
        <v>18.392594492800001</v>
      </c>
      <c r="I17" s="9">
        <f t="shared" si="5"/>
        <v>25.136451855628799</v>
      </c>
      <c r="J17" s="9">
        <f t="shared" si="5"/>
        <v>23.598741632567283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thickTop="1" x14ac:dyDescent="0.35">
      <c r="E18" s="7"/>
      <c r="F18" s="7"/>
      <c r="G18" s="7"/>
      <c r="H18" s="7"/>
      <c r="I18" s="7"/>
      <c r="J18" s="7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B19" s="50" t="s">
        <v>21</v>
      </c>
      <c r="C19" s="51" t="s">
        <v>150</v>
      </c>
      <c r="E19" s="35">
        <v>400</v>
      </c>
      <c r="F19" s="7">
        <f>E20</f>
        <v>415.6</v>
      </c>
      <c r="G19" s="7">
        <f>F20</f>
        <v>429.87240000000003</v>
      </c>
      <c r="H19" s="7">
        <f>G20</f>
        <v>447.49444160000002</v>
      </c>
      <c r="I19" s="7">
        <f>H20</f>
        <v>465.88703609280003</v>
      </c>
      <c r="J19" s="7">
        <f>I20</f>
        <v>491.02348794842885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29" x14ac:dyDescent="0.35">
      <c r="B20" s="50" t="s">
        <v>22</v>
      </c>
      <c r="C20" s="51" t="s">
        <v>151</v>
      </c>
      <c r="D20" s="10">
        <v>400</v>
      </c>
      <c r="E20" s="10">
        <f t="shared" ref="E20:J20" si="6">D20+E17</f>
        <v>415.6</v>
      </c>
      <c r="F20" s="10">
        <f t="shared" si="6"/>
        <v>429.87240000000003</v>
      </c>
      <c r="G20" s="10">
        <f t="shared" si="6"/>
        <v>447.49444160000002</v>
      </c>
      <c r="H20" s="10">
        <f t="shared" si="6"/>
        <v>465.88703609280003</v>
      </c>
      <c r="I20" s="10">
        <f t="shared" si="6"/>
        <v>491.02348794842885</v>
      </c>
      <c r="J20" s="10">
        <f t="shared" si="6"/>
        <v>514.62222958099619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B21" s="50" t="s">
        <v>23</v>
      </c>
      <c r="C21" s="51" t="s">
        <v>152</v>
      </c>
      <c r="D21" s="11">
        <f>D20*12</f>
        <v>4800</v>
      </c>
      <c r="E21" s="11">
        <f t="shared" ref="E21:J21" si="7">E20*12</f>
        <v>4987.2000000000007</v>
      </c>
      <c r="F21" s="11">
        <f t="shared" si="7"/>
        <v>5158.4688000000006</v>
      </c>
      <c r="G21" s="11">
        <f t="shared" si="7"/>
        <v>5369.9332992</v>
      </c>
      <c r="H21" s="11">
        <f t="shared" si="7"/>
        <v>5590.6444331136008</v>
      </c>
      <c r="I21" s="11">
        <f t="shared" si="7"/>
        <v>5892.2818553811467</v>
      </c>
      <c r="J21" s="11">
        <f t="shared" si="7"/>
        <v>6175.4667549719543</v>
      </c>
      <c r="K21" t="s">
        <v>24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thickBot="1" x14ac:dyDescent="0.4">
      <c r="A23" s="3" t="s">
        <v>25</v>
      </c>
      <c r="B23" s="3"/>
      <c r="C23" s="46"/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9" x14ac:dyDescent="0.35">
      <c r="B24" s="50" t="s">
        <v>26</v>
      </c>
      <c r="C24" s="51" t="s">
        <v>153</v>
      </c>
      <c r="D24" s="12">
        <v>792</v>
      </c>
      <c r="E24" s="13">
        <f>D24+E27</f>
        <v>808</v>
      </c>
      <c r="F24" s="13">
        <f>E24+F27</f>
        <v>825</v>
      </c>
      <c r="G24" s="13">
        <f t="shared" ref="G24:J24" si="8">F24+G27</f>
        <v>845</v>
      </c>
      <c r="H24" s="13">
        <f t="shared" si="8"/>
        <v>866</v>
      </c>
      <c r="I24" s="13">
        <f t="shared" si="8"/>
        <v>890</v>
      </c>
      <c r="J24" s="13">
        <f t="shared" si="8"/>
        <v>916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B25" s="43" t="s">
        <v>27</v>
      </c>
      <c r="C25" s="47"/>
      <c r="E25" s="36">
        <v>40</v>
      </c>
      <c r="F25" s="36">
        <v>42</v>
      </c>
      <c r="G25" s="12">
        <v>43</v>
      </c>
      <c r="H25" s="12">
        <v>46</v>
      </c>
      <c r="I25" s="12">
        <v>48</v>
      </c>
      <c r="J25" s="12">
        <v>52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5">
      <c r="B26" s="50" t="s">
        <v>28</v>
      </c>
      <c r="C26" s="51" t="s">
        <v>154</v>
      </c>
      <c r="E26" s="37">
        <v>-24</v>
      </c>
      <c r="F26" s="13">
        <f>-ROUND(3.1%*E24,0)</f>
        <v>-25</v>
      </c>
      <c r="G26" s="13">
        <f>-ROUND(2.8%*F24,0)</f>
        <v>-23</v>
      </c>
      <c r="H26" s="13">
        <f>-ROUND(2.9%*G24,0)</f>
        <v>-25</v>
      </c>
      <c r="I26" s="13">
        <f>-ROUND(2.8%*H24,0)</f>
        <v>-24</v>
      </c>
      <c r="J26" s="13">
        <f>-ROUND(2.9%*I24,0)</f>
        <v>-26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5">
      <c r="B27" s="54" t="s">
        <v>29</v>
      </c>
      <c r="C27" s="55" t="s">
        <v>155</v>
      </c>
      <c r="D27" s="15"/>
      <c r="E27" s="16">
        <f t="shared" ref="E27:J27" si="9">E25+E26</f>
        <v>16</v>
      </c>
      <c r="F27" s="16">
        <f t="shared" si="9"/>
        <v>17</v>
      </c>
      <c r="G27" s="16">
        <f t="shared" si="9"/>
        <v>20</v>
      </c>
      <c r="H27" s="16">
        <f t="shared" si="9"/>
        <v>21</v>
      </c>
      <c r="I27" s="16">
        <f t="shared" si="9"/>
        <v>24</v>
      </c>
      <c r="J27" s="16">
        <f t="shared" si="9"/>
        <v>26</v>
      </c>
      <c r="K27" t="s">
        <v>84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29" x14ac:dyDescent="0.35">
      <c r="B29" s="43" t="s">
        <v>30</v>
      </c>
      <c r="C29" s="47" t="s">
        <v>156</v>
      </c>
      <c r="E29" s="17">
        <f t="shared" ref="E29:J29" si="10">-E26/D24</f>
        <v>3.0303030303030304E-2</v>
      </c>
      <c r="F29" s="17">
        <f t="shared" si="10"/>
        <v>3.094059405940594E-2</v>
      </c>
      <c r="G29" s="17">
        <f t="shared" si="10"/>
        <v>2.7878787878787878E-2</v>
      </c>
      <c r="H29" s="17">
        <f t="shared" si="10"/>
        <v>2.9585798816568046E-2</v>
      </c>
      <c r="I29" s="17">
        <f t="shared" si="10"/>
        <v>2.771362586605081E-2</v>
      </c>
      <c r="J29" s="17">
        <f t="shared" si="10"/>
        <v>2.9213483146067417E-2</v>
      </c>
      <c r="K29" t="s">
        <v>31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B30" t="s">
        <v>32</v>
      </c>
      <c r="C30" s="44" t="s">
        <v>147</v>
      </c>
      <c r="E30" s="38">
        <v>2.1000000000000001E-2</v>
      </c>
      <c r="F30" s="38">
        <v>2.7E-2</v>
      </c>
      <c r="G30" s="17">
        <v>2.1000000000000001E-2</v>
      </c>
      <c r="H30" s="17">
        <v>0.02</v>
      </c>
      <c r="I30" s="17">
        <v>1.9E-2</v>
      </c>
      <c r="J30" s="17">
        <v>1.7999999999999999E-2</v>
      </c>
      <c r="K30" t="s">
        <v>33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B31" t="s">
        <v>34</v>
      </c>
      <c r="C31" s="44" t="s">
        <v>148</v>
      </c>
      <c r="E31" s="38">
        <v>5.0000000000000001E-3</v>
      </c>
      <c r="F31" s="38">
        <v>6.0000000000000001E-3</v>
      </c>
      <c r="G31" s="17">
        <v>5.0000000000000001E-3</v>
      </c>
      <c r="H31" s="17">
        <v>3.0000000000000001E-3</v>
      </c>
      <c r="I31" s="17">
        <v>1.4999999999999999E-2</v>
      </c>
      <c r="J31" s="17">
        <v>7.0000000000000001E-3</v>
      </c>
      <c r="K31" t="s">
        <v>35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9" x14ac:dyDescent="0.35">
      <c r="B32" s="14" t="s">
        <v>95</v>
      </c>
      <c r="C32" s="48" t="s">
        <v>157</v>
      </c>
      <c r="D32" s="14"/>
      <c r="E32" s="25">
        <f t="shared" ref="E32:J32" si="11">(-E15-E16)/E19</f>
        <v>1.6E-2</v>
      </c>
      <c r="F32" s="25">
        <f t="shared" si="11"/>
        <v>2.0999999999999998E-2</v>
      </c>
      <c r="G32" s="25">
        <f t="shared" si="11"/>
        <v>1.6E-2</v>
      </c>
      <c r="H32" s="25">
        <f t="shared" si="11"/>
        <v>1.7000000000000001E-2</v>
      </c>
      <c r="I32" s="25">
        <f t="shared" si="11"/>
        <v>4.0000000000000018E-3</v>
      </c>
      <c r="J32" s="25">
        <f t="shared" si="11"/>
        <v>1.1000000000000001E-2</v>
      </c>
      <c r="K32" t="s">
        <v>96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B34" t="s">
        <v>36</v>
      </c>
      <c r="E34" s="39">
        <v>121</v>
      </c>
      <c r="F34" s="39">
        <v>120</v>
      </c>
      <c r="G34">
        <v>125</v>
      </c>
      <c r="H34">
        <v>126</v>
      </c>
      <c r="I34">
        <v>130</v>
      </c>
      <c r="J34">
        <v>135</v>
      </c>
      <c r="K34" t="s">
        <v>37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B35" t="s">
        <v>38</v>
      </c>
      <c r="E35" s="36">
        <v>28</v>
      </c>
      <c r="F35" s="36">
        <v>27</v>
      </c>
      <c r="G35" s="12">
        <v>29</v>
      </c>
      <c r="H35" s="12">
        <v>32</v>
      </c>
      <c r="I35" s="12">
        <v>33</v>
      </c>
      <c r="J35" s="12">
        <v>35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thickBot="1" x14ac:dyDescent="0.4">
      <c r="A37" s="3" t="s">
        <v>39</v>
      </c>
      <c r="B37" s="3"/>
      <c r="C37" s="46"/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29" x14ac:dyDescent="0.35">
      <c r="B38" t="s">
        <v>40</v>
      </c>
      <c r="C38" s="44" t="s">
        <v>158</v>
      </c>
      <c r="E38" s="18">
        <f t="shared" ref="E38:J38" si="12">E10*E50/E30</f>
        <v>21738.095238095237</v>
      </c>
      <c r="F38" s="18">
        <f t="shared" si="12"/>
        <v>16834.215167548504</v>
      </c>
      <c r="G38" s="18">
        <f t="shared" si="12"/>
        <v>22519.37984496124</v>
      </c>
      <c r="H38" s="18">
        <f t="shared" si="12"/>
        <v>23456.521739130432</v>
      </c>
      <c r="I38" s="18">
        <f t="shared" si="12"/>
        <v>24572.368421052633</v>
      </c>
      <c r="J38" s="18">
        <f t="shared" si="12"/>
        <v>25715.811965811969</v>
      </c>
      <c r="K38" t="s">
        <v>134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29" x14ac:dyDescent="0.35">
      <c r="B39" t="s">
        <v>41</v>
      </c>
      <c r="C39" s="44" t="s">
        <v>159</v>
      </c>
      <c r="E39" s="5">
        <f t="shared" ref="E39:J39" si="13">E53/E25*1000</f>
        <v>8750</v>
      </c>
      <c r="F39" s="5">
        <f t="shared" si="13"/>
        <v>8571.4285714285706</v>
      </c>
      <c r="G39" s="5">
        <f t="shared" si="13"/>
        <v>8604.6511627906966</v>
      </c>
      <c r="H39" s="5">
        <f t="shared" si="13"/>
        <v>8260.8695652173901</v>
      </c>
      <c r="I39" s="5">
        <f t="shared" si="13"/>
        <v>8125</v>
      </c>
      <c r="J39" s="5">
        <f t="shared" si="13"/>
        <v>7692.3076923076924</v>
      </c>
      <c r="K39" t="s">
        <v>42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B40" t="s">
        <v>43</v>
      </c>
      <c r="C40" s="44" t="s">
        <v>44</v>
      </c>
      <c r="E40" s="6">
        <f t="shared" ref="E40:J40" si="14">E38/E39</f>
        <v>2.4843537414965984</v>
      </c>
      <c r="F40" s="6">
        <f t="shared" si="14"/>
        <v>1.9639917695473257</v>
      </c>
      <c r="G40" s="6">
        <f t="shared" si="14"/>
        <v>2.6171171171171173</v>
      </c>
      <c r="H40" s="6">
        <f t="shared" si="14"/>
        <v>2.8394736842105264</v>
      </c>
      <c r="I40" s="6">
        <f t="shared" si="14"/>
        <v>3.024291497975709</v>
      </c>
      <c r="J40" s="6">
        <f t="shared" si="14"/>
        <v>3.3430555555555559</v>
      </c>
      <c r="K40" t="s">
        <v>44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29" x14ac:dyDescent="0.35">
      <c r="B41" t="s">
        <v>45</v>
      </c>
      <c r="C41" s="44" t="s">
        <v>160</v>
      </c>
      <c r="E41" s="12">
        <f t="shared" ref="E41:J41" si="15">E39/(E10*E50)</f>
        <v>19.167579408543265</v>
      </c>
      <c r="F41" s="12">
        <f t="shared" si="15"/>
        <v>18.858040859088526</v>
      </c>
      <c r="G41" s="12">
        <f t="shared" si="15"/>
        <v>18.19522989918859</v>
      </c>
      <c r="H41" s="12">
        <f t="shared" si="15"/>
        <v>17.608897126969417</v>
      </c>
      <c r="I41" s="12">
        <f t="shared" si="15"/>
        <v>17.402945113788487</v>
      </c>
      <c r="J41" s="12">
        <f t="shared" si="15"/>
        <v>16.618196925633569</v>
      </c>
      <c r="K41" t="s">
        <v>137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" thickBot="1" x14ac:dyDescent="0.4">
      <c r="A45" s="3" t="s">
        <v>46</v>
      </c>
      <c r="B45" s="3"/>
      <c r="C45" s="46"/>
      <c r="D45" s="4" t="s">
        <v>3</v>
      </c>
      <c r="E45" s="4" t="s">
        <v>4</v>
      </c>
      <c r="F45" s="4" t="s">
        <v>5</v>
      </c>
      <c r="G45" s="4" t="s">
        <v>6</v>
      </c>
      <c r="H45" s="4" t="s">
        <v>7</v>
      </c>
      <c r="I45" s="4" t="s">
        <v>8</v>
      </c>
      <c r="J45" s="4" t="s">
        <v>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5">
      <c r="B46" t="s">
        <v>47</v>
      </c>
      <c r="E46" s="33">
        <v>505</v>
      </c>
      <c r="F46" s="33">
        <v>515</v>
      </c>
      <c r="G46" s="5">
        <v>520</v>
      </c>
      <c r="H46" s="5">
        <v>490</v>
      </c>
      <c r="I46" s="5">
        <v>540</v>
      </c>
      <c r="J46" s="5">
        <v>560</v>
      </c>
      <c r="K46" t="s">
        <v>48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5">
      <c r="B47" t="s">
        <v>49</v>
      </c>
      <c r="E47" s="5">
        <f t="shared" ref="E47:J47" si="16">E20</f>
        <v>415.6</v>
      </c>
      <c r="F47" s="5">
        <f t="shared" si="16"/>
        <v>429.87240000000003</v>
      </c>
      <c r="G47" s="5">
        <f t="shared" si="16"/>
        <v>447.49444160000002</v>
      </c>
      <c r="H47" s="5">
        <f t="shared" si="16"/>
        <v>465.88703609280003</v>
      </c>
      <c r="I47" s="5">
        <f t="shared" si="16"/>
        <v>491.02348794842885</v>
      </c>
      <c r="J47" s="5">
        <f t="shared" si="16"/>
        <v>514.62222958099619</v>
      </c>
      <c r="K47" t="s">
        <v>50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5">
      <c r="B48" t="s">
        <v>51</v>
      </c>
      <c r="E48" s="18">
        <f t="shared" ref="E48:J48" si="17">(1-E50)*E47</f>
        <v>70.652000000000015</v>
      </c>
      <c r="F48" s="18">
        <f t="shared" si="17"/>
        <v>73.078308000000021</v>
      </c>
      <c r="G48" s="18">
        <f t="shared" si="17"/>
        <v>76.074055072000021</v>
      </c>
      <c r="H48" s="18">
        <f t="shared" si="17"/>
        <v>79.200796135776031</v>
      </c>
      <c r="I48" s="18">
        <f t="shared" si="17"/>
        <v>83.47399295123293</v>
      </c>
      <c r="J48" s="18">
        <f t="shared" si="17"/>
        <v>87.485779028769372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5">
      <c r="B49" t="s">
        <v>52</v>
      </c>
      <c r="C49" s="44" t="s">
        <v>161</v>
      </c>
      <c r="E49" s="18">
        <f t="shared" ref="E49:J49" si="18">E47-E48</f>
        <v>344.94799999999998</v>
      </c>
      <c r="F49" s="18">
        <f t="shared" si="18"/>
        <v>356.79409199999998</v>
      </c>
      <c r="G49" s="18">
        <f t="shared" si="18"/>
        <v>371.42038652799999</v>
      </c>
      <c r="H49" s="18">
        <f t="shared" si="18"/>
        <v>386.68623995702399</v>
      </c>
      <c r="I49" s="18">
        <f t="shared" si="18"/>
        <v>407.54949499719589</v>
      </c>
      <c r="J49" s="18">
        <f t="shared" si="18"/>
        <v>427.13645055222685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5">
      <c r="B50" t="s">
        <v>53</v>
      </c>
      <c r="C50" s="44" t="s">
        <v>162</v>
      </c>
      <c r="E50" s="19">
        <v>0.83</v>
      </c>
      <c r="F50" s="19">
        <v>0.83</v>
      </c>
      <c r="G50" s="19">
        <v>0.83</v>
      </c>
      <c r="H50" s="19">
        <v>0.83</v>
      </c>
      <c r="I50" s="19">
        <v>0.83</v>
      </c>
      <c r="J50" s="19">
        <v>0.83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B52" t="s">
        <v>54</v>
      </c>
      <c r="E52" s="18">
        <f t="shared" ref="E52:J52" si="19">SUM(E53:E55)</f>
        <v>640</v>
      </c>
      <c r="F52" s="18">
        <f t="shared" si="19"/>
        <v>650</v>
      </c>
      <c r="G52" s="18">
        <f t="shared" si="19"/>
        <v>660</v>
      </c>
      <c r="H52" s="18">
        <f t="shared" si="19"/>
        <v>670</v>
      </c>
      <c r="I52" s="18">
        <f t="shared" si="19"/>
        <v>680</v>
      </c>
      <c r="J52" s="18">
        <f t="shared" si="19"/>
        <v>690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B53" t="s">
        <v>55</v>
      </c>
      <c r="E53" s="18">
        <v>350</v>
      </c>
      <c r="F53" s="40">
        <v>360</v>
      </c>
      <c r="G53" s="18">
        <v>370</v>
      </c>
      <c r="H53" s="18">
        <v>380</v>
      </c>
      <c r="I53" s="18">
        <v>390</v>
      </c>
      <c r="J53" s="18">
        <v>400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B54" t="s">
        <v>56</v>
      </c>
      <c r="E54" s="18">
        <v>180</v>
      </c>
      <c r="F54" s="40">
        <v>180</v>
      </c>
      <c r="G54" s="18">
        <v>180</v>
      </c>
      <c r="H54" s="18">
        <v>180</v>
      </c>
      <c r="I54" s="18">
        <v>180</v>
      </c>
      <c r="J54" s="18">
        <v>180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B55" t="s">
        <v>57</v>
      </c>
      <c r="E55" s="18">
        <v>110</v>
      </c>
      <c r="F55" s="40">
        <v>110</v>
      </c>
      <c r="G55" s="18">
        <v>110</v>
      </c>
      <c r="H55" s="18">
        <v>110</v>
      </c>
      <c r="I55" s="18">
        <v>110</v>
      </c>
      <c r="J55" s="18">
        <v>110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" thickBot="1" x14ac:dyDescent="0.4">
      <c r="B57" s="8" t="s">
        <v>58</v>
      </c>
      <c r="C57" s="49"/>
      <c r="D57" s="8"/>
      <c r="E57" s="20">
        <f t="shared" ref="E57:J57" si="20">E49-E52</f>
        <v>-295.05200000000002</v>
      </c>
      <c r="F57" s="20">
        <f t="shared" si="20"/>
        <v>-293.20590800000002</v>
      </c>
      <c r="G57" s="20">
        <f t="shared" si="20"/>
        <v>-288.57961347200001</v>
      </c>
      <c r="H57" s="20">
        <f t="shared" si="20"/>
        <v>-283.31376004297601</v>
      </c>
      <c r="I57" s="20">
        <f t="shared" si="20"/>
        <v>-272.45050500280411</v>
      </c>
      <c r="J57" s="20">
        <f t="shared" si="20"/>
        <v>-262.86354944777315</v>
      </c>
      <c r="K57" t="s">
        <v>59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" thickTop="1" x14ac:dyDescent="0.35">
      <c r="B58" t="s">
        <v>60</v>
      </c>
      <c r="C58" s="44" t="s">
        <v>163</v>
      </c>
      <c r="E58" s="18">
        <f t="shared" ref="E58:J58" si="21">E46*E50-E52</f>
        <v>-220.85000000000002</v>
      </c>
      <c r="F58" s="18">
        <f t="shared" si="21"/>
        <v>-222.55</v>
      </c>
      <c r="G58" s="18">
        <f t="shared" si="21"/>
        <v>-228.40000000000003</v>
      </c>
      <c r="H58" s="18">
        <f t="shared" si="21"/>
        <v>-263.3</v>
      </c>
      <c r="I58" s="18">
        <f t="shared" si="21"/>
        <v>-231.8</v>
      </c>
      <c r="J58" s="18">
        <f t="shared" si="21"/>
        <v>-225.20000000000005</v>
      </c>
      <c r="K58" t="s">
        <v>61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K59" t="s">
        <v>62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" thickBot="1" x14ac:dyDescent="0.4">
      <c r="A61" s="3" t="s">
        <v>63</v>
      </c>
      <c r="B61" s="3"/>
      <c r="C61" s="46"/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B62" t="s">
        <v>64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B63" t="s">
        <v>65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B64" t="s">
        <v>66</v>
      </c>
      <c r="E64" s="7"/>
      <c r="F64" s="7"/>
      <c r="G64" s="7"/>
      <c r="H64" s="7"/>
      <c r="I64" s="7"/>
      <c r="J64" s="7"/>
      <c r="K64" t="s">
        <v>67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" thickBot="1" x14ac:dyDescent="0.4">
      <c r="A67" s="3" t="s">
        <v>68</v>
      </c>
      <c r="B67" s="3"/>
      <c r="C67" s="46"/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B68" t="s">
        <v>69</v>
      </c>
      <c r="E68" s="12">
        <f t="shared" ref="E68:J68" si="22">ROUND(E70/E69,0)</f>
        <v>4700</v>
      </c>
      <c r="F68" s="12">
        <f t="shared" si="22"/>
        <v>5178</v>
      </c>
      <c r="G68" s="12">
        <f t="shared" si="22"/>
        <v>4574</v>
      </c>
      <c r="H68" s="12">
        <f t="shared" si="22"/>
        <v>4923</v>
      </c>
      <c r="I68" s="12">
        <f t="shared" si="22"/>
        <v>5000</v>
      </c>
      <c r="J68" s="12">
        <f t="shared" si="22"/>
        <v>5170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B69" t="s">
        <v>70</v>
      </c>
      <c r="E69" s="21">
        <v>0.05</v>
      </c>
      <c r="F69" s="41">
        <v>4.4999999999999998E-2</v>
      </c>
      <c r="G69" s="21">
        <v>4.7E-2</v>
      </c>
      <c r="H69" s="21">
        <v>5.1999999999999998E-2</v>
      </c>
      <c r="I69" s="21">
        <v>4.8000000000000001E-2</v>
      </c>
      <c r="J69" s="21">
        <v>5.2999999999999999E-2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B70" t="s">
        <v>71</v>
      </c>
      <c r="E70" s="12">
        <f t="shared" ref="E70:J70" si="23">ROUND(E25/E71,0)</f>
        <v>235</v>
      </c>
      <c r="F70" s="12">
        <f t="shared" si="23"/>
        <v>233</v>
      </c>
      <c r="G70" s="12">
        <f t="shared" si="23"/>
        <v>215</v>
      </c>
      <c r="H70" s="12">
        <f t="shared" si="23"/>
        <v>256</v>
      </c>
      <c r="I70" s="12">
        <f t="shared" si="23"/>
        <v>240</v>
      </c>
      <c r="J70" s="12">
        <f t="shared" si="23"/>
        <v>274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B71" t="s">
        <v>72</v>
      </c>
      <c r="E71" s="19">
        <v>0.17</v>
      </c>
      <c r="F71" s="42">
        <v>0.18</v>
      </c>
      <c r="G71" s="19">
        <v>0.2</v>
      </c>
      <c r="H71" s="19">
        <v>0.18</v>
      </c>
      <c r="I71" s="19">
        <v>0.2</v>
      </c>
      <c r="J71" s="19">
        <v>0.19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" thickBot="1" x14ac:dyDescent="0.4">
      <c r="A74" s="3" t="s">
        <v>73</v>
      </c>
      <c r="B74" s="3"/>
      <c r="C74" s="46"/>
      <c r="E74" s="4" t="s">
        <v>4</v>
      </c>
      <c r="F74" s="4" t="s">
        <v>5</v>
      </c>
      <c r="G74" s="4" t="s">
        <v>6</v>
      </c>
      <c r="H74" s="4" t="s">
        <v>7</v>
      </c>
      <c r="I74" s="4" t="s">
        <v>8</v>
      </c>
      <c r="J74" s="4" t="s">
        <v>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B75" t="s">
        <v>74</v>
      </c>
      <c r="E75">
        <v>6</v>
      </c>
      <c r="F75" s="39">
        <v>6.5</v>
      </c>
      <c r="G75">
        <v>7</v>
      </c>
      <c r="H75">
        <v>7.5</v>
      </c>
      <c r="I75">
        <v>8</v>
      </c>
      <c r="J75">
        <v>8.5</v>
      </c>
      <c r="K75" t="s">
        <v>75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B76" t="s">
        <v>76</v>
      </c>
      <c r="E76" s="7">
        <f t="shared" ref="E76:J76" si="24">600/12/12</f>
        <v>4.166666666666667</v>
      </c>
      <c r="F76" s="7">
        <f t="shared" si="24"/>
        <v>4.166666666666667</v>
      </c>
      <c r="G76" s="7">
        <f t="shared" si="24"/>
        <v>4.166666666666667</v>
      </c>
      <c r="H76" s="7">
        <f t="shared" si="24"/>
        <v>4.166666666666667</v>
      </c>
      <c r="I76" s="7">
        <f t="shared" si="24"/>
        <v>4.166666666666667</v>
      </c>
      <c r="J76" s="7">
        <f t="shared" si="24"/>
        <v>4.166666666666667</v>
      </c>
      <c r="K76" t="s">
        <v>77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5">
      <c r="B77" t="s">
        <v>78</v>
      </c>
      <c r="E77" s="7">
        <f t="shared" ref="E77:J77" si="25">E76*E75</f>
        <v>25</v>
      </c>
      <c r="F77" s="7">
        <f t="shared" si="25"/>
        <v>27.083333333333336</v>
      </c>
      <c r="G77" s="7">
        <f t="shared" si="25"/>
        <v>29.166666666666668</v>
      </c>
      <c r="H77" s="7">
        <f t="shared" si="25"/>
        <v>31.250000000000004</v>
      </c>
      <c r="I77" s="7">
        <f t="shared" si="25"/>
        <v>33.333333333333336</v>
      </c>
      <c r="J77" s="7">
        <f t="shared" si="25"/>
        <v>35.416666666666671</v>
      </c>
      <c r="K77" t="s">
        <v>79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B78" t="s">
        <v>80</v>
      </c>
      <c r="E78">
        <v>1.2</v>
      </c>
      <c r="F78" s="39">
        <v>1.2</v>
      </c>
      <c r="G78">
        <v>1.2</v>
      </c>
      <c r="H78">
        <v>1.2</v>
      </c>
      <c r="I78">
        <v>1.2</v>
      </c>
      <c r="J78">
        <v>1.2</v>
      </c>
      <c r="K78" t="s">
        <v>81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B80" t="s">
        <v>82</v>
      </c>
      <c r="E80" s="7">
        <f t="shared" ref="E80:J80" si="26">E14/E75</f>
        <v>3.6666666666666665</v>
      </c>
      <c r="F80" s="7">
        <f t="shared" si="26"/>
        <v>3.5384615384615383</v>
      </c>
      <c r="G80" s="7">
        <f t="shared" si="26"/>
        <v>3.5</v>
      </c>
      <c r="H80" s="7">
        <f t="shared" si="26"/>
        <v>3.4666666666666668</v>
      </c>
      <c r="I80" s="7">
        <f t="shared" si="26"/>
        <v>3.375</v>
      </c>
      <c r="J80" s="7">
        <f t="shared" si="26"/>
        <v>3.4117647058823528</v>
      </c>
      <c r="K80" t="s">
        <v>83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9:33" x14ac:dyDescent="0.35"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9:33" x14ac:dyDescent="0.35"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9:33" x14ac:dyDescent="0.35"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9:33" x14ac:dyDescent="0.35"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9:33" x14ac:dyDescent="0.35"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9:33" x14ac:dyDescent="0.35"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9:33" x14ac:dyDescent="0.35"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9:33" x14ac:dyDescent="0.35"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9:33" x14ac:dyDescent="0.35"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9:33" x14ac:dyDescent="0.35"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9:33" x14ac:dyDescent="0.35"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9:33" x14ac:dyDescent="0.35"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9:33" x14ac:dyDescent="0.35"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9:33" x14ac:dyDescent="0.35"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9:33" x14ac:dyDescent="0.35"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9:33" x14ac:dyDescent="0.35"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9:33" x14ac:dyDescent="0.35"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9:33" x14ac:dyDescent="0.35"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9:33" x14ac:dyDescent="0.35"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9:33" x14ac:dyDescent="0.35"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9:33" x14ac:dyDescent="0.35"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9:33" x14ac:dyDescent="0.35"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9:33" x14ac:dyDescent="0.35"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9:33" x14ac:dyDescent="0.35"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9:33" x14ac:dyDescent="0.35"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9:33" x14ac:dyDescent="0.35"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9:33" x14ac:dyDescent="0.35"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9:33" x14ac:dyDescent="0.35"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9:33" x14ac:dyDescent="0.35"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9:33" x14ac:dyDescent="0.35"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9:33" x14ac:dyDescent="0.35"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9:33" x14ac:dyDescent="0.35"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9:33" x14ac:dyDescent="0.35"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9:33" x14ac:dyDescent="0.35"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9:33" x14ac:dyDescent="0.35"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9:33" x14ac:dyDescent="0.35"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9:33" x14ac:dyDescent="0.35"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9:33" x14ac:dyDescent="0.35"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9:33" x14ac:dyDescent="0.35"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9:33" x14ac:dyDescent="0.35"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9:33" x14ac:dyDescent="0.35"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9:33" x14ac:dyDescent="0.35"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9:33" x14ac:dyDescent="0.35"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9:33" x14ac:dyDescent="0.35"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9:33" x14ac:dyDescent="0.35"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9:33" x14ac:dyDescent="0.35"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9:33" x14ac:dyDescent="0.35"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9:33" x14ac:dyDescent="0.35"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9:33" x14ac:dyDescent="0.35"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9:33" x14ac:dyDescent="0.35"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9:33" x14ac:dyDescent="0.35"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9:33" x14ac:dyDescent="0.35"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9:33" x14ac:dyDescent="0.35"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9:33" x14ac:dyDescent="0.35"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9:33" x14ac:dyDescent="0.35"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9:33" x14ac:dyDescent="0.35"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9:33" x14ac:dyDescent="0.35"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9:33" x14ac:dyDescent="0.35"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9:33" x14ac:dyDescent="0.35"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9:33" x14ac:dyDescent="0.35"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9:33" x14ac:dyDescent="0.35"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9:33" x14ac:dyDescent="0.35"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9:33" x14ac:dyDescent="0.35"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9:33" x14ac:dyDescent="0.35"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9:33" x14ac:dyDescent="0.35"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9:33" x14ac:dyDescent="0.35"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9:33" x14ac:dyDescent="0.35"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9:33" x14ac:dyDescent="0.35"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9:33" x14ac:dyDescent="0.35"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9:33" x14ac:dyDescent="0.35"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9:33" x14ac:dyDescent="0.35"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9:33" x14ac:dyDescent="0.35"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9:33" x14ac:dyDescent="0.35"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9:33" x14ac:dyDescent="0.35"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9:33" x14ac:dyDescent="0.35"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9:33" x14ac:dyDescent="0.35"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9:33" x14ac:dyDescent="0.35"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9:33" x14ac:dyDescent="0.35"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9:33" x14ac:dyDescent="0.35"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9:33" x14ac:dyDescent="0.35"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9:33" x14ac:dyDescent="0.35"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9:33" x14ac:dyDescent="0.35"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</sheetData>
  <pageMargins left="0.7" right="0.7" top="0.75" bottom="0.75" header="0.3" footer="0.3"/>
  <pageSetup paperSize="9"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zoomScale="80" zoomScaleNormal="80" workbookViewId="0">
      <selection activeCell="U121" sqref="U121"/>
    </sheetView>
  </sheetViews>
  <sheetFormatPr defaultRowHeight="14.5" x14ac:dyDescent="0.35"/>
  <cols>
    <col min="2" max="2" width="2.26953125" customWidth="1"/>
    <col min="7" max="7" width="9.1796875" customWidth="1"/>
    <col min="8" max="8" width="2.7265625" customWidth="1"/>
    <col min="10" max="10" width="2" customWidth="1"/>
    <col min="13" max="13" width="2.1796875" customWidth="1"/>
    <col min="16" max="16" width="2.81640625" customWidth="1"/>
  </cols>
  <sheetData>
    <row r="1" spans="2:16" ht="25.5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zoomScale="80" zoomScaleNormal="80" zoomScalePageLayoutView="30" workbookViewId="0">
      <selection activeCell="A3" sqref="A3"/>
    </sheetView>
  </sheetViews>
  <sheetFormatPr defaultRowHeight="14.5" x14ac:dyDescent="0.35"/>
  <cols>
    <col min="1" max="1" width="4.7265625" customWidth="1"/>
    <col min="2" max="2" width="31.81640625" customWidth="1"/>
    <col min="3" max="3" width="10.1796875" hidden="1" customWidth="1"/>
    <col min="4" max="4" width="10.7265625" customWidth="1"/>
    <col min="5" max="5" width="10.26953125" customWidth="1"/>
    <col min="6" max="9" width="10.7265625" bestFit="1" customWidth="1"/>
    <col min="18" max="18" width="2.26953125" customWidth="1"/>
    <col min="23" max="23" width="9.1796875" customWidth="1"/>
    <col min="24" max="24" width="2.7265625" customWidth="1"/>
    <col min="26" max="26" width="2" customWidth="1"/>
    <col min="29" max="29" width="2.1796875" customWidth="1"/>
    <col min="32" max="32" width="2.81640625" customWidth="1"/>
  </cols>
  <sheetData>
    <row r="1" spans="1:32" ht="28" x14ac:dyDescent="0.8">
      <c r="A1" s="22" t="s">
        <v>0</v>
      </c>
      <c r="F1" s="27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7.5" thickBot="1" x14ac:dyDescent="0.45">
      <c r="A2" s="2" t="s">
        <v>100</v>
      </c>
      <c r="B2" s="2"/>
      <c r="C2" s="2"/>
      <c r="D2" s="2"/>
      <c r="E2" s="2"/>
      <c r="F2" s="2"/>
      <c r="G2" s="2"/>
      <c r="H2" s="2"/>
      <c r="I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thickTop="1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5"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thickBot="1" x14ac:dyDescent="0.4">
      <c r="A5" s="3" t="s">
        <v>2</v>
      </c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5">
      <c r="B6" t="s">
        <v>10</v>
      </c>
      <c r="D6" s="5">
        <v>264</v>
      </c>
      <c r="E6" s="5">
        <f>E14</f>
        <v>276</v>
      </c>
      <c r="F6" s="5">
        <f t="shared" ref="F6:I6" si="0">F14</f>
        <v>294</v>
      </c>
      <c r="G6" s="5">
        <f t="shared" si="0"/>
        <v>312</v>
      </c>
      <c r="H6" s="5">
        <f t="shared" si="0"/>
        <v>324</v>
      </c>
      <c r="I6" s="5">
        <f t="shared" si="0"/>
        <v>348</v>
      </c>
      <c r="J6" t="s">
        <v>118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5">
      <c r="B7" t="s">
        <v>122</v>
      </c>
      <c r="D7" s="5">
        <f>D6/D24*1000</f>
        <v>6600</v>
      </c>
      <c r="E7" s="5">
        <f t="shared" ref="E7:I7" si="1">E6/E24*1000</f>
        <v>6571.4285714285716</v>
      </c>
      <c r="F7" s="5">
        <f t="shared" si="1"/>
        <v>6837.2093023255811</v>
      </c>
      <c r="G7" s="5">
        <f t="shared" si="1"/>
        <v>6782.608695652174</v>
      </c>
      <c r="H7" s="5">
        <f t="shared" si="1"/>
        <v>6750</v>
      </c>
      <c r="I7" s="5">
        <f t="shared" si="1"/>
        <v>6692.3076923076924</v>
      </c>
      <c r="J7" t="s">
        <v>121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5">
      <c r="B8" t="s">
        <v>110</v>
      </c>
      <c r="D8" s="6">
        <v>1.3</v>
      </c>
      <c r="E8" s="6">
        <v>1.4</v>
      </c>
      <c r="F8" s="6">
        <v>1.4</v>
      </c>
      <c r="G8" s="6">
        <v>1.5</v>
      </c>
      <c r="H8" s="6">
        <v>1.4</v>
      </c>
      <c r="I8" s="6">
        <v>1.6</v>
      </c>
      <c r="J8" t="s">
        <v>14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35">
      <c r="B9" t="s">
        <v>119</v>
      </c>
      <c r="D9" s="6">
        <v>5.5</v>
      </c>
      <c r="E9" s="6">
        <v>7</v>
      </c>
      <c r="F9" s="6">
        <v>5</v>
      </c>
      <c r="G9" s="6">
        <v>6.5</v>
      </c>
      <c r="H9" s="6">
        <v>5.8</v>
      </c>
      <c r="I9" s="6">
        <v>6.2</v>
      </c>
      <c r="J9" t="s">
        <v>108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35">
      <c r="B10" t="s">
        <v>132</v>
      </c>
      <c r="D10" s="5">
        <f>D7/12</f>
        <v>550</v>
      </c>
      <c r="E10" s="5">
        <f t="shared" ref="E10:I10" si="2">E7/12</f>
        <v>547.61904761904759</v>
      </c>
      <c r="F10" s="5">
        <f t="shared" si="2"/>
        <v>569.76744186046506</v>
      </c>
      <c r="G10" s="5">
        <f t="shared" si="2"/>
        <v>565.21739130434787</v>
      </c>
      <c r="H10" s="5">
        <f t="shared" si="2"/>
        <v>562.5</v>
      </c>
      <c r="I10" s="5">
        <f t="shared" si="2"/>
        <v>557.69230769230774</v>
      </c>
      <c r="J10" t="s">
        <v>135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B11" t="s">
        <v>133</v>
      </c>
      <c r="D11" s="5">
        <f>(D20/12)/D23*1000</f>
        <v>514.3564356435644</v>
      </c>
      <c r="E11" s="5">
        <f t="shared" ref="E11:I11" si="3">(E20/12)/E23*1000</f>
        <v>521.05745454545445</v>
      </c>
      <c r="F11" s="5">
        <f t="shared" si="3"/>
        <v>529.57922082840241</v>
      </c>
      <c r="G11" s="5">
        <f t="shared" si="3"/>
        <v>537.97579225496531</v>
      </c>
      <c r="H11" s="5">
        <f t="shared" si="3"/>
        <v>551.71178421171771</v>
      </c>
      <c r="I11" s="5">
        <f t="shared" si="3"/>
        <v>561.81466111462453</v>
      </c>
      <c r="J11" t="s">
        <v>136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5">
      <c r="D12" s="7"/>
      <c r="E12" s="7"/>
      <c r="F12" s="7"/>
      <c r="G12" s="7"/>
      <c r="H12" s="7"/>
      <c r="I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thickBot="1" x14ac:dyDescent="0.4">
      <c r="A13" s="3" t="s">
        <v>115</v>
      </c>
      <c r="B13" s="3"/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B14" t="s">
        <v>112</v>
      </c>
      <c r="D14" s="7">
        <v>264</v>
      </c>
      <c r="E14" s="7">
        <v>276</v>
      </c>
      <c r="F14" s="7">
        <v>294</v>
      </c>
      <c r="G14" s="7">
        <v>312</v>
      </c>
      <c r="H14" s="7">
        <v>324</v>
      </c>
      <c r="I14" s="7">
        <v>348</v>
      </c>
      <c r="J14" t="s">
        <v>111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B15" t="s">
        <v>113</v>
      </c>
      <c r="D15" s="7">
        <f t="shared" ref="D15:I15" si="4">-D29*C20</f>
        <v>-100.80000000000001</v>
      </c>
      <c r="E15" s="7">
        <f t="shared" si="4"/>
        <v>-134.65439999999998</v>
      </c>
      <c r="F15" s="7">
        <f t="shared" si="4"/>
        <v>-108.32784479999999</v>
      </c>
      <c r="G15" s="7">
        <f t="shared" si="4"/>
        <v>-107.398665984</v>
      </c>
      <c r="H15" s="7">
        <f t="shared" si="4"/>
        <v>-106.22224422915839</v>
      </c>
      <c r="I15" s="7">
        <f t="shared" si="4"/>
        <v>-106.06107339686062</v>
      </c>
      <c r="J15" s="7" t="s">
        <v>116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5">
      <c r="B16" t="s">
        <v>114</v>
      </c>
      <c r="D16" s="7">
        <f t="shared" ref="D16:I16" si="5">D30*C20</f>
        <v>24</v>
      </c>
      <c r="E16" s="7">
        <f t="shared" si="5"/>
        <v>29.923199999999998</v>
      </c>
      <c r="F16" s="7">
        <f t="shared" si="5"/>
        <v>25.792344</v>
      </c>
      <c r="G16" s="7">
        <f t="shared" si="5"/>
        <v>16.109799897599999</v>
      </c>
      <c r="H16" s="7">
        <f t="shared" si="5"/>
        <v>83.859666496703994</v>
      </c>
      <c r="I16" s="7">
        <f t="shared" si="5"/>
        <v>41.245972987668019</v>
      </c>
      <c r="J16" t="s">
        <v>117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" thickBot="1" x14ac:dyDescent="0.4">
      <c r="B17" s="8" t="s">
        <v>120</v>
      </c>
      <c r="C17" s="8"/>
      <c r="D17" s="9">
        <f t="shared" ref="D17:I17" si="6">D14+D15+D16</f>
        <v>187.2</v>
      </c>
      <c r="E17" s="9">
        <f t="shared" si="6"/>
        <v>171.26880000000003</v>
      </c>
      <c r="F17" s="9">
        <f t="shared" si="6"/>
        <v>211.46449920000003</v>
      </c>
      <c r="G17" s="9">
        <f t="shared" si="6"/>
        <v>220.71113391360001</v>
      </c>
      <c r="H17" s="9">
        <f t="shared" si="6"/>
        <v>301.63742226754562</v>
      </c>
      <c r="I17" s="9">
        <f t="shared" si="6"/>
        <v>283.18489959080739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" thickTop="1" x14ac:dyDescent="0.35">
      <c r="D18" s="7"/>
      <c r="E18" s="7"/>
      <c r="F18" s="7"/>
      <c r="G18" s="7"/>
      <c r="H18" s="7"/>
      <c r="I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5">
      <c r="B19" t="s">
        <v>104</v>
      </c>
      <c r="D19" s="5">
        <f t="shared" ref="D19:I19" si="7">C20</f>
        <v>4800</v>
      </c>
      <c r="E19" s="5">
        <f t="shared" si="7"/>
        <v>4987.2</v>
      </c>
      <c r="F19" s="5">
        <f t="shared" si="7"/>
        <v>5158.4687999999996</v>
      </c>
      <c r="G19" s="5">
        <f t="shared" si="7"/>
        <v>5369.9332992</v>
      </c>
      <c r="H19" s="5">
        <f t="shared" si="7"/>
        <v>5590.6444331135999</v>
      </c>
      <c r="I19" s="5">
        <f t="shared" si="7"/>
        <v>5892.2818553811458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B20" t="s">
        <v>105</v>
      </c>
      <c r="C20" s="11">
        <f>400*12</f>
        <v>4800</v>
      </c>
      <c r="D20" s="18">
        <f t="shared" ref="D20:I20" si="8">C20+D17</f>
        <v>4987.2</v>
      </c>
      <c r="E20" s="18">
        <f t="shared" si="8"/>
        <v>5158.4687999999996</v>
      </c>
      <c r="F20" s="18">
        <f t="shared" si="8"/>
        <v>5369.9332992</v>
      </c>
      <c r="G20" s="18">
        <f t="shared" si="8"/>
        <v>5590.6444331135999</v>
      </c>
      <c r="H20" s="18">
        <f t="shared" si="8"/>
        <v>5892.2818553811458</v>
      </c>
      <c r="I20" s="18">
        <f t="shared" si="8"/>
        <v>6175.4667549719534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5"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" thickBot="1" x14ac:dyDescent="0.4">
      <c r="A22" s="3" t="s">
        <v>25</v>
      </c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B23" t="s">
        <v>26</v>
      </c>
      <c r="C23" s="12">
        <v>792</v>
      </c>
      <c r="D23" s="13">
        <f>C23+D26</f>
        <v>808</v>
      </c>
      <c r="E23" s="13">
        <f t="shared" ref="E23:I23" si="9">D23+E26</f>
        <v>825</v>
      </c>
      <c r="F23" s="13">
        <f t="shared" si="9"/>
        <v>845</v>
      </c>
      <c r="G23" s="13">
        <f t="shared" si="9"/>
        <v>866</v>
      </c>
      <c r="H23" s="13">
        <f t="shared" si="9"/>
        <v>890</v>
      </c>
      <c r="I23" s="13">
        <f t="shared" si="9"/>
        <v>916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5">
      <c r="B24" t="s">
        <v>27</v>
      </c>
      <c r="D24" s="12">
        <v>40</v>
      </c>
      <c r="E24" s="12">
        <v>42</v>
      </c>
      <c r="F24" s="12">
        <v>43</v>
      </c>
      <c r="G24" s="12">
        <v>46</v>
      </c>
      <c r="H24" s="12">
        <v>48</v>
      </c>
      <c r="I24" s="12">
        <v>52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5">
      <c r="B25" t="s">
        <v>28</v>
      </c>
      <c r="D25" s="13">
        <v>-24</v>
      </c>
      <c r="E25" s="13">
        <f>-ROUND(3.1%*D23,0)</f>
        <v>-25</v>
      </c>
      <c r="F25" s="13">
        <f>-ROUND(2.8%*E23,0)</f>
        <v>-23</v>
      </c>
      <c r="G25" s="13">
        <f>-ROUND(2.9%*F23,0)</f>
        <v>-25</v>
      </c>
      <c r="H25" s="13">
        <f>-ROUND(2.8%*G23,0)</f>
        <v>-24</v>
      </c>
      <c r="I25" s="13">
        <f>-ROUND(2.9%*H23,0)</f>
        <v>-26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5">
      <c r="B26" s="14" t="s">
        <v>29</v>
      </c>
      <c r="C26" s="15"/>
      <c r="D26" s="16">
        <f t="shared" ref="D26:I26" si="10">D24+D25</f>
        <v>16</v>
      </c>
      <c r="E26" s="16">
        <f t="shared" si="10"/>
        <v>17</v>
      </c>
      <c r="F26" s="16">
        <f t="shared" si="10"/>
        <v>20</v>
      </c>
      <c r="G26" s="16">
        <f t="shared" si="10"/>
        <v>21</v>
      </c>
      <c r="H26" s="16">
        <f t="shared" si="10"/>
        <v>24</v>
      </c>
      <c r="I26" s="16">
        <f t="shared" si="10"/>
        <v>26</v>
      </c>
      <c r="J26" t="s">
        <v>84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B28" t="s">
        <v>30</v>
      </c>
      <c r="D28" s="17">
        <f t="shared" ref="D28:I28" si="11">-D25/C23</f>
        <v>3.0303030303030304E-2</v>
      </c>
      <c r="E28" s="17">
        <f t="shared" si="11"/>
        <v>3.094059405940594E-2</v>
      </c>
      <c r="F28" s="17">
        <f t="shared" si="11"/>
        <v>2.7878787878787878E-2</v>
      </c>
      <c r="G28" s="17">
        <f t="shared" si="11"/>
        <v>2.9585798816568046E-2</v>
      </c>
      <c r="H28" s="17">
        <f t="shared" si="11"/>
        <v>2.771362586605081E-2</v>
      </c>
      <c r="I28" s="17">
        <f t="shared" si="11"/>
        <v>2.9213483146067417E-2</v>
      </c>
      <c r="J28" t="s">
        <v>31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5">
      <c r="B29" t="s">
        <v>97</v>
      </c>
      <c r="D29" s="17">
        <v>2.1000000000000001E-2</v>
      </c>
      <c r="E29" s="17">
        <v>2.7E-2</v>
      </c>
      <c r="F29" s="17">
        <v>2.1000000000000001E-2</v>
      </c>
      <c r="G29" s="17">
        <v>0.02</v>
      </c>
      <c r="H29" s="17">
        <v>1.9E-2</v>
      </c>
      <c r="I29" s="17">
        <v>1.7999999999999999E-2</v>
      </c>
      <c r="J29" t="s">
        <v>33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5">
      <c r="B30" t="s">
        <v>98</v>
      </c>
      <c r="D30" s="17">
        <v>5.0000000000000001E-3</v>
      </c>
      <c r="E30" s="17">
        <v>6.0000000000000001E-3</v>
      </c>
      <c r="F30" s="17">
        <v>5.0000000000000001E-3</v>
      </c>
      <c r="G30" s="17">
        <v>3.0000000000000001E-3</v>
      </c>
      <c r="H30" s="17">
        <v>1.4999999999999999E-2</v>
      </c>
      <c r="I30" s="17">
        <v>7.0000000000000001E-3</v>
      </c>
      <c r="J30" t="s">
        <v>35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5">
      <c r="B31" s="14" t="s">
        <v>99</v>
      </c>
      <c r="C31" s="14"/>
      <c r="D31" s="25">
        <f t="shared" ref="D31:I31" si="12">(-D15-D16)/D19</f>
        <v>1.6000000000000004E-2</v>
      </c>
      <c r="E31" s="25">
        <f t="shared" si="12"/>
        <v>2.0999999999999998E-2</v>
      </c>
      <c r="F31" s="25">
        <f t="shared" si="12"/>
        <v>1.6E-2</v>
      </c>
      <c r="G31" s="25">
        <f t="shared" si="12"/>
        <v>1.7000000000000001E-2</v>
      </c>
      <c r="H31" s="25">
        <f t="shared" si="12"/>
        <v>3.9999999999999992E-3</v>
      </c>
      <c r="I31" s="25">
        <f t="shared" si="12"/>
        <v>1.1000000000000001E-2</v>
      </c>
      <c r="J31" t="s">
        <v>96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5">
      <c r="B32" s="28"/>
      <c r="C32" s="28"/>
      <c r="D32" s="29"/>
      <c r="E32" s="29"/>
      <c r="F32" s="29"/>
      <c r="G32" s="29"/>
      <c r="H32" s="29"/>
      <c r="I32" s="2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5">
      <c r="B33" s="30" t="s">
        <v>124</v>
      </c>
      <c r="C33" s="28"/>
      <c r="D33" s="29"/>
      <c r="E33" s="29"/>
      <c r="F33" s="29"/>
      <c r="G33" s="29"/>
      <c r="H33" s="29"/>
      <c r="I33" s="29"/>
      <c r="J33" t="s">
        <v>126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5">
      <c r="B34" s="30" t="s">
        <v>125</v>
      </c>
      <c r="C34" s="28"/>
      <c r="D34" s="29"/>
      <c r="E34" s="29"/>
      <c r="F34" s="29"/>
      <c r="G34" s="29"/>
      <c r="H34" s="29"/>
      <c r="I34" s="29"/>
      <c r="J34" t="s">
        <v>127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5"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5">
      <c r="B36" t="s">
        <v>36</v>
      </c>
      <c r="D36">
        <v>121</v>
      </c>
      <c r="E36">
        <v>120</v>
      </c>
      <c r="F36">
        <v>125</v>
      </c>
      <c r="G36">
        <v>126</v>
      </c>
      <c r="H36">
        <v>130</v>
      </c>
      <c r="I36">
        <v>135</v>
      </c>
      <c r="J36" t="s">
        <v>37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B37" t="s">
        <v>38</v>
      </c>
      <c r="D37" s="12">
        <v>28</v>
      </c>
      <c r="E37" s="12">
        <v>27</v>
      </c>
      <c r="F37" s="12">
        <v>29</v>
      </c>
      <c r="G37" s="12">
        <v>32</v>
      </c>
      <c r="H37" s="12">
        <v>33</v>
      </c>
      <c r="I37" s="12">
        <v>35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" thickBot="1" x14ac:dyDescent="0.4">
      <c r="A39" s="3" t="s">
        <v>39</v>
      </c>
      <c r="B39" s="3"/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4" t="s">
        <v>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B40" t="s">
        <v>40</v>
      </c>
      <c r="D40" s="18">
        <f t="shared" ref="D40:I40" si="13">D10*D52/D29</f>
        <v>21738.095238095237</v>
      </c>
      <c r="E40" s="18">
        <f t="shared" si="13"/>
        <v>16834.2151675485</v>
      </c>
      <c r="F40" s="18">
        <f t="shared" si="13"/>
        <v>22519.379844961233</v>
      </c>
      <c r="G40" s="18">
        <f t="shared" si="13"/>
        <v>23456.521739130432</v>
      </c>
      <c r="H40" s="18">
        <f t="shared" si="13"/>
        <v>24572.368421052633</v>
      </c>
      <c r="I40" s="18">
        <f t="shared" si="13"/>
        <v>25715.811965811969</v>
      </c>
      <c r="J40" t="s">
        <v>134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B41" t="s">
        <v>41</v>
      </c>
      <c r="D41" s="5">
        <f t="shared" ref="D41:I41" si="14">D55/D24*1000</f>
        <v>8750</v>
      </c>
      <c r="E41" s="5">
        <f t="shared" si="14"/>
        <v>8571.4285714285706</v>
      </c>
      <c r="F41" s="5">
        <f t="shared" si="14"/>
        <v>8604.6511627906966</v>
      </c>
      <c r="G41" s="5">
        <f t="shared" si="14"/>
        <v>8260.8695652173901</v>
      </c>
      <c r="H41" s="5">
        <f t="shared" si="14"/>
        <v>8125</v>
      </c>
      <c r="I41" s="5">
        <f t="shared" si="14"/>
        <v>7692.3076923076924</v>
      </c>
      <c r="J41" t="s">
        <v>42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B42" t="s">
        <v>43</v>
      </c>
      <c r="D42" s="6">
        <f t="shared" ref="D42:I42" si="15">D40/D41</f>
        <v>2.4843537414965984</v>
      </c>
      <c r="E42" s="6">
        <f t="shared" si="15"/>
        <v>1.9639917695473252</v>
      </c>
      <c r="F42" s="6">
        <f t="shared" si="15"/>
        <v>2.6171171171171168</v>
      </c>
      <c r="G42" s="6">
        <f t="shared" si="15"/>
        <v>2.8394736842105264</v>
      </c>
      <c r="H42" s="6">
        <f t="shared" si="15"/>
        <v>3.024291497975709</v>
      </c>
      <c r="I42" s="6">
        <f t="shared" si="15"/>
        <v>3.3430555555555559</v>
      </c>
      <c r="J42" t="s">
        <v>44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B43" t="s">
        <v>45</v>
      </c>
      <c r="D43" s="12">
        <f t="shared" ref="D43:I43" si="16">D41/(D10*D52)</f>
        <v>19.167579408543265</v>
      </c>
      <c r="E43" s="12">
        <f t="shared" si="16"/>
        <v>18.858040859088529</v>
      </c>
      <c r="F43" s="12">
        <f t="shared" si="16"/>
        <v>18.195229899188593</v>
      </c>
      <c r="G43" s="12">
        <f t="shared" si="16"/>
        <v>17.608897126969413</v>
      </c>
      <c r="H43" s="12">
        <f t="shared" si="16"/>
        <v>17.402945113788487</v>
      </c>
      <c r="I43" s="12">
        <f t="shared" si="16"/>
        <v>16.618196925633569</v>
      </c>
      <c r="J43" t="s">
        <v>137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" thickBot="1" x14ac:dyDescent="0.4">
      <c r="A47" s="3" t="s">
        <v>46</v>
      </c>
      <c r="B47" s="3"/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B48" t="s">
        <v>47</v>
      </c>
      <c r="D48" s="5">
        <v>505</v>
      </c>
      <c r="E48" s="5">
        <v>515</v>
      </c>
      <c r="F48" s="5">
        <v>520</v>
      </c>
      <c r="G48" s="5">
        <v>490</v>
      </c>
      <c r="H48" s="5">
        <v>540</v>
      </c>
      <c r="I48" s="5">
        <v>560</v>
      </c>
      <c r="J48" t="s">
        <v>48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B49" t="s">
        <v>49</v>
      </c>
      <c r="D49" s="5">
        <f t="shared" ref="D49:I49" si="17">D20</f>
        <v>4987.2</v>
      </c>
      <c r="E49" s="5">
        <f t="shared" si="17"/>
        <v>5158.4687999999996</v>
      </c>
      <c r="F49" s="5">
        <f t="shared" si="17"/>
        <v>5369.9332992</v>
      </c>
      <c r="G49" s="5">
        <f t="shared" si="17"/>
        <v>5590.6444331135999</v>
      </c>
      <c r="H49" s="5">
        <f t="shared" si="17"/>
        <v>5892.2818553811458</v>
      </c>
      <c r="I49" s="5">
        <f t="shared" si="17"/>
        <v>6175.4667549719534</v>
      </c>
      <c r="J49" t="s">
        <v>50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B50" t="s">
        <v>51</v>
      </c>
      <c r="D50" s="18">
        <f t="shared" ref="D50:I50" si="18">(1-D52)*D49</f>
        <v>847.82400000000018</v>
      </c>
      <c r="E50" s="18">
        <f t="shared" si="18"/>
        <v>876.93969600000014</v>
      </c>
      <c r="F50" s="18">
        <f t="shared" si="18"/>
        <v>912.88866086400026</v>
      </c>
      <c r="G50" s="18">
        <f t="shared" si="18"/>
        <v>950.4095536293122</v>
      </c>
      <c r="H50" s="18">
        <f t="shared" si="18"/>
        <v>1001.687915414795</v>
      </c>
      <c r="I50" s="18">
        <f t="shared" si="18"/>
        <v>1049.8293483452323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B51" t="s">
        <v>52</v>
      </c>
      <c r="D51" s="18">
        <f t="shared" ref="D51:I51" si="19">D49-D50</f>
        <v>4139.3759999999993</v>
      </c>
      <c r="E51" s="18">
        <f t="shared" si="19"/>
        <v>4281.5291039999993</v>
      </c>
      <c r="F51" s="18">
        <f t="shared" si="19"/>
        <v>4457.0446383359995</v>
      </c>
      <c r="G51" s="18">
        <f t="shared" si="19"/>
        <v>4640.2348794842874</v>
      </c>
      <c r="H51" s="18">
        <f t="shared" si="19"/>
        <v>4890.5939399663512</v>
      </c>
      <c r="I51" s="18">
        <f t="shared" si="19"/>
        <v>5125.6374066267208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B52" t="s">
        <v>53</v>
      </c>
      <c r="D52" s="19">
        <v>0.83</v>
      </c>
      <c r="E52" s="19">
        <v>0.83</v>
      </c>
      <c r="F52" s="19">
        <v>0.83</v>
      </c>
      <c r="G52" s="19">
        <v>0.83</v>
      </c>
      <c r="H52" s="19">
        <v>0.83</v>
      </c>
      <c r="I52" s="19">
        <v>0.83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B54" t="s">
        <v>54</v>
      </c>
      <c r="D54" s="18">
        <f t="shared" ref="D54:I54" si="20">SUM(D55:D57)</f>
        <v>640</v>
      </c>
      <c r="E54" s="18">
        <f t="shared" si="20"/>
        <v>650</v>
      </c>
      <c r="F54" s="18">
        <f t="shared" si="20"/>
        <v>660</v>
      </c>
      <c r="G54" s="18">
        <f t="shared" si="20"/>
        <v>670</v>
      </c>
      <c r="H54" s="18">
        <f t="shared" si="20"/>
        <v>680</v>
      </c>
      <c r="I54" s="18">
        <f t="shared" si="20"/>
        <v>690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B55" t="s">
        <v>55</v>
      </c>
      <c r="D55" s="18">
        <v>350</v>
      </c>
      <c r="E55" s="18">
        <v>360</v>
      </c>
      <c r="F55" s="18">
        <v>370</v>
      </c>
      <c r="G55" s="18">
        <v>380</v>
      </c>
      <c r="H55" s="18">
        <v>390</v>
      </c>
      <c r="I55" s="18">
        <v>400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B56" t="s">
        <v>56</v>
      </c>
      <c r="D56" s="18">
        <v>180</v>
      </c>
      <c r="E56" s="18">
        <v>180</v>
      </c>
      <c r="F56" s="18">
        <v>180</v>
      </c>
      <c r="G56" s="18">
        <v>180</v>
      </c>
      <c r="H56" s="18">
        <v>180</v>
      </c>
      <c r="I56" s="18">
        <v>180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B57" t="s">
        <v>57</v>
      </c>
      <c r="D57" s="18">
        <v>110</v>
      </c>
      <c r="E57" s="18">
        <v>110</v>
      </c>
      <c r="F57" s="18">
        <v>110</v>
      </c>
      <c r="G57" s="18">
        <v>110</v>
      </c>
      <c r="H57" s="18">
        <v>110</v>
      </c>
      <c r="I57" s="18">
        <v>110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" thickBot="1" x14ac:dyDescent="0.4">
      <c r="B59" s="8" t="s">
        <v>58</v>
      </c>
      <c r="C59" s="8"/>
      <c r="D59" s="20">
        <f t="shared" ref="D59:I59" si="21">D51-D54</f>
        <v>3499.3759999999993</v>
      </c>
      <c r="E59" s="20">
        <f t="shared" si="21"/>
        <v>3631.5291039999993</v>
      </c>
      <c r="F59" s="20">
        <f t="shared" si="21"/>
        <v>3797.0446383359995</v>
      </c>
      <c r="G59" s="20">
        <f t="shared" si="21"/>
        <v>3970.2348794842874</v>
      </c>
      <c r="H59" s="20">
        <f t="shared" si="21"/>
        <v>4210.5939399663512</v>
      </c>
      <c r="I59" s="20">
        <f t="shared" si="21"/>
        <v>4435.6374066267208</v>
      </c>
      <c r="J59" t="s">
        <v>59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" thickTop="1" x14ac:dyDescent="0.35">
      <c r="B60" t="s">
        <v>60</v>
      </c>
      <c r="D60" s="18">
        <f t="shared" ref="D60:I60" si="22">D48*D52-D54</f>
        <v>-220.85000000000002</v>
      </c>
      <c r="E60" s="18">
        <f t="shared" si="22"/>
        <v>-222.55</v>
      </c>
      <c r="F60" s="18">
        <f t="shared" si="22"/>
        <v>-228.40000000000003</v>
      </c>
      <c r="G60" s="18">
        <f t="shared" si="22"/>
        <v>-263.3</v>
      </c>
      <c r="H60" s="18">
        <f t="shared" si="22"/>
        <v>-231.8</v>
      </c>
      <c r="I60" s="18">
        <f t="shared" si="22"/>
        <v>-225.20000000000005</v>
      </c>
      <c r="J60" t="s">
        <v>61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J61" t="s">
        <v>62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" thickBot="1" x14ac:dyDescent="0.4">
      <c r="A63" s="3" t="s">
        <v>63</v>
      </c>
      <c r="B63" s="3"/>
      <c r="C63" s="4" t="s">
        <v>3</v>
      </c>
      <c r="D63" s="4" t="s">
        <v>4</v>
      </c>
      <c r="E63" s="4" t="s">
        <v>5</v>
      </c>
      <c r="F63" s="4" t="s">
        <v>6</v>
      </c>
      <c r="G63" s="4" t="s">
        <v>7</v>
      </c>
      <c r="H63" s="4" t="s">
        <v>8</v>
      </c>
      <c r="I63" s="4" t="s">
        <v>9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B64" t="s">
        <v>64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B65" t="s">
        <v>65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B66" t="s">
        <v>66</v>
      </c>
      <c r="D66" s="7"/>
      <c r="E66" s="7"/>
      <c r="F66" s="7"/>
      <c r="G66" s="7"/>
      <c r="H66" s="7"/>
      <c r="I66" s="7"/>
      <c r="J66" t="s">
        <v>67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" thickBot="1" x14ac:dyDescent="0.4">
      <c r="A69" s="3" t="s">
        <v>68</v>
      </c>
      <c r="B69" s="3"/>
      <c r="D69" s="4" t="s">
        <v>4</v>
      </c>
      <c r="E69" s="4" t="s">
        <v>5</v>
      </c>
      <c r="F69" s="4" t="s">
        <v>6</v>
      </c>
      <c r="G69" s="4" t="s">
        <v>7</v>
      </c>
      <c r="H69" s="4" t="s">
        <v>8</v>
      </c>
      <c r="I69" s="4" t="s">
        <v>9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B70" t="s">
        <v>102</v>
      </c>
      <c r="D70" s="12">
        <f t="shared" ref="D70:I70" si="23">ROUND(D72/D71,0)</f>
        <v>3611</v>
      </c>
      <c r="E70" s="12">
        <f t="shared" si="23"/>
        <v>3429</v>
      </c>
      <c r="F70" s="12">
        <f t="shared" si="23"/>
        <v>5200</v>
      </c>
      <c r="G70" s="12">
        <f t="shared" si="23"/>
        <v>5357</v>
      </c>
      <c r="H70" s="12">
        <f t="shared" si="23"/>
        <v>4684</v>
      </c>
      <c r="I70" s="12">
        <f t="shared" si="23"/>
        <v>4400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B71" t="s">
        <v>128</v>
      </c>
      <c r="D71" s="21">
        <v>1.7999999999999999E-2</v>
      </c>
      <c r="E71" s="21">
        <v>2.1000000000000001E-2</v>
      </c>
      <c r="F71" s="21">
        <v>1.4999999999999999E-2</v>
      </c>
      <c r="G71" s="21">
        <v>1.4E-2</v>
      </c>
      <c r="H71" s="21">
        <v>1.9E-2</v>
      </c>
      <c r="I71" s="21">
        <v>0.02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B72" t="s">
        <v>129</v>
      </c>
      <c r="D72" s="12">
        <f t="shared" ref="D72:I72" si="24">ROUND(D24/D73,0)</f>
        <v>65</v>
      </c>
      <c r="E72" s="12">
        <f t="shared" si="24"/>
        <v>72</v>
      </c>
      <c r="F72" s="12">
        <f t="shared" si="24"/>
        <v>78</v>
      </c>
      <c r="G72" s="12">
        <f t="shared" si="24"/>
        <v>75</v>
      </c>
      <c r="H72" s="12">
        <f t="shared" si="24"/>
        <v>89</v>
      </c>
      <c r="I72" s="12">
        <f t="shared" si="24"/>
        <v>88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B73" t="s">
        <v>130</v>
      </c>
      <c r="D73" s="19">
        <v>0.62</v>
      </c>
      <c r="E73" s="19">
        <v>0.57999999999999996</v>
      </c>
      <c r="F73" s="19">
        <v>0.55000000000000004</v>
      </c>
      <c r="G73" s="19">
        <v>0.61</v>
      </c>
      <c r="H73" s="19">
        <v>0.54</v>
      </c>
      <c r="I73" s="19">
        <v>0.59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B74" t="s">
        <v>131</v>
      </c>
      <c r="D74" s="19">
        <v>0.75</v>
      </c>
      <c r="E74" s="19">
        <v>0.82</v>
      </c>
      <c r="F74" s="19">
        <v>0.65</v>
      </c>
      <c r="G74" s="19">
        <v>0.79</v>
      </c>
      <c r="H74" s="19">
        <v>0.85</v>
      </c>
      <c r="I74" s="19">
        <v>0.78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" thickBot="1" x14ac:dyDescent="0.4">
      <c r="A76" s="3" t="s">
        <v>73</v>
      </c>
      <c r="B76" s="3"/>
      <c r="D76" s="4" t="s">
        <v>4</v>
      </c>
      <c r="E76" s="4" t="s">
        <v>5</v>
      </c>
      <c r="F76" s="4" t="s">
        <v>6</v>
      </c>
      <c r="G76" s="4" t="s">
        <v>7</v>
      </c>
      <c r="H76" s="4" t="s">
        <v>8</v>
      </c>
      <c r="I76" s="4" t="s">
        <v>9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B77" t="s">
        <v>74</v>
      </c>
      <c r="D77">
        <v>6</v>
      </c>
      <c r="E77">
        <v>6.5</v>
      </c>
      <c r="F77">
        <v>7</v>
      </c>
      <c r="G77">
        <v>7.5</v>
      </c>
      <c r="H77">
        <v>8</v>
      </c>
      <c r="I77">
        <v>8.5</v>
      </c>
      <c r="J77" t="s">
        <v>75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B78" t="s">
        <v>76</v>
      </c>
      <c r="D78" s="7">
        <f t="shared" ref="D78:I78" si="25">600/12/12</f>
        <v>4.166666666666667</v>
      </c>
      <c r="E78" s="7">
        <f t="shared" si="25"/>
        <v>4.166666666666667</v>
      </c>
      <c r="F78" s="7">
        <f t="shared" si="25"/>
        <v>4.166666666666667</v>
      </c>
      <c r="G78" s="7">
        <f t="shared" si="25"/>
        <v>4.166666666666667</v>
      </c>
      <c r="H78" s="7">
        <f t="shared" si="25"/>
        <v>4.166666666666667</v>
      </c>
      <c r="I78" s="7">
        <f t="shared" si="25"/>
        <v>4.166666666666667</v>
      </c>
      <c r="J78" t="s">
        <v>77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B79" t="s">
        <v>101</v>
      </c>
      <c r="D79" s="7">
        <f t="shared" ref="D79:I79" si="26">D78*D77</f>
        <v>25</v>
      </c>
      <c r="E79" s="7">
        <f t="shared" si="26"/>
        <v>27.083333333333336</v>
      </c>
      <c r="F79" s="7">
        <f t="shared" si="26"/>
        <v>29.166666666666668</v>
      </c>
      <c r="G79" s="7">
        <f t="shared" si="26"/>
        <v>31.250000000000004</v>
      </c>
      <c r="H79" s="7">
        <f t="shared" si="26"/>
        <v>33.333333333333336</v>
      </c>
      <c r="I79" s="7">
        <f t="shared" si="26"/>
        <v>35.416666666666671</v>
      </c>
      <c r="J79" t="s">
        <v>79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B80" t="s">
        <v>80</v>
      </c>
      <c r="D80">
        <v>1.2</v>
      </c>
      <c r="E80">
        <v>1.2</v>
      </c>
      <c r="F80">
        <v>1.2</v>
      </c>
      <c r="G80">
        <v>1.2</v>
      </c>
      <c r="H80">
        <v>1.2</v>
      </c>
      <c r="I80">
        <v>1.2</v>
      </c>
      <c r="J80" t="s">
        <v>81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x14ac:dyDescent="0.35">
      <c r="B82" t="s">
        <v>82</v>
      </c>
      <c r="D82" s="7">
        <f t="shared" ref="D82:I82" si="27">D14/D77</f>
        <v>44</v>
      </c>
      <c r="E82" s="7">
        <f t="shared" si="27"/>
        <v>42.46153846153846</v>
      </c>
      <c r="F82" s="7">
        <f t="shared" si="27"/>
        <v>42</v>
      </c>
      <c r="G82" s="7">
        <f t="shared" si="27"/>
        <v>41.6</v>
      </c>
      <c r="H82" s="7">
        <f t="shared" si="27"/>
        <v>40.5</v>
      </c>
      <c r="I82" s="7">
        <f t="shared" si="27"/>
        <v>40.941176470588232</v>
      </c>
      <c r="J82" t="s">
        <v>83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x14ac:dyDescent="0.35"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x14ac:dyDescent="0.35"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x14ac:dyDescent="0.35"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x14ac:dyDescent="0.35"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x14ac:dyDescent="0.35"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x14ac:dyDescent="0.35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x14ac:dyDescent="0.35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x14ac:dyDescent="0.35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x14ac:dyDescent="0.35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x14ac:dyDescent="0.35"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x14ac:dyDescent="0.35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x14ac:dyDescent="0.35"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x14ac:dyDescent="0.35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x14ac:dyDescent="0.35"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8:32" x14ac:dyDescent="0.35"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8:32" x14ac:dyDescent="0.35"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8:32" x14ac:dyDescent="0.35"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8:32" x14ac:dyDescent="0.35"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8:32" x14ac:dyDescent="0.35"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8:32" x14ac:dyDescent="0.35"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8:32" x14ac:dyDescent="0.35"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8:32" x14ac:dyDescent="0.35"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8:32" x14ac:dyDescent="0.35"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8:32" x14ac:dyDescent="0.35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8:32" s="32" customFormat="1" x14ac:dyDescent="0.35"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</row>
    <row r="108" spans="18:32" x14ac:dyDescent="0.35"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8:32" x14ac:dyDescent="0.35"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8:32" x14ac:dyDescent="0.35"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8:32" x14ac:dyDescent="0.35"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8:32" x14ac:dyDescent="0.35"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8:32" x14ac:dyDescent="0.35"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8:32" x14ac:dyDescent="0.35"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8:32" x14ac:dyDescent="0.35"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8:32" x14ac:dyDescent="0.35"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8:32" x14ac:dyDescent="0.35"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8:32" x14ac:dyDescent="0.35"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8:32" x14ac:dyDescent="0.35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8:32" x14ac:dyDescent="0.35"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8:32" x14ac:dyDescent="0.35"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8:32" x14ac:dyDescent="0.35"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8:32" x14ac:dyDescent="0.35"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8:32" x14ac:dyDescent="0.35"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8:32" x14ac:dyDescent="0.35"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8:32" x14ac:dyDescent="0.35"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8:32" x14ac:dyDescent="0.35"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8:32" x14ac:dyDescent="0.35"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8:32" x14ac:dyDescent="0.35"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8:32" x14ac:dyDescent="0.35"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8:32" x14ac:dyDescent="0.35"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8:32" x14ac:dyDescent="0.35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8:32" x14ac:dyDescent="0.35"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8:32" x14ac:dyDescent="0.35"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8:32" x14ac:dyDescent="0.35"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8:32" x14ac:dyDescent="0.35"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8:32" x14ac:dyDescent="0.35"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8:32" x14ac:dyDescent="0.35"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8:32" x14ac:dyDescent="0.35"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8:32" x14ac:dyDescent="0.35"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8:32" x14ac:dyDescent="0.35"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8:32" x14ac:dyDescent="0.35"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8:32" x14ac:dyDescent="0.35"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8:32" x14ac:dyDescent="0.35"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8:32" x14ac:dyDescent="0.35"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8:32" x14ac:dyDescent="0.35"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8:32" x14ac:dyDescent="0.35"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8:32" x14ac:dyDescent="0.35"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8:32" x14ac:dyDescent="0.35"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8:32" x14ac:dyDescent="0.35"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8:32" x14ac:dyDescent="0.35"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8:32" x14ac:dyDescent="0.35"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8:32" x14ac:dyDescent="0.35"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8:32" x14ac:dyDescent="0.35"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8:32" x14ac:dyDescent="0.35"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8:32" x14ac:dyDescent="0.35"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8:32" x14ac:dyDescent="0.35"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8:32" x14ac:dyDescent="0.35"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8:32" x14ac:dyDescent="0.35"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8:32" x14ac:dyDescent="0.35"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8:32" x14ac:dyDescent="0.35"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8:32" x14ac:dyDescent="0.35"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8:32" x14ac:dyDescent="0.35"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8:32" x14ac:dyDescent="0.35"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8:32" x14ac:dyDescent="0.35"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8:32" x14ac:dyDescent="0.35"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8:32" x14ac:dyDescent="0.35"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8:32" x14ac:dyDescent="0.35"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1"/>
  <sheetViews>
    <sheetView workbookViewId="0">
      <selection activeCell="B27" sqref="B27"/>
    </sheetView>
  </sheetViews>
  <sheetFormatPr defaultRowHeight="14.5" x14ac:dyDescent="0.35"/>
  <cols>
    <col min="1" max="1" width="20.453125" customWidth="1"/>
    <col min="2" max="2" width="6.453125" customWidth="1"/>
    <col min="3" max="35" width="4.81640625" customWidth="1"/>
    <col min="36" max="50" width="5.453125" customWidth="1"/>
    <col min="51" max="73" width="5.26953125" customWidth="1"/>
  </cols>
  <sheetData>
    <row r="1" spans="1:73" ht="20" thickBot="1" x14ac:dyDescent="0.5">
      <c r="A1" s="24" t="s">
        <v>89</v>
      </c>
      <c r="B1" s="24"/>
      <c r="C1" s="24"/>
      <c r="D1" s="24"/>
      <c r="E1" s="24"/>
      <c r="F1" s="24"/>
    </row>
    <row r="2" spans="1:73" ht="15" thickTop="1" x14ac:dyDescent="0.35"/>
    <row r="5" spans="1:73" ht="17.5" thickBot="1" x14ac:dyDescent="0.45">
      <c r="A5" s="2" t="s">
        <v>90</v>
      </c>
      <c r="B5" s="2"/>
    </row>
    <row r="6" spans="1:73" ht="15" thickTop="1" x14ac:dyDescent="0.35">
      <c r="A6" t="s">
        <v>85</v>
      </c>
      <c r="B6">
        <v>100</v>
      </c>
    </row>
    <row r="7" spans="1:73" x14ac:dyDescent="0.35">
      <c r="A7" t="s">
        <v>87</v>
      </c>
      <c r="B7" s="19">
        <v>0.03</v>
      </c>
    </row>
    <row r="8" spans="1:73" x14ac:dyDescent="0.35">
      <c r="B8" s="19"/>
    </row>
    <row r="9" spans="1:73" x14ac:dyDescent="0.35">
      <c r="A9" t="s">
        <v>88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49</v>
      </c>
      <c r="AY9">
        <v>50</v>
      </c>
      <c r="AZ9">
        <v>51</v>
      </c>
      <c r="BA9">
        <v>52</v>
      </c>
      <c r="BB9">
        <v>53</v>
      </c>
      <c r="BC9">
        <v>54</v>
      </c>
      <c r="BD9">
        <v>55</v>
      </c>
      <c r="BE9">
        <v>56</v>
      </c>
      <c r="BF9">
        <v>57</v>
      </c>
      <c r="BG9">
        <v>58</v>
      </c>
      <c r="BH9">
        <v>59</v>
      </c>
      <c r="BI9">
        <v>60</v>
      </c>
      <c r="BJ9">
        <v>61</v>
      </c>
      <c r="BK9">
        <v>62</v>
      </c>
      <c r="BL9">
        <v>63</v>
      </c>
      <c r="BM9">
        <v>64</v>
      </c>
      <c r="BN9">
        <v>65</v>
      </c>
      <c r="BO9">
        <v>66</v>
      </c>
      <c r="BP9">
        <v>67</v>
      </c>
      <c r="BQ9">
        <v>68</v>
      </c>
      <c r="BR9">
        <v>69</v>
      </c>
      <c r="BS9">
        <v>70</v>
      </c>
      <c r="BT9">
        <v>71</v>
      </c>
      <c r="BU9">
        <v>72</v>
      </c>
    </row>
    <row r="10" spans="1:73" s="23" customFormat="1" x14ac:dyDescent="0.35">
      <c r="A10" s="23" t="s">
        <v>86</v>
      </c>
      <c r="B10" s="23">
        <f>B6</f>
        <v>100</v>
      </c>
      <c r="C10" s="23">
        <f>B10*(1-$B$7)</f>
        <v>97</v>
      </c>
      <c r="D10" s="23">
        <f t="shared" ref="D10:AI10" si="0">C10*(1-$B$7)</f>
        <v>94.09</v>
      </c>
      <c r="E10" s="23">
        <f t="shared" si="0"/>
        <v>91.267300000000006</v>
      </c>
      <c r="F10" s="23">
        <f t="shared" si="0"/>
        <v>88.529280999999997</v>
      </c>
      <c r="G10" s="23">
        <f t="shared" si="0"/>
        <v>85.873402569999996</v>
      </c>
      <c r="H10" s="23">
        <f t="shared" si="0"/>
        <v>83.297200492899989</v>
      </c>
      <c r="I10" s="23">
        <f t="shared" si="0"/>
        <v>80.79828447811299</v>
      </c>
      <c r="J10" s="23">
        <f t="shared" si="0"/>
        <v>78.374335943769594</v>
      </c>
      <c r="K10" s="23">
        <f t="shared" si="0"/>
        <v>76.0231058654565</v>
      </c>
      <c r="L10" s="23">
        <f t="shared" si="0"/>
        <v>73.742412689492809</v>
      </c>
      <c r="M10" s="23">
        <f t="shared" si="0"/>
        <v>71.530140308808029</v>
      </c>
      <c r="N10" s="23">
        <f t="shared" si="0"/>
        <v>69.384236099543784</v>
      </c>
      <c r="O10" s="23">
        <f t="shared" si="0"/>
        <v>67.302709016557472</v>
      </c>
      <c r="P10" s="23">
        <f t="shared" si="0"/>
        <v>65.283627746060745</v>
      </c>
      <c r="Q10" s="23">
        <f t="shared" si="0"/>
        <v>63.325118913678921</v>
      </c>
      <c r="R10" s="23">
        <f t="shared" si="0"/>
        <v>61.425365346268549</v>
      </c>
      <c r="S10" s="23">
        <f t="shared" si="0"/>
        <v>59.582604385880494</v>
      </c>
      <c r="T10" s="23">
        <f t="shared" si="0"/>
        <v>57.79512625430408</v>
      </c>
      <c r="U10" s="23">
        <f t="shared" si="0"/>
        <v>56.061272466674957</v>
      </c>
      <c r="V10" s="23">
        <f t="shared" si="0"/>
        <v>54.379434292674709</v>
      </c>
      <c r="W10" s="23">
        <f t="shared" si="0"/>
        <v>52.748051263894467</v>
      </c>
      <c r="X10" s="23">
        <f t="shared" si="0"/>
        <v>51.165609725977632</v>
      </c>
      <c r="Y10" s="23">
        <f t="shared" si="0"/>
        <v>49.630641434198303</v>
      </c>
      <c r="Z10" s="23">
        <f t="shared" si="0"/>
        <v>48.141722191172356</v>
      </c>
      <c r="AA10" s="23">
        <f t="shared" si="0"/>
        <v>46.697470525437183</v>
      </c>
      <c r="AB10" s="23">
        <f t="shared" si="0"/>
        <v>45.296546409674065</v>
      </c>
      <c r="AC10" s="23">
        <f t="shared" si="0"/>
        <v>43.937650017383838</v>
      </c>
      <c r="AD10" s="23">
        <f t="shared" si="0"/>
        <v>42.619520516862323</v>
      </c>
      <c r="AE10" s="23">
        <f t="shared" si="0"/>
        <v>41.340934901356455</v>
      </c>
      <c r="AF10" s="23">
        <f t="shared" si="0"/>
        <v>40.10070685431576</v>
      </c>
      <c r="AG10" s="23">
        <f t="shared" si="0"/>
        <v>38.897685648686284</v>
      </c>
      <c r="AH10" s="23">
        <f t="shared" si="0"/>
        <v>37.730755079225695</v>
      </c>
      <c r="AI10" s="23">
        <f t="shared" si="0"/>
        <v>36.598832426848922</v>
      </c>
      <c r="AJ10" s="23">
        <f t="shared" ref="AJ10:AX10" si="1">AI10*(1-$B$7)</f>
        <v>35.500867454043451</v>
      </c>
      <c r="AK10" s="23">
        <f t="shared" si="1"/>
        <v>34.435841430422144</v>
      </c>
      <c r="AL10" s="23">
        <f t="shared" si="1"/>
        <v>33.402766187509478</v>
      </c>
      <c r="AM10" s="23">
        <f t="shared" si="1"/>
        <v>32.400683201884192</v>
      </c>
      <c r="AN10" s="23">
        <f t="shared" si="1"/>
        <v>31.428662705827666</v>
      </c>
      <c r="AO10" s="23">
        <f t="shared" si="1"/>
        <v>30.485802824652836</v>
      </c>
      <c r="AP10" s="23">
        <f t="shared" si="1"/>
        <v>29.571228739913252</v>
      </c>
      <c r="AQ10" s="23">
        <f t="shared" si="1"/>
        <v>28.684091877715854</v>
      </c>
      <c r="AR10" s="23">
        <f t="shared" si="1"/>
        <v>27.823569121384377</v>
      </c>
      <c r="AS10" s="23">
        <f t="shared" si="1"/>
        <v>26.988862047742845</v>
      </c>
      <c r="AT10" s="23">
        <f t="shared" si="1"/>
        <v>26.179196186310559</v>
      </c>
      <c r="AU10" s="23">
        <f t="shared" si="1"/>
        <v>25.393820300721242</v>
      </c>
      <c r="AV10" s="23">
        <f t="shared" si="1"/>
        <v>24.632005691699604</v>
      </c>
      <c r="AW10" s="23">
        <f t="shared" si="1"/>
        <v>23.893045520948615</v>
      </c>
      <c r="AX10" s="23">
        <f t="shared" si="1"/>
        <v>23.176254155320155</v>
      </c>
      <c r="AY10" s="23">
        <f t="shared" ref="AY10:BU10" si="2">AX10*(1-$B$7)</f>
        <v>22.480966530660549</v>
      </c>
      <c r="AZ10" s="23">
        <f t="shared" si="2"/>
        <v>21.80653753474073</v>
      </c>
      <c r="BA10" s="23">
        <f t="shared" si="2"/>
        <v>21.152341408698508</v>
      </c>
      <c r="BB10" s="23">
        <f t="shared" si="2"/>
        <v>20.517771166437551</v>
      </c>
      <c r="BC10" s="23">
        <f t="shared" si="2"/>
        <v>19.902238031444423</v>
      </c>
      <c r="BD10" s="23">
        <f t="shared" si="2"/>
        <v>19.305170890501088</v>
      </c>
      <c r="BE10" s="23">
        <f t="shared" si="2"/>
        <v>18.726015763786055</v>
      </c>
      <c r="BF10" s="23">
        <f t="shared" si="2"/>
        <v>18.164235290872472</v>
      </c>
      <c r="BG10" s="23">
        <f t="shared" si="2"/>
        <v>17.619308232146299</v>
      </c>
      <c r="BH10" s="23">
        <f t="shared" si="2"/>
        <v>17.090728985181908</v>
      </c>
      <c r="BI10" s="23">
        <f t="shared" si="2"/>
        <v>16.578007115626452</v>
      </c>
      <c r="BJ10" s="23">
        <f t="shared" si="2"/>
        <v>16.08066690215766</v>
      </c>
      <c r="BK10" s="23">
        <f t="shared" si="2"/>
        <v>15.598246895092929</v>
      </c>
      <c r="BL10" s="23">
        <f t="shared" si="2"/>
        <v>15.130299488240141</v>
      </c>
      <c r="BM10" s="23">
        <f t="shared" si="2"/>
        <v>14.676390503592936</v>
      </c>
      <c r="BN10" s="23">
        <f t="shared" si="2"/>
        <v>14.236098788485148</v>
      </c>
      <c r="BO10" s="23">
        <f t="shared" si="2"/>
        <v>13.809015824830592</v>
      </c>
      <c r="BP10" s="23">
        <f t="shared" si="2"/>
        <v>13.394745350085675</v>
      </c>
      <c r="BQ10" s="23">
        <f t="shared" si="2"/>
        <v>12.992902989583104</v>
      </c>
      <c r="BR10" s="23">
        <f t="shared" si="2"/>
        <v>12.603115899895611</v>
      </c>
      <c r="BS10" s="23">
        <f t="shared" si="2"/>
        <v>12.225022422898743</v>
      </c>
      <c r="BT10" s="23">
        <f t="shared" si="2"/>
        <v>11.858271750211781</v>
      </c>
      <c r="BU10" s="23">
        <f t="shared" si="2"/>
        <v>11.502523597705427</v>
      </c>
    </row>
    <row r="25" spans="1:73" x14ac:dyDescent="0.35">
      <c r="A25" t="s">
        <v>91</v>
      </c>
      <c r="B25">
        <v>100</v>
      </c>
    </row>
    <row r="26" spans="1:73" x14ac:dyDescent="0.35">
      <c r="A26" t="s">
        <v>92</v>
      </c>
      <c r="B26">
        <v>5</v>
      </c>
    </row>
    <row r="27" spans="1:73" x14ac:dyDescent="0.35">
      <c r="A27" t="s">
        <v>93</v>
      </c>
      <c r="B27" s="17">
        <v>0.03</v>
      </c>
    </row>
    <row r="29" spans="1:73" x14ac:dyDescent="0.35">
      <c r="A29" t="s">
        <v>88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  <c r="AM29">
        <v>38</v>
      </c>
      <c r="AN29">
        <v>39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  <c r="AZ29">
        <v>51</v>
      </c>
      <c r="BA29">
        <v>52</v>
      </c>
      <c r="BB29">
        <v>53</v>
      </c>
      <c r="BC29">
        <v>54</v>
      </c>
      <c r="BD29">
        <v>55</v>
      </c>
      <c r="BE29">
        <v>56</v>
      </c>
      <c r="BF29">
        <v>57</v>
      </c>
      <c r="BG29">
        <v>58</v>
      </c>
      <c r="BH29">
        <v>59</v>
      </c>
      <c r="BI29">
        <v>60</v>
      </c>
      <c r="BJ29">
        <v>61</v>
      </c>
      <c r="BK29">
        <v>62</v>
      </c>
      <c r="BL29">
        <v>63</v>
      </c>
      <c r="BM29">
        <v>64</v>
      </c>
      <c r="BN29">
        <v>65</v>
      </c>
      <c r="BO29">
        <v>66</v>
      </c>
      <c r="BP29">
        <v>67</v>
      </c>
      <c r="BQ29">
        <v>68</v>
      </c>
      <c r="BR29">
        <v>69</v>
      </c>
      <c r="BS29">
        <v>70</v>
      </c>
      <c r="BT29">
        <v>71</v>
      </c>
      <c r="BU29">
        <v>72</v>
      </c>
    </row>
    <row r="30" spans="1:73" x14ac:dyDescent="0.35">
      <c r="A30" t="s">
        <v>86</v>
      </c>
      <c r="B30">
        <f>B6</f>
        <v>100</v>
      </c>
      <c r="C30" s="23">
        <f>B30*(1-$B$27)</f>
        <v>97</v>
      </c>
      <c r="D30" s="23">
        <f t="shared" ref="D30:BO30" si="3">C30*(1-$B$27)</f>
        <v>94.09</v>
      </c>
      <c r="E30" s="23">
        <f t="shared" si="3"/>
        <v>91.267300000000006</v>
      </c>
      <c r="F30" s="23">
        <f t="shared" si="3"/>
        <v>88.529280999999997</v>
      </c>
      <c r="G30" s="23">
        <f t="shared" si="3"/>
        <v>85.873402569999996</v>
      </c>
      <c r="H30" s="23">
        <f t="shared" si="3"/>
        <v>83.297200492899989</v>
      </c>
      <c r="I30" s="23">
        <f t="shared" si="3"/>
        <v>80.79828447811299</v>
      </c>
      <c r="J30" s="23">
        <f t="shared" si="3"/>
        <v>78.374335943769594</v>
      </c>
      <c r="K30" s="23">
        <f t="shared" si="3"/>
        <v>76.0231058654565</v>
      </c>
      <c r="L30" s="23">
        <f t="shared" si="3"/>
        <v>73.742412689492809</v>
      </c>
      <c r="M30" s="23">
        <f t="shared" si="3"/>
        <v>71.530140308808029</v>
      </c>
      <c r="N30" s="23">
        <f t="shared" si="3"/>
        <v>69.384236099543784</v>
      </c>
      <c r="O30" s="23">
        <f t="shared" si="3"/>
        <v>67.302709016557472</v>
      </c>
      <c r="P30" s="23">
        <f t="shared" si="3"/>
        <v>65.283627746060745</v>
      </c>
      <c r="Q30" s="23">
        <f t="shared" si="3"/>
        <v>63.325118913678921</v>
      </c>
      <c r="R30" s="23">
        <f t="shared" si="3"/>
        <v>61.425365346268549</v>
      </c>
      <c r="S30" s="23">
        <f t="shared" si="3"/>
        <v>59.582604385880494</v>
      </c>
      <c r="T30" s="23">
        <f t="shared" si="3"/>
        <v>57.79512625430408</v>
      </c>
      <c r="U30" s="23">
        <f t="shared" si="3"/>
        <v>56.061272466674957</v>
      </c>
      <c r="V30" s="23">
        <f t="shared" si="3"/>
        <v>54.379434292674709</v>
      </c>
      <c r="W30" s="23">
        <f t="shared" si="3"/>
        <v>52.748051263894467</v>
      </c>
      <c r="X30" s="23">
        <f t="shared" si="3"/>
        <v>51.165609725977632</v>
      </c>
      <c r="Y30" s="23">
        <f t="shared" si="3"/>
        <v>49.630641434198303</v>
      </c>
      <c r="Z30" s="23">
        <f t="shared" si="3"/>
        <v>48.141722191172356</v>
      </c>
      <c r="AA30" s="23">
        <f t="shared" si="3"/>
        <v>46.697470525437183</v>
      </c>
      <c r="AB30" s="23">
        <f t="shared" si="3"/>
        <v>45.296546409674065</v>
      </c>
      <c r="AC30" s="23">
        <f t="shared" si="3"/>
        <v>43.937650017383838</v>
      </c>
      <c r="AD30" s="23">
        <f t="shared" si="3"/>
        <v>42.619520516862323</v>
      </c>
      <c r="AE30" s="23">
        <f t="shared" si="3"/>
        <v>41.340934901356455</v>
      </c>
      <c r="AF30" s="23">
        <f t="shared" si="3"/>
        <v>40.10070685431576</v>
      </c>
      <c r="AG30" s="23">
        <f t="shared" si="3"/>
        <v>38.897685648686284</v>
      </c>
      <c r="AH30" s="23">
        <f t="shared" si="3"/>
        <v>37.730755079225695</v>
      </c>
      <c r="AI30" s="23">
        <f t="shared" si="3"/>
        <v>36.598832426848922</v>
      </c>
      <c r="AJ30" s="23">
        <f t="shared" si="3"/>
        <v>35.500867454043451</v>
      </c>
      <c r="AK30" s="23">
        <f t="shared" si="3"/>
        <v>34.435841430422144</v>
      </c>
      <c r="AL30" s="23">
        <f t="shared" si="3"/>
        <v>33.402766187509478</v>
      </c>
      <c r="AM30" s="23">
        <f t="shared" si="3"/>
        <v>32.400683201884192</v>
      </c>
      <c r="AN30" s="23">
        <f t="shared" si="3"/>
        <v>31.428662705827666</v>
      </c>
      <c r="AO30" s="23">
        <f t="shared" si="3"/>
        <v>30.485802824652836</v>
      </c>
      <c r="AP30" s="23">
        <f t="shared" si="3"/>
        <v>29.571228739913252</v>
      </c>
      <c r="AQ30" s="23">
        <f t="shared" si="3"/>
        <v>28.684091877715854</v>
      </c>
      <c r="AR30" s="23">
        <f t="shared" si="3"/>
        <v>27.823569121384377</v>
      </c>
      <c r="AS30" s="23">
        <f t="shared" si="3"/>
        <v>26.988862047742845</v>
      </c>
      <c r="AT30" s="23">
        <f t="shared" si="3"/>
        <v>26.179196186310559</v>
      </c>
      <c r="AU30" s="23">
        <f t="shared" si="3"/>
        <v>25.393820300721242</v>
      </c>
      <c r="AV30" s="23">
        <f t="shared" si="3"/>
        <v>24.632005691699604</v>
      </c>
      <c r="AW30" s="23">
        <f t="shared" si="3"/>
        <v>23.893045520948615</v>
      </c>
      <c r="AX30" s="23">
        <f t="shared" si="3"/>
        <v>23.176254155320155</v>
      </c>
      <c r="AY30" s="23">
        <f t="shared" si="3"/>
        <v>22.480966530660549</v>
      </c>
      <c r="AZ30" s="23">
        <f t="shared" si="3"/>
        <v>21.80653753474073</v>
      </c>
      <c r="BA30" s="23">
        <f t="shared" si="3"/>
        <v>21.152341408698508</v>
      </c>
      <c r="BB30" s="23">
        <f t="shared" si="3"/>
        <v>20.517771166437551</v>
      </c>
      <c r="BC30" s="23">
        <f t="shared" si="3"/>
        <v>19.902238031444423</v>
      </c>
      <c r="BD30" s="23">
        <f t="shared" si="3"/>
        <v>19.305170890501088</v>
      </c>
      <c r="BE30" s="23">
        <f t="shared" si="3"/>
        <v>18.726015763786055</v>
      </c>
      <c r="BF30" s="23">
        <f t="shared" si="3"/>
        <v>18.164235290872472</v>
      </c>
      <c r="BG30" s="23">
        <f t="shared" si="3"/>
        <v>17.619308232146299</v>
      </c>
      <c r="BH30" s="23">
        <f t="shared" si="3"/>
        <v>17.090728985181908</v>
      </c>
      <c r="BI30" s="23">
        <f t="shared" si="3"/>
        <v>16.578007115626452</v>
      </c>
      <c r="BJ30" s="23">
        <f t="shared" si="3"/>
        <v>16.08066690215766</v>
      </c>
      <c r="BK30" s="23">
        <f t="shared" si="3"/>
        <v>15.598246895092929</v>
      </c>
      <c r="BL30" s="23">
        <f t="shared" si="3"/>
        <v>15.130299488240141</v>
      </c>
      <c r="BM30" s="23">
        <f t="shared" si="3"/>
        <v>14.676390503592936</v>
      </c>
      <c r="BN30" s="23">
        <f t="shared" si="3"/>
        <v>14.236098788485148</v>
      </c>
      <c r="BO30" s="23">
        <f t="shared" si="3"/>
        <v>13.809015824830592</v>
      </c>
      <c r="BP30" s="23">
        <f t="shared" ref="BP30:BU30" si="4">BO30*(1-$B$27)</f>
        <v>13.394745350085675</v>
      </c>
      <c r="BQ30" s="23">
        <f t="shared" si="4"/>
        <v>12.992902989583104</v>
      </c>
      <c r="BR30" s="23">
        <f t="shared" si="4"/>
        <v>12.603115899895611</v>
      </c>
      <c r="BS30" s="23">
        <f t="shared" si="4"/>
        <v>12.225022422898743</v>
      </c>
      <c r="BT30" s="23">
        <f t="shared" si="4"/>
        <v>11.858271750211781</v>
      </c>
      <c r="BU30" s="23">
        <f t="shared" si="4"/>
        <v>11.502523597705427</v>
      </c>
    </row>
    <row r="31" spans="1:73" x14ac:dyDescent="0.35">
      <c r="A31" t="s">
        <v>94</v>
      </c>
      <c r="B31">
        <f>B30*B25</f>
        <v>10000</v>
      </c>
      <c r="C31">
        <f>C30*($B$25+B29*$B$26)</f>
        <v>10185</v>
      </c>
      <c r="D31">
        <f t="shared" ref="D31:BO31" si="5">D30*($B$25+C29*$B$26)</f>
        <v>10349.9</v>
      </c>
      <c r="E31">
        <f t="shared" si="5"/>
        <v>10495.739500000001</v>
      </c>
      <c r="F31">
        <f t="shared" si="5"/>
        <v>10623.513719999999</v>
      </c>
      <c r="G31">
        <f t="shared" si="5"/>
        <v>10734.175321249999</v>
      </c>
      <c r="H31">
        <f t="shared" si="5"/>
        <v>10828.636064076998</v>
      </c>
      <c r="I31">
        <f t="shared" si="5"/>
        <v>10907.768404545253</v>
      </c>
      <c r="J31">
        <f t="shared" si="5"/>
        <v>10972.407032127743</v>
      </c>
      <c r="K31">
        <f t="shared" si="5"/>
        <v>11023.350350491193</v>
      </c>
      <c r="L31">
        <f t="shared" si="5"/>
        <v>11061.361903423922</v>
      </c>
      <c r="M31">
        <f t="shared" si="5"/>
        <v>11087.171747865244</v>
      </c>
      <c r="N31">
        <f t="shared" si="5"/>
        <v>11101.477775927005</v>
      </c>
      <c r="O31">
        <f t="shared" si="5"/>
        <v>11104.946987731983</v>
      </c>
      <c r="P31">
        <f t="shared" si="5"/>
        <v>11098.216716830326</v>
      </c>
      <c r="Q31">
        <f t="shared" si="5"/>
        <v>11081.895809893811</v>
      </c>
      <c r="R31">
        <f t="shared" si="5"/>
        <v>11056.565762328339</v>
      </c>
      <c r="S31">
        <f t="shared" si="5"/>
        <v>11022.781811387891</v>
      </c>
      <c r="T31">
        <f t="shared" si="5"/>
        <v>10981.073988317776</v>
      </c>
      <c r="U31">
        <f t="shared" si="5"/>
        <v>10931.948131001616</v>
      </c>
      <c r="V31">
        <f t="shared" si="5"/>
        <v>10875.886858534941</v>
      </c>
      <c r="W31">
        <f t="shared" si="5"/>
        <v>10813.350509098365</v>
      </c>
      <c r="X31">
        <f t="shared" si="5"/>
        <v>10744.778042455302</v>
      </c>
      <c r="Y31">
        <f t="shared" si="5"/>
        <v>10670.587908352634</v>
      </c>
      <c r="Z31">
        <f t="shared" si="5"/>
        <v>10591.178882057919</v>
      </c>
      <c r="AA31">
        <f t="shared" si="5"/>
        <v>10506.930868223366</v>
      </c>
      <c r="AB31">
        <f t="shared" si="5"/>
        <v>10418.205674225035</v>
      </c>
      <c r="AC31">
        <f t="shared" si="5"/>
        <v>10325.347754085202</v>
      </c>
      <c r="AD31">
        <f t="shared" si="5"/>
        <v>10228.684924046958</v>
      </c>
      <c r="AE31">
        <f t="shared" si="5"/>
        <v>10128.529050832332</v>
      </c>
      <c r="AF31">
        <f t="shared" si="5"/>
        <v>10025.17671357894</v>
      </c>
      <c r="AG31">
        <f t="shared" si="5"/>
        <v>9918.9098404150027</v>
      </c>
      <c r="AH31">
        <f t="shared" si="5"/>
        <v>9809.9963205986805</v>
      </c>
      <c r="AI31">
        <f t="shared" si="5"/>
        <v>9698.6905931149649</v>
      </c>
      <c r="AJ31">
        <f t="shared" si="5"/>
        <v>9585.2342125917312</v>
      </c>
      <c r="AK31">
        <f t="shared" si="5"/>
        <v>9469.8563933660898</v>
      </c>
      <c r="AL31">
        <f t="shared" si="5"/>
        <v>9352.7745325026535</v>
      </c>
      <c r="AM31">
        <f t="shared" si="5"/>
        <v>9234.1947125369952</v>
      </c>
      <c r="AN31">
        <f t="shared" si="5"/>
        <v>9114.3121846900231</v>
      </c>
      <c r="AO31">
        <f t="shared" si="5"/>
        <v>8993.3118332725862</v>
      </c>
      <c r="AP31">
        <f t="shared" si="5"/>
        <v>8871.3686219739757</v>
      </c>
      <c r="AQ31">
        <f t="shared" si="5"/>
        <v>8748.6480227033353</v>
      </c>
      <c r="AR31">
        <f t="shared" si="5"/>
        <v>8625.306427629157</v>
      </c>
      <c r="AS31">
        <f t="shared" si="5"/>
        <v>8501.4915450389963</v>
      </c>
      <c r="AT31">
        <f t="shared" si="5"/>
        <v>8377.3427796193791</v>
      </c>
      <c r="AU31">
        <f t="shared" si="5"/>
        <v>8252.9915977344026</v>
      </c>
      <c r="AV31">
        <f t="shared" si="5"/>
        <v>8128.561878260869</v>
      </c>
      <c r="AW31">
        <f t="shared" si="5"/>
        <v>8004.170249517786</v>
      </c>
      <c r="AX31">
        <f t="shared" si="5"/>
        <v>7879.9264128088525</v>
      </c>
      <c r="AY31">
        <f t="shared" si="5"/>
        <v>7755.9334530778897</v>
      </c>
      <c r="AZ31">
        <f t="shared" si="5"/>
        <v>7632.2881371592557</v>
      </c>
      <c r="BA31">
        <f t="shared" si="5"/>
        <v>7509.0812000879705</v>
      </c>
      <c r="BB31">
        <f t="shared" si="5"/>
        <v>7386.3976199175186</v>
      </c>
      <c r="BC31">
        <f t="shared" si="5"/>
        <v>7264.3168814772143</v>
      </c>
      <c r="BD31">
        <f t="shared" si="5"/>
        <v>7142.9132294854026</v>
      </c>
      <c r="BE31">
        <f t="shared" si="5"/>
        <v>7022.2559114197711</v>
      </c>
      <c r="BF31">
        <f t="shared" si="5"/>
        <v>6902.4094105315398</v>
      </c>
      <c r="BG31">
        <f t="shared" si="5"/>
        <v>6783.4336693763253</v>
      </c>
      <c r="BH31">
        <f t="shared" si="5"/>
        <v>6665.3843042209437</v>
      </c>
      <c r="BI31">
        <f t="shared" si="5"/>
        <v>6548.3128106724489</v>
      </c>
      <c r="BJ31">
        <f t="shared" si="5"/>
        <v>6432.2667608630636</v>
      </c>
      <c r="BK31">
        <f t="shared" si="5"/>
        <v>6317.2899925126367</v>
      </c>
      <c r="BL31">
        <f t="shared" si="5"/>
        <v>6203.4227901784579</v>
      </c>
      <c r="BM31">
        <f t="shared" si="5"/>
        <v>6090.702058991068</v>
      </c>
      <c r="BN31">
        <f t="shared" si="5"/>
        <v>5979.1614911637616</v>
      </c>
      <c r="BO31">
        <f t="shared" si="5"/>
        <v>5868.8317255530019</v>
      </c>
      <c r="BP31">
        <f t="shared" ref="BP31:BU31" si="6">BP30*($B$25+BO29*$B$26)</f>
        <v>5759.74050053684</v>
      </c>
      <c r="BQ31">
        <f t="shared" si="6"/>
        <v>5651.9128004686499</v>
      </c>
      <c r="BR31">
        <f t="shared" si="6"/>
        <v>5545.3709959540693</v>
      </c>
      <c r="BS31">
        <f t="shared" si="6"/>
        <v>5440.1349781899407</v>
      </c>
      <c r="BT31">
        <f t="shared" si="6"/>
        <v>5336.2222875953012</v>
      </c>
      <c r="BU31">
        <f t="shared" si="6"/>
        <v>5233.648236955969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Primarily Monthly Contracts</vt:lpstr>
      <vt:lpstr>Dashboard</vt:lpstr>
      <vt:lpstr>Annual Contracts</vt:lpstr>
      <vt:lpstr>LTV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mandark</cp:lastModifiedBy>
  <dcterms:created xsi:type="dcterms:W3CDTF">2012-12-02T18:46:26Z</dcterms:created>
  <dcterms:modified xsi:type="dcterms:W3CDTF">2015-10-04T08:06:01Z</dcterms:modified>
</cp:coreProperties>
</file>