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6" activeTab="9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4" l="1"/>
  <c r="G33" i="14"/>
  <c r="G32" i="14"/>
  <c r="G31" i="14"/>
  <c r="G30" i="14"/>
  <c r="V50" i="14" l="1"/>
  <c r="V51" i="14"/>
  <c r="V52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26" i="14"/>
  <c r="L21" i="14"/>
  <c r="L22" i="14"/>
  <c r="L23" i="14"/>
  <c r="L24" i="14"/>
  <c r="L25" i="14"/>
  <c r="L20" i="14"/>
  <c r="L19" i="14"/>
  <c r="C52" i="14" l="1"/>
  <c r="E52" i="14" s="1"/>
  <c r="O52" i="14" s="1"/>
  <c r="C51" i="14"/>
  <c r="E51" i="14" s="1"/>
  <c r="O51" i="14" s="1"/>
  <c r="C50" i="14"/>
  <c r="E50" i="14" s="1"/>
  <c r="O50" i="14" s="1"/>
  <c r="C49" i="14"/>
  <c r="E49" i="14" s="1"/>
  <c r="O49" i="14" s="1"/>
  <c r="Q49" i="14" s="1"/>
  <c r="C48" i="14"/>
  <c r="E48" i="14" s="1"/>
  <c r="O48" i="14" s="1"/>
  <c r="C47" i="14"/>
  <c r="E47" i="14" s="1"/>
  <c r="O47" i="14" s="1"/>
  <c r="C46" i="14"/>
  <c r="E46" i="14" s="1"/>
  <c r="O46" i="14" s="1"/>
  <c r="C45" i="14"/>
  <c r="E45" i="14" s="1"/>
  <c r="O45" i="14" s="1"/>
  <c r="C44" i="14"/>
  <c r="E44" i="14" s="1"/>
  <c r="O44" i="14" s="1"/>
  <c r="C43" i="14"/>
  <c r="E43" i="14" s="1"/>
  <c r="O43" i="14" s="1"/>
  <c r="C42" i="14"/>
  <c r="E42" i="14" s="1"/>
  <c r="O42" i="14" s="1"/>
  <c r="Q42" i="14" s="1"/>
  <c r="C41" i="14"/>
  <c r="E41" i="14" s="1"/>
  <c r="O41" i="14" s="1"/>
  <c r="C40" i="14"/>
  <c r="E40" i="14" s="1"/>
  <c r="O40" i="14" s="1"/>
  <c r="C39" i="14"/>
  <c r="E39" i="14" s="1"/>
  <c r="O39" i="14" s="1"/>
  <c r="C38" i="14"/>
  <c r="E38" i="14" s="1"/>
  <c r="O38" i="14" s="1"/>
  <c r="C37" i="14"/>
  <c r="E37" i="14" s="1"/>
  <c r="O37" i="14" s="1"/>
  <c r="C36" i="14"/>
  <c r="E36" i="14" s="1"/>
  <c r="O36" i="14" s="1"/>
  <c r="C35" i="14"/>
  <c r="E35" i="14" s="1"/>
  <c r="O35" i="14" s="1"/>
  <c r="C34" i="14"/>
  <c r="E34" i="14" s="1"/>
  <c r="O34" i="14" s="1"/>
  <c r="C33" i="14"/>
  <c r="E33" i="14" s="1"/>
  <c r="O33" i="14" s="1"/>
  <c r="C32" i="14"/>
  <c r="E32" i="14" s="1"/>
  <c r="O32" i="14" s="1"/>
  <c r="F19" i="14"/>
  <c r="H20" i="14" s="1"/>
  <c r="Q46" i="14" l="1"/>
  <c r="Q44" i="14"/>
  <c r="Q36" i="14"/>
  <c r="Q48" i="14"/>
  <c r="Q43" i="14"/>
  <c r="Q50" i="14"/>
  <c r="Q51" i="14"/>
  <c r="Q45" i="14"/>
  <c r="Q47" i="14"/>
  <c r="Q52" i="14"/>
  <c r="Q37" i="14"/>
  <c r="Q33" i="14"/>
  <c r="Q34" i="14"/>
  <c r="Q38" i="14"/>
  <c r="Q41" i="14"/>
  <c r="Q35" i="14"/>
  <c r="Q39" i="14"/>
  <c r="Q40" i="14"/>
  <c r="M18" i="14"/>
  <c r="I58" i="13" l="1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J58" i="13" l="1"/>
  <c r="L58" i="13" s="1"/>
  <c r="M58" i="13" s="1"/>
  <c r="F58" i="13"/>
  <c r="H58" i="13"/>
  <c r="K58" i="13"/>
  <c r="C28" i="14"/>
  <c r="E28" i="14" s="1"/>
  <c r="O28" i="14" s="1"/>
  <c r="C29" i="14"/>
  <c r="E29" i="14" s="1"/>
  <c r="O29" i="14" s="1"/>
  <c r="C30" i="14"/>
  <c r="E30" i="14" s="1"/>
  <c r="O30" i="14" s="1"/>
  <c r="C31" i="14"/>
  <c r="E31" i="14" s="1"/>
  <c r="O31" i="14" s="1"/>
  <c r="C27" i="14"/>
  <c r="E27" i="14" s="1"/>
  <c r="O27" i="14" s="1"/>
  <c r="Q32" i="14" l="1"/>
  <c r="Q31" i="14"/>
  <c r="Q30" i="14"/>
  <c r="Q29" i="14"/>
  <c r="Q28" i="14"/>
  <c r="H19" i="14"/>
  <c r="F20" i="14" s="1"/>
  <c r="H21" i="14" s="1"/>
  <c r="P17" i="14"/>
  <c r="O17" i="14"/>
  <c r="N17" i="14"/>
  <c r="C19" i="14"/>
  <c r="E19" i="14" s="1"/>
  <c r="O19" i="14" s="1"/>
  <c r="C20" i="14"/>
  <c r="E20" i="14" s="1"/>
  <c r="O20" i="14" s="1"/>
  <c r="C21" i="14"/>
  <c r="E21" i="14" s="1"/>
  <c r="O21" i="14" s="1"/>
  <c r="Q21" i="14" s="1"/>
  <c r="C22" i="14"/>
  <c r="E22" i="14" s="1"/>
  <c r="O22" i="14" s="1"/>
  <c r="C23" i="14"/>
  <c r="E23" i="14" s="1"/>
  <c r="O23" i="14" s="1"/>
  <c r="C24" i="14"/>
  <c r="E24" i="14" s="1"/>
  <c r="O24" i="14" s="1"/>
  <c r="C25" i="14"/>
  <c r="E25" i="14" s="1"/>
  <c r="O25" i="14" s="1"/>
  <c r="Q25" i="14" s="1"/>
  <c r="C26" i="14"/>
  <c r="E26" i="14" s="1"/>
  <c r="O26" i="14" s="1"/>
  <c r="C18" i="14"/>
  <c r="E18" i="14" s="1"/>
  <c r="P18" i="14" s="1"/>
  <c r="N18" i="14"/>
  <c r="Q26" i="14" l="1"/>
  <c r="Q22" i="14"/>
  <c r="R18" i="14"/>
  <c r="Q23" i="14"/>
  <c r="O18" i="14"/>
  <c r="Q18" i="14" s="1"/>
  <c r="F21" i="14"/>
  <c r="H22" i="14" s="1"/>
  <c r="M19" i="14"/>
  <c r="Q24" i="14"/>
  <c r="Q27" i="14"/>
  <c r="Q19" i="14"/>
  <c r="Q20" i="14"/>
  <c r="N19" i="14"/>
  <c r="R19" i="14" s="1"/>
  <c r="P19" i="14"/>
  <c r="P20" i="14" l="1"/>
  <c r="N20" i="14"/>
  <c r="R20" i="14" s="1"/>
  <c r="F22" i="14"/>
  <c r="H23" i="14" s="1"/>
  <c r="M20" i="14"/>
  <c r="F23" i="14" l="1"/>
  <c r="H24" i="14" s="1"/>
  <c r="M21" i="14"/>
  <c r="N21" i="14"/>
  <c r="R21" i="14" s="1"/>
  <c r="P21" i="14"/>
  <c r="F24" i="14" l="1"/>
  <c r="M22" i="14"/>
  <c r="P22" i="14"/>
  <c r="N22" i="14"/>
  <c r="R22" i="14" s="1"/>
  <c r="G25" i="14" l="1"/>
  <c r="G26" i="14" s="1"/>
  <c r="F25" i="14"/>
  <c r="H26" i="14"/>
  <c r="H25" i="14"/>
  <c r="I25" i="14"/>
  <c r="M23" i="14"/>
  <c r="P23" i="14"/>
  <c r="N23" i="14"/>
  <c r="R23" i="14" s="1"/>
  <c r="J26" i="14" l="1"/>
  <c r="I26" i="14"/>
  <c r="F26" i="14" s="1"/>
  <c r="I27" i="14" s="1"/>
  <c r="J27" i="14"/>
  <c r="G27" i="14" s="1"/>
  <c r="V26" i="14"/>
  <c r="W26" i="14" s="1"/>
  <c r="F27" i="14"/>
  <c r="M24" i="14"/>
  <c r="P24" i="14"/>
  <c r="N24" i="14"/>
  <c r="R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H27" i="14" l="1"/>
  <c r="V27" i="14"/>
  <c r="W27" i="14" s="1"/>
  <c r="J28" i="14"/>
  <c r="I28" i="14"/>
  <c r="F28" i="14" s="1"/>
  <c r="H28" i="14"/>
  <c r="M25" i="14"/>
  <c r="P25" i="14"/>
  <c r="N25" i="14"/>
  <c r="R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V28" i="14" l="1"/>
  <c r="W28" i="14" s="1"/>
  <c r="G28" i="14"/>
  <c r="J29" i="14" s="1"/>
  <c r="I29" i="14"/>
  <c r="F29" i="14" s="1"/>
  <c r="F30" i="14" s="1"/>
  <c r="H29" i="14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S26" i="14"/>
  <c r="T26" i="14"/>
  <c r="U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M26" i="14"/>
  <c r="N26" i="14"/>
  <c r="R26" i="14" s="1"/>
  <c r="P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V29" i="14" l="1"/>
  <c r="W29" i="14" s="1"/>
  <c r="G29" i="14"/>
  <c r="H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M27" i="14"/>
  <c r="P27" i="14"/>
  <c r="N27" i="14"/>
  <c r="R27" i="14" s="1"/>
  <c r="S27" i="14"/>
  <c r="T27" i="14"/>
  <c r="U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J30" i="14" l="1"/>
  <c r="I31" i="14"/>
  <c r="F31" i="14" s="1"/>
  <c r="H31" i="14"/>
  <c r="M28" i="14"/>
  <c r="N28" i="14"/>
  <c r="R28" i="14" s="1"/>
  <c r="P28" i="14"/>
  <c r="S28" i="14"/>
  <c r="T28" i="14"/>
  <c r="U28" i="14" s="1"/>
  <c r="K21" i="11"/>
  <c r="K23" i="11"/>
  <c r="R23" i="11" s="1"/>
  <c r="L23" i="11"/>
  <c r="L21" i="11"/>
  <c r="V30" i="14" l="1"/>
  <c r="W30" i="14" s="1"/>
  <c r="J31" i="14"/>
  <c r="I32" i="14"/>
  <c r="H32" i="14"/>
  <c r="T29" i="14"/>
  <c r="U29" i="14" s="1"/>
  <c r="S29" i="14"/>
  <c r="M29" i="14"/>
  <c r="P29" i="14"/>
  <c r="N29" i="14"/>
  <c r="R29" i="14" s="1"/>
  <c r="S23" i="11"/>
  <c r="Q23" i="11"/>
  <c r="E1" i="11"/>
  <c r="D50" i="11"/>
  <c r="D51" i="11"/>
  <c r="D52" i="11"/>
  <c r="P20" i="11"/>
  <c r="O20" i="11"/>
  <c r="I20" i="11"/>
  <c r="H20" i="11"/>
  <c r="V31" i="14" l="1"/>
  <c r="W31" i="14" s="1"/>
  <c r="J32" i="14"/>
  <c r="S32" i="14"/>
  <c r="T32" i="14"/>
  <c r="U32" i="14" s="1"/>
  <c r="F32" i="14"/>
  <c r="F33" i="14" s="1"/>
  <c r="M30" i="14"/>
  <c r="P30" i="14"/>
  <c r="N30" i="14"/>
  <c r="R30" i="14" s="1"/>
  <c r="T30" i="14"/>
  <c r="U30" i="14" s="1"/>
  <c r="S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V32" i="14" l="1"/>
  <c r="W32" i="14" s="1"/>
  <c r="H33" i="14"/>
  <c r="I33" i="14"/>
  <c r="N32" i="14"/>
  <c r="M32" i="14"/>
  <c r="P32" i="14"/>
  <c r="M31" i="14"/>
  <c r="P31" i="14"/>
  <c r="N31" i="14"/>
  <c r="R31" i="14" s="1"/>
  <c r="S31" i="14"/>
  <c r="T31" i="14"/>
  <c r="U31" i="14" s="1"/>
  <c r="R20" i="11"/>
  <c r="S20" i="11" s="1"/>
  <c r="R21" i="11"/>
  <c r="S21" i="11" s="1"/>
  <c r="Q21" i="11"/>
  <c r="Q20" i="11"/>
  <c r="Q19" i="11"/>
  <c r="R19" i="11" s="1"/>
  <c r="S19" i="11" s="1"/>
  <c r="D41" i="11"/>
  <c r="J33" i="14" l="1"/>
  <c r="I34" i="14"/>
  <c r="H34" i="14"/>
  <c r="T33" i="14"/>
  <c r="U33" i="14" s="1"/>
  <c r="S33" i="14"/>
  <c r="R32" i="14"/>
  <c r="P33" i="14"/>
  <c r="N33" i="14"/>
  <c r="R33" i="14" s="1"/>
  <c r="M33" i="14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V33" i="14" l="1"/>
  <c r="W33" i="14" s="1"/>
  <c r="J34" i="14"/>
  <c r="F34" i="14"/>
  <c r="F35" i="14" s="1"/>
  <c r="T34" i="14"/>
  <c r="U34" i="14" s="1"/>
  <c r="S34" i="14"/>
  <c r="P34" i="14"/>
  <c r="M34" i="14"/>
  <c r="N34" i="14"/>
  <c r="R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G34" i="14" l="1"/>
  <c r="V34" i="14"/>
  <c r="W34" i="14" s="1"/>
  <c r="H35" i="14"/>
  <c r="N35" i="14" s="1"/>
  <c r="R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G35" i="14" l="1"/>
  <c r="J35" i="14"/>
  <c r="P35" i="14"/>
  <c r="M35" i="14"/>
  <c r="T35" i="14"/>
  <c r="U35" i="14" s="1"/>
  <c r="S35" i="14"/>
  <c r="I36" i="14"/>
  <c r="H36" i="14"/>
  <c r="M36" i="14" s="1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J36" i="14" l="1"/>
  <c r="V35" i="14"/>
  <c r="W35" i="14" s="1"/>
  <c r="N36" i="14"/>
  <c r="R36" i="14" s="1"/>
  <c r="S36" i="14"/>
  <c r="F36" i="14"/>
  <c r="T36" i="14"/>
  <c r="U36" i="14" s="1"/>
  <c r="P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J37" i="14" l="1"/>
  <c r="G37" i="14" s="1"/>
  <c r="G38" i="14" s="1"/>
  <c r="G39" i="14" s="1"/>
  <c r="V36" i="14"/>
  <c r="W36" i="14" s="1"/>
  <c r="I37" i="14"/>
  <c r="H37" i="14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V37" i="14" l="1"/>
  <c r="W37" i="14" s="1"/>
  <c r="P37" i="14"/>
  <c r="N37" i="14"/>
  <c r="R37" i="14" s="1"/>
  <c r="M37" i="14"/>
  <c r="S37" i="14"/>
  <c r="T37" i="14"/>
  <c r="U37" i="14" s="1"/>
  <c r="F37" i="14"/>
  <c r="F38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J38" i="14" l="1"/>
  <c r="V38" i="14" s="1"/>
  <c r="W38" i="14" s="1"/>
  <c r="H38" i="14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J39" i="14" l="1"/>
  <c r="T38" i="14"/>
  <c r="U38" i="14" s="1"/>
  <c r="S38" i="14"/>
  <c r="I39" i="14"/>
  <c r="H39" i="14"/>
  <c r="M38" i="14"/>
  <c r="P38" i="14"/>
  <c r="N38" i="14"/>
  <c r="R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V39" i="14" l="1"/>
  <c r="W39" i="14" s="1"/>
  <c r="J40" i="14"/>
  <c r="G40" i="14" s="1"/>
  <c r="M39" i="14"/>
  <c r="N39" i="14"/>
  <c r="R39" i="14" s="1"/>
  <c r="P39" i="14"/>
  <c r="S39" i="14"/>
  <c r="T39" i="14"/>
  <c r="U39" i="14" s="1"/>
  <c r="F39" i="14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V40" i="14" l="1"/>
  <c r="W40" i="14" s="1"/>
  <c r="J41" i="14"/>
  <c r="I40" i="14"/>
  <c r="H40" i="14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V41" i="14" l="1"/>
  <c r="W41" i="14" s="1"/>
  <c r="G41" i="14"/>
  <c r="J42" i="14" s="1"/>
  <c r="V42" i="14" s="1"/>
  <c r="W42" i="14" s="1"/>
  <c r="N40" i="14"/>
  <c r="R40" i="14" s="1"/>
  <c r="P40" i="14"/>
  <c r="M40" i="14"/>
  <c r="T40" i="14"/>
  <c r="U40" i="14" s="1"/>
  <c r="S40" i="14"/>
  <c r="F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G42" i="14" l="1"/>
  <c r="J43" i="14" s="1"/>
  <c r="V43" i="14" s="1"/>
  <c r="W43" i="14" s="1"/>
  <c r="I41" i="14"/>
  <c r="H41" i="14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G43" i="14" l="1"/>
  <c r="J44" i="14" s="1"/>
  <c r="V44" i="14" s="1"/>
  <c r="W44" i="14" s="1"/>
  <c r="P41" i="14"/>
  <c r="M41" i="14"/>
  <c r="N41" i="14"/>
  <c r="R41" i="14" s="1"/>
  <c r="F41" i="14"/>
  <c r="I42" i="14" s="1"/>
  <c r="T41" i="14"/>
  <c r="U41" i="14" s="1"/>
  <c r="S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G44" i="14" l="1"/>
  <c r="J45" i="14" s="1"/>
  <c r="V45" i="14" s="1"/>
  <c r="W45" i="14" s="1"/>
  <c r="S42" i="14"/>
  <c r="T42" i="14"/>
  <c r="U42" i="14" s="1"/>
  <c r="F42" i="14"/>
  <c r="F43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45" i="14" l="1"/>
  <c r="J46" i="14" s="1"/>
  <c r="V46" i="14" s="1"/>
  <c r="W46" i="14" s="1"/>
  <c r="I43" i="14"/>
  <c r="I44" i="14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G46" i="14" l="1"/>
  <c r="S44" i="14"/>
  <c r="T44" i="14"/>
  <c r="U44" i="14" s="1"/>
  <c r="F44" i="14"/>
  <c r="I45" i="14" s="1"/>
  <c r="T43" i="14"/>
  <c r="U43" i="14" s="1"/>
  <c r="S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T45" i="14" l="1"/>
  <c r="U45" i="14" s="1"/>
  <c r="S45" i="14"/>
  <c r="F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I46" i="14" l="1"/>
  <c r="F46" i="14" s="1"/>
  <c r="I47" i="14" s="1"/>
  <c r="J47" i="14"/>
  <c r="T46" i="14"/>
  <c r="U46" i="14" s="1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S46" i="14" l="1"/>
  <c r="G47" i="14"/>
  <c r="J48" i="14" s="1"/>
  <c r="V47" i="14"/>
  <c r="W47" i="14" s="1"/>
  <c r="F47" i="14"/>
  <c r="I48" i="14" s="1"/>
  <c r="S47" i="14"/>
  <c r="T47" i="14"/>
  <c r="U47" i="14" s="1"/>
  <c r="O34" i="7"/>
  <c r="O35" i="7" s="1"/>
  <c r="N43" i="7"/>
  <c r="N46" i="7" s="1"/>
  <c r="N47" i="7"/>
  <c r="P32" i="7"/>
  <c r="P19" i="7"/>
  <c r="N39" i="7"/>
  <c r="N40" i="7" s="1"/>
  <c r="G48" i="14" l="1"/>
  <c r="J49" i="14" s="1"/>
  <c r="V48" i="14"/>
  <c r="W48" i="14" s="1"/>
  <c r="T48" i="14"/>
  <c r="U48" i="14" s="1"/>
  <c r="S48" i="14"/>
  <c r="F48" i="14"/>
  <c r="I49" i="14" s="1"/>
  <c r="O47" i="7"/>
  <c r="O43" i="7"/>
  <c r="O46" i="7" s="1"/>
  <c r="P34" i="7"/>
  <c r="P35" i="7" s="1"/>
  <c r="O39" i="7"/>
  <c r="O40" i="7" s="1"/>
  <c r="V49" i="14" l="1"/>
  <c r="W49" i="14" s="1"/>
  <c r="G49" i="14"/>
  <c r="S49" i="14"/>
  <c r="T49" i="14"/>
  <c r="U49" i="14" s="1"/>
  <c r="F49" i="14"/>
  <c r="F50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S50" i="14" l="1"/>
  <c r="T50" i="14"/>
  <c r="U50" i="14" s="1"/>
  <c r="S51" i="14"/>
  <c r="T51" i="14"/>
  <c r="U51" i="14" s="1"/>
  <c r="F51" i="14"/>
  <c r="I52" i="14" s="1"/>
  <c r="F26" i="8"/>
  <c r="G24" i="8"/>
  <c r="G61" i="8" s="1"/>
  <c r="G23" i="8"/>
  <c r="F50" i="8"/>
  <c r="F52" i="14" l="1"/>
  <c r="S52" i="14"/>
  <c r="T52" i="14"/>
  <c r="U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<sst xmlns="http://schemas.openxmlformats.org/spreadsheetml/2006/main" count="890" uniqueCount="646">
  <si>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</si>
  <si>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</si>
  <si>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</si>
  <si>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</si>
  <si>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</si>
  <si>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</si>
  <si>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</si>
  <si>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</si>
  <si>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</si>
  <si>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</si>
  <si>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</si>
  <si>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</si>
  <si>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</si>
  <si>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</si>
  <si>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</si>
  <si>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</si>
  <si>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</si>
  <si>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</si>
  <si>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</si>
  <si>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</si>
  <si>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</si>
  <si>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</si>
  <si>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</si>
  <si>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</si>
  <si>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</si>
  <si>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</si>
  <si>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</si>
  <si>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</si>
  <si>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</si>
  <si>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</si>
  <si>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</si>
  <si>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</si>
  <si>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</si>
  <si>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</si>
  <si>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</si>
  <si>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</si>
  <si>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</si>
  <si>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</si>
  <si>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</si>
  <si>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</si>
  <si>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</si>
  <si>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</si>
  <si>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</si>
  <si>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</si>
  <si>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</si>
  <si>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</si>
  <si>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</si>
  <si>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</si>
  <si>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</si>
  <si>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</si>
  <si>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</si>
  <si>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</si>
  <si>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</si>
  <si>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</si>
  <si>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</si>
  <si>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</si>
  <si>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</si>
  <si>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</si>
  <si>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</si>
  <si>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</si>
  <si>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</si>
  <si>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</si>
  <si>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</si>
  <si>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</si>
  <si>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</si>
  <si>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</si>
  <si>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</si>
  <si>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</si>
  <si>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</si>
  <si>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</si>
  <si>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</si>
  <si>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</si>
  <si>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</si>
  <si>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</si>
  <si>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</si>
  <si>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</si>
  <si>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</si>
  <si>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</si>
  <si>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</si>
  <si>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</si>
  <si>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</si>
  <si>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</si>
  <si>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</si>
  <si>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</si>
  <si>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</si>
  <si>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</si>
  <si>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</si>
  <si>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</si>
  <si>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</si>
  <si>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</si>
  <si>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</si>
  <si>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</si>
  <si>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</si>
  <si>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</si>
  <si>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</si>
  <si>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</si>
  <si>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</si>
  <si>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</si>
  <si>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</si>
  <si>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</si>
  <si>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</si>
  <si>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</si>
  <si>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</si>
  <si>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</si>
  <si>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</si>
  <si>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</si>
  <si>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</si>
  <si>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</si>
  <si>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</si>
  <si>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</si>
  <si>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</si>
  <si>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</si>
  <si>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</si>
  <si>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</si>
  <si>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</si>
  <si>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</si>
  <si>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</si>
  <si>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</si>
  <si>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</si>
  <si>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</si>
  <si>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</si>
  <si>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</si>
  <si>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</si>
  <si>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</si>
  <si>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</si>
  <si>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</si>
  <si>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</si>
  <si>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</si>
  <si>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</si>
  <si>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</si>
  <si>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</si>
  <si>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</si>
  <si>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</si>
  <si>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</si>
  <si>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</si>
  <si>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</si>
  <si>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</si>
  <si>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</si>
  <si>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</si>
  <si>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</si>
  <si>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</si>
  <si>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</si>
  <si>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</si>
  <si>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</si>
  <si>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</si>
  <si>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</si>
  <si>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</si>
  <si>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</si>
  <si>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</si>
  <si>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</si>
  <si>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</si>
  <si>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</si>
  <si>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</si>
  <si>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</si>
  <si>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</si>
  <si>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</si>
  <si>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</si>
  <si>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</si>
  <si>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</si>
  <si>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</si>
  <si>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</si>
  <si>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</si>
  <si>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</si>
  <si>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</si>
  <si>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</si>
  <si>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</si>
  <si>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</si>
  <si>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</si>
  <si>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</si>
  <si>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</si>
  <si>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</si>
  <si>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</si>
  <si>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</si>
  <si>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</si>
  <si>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</si>
  <si>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</si>
  <si>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</si>
  <si>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</si>
  <si>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</si>
  <si>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</si>
  <si>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</si>
  <si>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</si>
  <si>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</si>
  <si>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</si>
  <si>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</si>
  <si>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</si>
  <si>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</si>
  <si>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</si>
  <si>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</si>
  <si>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</si>
  <si>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</si>
  <si>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</si>
  <si>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</si>
  <si>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</si>
  <si>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</si>
  <si>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</si>
  <si>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</si>
  <si>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</si>
  <si>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</si>
  <si>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</si>
  <si>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</si>
  <si>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</si>
  <si>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</si>
  <si>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</si>
  <si>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</si>
  <si>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</si>
  <si>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</si>
  <si>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</si>
  <si>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</si>
  <si>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</si>
  <si>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</si>
  <si>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</si>
  <si>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</si>
  <si>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</si>
  <si>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</si>
  <si>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</si>
  <si>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</si>
  <si>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</si>
  <si>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</si>
  <si>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</si>
  <si>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</si>
  <si>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</si>
  <si>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</si>
  <si>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</si>
  <si>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</si>
  <si>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</si>
  <si>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</si>
  <si>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</si>
  <si>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</si>
  <si>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</si>
  <si>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</si>
  <si>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</si>
  <si>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</si>
  <si>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</si>
  <si>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</si>
  <si>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</si>
  <si>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</si>
  <si>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</si>
  <si>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</si>
  <si>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</si>
  <si>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</si>
  <si>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</si>
  <si>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</si>
  <si>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</si>
  <si>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</si>
  <si>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</si>
  <si>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</si>
  <si>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</si>
  <si>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</si>
  <si>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</si>
  <si>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</si>
  <si>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</si>
  <si>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</si>
  <si>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</si>
  <si>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</si>
  <si>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</si>
  <si>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</si>
  <si>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</si>
  <si>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</si>
  <si>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</si>
  <si>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</si>
  <si>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</si>
  <si>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</si>
  <si>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</si>
  <si>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</si>
  <si>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</si>
  <si>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</si>
  <si>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</si>
  <si>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</si>
  <si>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</si>
  <si>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</si>
  <si>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</si>
  <si>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</si>
  <si>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</si>
  <si>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</si>
  <si>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</si>
  <si>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</si>
  <si>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</si>
  <si>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</si>
  <si>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</si>
  <si>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</si>
  <si>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</si>
  <si>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</si>
  <si>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</si>
  <si>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</si>
  <si>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</si>
  <si>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</si>
  <si>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</si>
  <si>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</si>
  <si>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</si>
  <si>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</si>
  <si>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</si>
  <si>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</si>
  <si>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</si>
  <si>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</si>
  <si>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</si>
  <si>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</si>
  <si>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</si>
  <si>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</si>
  <si>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</si>
  <si>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</si>
  <si>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</si>
  <si>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</si>
  <si>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</si>
  <si>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</si>
  <si>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</si>
  <si>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</si>
  <si>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</si>
  <si>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</si>
  <si>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</si>
  <si>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</si>
  <si>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</si>
  <si>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</si>
  <si>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</si>
  <si>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</si>
  <si>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</si>
  <si>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</si>
  <si>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</si>
  <si>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</si>
  <si>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</si>
  <si>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</si>
  <si>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</si>
  <si>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</si>
  <si>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</si>
  <si>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</si>
  <si>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</si>
  <si>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</si>
  <si>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</si>
  <si>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</si>
  <si>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</si>
  <si>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</si>
  <si>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</si>
  <si>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</si>
  <si>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</si>
  <si>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</si>
  <si>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</si>
  <si>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</si>
  <si>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</si>
  <si>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</si>
  <si>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</si>
  <si>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</si>
  <si>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</si>
  <si>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</si>
  <si>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</si>
  <si>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</si>
  <si>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</si>
  <si>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</si>
  <si>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</si>
  <si>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</si>
  <si>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</si>
  <si>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</si>
  <si>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</si>
  <si>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</si>
  <si>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</si>
  <si>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</si>
  <si>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</si>
  <si>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</si>
  <si>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</si>
  <si>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</si>
  <si>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</si>
  <si>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</si>
  <si>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</si>
  <si>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</si>
  <si>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</si>
  <si>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</si>
  <si>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</si>
  <si>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</si>
  <si>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</si>
  <si>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</si>
  <si>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</si>
  <si>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</si>
  <si>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</si>
  <si>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</si>
  <si>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</si>
  <si>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</si>
  <si>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</si>
  <si>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</si>
  <si>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</si>
  <si>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</si>
  <si>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</si>
  <si>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</si>
  <si>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</si>
  <si>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</si>
  <si>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</si>
  <si>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</si>
  <si>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</si>
  <si>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</si>
  <si>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</si>
  <si>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</si>
  <si>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</si>
  <si>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</si>
  <si>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</si>
  <si>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</si>
  <si>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</si>
  <si>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</si>
  <si>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</si>
  <si>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</si>
  <si>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</si>
  <si>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</si>
  <si>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</si>
  <si>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</si>
  <si>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</si>
  <si>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</si>
  <si>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</si>
  <si>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</si>
  <si>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</si>
  <si>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</si>
  <si>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</si>
  <si>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</si>
  <si>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</si>
  <si>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</si>
  <si>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</si>
  <si>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</si>
  <si>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</si>
  <si>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</si>
  <si>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</si>
  <si>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</si>
  <si>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</si>
  <si>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</si>
  <si>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</si>
  <si>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</si>
  <si>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</si>
  <si>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</si>
  <si>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</si>
  <si>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</si>
  <si>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</si>
  <si>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</si>
  <si>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</si>
  <si>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</si>
  <si>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</si>
  <si>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</si>
  <si>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</si>
  <si>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</si>
  <si>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</si>
  <si>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</si>
  <si>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</si>
  <si>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</si>
  <si>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</si>
  <si>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</si>
  <si>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</si>
  <si>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</si>
  <si>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</si>
  <si>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</si>
  <si>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</si>
  <si>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</si>
  <si>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</si>
  <si>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</si>
  <si>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</si>
  <si>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</si>
  <si>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</si>
  <si>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</si>
  <si>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</si>
  <si>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</si>
  <si>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</si>
  <si>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</si>
  <si>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</si>
  <si>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</si>
  <si>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</si>
  <si>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</si>
  <si>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</si>
  <si>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</si>
  <si>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</si>
  <si>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</si>
  <si>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</si>
  <si>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</si>
  <si>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</si>
  <si>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</si>
  <si>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</si>
  <si>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</si>
  <si>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</si>
  <si>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</si>
  <si>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</si>
  <si>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</si>
  <si>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</si>
  <si>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</si>
  <si>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</si>
  <si>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</si>
  <si>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</si>
  <si>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</si>
  <si>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</si>
  <si>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</si>
  <si>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</si>
  <si>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</si>
  <si>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</si>
  <si>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</si>
  <si>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</si>
  <si>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</si>
  <si>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</si>
  <si>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</si>
  <si>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</si>
  <si>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</si>
  <si>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</si>
  <si>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</si>
  <si>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</si>
  <si>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</si>
  <si>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</si>
  <si>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</si>
  <si>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</si>
  <si>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</si>
  <si>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</si>
  <si>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</si>
  <si>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</si>
  <si>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</si>
  <si>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</si>
  <si>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</si>
  <si>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</si>
  <si>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</si>
  <si>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</si>
  <si>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</si>
  <si>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</si>
  <si>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</si>
  <si>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</si>
  <si>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</si>
  <si>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</si>
  <si>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</si>
  <si>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</si>
  <si>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</si>
  <si>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</si>
  <si>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</si>
  <si>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</si>
  <si>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</si>
  <si>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</si>
  <si>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</si>
  <si>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</si>
  <si>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</si>
  <si>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</si>
  <si>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</si>
  <si>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</si>
  <si>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</si>
  <si>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</si>
  <si>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</si>
  <si>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</si>
  <si>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</si>
  <si>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</si>
  <si>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</si>
  <si>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</si>
  <si>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</si>
  <si>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</si>
  <si>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</si>
  <si>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</si>
  <si>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</si>
  <si>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</si>
  <si>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</si>
  <si>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</si>
  <si>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</si>
  <si>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</si>
  <si>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</si>
  <si>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</si>
  <si>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</si>
  <si>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</si>
  <si>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</si>
  <si>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</si>
  <si>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</si>
  <si>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</si>
  <si>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</si>
  <si>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</si>
  <si>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</si>
  <si>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</si>
  <si>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</si>
  <si>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</si>
  <si>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</si>
  <si>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</si>
  <si>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</si>
  <si>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</si>
  <si>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</si>
  <si>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</si>
  <si>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</si>
  <si>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</si>
  <si>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</si>
  <si>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</si>
  <si>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</si>
  <si>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</si>
  <si>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</si>
  <si>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</si>
  <si>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</si>
  <si>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</si>
  <si>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</si>
  <si>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</si>
  <si>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</si>
  <si>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</si>
  <si>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</si>
  <si>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</si>
  <si>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</si>
  <si>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</si>
  <si>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</si>
  <si>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</si>
  <si>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</si>
  <si>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</si>
  <si>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</si>
  <si>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</si>
  <si>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</si>
  <si>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</si>
  <si>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</si>
  <si>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</si>
  <si>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</si>
  <si>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</si>
  <si>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</si>
  <si>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</si>
  <si>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</si>
  <si>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</si>
  <si>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</si>
  <si>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</si>
  <si>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</si>
  <si>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</si>
  <si>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</si>
  <si>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</si>
  <si>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</si>
  <si>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</si>
  <si>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</si>
  <si>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</si>
  <si>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</si>
  <si>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</si>
  <si>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</si>
  <si>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</si>
  <si>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</si>
  <si>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</si>
  <si>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</si>
  <si>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</si>
  <si>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</si>
  <si>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</si>
  <si>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</si>
  <si>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</si>
  <si>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</si>
  <si>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</si>
  <si>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</si>
  <si>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</si>
  <si>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</si>
  <si>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</si>
  <si>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</si>
  <si>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</si>
  <si>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</si>
  <si>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</si>
  <si>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</si>
  <si>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</si>
  <si>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</si>
  <si>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</si>
  <si>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elasticity-offer price</t>
  </si>
  <si>
    <t>slope</t>
  </si>
  <si>
    <t>elasticity-offer price2</t>
  </si>
  <si>
    <t>Total Fixed cost per period per product</t>
  </si>
  <si>
    <t>Slope reduction percentage</t>
  </si>
  <si>
    <t>qunatity rise(%)</t>
  </si>
  <si>
    <t>revenue-Price3</t>
  </si>
  <si>
    <t>Profit-price3</t>
  </si>
  <si>
    <t>Offer price3</t>
  </si>
  <si>
    <t>slope2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</si>
</sst>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99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11" fillId="12" borderId="0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571520"/>
        <c:axId val="362573088"/>
      </c:lineChart>
      <c:catAx>
        <c:axId val="36257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2573088"/>
        <c:crosses val="autoZero"/>
        <c:auto val="1"/>
        <c:lblAlgn val="ctr"/>
        <c:lblOffset val="100"/>
        <c:noMultiLvlLbl val="0"/>
      </c:catAx>
      <c:valAx>
        <c:axId val="36257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571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637520"/>
        <c:axId val="366634384"/>
      </c:lineChart>
      <c:catAx>
        <c:axId val="36663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6634384"/>
        <c:crosses val="autoZero"/>
        <c:auto val="1"/>
        <c:lblAlgn val="ctr"/>
        <c:lblOffset val="100"/>
        <c:noMultiLvlLbl val="0"/>
      </c:catAx>
      <c:valAx>
        <c:axId val="36663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637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87" t="s">
        <v>6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8" t="s">
        <v>14</v>
      </c>
      <c r="N1" s="88"/>
      <c r="O1" s="88"/>
      <c r="P1" s="88"/>
      <c r="Q1" s="88"/>
      <c r="R1" s="88"/>
      <c r="S1" s="88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89" t="s">
        <v>241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 t="s">
        <v>240</v>
      </c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 t="s">
        <v>239</v>
      </c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90" t="s">
        <v>45</v>
      </c>
      <c r="F18" s="90"/>
      <c r="G18" s="90"/>
      <c r="H18" s="90"/>
      <c r="I18" s="90"/>
      <c r="J18" s="90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93" t="s">
        <v>551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</row>
    <row r="4" spans="1:16" x14ac:dyDescent="0.35">
      <c r="B4" s="92" t="s">
        <v>575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</row>
    <row r="5" spans="1:16" x14ac:dyDescent="0.35">
      <c r="A5" s="5">
        <v>1</v>
      </c>
      <c r="B5" s="92" t="s">
        <v>578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</row>
    <row r="6" spans="1:16" x14ac:dyDescent="0.35">
      <c r="B6" s="92" t="s">
        <v>579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</row>
    <row r="7" spans="1:16" x14ac:dyDescent="0.35">
      <c r="B7" s="92" t="s">
        <v>580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</row>
    <row r="8" spans="1:16" x14ac:dyDescent="0.35">
      <c r="B8" s="92" t="s">
        <v>581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</row>
    <row r="9" spans="1:16" x14ac:dyDescent="0.35">
      <c r="B9" s="92" t="s">
        <v>582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</row>
    <row r="10" spans="1:16" x14ac:dyDescent="0.35">
      <c r="B10" s="92" t="s">
        <v>583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</row>
    <row r="11" spans="1:16" x14ac:dyDescent="0.35">
      <c r="B11" s="91" t="s">
        <v>576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</row>
    <row r="12" spans="1:16" x14ac:dyDescent="0.35">
      <c r="B12" s="92" t="s">
        <v>584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</row>
    <row r="13" spans="1:16" x14ac:dyDescent="0.35">
      <c r="B13" s="91" t="s">
        <v>585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</row>
    <row r="14" spans="1:16" x14ac:dyDescent="0.35">
      <c r="B14" s="91" t="s">
        <v>577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topLeftCell="A4"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abSelected="1" topLeftCell="E16" zoomScale="80" zoomScaleNormal="80" workbookViewId="0">
      <selection activeCell="I37" sqref="I37"/>
    </sheetView>
  </sheetViews>
  <sheetFormatPr defaultColWidth="8.7265625" defaultRowHeight="14.5" x14ac:dyDescent="0.35"/>
  <cols>
    <col min="1" max="1" width="3.7265625" style="5" customWidth="1"/>
    <col min="2" max="2" width="8.36328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08984375" style="54" customWidth="1"/>
    <col min="7" max="7" width="10.089843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6328125" style="5" bestFit="1" customWidth="1"/>
    <col min="12" max="12" width="8.6328125" style="55" customWidth="1"/>
    <col min="13" max="13" width="12.453125" style="46" customWidth="1"/>
    <col min="14" max="14" width="12.90625" style="5" bestFit="1" customWidth="1"/>
    <col min="15" max="15" width="14.81640625" style="59" customWidth="1"/>
    <col min="16" max="16" width="11.36328125" style="5" bestFit="1" customWidth="1"/>
    <col min="17" max="17" width="10" style="5" customWidth="1"/>
    <col min="18" max="18" width="11.36328125" style="5" bestFit="1" customWidth="1"/>
    <col min="19" max="19" width="12.453125" style="46" customWidth="1"/>
    <col min="20" max="20" width="9" style="5" customWidth="1"/>
    <col min="21" max="21" width="10.54296875" style="5" customWidth="1"/>
    <col min="22" max="22" width="11.36328125" style="5" bestFit="1" customWidth="1"/>
    <col min="23" max="23" width="13.7265625" style="5" customWidth="1"/>
    <col min="24" max="24" width="10.54296875" style="5" customWidth="1"/>
    <col min="25" max="25" width="9.26953125" style="5" bestFit="1" customWidth="1"/>
    <col min="26" max="28" width="10.54296875" style="5" customWidth="1"/>
    <col min="29" max="29" width="8.7265625" style="5"/>
    <col min="30" max="30" width="11.453125" style="5" bestFit="1" customWidth="1"/>
    <col min="31" max="34" width="11.453125" style="5" customWidth="1"/>
    <col min="35" max="35" width="10.54296875" style="5" customWidth="1"/>
    <col min="36" max="36" width="8.7265625" style="5"/>
    <col min="37" max="37" width="11.453125" style="5" bestFit="1" customWidth="1"/>
    <col min="38" max="38" width="11.81640625" style="5" bestFit="1" customWidth="1"/>
    <col min="39" max="39" width="7.7265625" style="5" customWidth="1"/>
    <col min="40" max="41" width="11.453125" style="5" customWidth="1"/>
    <col min="42" max="42" width="11.1796875" style="5" customWidth="1"/>
    <col min="43" max="43" width="8.7265625" style="5"/>
    <col min="44" max="44" width="11.81640625" style="5" bestFit="1" customWidth="1"/>
    <col min="45" max="45" width="11.81640625" style="5" customWidth="1"/>
    <col min="46" max="46" width="7.81640625" style="5" customWidth="1"/>
    <col min="47" max="49" width="11.81640625" style="5" customWidth="1"/>
    <col min="50" max="50" width="13.453125" style="5" customWidth="1"/>
    <col min="51" max="16384" width="8.7265625" style="5"/>
  </cols>
  <sheetData>
    <row r="3" spans="2:49" x14ac:dyDescent="0.35">
      <c r="E3" s="94" t="s">
        <v>609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</row>
    <row r="4" spans="2:49" x14ac:dyDescent="0.35">
      <c r="E4" s="94" t="s">
        <v>613</v>
      </c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</row>
    <row r="5" spans="2:49" ht="87" x14ac:dyDescent="0.35">
      <c r="B5" s="5" t="s">
        <v>639</v>
      </c>
      <c r="C5" s="5">
        <v>3000</v>
      </c>
      <c r="E5" s="95" t="s">
        <v>614</v>
      </c>
      <c r="F5" s="95"/>
      <c r="G5" s="95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</row>
    <row r="6" spans="2:49" ht="43.5" x14ac:dyDescent="0.35">
      <c r="B6" s="5" t="s">
        <v>622</v>
      </c>
      <c r="C6" s="5">
        <v>2</v>
      </c>
      <c r="E6" s="95" t="s">
        <v>612</v>
      </c>
      <c r="F6" s="95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</row>
    <row r="7" spans="2:49" x14ac:dyDescent="0.35">
      <c r="E7" s="95" t="s">
        <v>618</v>
      </c>
      <c r="F7" s="95"/>
      <c r="G7" s="95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</row>
    <row r="8" spans="2:49" ht="27" customHeight="1" x14ac:dyDescent="0.35">
      <c r="B8" s="5" t="s">
        <v>640</v>
      </c>
      <c r="C8" s="66">
        <v>0.4</v>
      </c>
      <c r="E8" s="95"/>
      <c r="F8" s="95"/>
      <c r="G8" s="95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</row>
    <row r="11" spans="2:49" x14ac:dyDescent="0.35">
      <c r="B11" s="94" t="s">
        <v>615</v>
      </c>
      <c r="C11" s="94"/>
      <c r="D11" s="94"/>
      <c r="E11" s="94"/>
      <c r="F11" s="94"/>
      <c r="G11" s="94"/>
      <c r="H11" s="94"/>
    </row>
    <row r="12" spans="2:49" x14ac:dyDescent="0.35">
      <c r="B12" s="94" t="s">
        <v>616</v>
      </c>
      <c r="C12" s="94"/>
      <c r="D12" s="94"/>
      <c r="E12" s="94"/>
      <c r="F12" s="94"/>
      <c r="G12" s="94"/>
      <c r="H12" s="94"/>
    </row>
    <row r="13" spans="2:49" x14ac:dyDescent="0.35">
      <c r="B13" s="94" t="s">
        <v>617</v>
      </c>
      <c r="C13" s="94"/>
      <c r="D13" s="94"/>
      <c r="E13" s="94"/>
      <c r="F13" s="94"/>
      <c r="G13" s="94"/>
      <c r="H13" s="94"/>
    </row>
    <row r="16" spans="2:49" ht="43.5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637</v>
      </c>
      <c r="G16" s="48" t="s">
        <v>645</v>
      </c>
      <c r="H16" s="49" t="s">
        <v>631</v>
      </c>
      <c r="I16" s="50" t="s">
        <v>632</v>
      </c>
      <c r="J16" s="76" t="s">
        <v>644</v>
      </c>
      <c r="K16" s="6" t="s">
        <v>626</v>
      </c>
      <c r="L16" s="6" t="s">
        <v>641</v>
      </c>
      <c r="M16" s="49" t="s">
        <v>636</v>
      </c>
      <c r="N16" s="49" t="s">
        <v>633</v>
      </c>
      <c r="O16" s="57" t="s">
        <v>625</v>
      </c>
      <c r="P16" s="49" t="s">
        <v>606</v>
      </c>
      <c r="Q16" s="6" t="s">
        <v>629</v>
      </c>
      <c r="R16" s="49" t="s">
        <v>630</v>
      </c>
      <c r="S16" s="50" t="s">
        <v>638</v>
      </c>
      <c r="T16" s="50" t="s">
        <v>634</v>
      </c>
      <c r="U16" s="50" t="s">
        <v>635</v>
      </c>
      <c r="V16" s="75" t="s">
        <v>642</v>
      </c>
      <c r="W16" s="75" t="s">
        <v>643</v>
      </c>
    </row>
    <row r="17" spans="2:23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/>
      <c r="M17" s="49"/>
      <c r="N17" s="49">
        <f t="shared" ref="N17:N31" si="0">K17*H17</f>
        <v>0</v>
      </c>
      <c r="O17" s="57">
        <f t="shared" ref="O17:O36" si="1">E17*K17</f>
        <v>0</v>
      </c>
      <c r="P17" s="49">
        <f t="shared" ref="P17:P41" si="2">K17*(H17-E17)</f>
        <v>0</v>
      </c>
      <c r="Q17" s="57"/>
      <c r="R17" s="49"/>
      <c r="S17" s="50"/>
      <c r="T17" s="50"/>
      <c r="U17" s="50"/>
      <c r="V17" s="75"/>
      <c r="W17" s="75"/>
    </row>
    <row r="18" spans="2:23" x14ac:dyDescent="0.35">
      <c r="B18" s="5">
        <v>30</v>
      </c>
      <c r="C18" s="6">
        <f t="shared" ref="C18:C27" si="3">$C$5/K18</f>
        <v>6.8181818181818183</v>
      </c>
      <c r="D18" s="6">
        <v>2</v>
      </c>
      <c r="E18" s="48">
        <f>B18+C18+D18</f>
        <v>38.81818181818182</v>
      </c>
      <c r="F18" s="48"/>
      <c r="G18" s="48"/>
      <c r="H18" s="49">
        <v>52</v>
      </c>
      <c r="I18" s="50">
        <v>52</v>
      </c>
      <c r="J18" s="72"/>
      <c r="K18" s="6">
        <v>440</v>
      </c>
      <c r="L18" s="6"/>
      <c r="M18" s="49">
        <f t="shared" ref="M18:M41" si="4">((K18-K17)/(H18-H17))*H18/K18</f>
        <v>-26</v>
      </c>
      <c r="N18" s="49">
        <f t="shared" si="0"/>
        <v>22880</v>
      </c>
      <c r="O18" s="57">
        <f t="shared" si="1"/>
        <v>17080</v>
      </c>
      <c r="P18" s="49">
        <f t="shared" si="2"/>
        <v>5799.9999999999991</v>
      </c>
      <c r="Q18" s="57">
        <f t="shared" ref="Q18:Q52" si="5">(O18-O17)/(K18-K17)</f>
        <v>38.81818181818182</v>
      </c>
      <c r="R18" s="49">
        <f t="shared" ref="R18:R41" si="6">(N18-N17)/(K18-K17)</f>
        <v>52</v>
      </c>
      <c r="S18" s="50"/>
      <c r="T18" s="50"/>
      <c r="U18" s="50"/>
      <c r="V18" s="75"/>
      <c r="W18" s="75"/>
    </row>
    <row r="19" spans="2:23" x14ac:dyDescent="0.35">
      <c r="B19" s="5">
        <v>30</v>
      </c>
      <c r="C19" s="6">
        <f t="shared" si="3"/>
        <v>3.9473684210526314</v>
      </c>
      <c r="D19" s="6">
        <v>2</v>
      </c>
      <c r="E19" s="48">
        <f t="shared" ref="E19:E45" si="7">B19+C19+D19</f>
        <v>35.94736842105263</v>
      </c>
      <c r="F19" s="57">
        <f t="shared" ref="F19:F24" si="8">((H18-H17)/(K18-K17))</f>
        <v>-4.5454545454545452E-3</v>
      </c>
      <c r="G19" s="57"/>
      <c r="H19" s="49">
        <f>((H18-H17)/(K18-K17))*K19 +$H$17</f>
        <v>50.545454545454547</v>
      </c>
      <c r="I19" s="50"/>
      <c r="J19" s="72"/>
      <c r="K19" s="6">
        <v>760</v>
      </c>
      <c r="L19" s="6">
        <f>((100*K19)/K18)-100</f>
        <v>72.72727272727272</v>
      </c>
      <c r="M19" s="49">
        <f t="shared" si="4"/>
        <v>-14.631578947368435</v>
      </c>
      <c r="N19" s="49">
        <f t="shared" si="0"/>
        <v>38414.545454545456</v>
      </c>
      <c r="O19" s="57">
        <f t="shared" si="1"/>
        <v>27320</v>
      </c>
      <c r="P19" s="49">
        <f t="shared" si="2"/>
        <v>11094.545454545456</v>
      </c>
      <c r="Q19" s="57">
        <f t="shared" si="5"/>
        <v>32</v>
      </c>
      <c r="R19" s="49">
        <f t="shared" si="6"/>
        <v>48.545454545454547</v>
      </c>
      <c r="S19" s="50"/>
      <c r="T19" s="50"/>
      <c r="U19" s="50"/>
      <c r="V19" s="75"/>
      <c r="W19" s="75"/>
    </row>
    <row r="20" spans="2:23" x14ac:dyDescent="0.35">
      <c r="B20" s="5">
        <v>30</v>
      </c>
      <c r="C20" s="6">
        <f t="shared" si="3"/>
        <v>3.2608695652173911</v>
      </c>
      <c r="D20" s="6">
        <v>2</v>
      </c>
      <c r="E20" s="48">
        <f t="shared" si="7"/>
        <v>35.260869565217391</v>
      </c>
      <c r="F20" s="57">
        <f t="shared" si="8"/>
        <v>-4.5454545454545418E-3</v>
      </c>
      <c r="G20" s="57"/>
      <c r="H20" s="49">
        <f>F19*K20 +$H$17</f>
        <v>49.81818181818182</v>
      </c>
      <c r="I20" s="50"/>
      <c r="J20" s="72"/>
      <c r="K20" s="6">
        <v>920</v>
      </c>
      <c r="L20" s="6">
        <f>(K20-K19)/K19</f>
        <v>0.21052631578947367</v>
      </c>
      <c r="M20" s="49">
        <f t="shared" si="4"/>
        <v>-11.913043478260882</v>
      </c>
      <c r="N20" s="49">
        <f t="shared" si="0"/>
        <v>45832.727272727272</v>
      </c>
      <c r="O20" s="57">
        <f t="shared" si="1"/>
        <v>32440</v>
      </c>
      <c r="P20" s="49">
        <f t="shared" si="2"/>
        <v>13392.727272727276</v>
      </c>
      <c r="Q20" s="57">
        <f t="shared" si="5"/>
        <v>32</v>
      </c>
      <c r="R20" s="49">
        <f t="shared" si="6"/>
        <v>46.363636363636353</v>
      </c>
      <c r="S20" s="50"/>
      <c r="T20" s="50"/>
      <c r="U20" s="50"/>
      <c r="V20" s="75"/>
      <c r="W20" s="75"/>
    </row>
    <row r="21" spans="2:23" x14ac:dyDescent="0.35">
      <c r="B21" s="5">
        <v>30</v>
      </c>
      <c r="C21" s="6">
        <f t="shared" si="3"/>
        <v>2.4793388429752068</v>
      </c>
      <c r="D21" s="6">
        <v>2</v>
      </c>
      <c r="E21" s="48">
        <f t="shared" si="7"/>
        <v>34.47933884297521</v>
      </c>
      <c r="F21" s="57">
        <f t="shared" si="8"/>
        <v>-4.5454545454545418E-3</v>
      </c>
      <c r="G21" s="57"/>
      <c r="H21" s="49">
        <f>F20*K21 +$H$17</f>
        <v>48.500000000000007</v>
      </c>
      <c r="I21" s="50"/>
      <c r="J21" s="72"/>
      <c r="K21" s="6">
        <v>1210</v>
      </c>
      <c r="L21" s="6">
        <f t="shared" ref="L21:L25" si="9">(K21-K20)/K20</f>
        <v>0.31521739130434784</v>
      </c>
      <c r="M21" s="49">
        <f t="shared" si="4"/>
        <v>-8.8181818181818539</v>
      </c>
      <c r="N21" s="49">
        <f t="shared" si="0"/>
        <v>58685.000000000007</v>
      </c>
      <c r="O21" s="57">
        <f t="shared" si="1"/>
        <v>41720.000000000007</v>
      </c>
      <c r="P21" s="49">
        <f t="shared" si="2"/>
        <v>16965.000000000004</v>
      </c>
      <c r="Q21" s="57">
        <f t="shared" si="5"/>
        <v>32.000000000000028</v>
      </c>
      <c r="R21" s="49">
        <f t="shared" si="6"/>
        <v>44.318181818181849</v>
      </c>
      <c r="S21" s="50"/>
      <c r="T21" s="50"/>
      <c r="U21" s="50"/>
      <c r="V21" s="75"/>
      <c r="W21" s="75"/>
    </row>
    <row r="22" spans="2:23" x14ac:dyDescent="0.35">
      <c r="B22" s="5">
        <v>30</v>
      </c>
      <c r="C22" s="6">
        <f t="shared" si="3"/>
        <v>2.2388059701492535</v>
      </c>
      <c r="D22" s="6">
        <v>2</v>
      </c>
      <c r="E22" s="48">
        <f t="shared" si="7"/>
        <v>34.238805970149251</v>
      </c>
      <c r="F22" s="57">
        <f t="shared" si="8"/>
        <v>-4.5454545454545279E-3</v>
      </c>
      <c r="G22" s="57"/>
      <c r="H22" s="49">
        <f t="shared" ref="H22:H24" si="10">F21*K22 +$H$17</f>
        <v>47.909090909090914</v>
      </c>
      <c r="I22" s="50"/>
      <c r="J22" s="72"/>
      <c r="K22" s="6">
        <v>1340</v>
      </c>
      <c r="L22" s="6">
        <f t="shared" si="9"/>
        <v>0.10743801652892562</v>
      </c>
      <c r="M22" s="49">
        <f t="shared" si="4"/>
        <v>-7.8656716417910104</v>
      </c>
      <c r="N22" s="49">
        <f t="shared" si="0"/>
        <v>64198.181818181823</v>
      </c>
      <c r="O22" s="57">
        <f t="shared" si="1"/>
        <v>45879.999999999993</v>
      </c>
      <c r="P22" s="49">
        <f t="shared" si="2"/>
        <v>18318.181818181827</v>
      </c>
      <c r="Q22" s="57">
        <f t="shared" si="5"/>
        <v>31.999999999999886</v>
      </c>
      <c r="R22" s="49">
        <f t="shared" si="6"/>
        <v>42.409090909090892</v>
      </c>
      <c r="S22" s="50"/>
      <c r="T22" s="50"/>
      <c r="U22" s="50"/>
      <c r="V22" s="75"/>
      <c r="W22" s="75"/>
    </row>
    <row r="23" spans="2:23" x14ac:dyDescent="0.35">
      <c r="B23" s="5">
        <v>30</v>
      </c>
      <c r="C23" s="6">
        <f t="shared" si="3"/>
        <v>1.9736842105263157</v>
      </c>
      <c r="D23" s="6">
        <v>2</v>
      </c>
      <c r="E23" s="48">
        <f t="shared" si="7"/>
        <v>33.973684210526315</v>
      </c>
      <c r="F23" s="57">
        <f t="shared" si="8"/>
        <v>-4.5454545454545652E-3</v>
      </c>
      <c r="G23" s="57"/>
      <c r="H23" s="49">
        <f t="shared" si="10"/>
        <v>47.090909090909115</v>
      </c>
      <c r="I23" s="50"/>
      <c r="J23" s="72"/>
      <c r="K23" s="6">
        <v>1520</v>
      </c>
      <c r="L23" s="6">
        <f t="shared" si="9"/>
        <v>0.13432835820895522</v>
      </c>
      <c r="M23" s="49">
        <f t="shared" si="4"/>
        <v>-6.8157894736843758</v>
      </c>
      <c r="N23" s="49">
        <f t="shared" si="0"/>
        <v>71578.181818181853</v>
      </c>
      <c r="O23" s="57">
        <f t="shared" si="1"/>
        <v>51640</v>
      </c>
      <c r="P23" s="49">
        <f t="shared" si="2"/>
        <v>19938.181818181856</v>
      </c>
      <c r="Q23" s="57">
        <f t="shared" si="5"/>
        <v>32.000000000000043</v>
      </c>
      <c r="R23" s="49">
        <f t="shared" si="6"/>
        <v>41.000000000000163</v>
      </c>
      <c r="S23" s="50"/>
      <c r="T23" s="50"/>
      <c r="U23" s="50"/>
      <c r="V23" s="75"/>
      <c r="W23" s="75"/>
    </row>
    <row r="24" spans="2:23" x14ac:dyDescent="0.35">
      <c r="B24" s="5">
        <v>30</v>
      </c>
      <c r="C24" s="6">
        <f t="shared" si="3"/>
        <v>1.5544041450777202</v>
      </c>
      <c r="D24" s="6">
        <v>2</v>
      </c>
      <c r="E24" s="48">
        <f t="shared" si="7"/>
        <v>33.554404145077719</v>
      </c>
      <c r="F24" s="57">
        <f t="shared" si="8"/>
        <v>-4.5454545454544377E-3</v>
      </c>
      <c r="G24" s="57"/>
      <c r="H24" s="49">
        <f t="shared" si="10"/>
        <v>45.227272727272691</v>
      </c>
      <c r="I24" s="50"/>
      <c r="J24" s="72"/>
      <c r="K24" s="6">
        <v>1930</v>
      </c>
      <c r="L24" s="6">
        <f t="shared" si="9"/>
        <v>0.26973684210526316</v>
      </c>
      <c r="M24" s="49">
        <f t="shared" si="4"/>
        <v>-5.1554404145076012</v>
      </c>
      <c r="N24" s="49">
        <f t="shared" si="0"/>
        <v>87288.636363636295</v>
      </c>
      <c r="O24" s="57">
        <f t="shared" si="1"/>
        <v>64760</v>
      </c>
      <c r="P24" s="49">
        <f t="shared" si="2"/>
        <v>22528.636363636298</v>
      </c>
      <c r="Q24" s="57">
        <f t="shared" si="5"/>
        <v>32</v>
      </c>
      <c r="R24" s="49">
        <f t="shared" si="6"/>
        <v>38.318181818181564</v>
      </c>
      <c r="S24" s="50"/>
      <c r="T24" s="50"/>
      <c r="U24" s="50"/>
      <c r="V24" s="75"/>
      <c r="W24" s="75"/>
    </row>
    <row r="25" spans="2:23" x14ac:dyDescent="0.35">
      <c r="B25" s="5">
        <v>30</v>
      </c>
      <c r="C25" s="6">
        <f t="shared" si="3"/>
        <v>1.2345679012345678</v>
      </c>
      <c r="D25" s="6">
        <v>2</v>
      </c>
      <c r="E25" s="48">
        <f t="shared" si="7"/>
        <v>33.23456790123457</v>
      </c>
      <c r="F25" s="62">
        <f>(F24-(F24*$C$8))</f>
        <v>-2.7272727272726624E-3</v>
      </c>
      <c r="G25" s="97">
        <f>F24-(F24*(L25))</f>
        <v>-3.3678756476683142E-3</v>
      </c>
      <c r="H25" s="51">
        <f>F24*K25 +$H$17</f>
        <v>42.954545454545716</v>
      </c>
      <c r="I25" s="60">
        <f>F24*K25 +$H$17</f>
        <v>42.954545454545716</v>
      </c>
      <c r="K25" s="45">
        <v>2430</v>
      </c>
      <c r="L25" s="6">
        <f t="shared" si="9"/>
        <v>0.25906735751295334</v>
      </c>
      <c r="M25" s="51">
        <f t="shared" si="4"/>
        <v>-3.8888888888894217</v>
      </c>
      <c r="N25" s="51">
        <f t="shared" si="0"/>
        <v>104379.5454545461</v>
      </c>
      <c r="O25" s="57">
        <f t="shared" si="1"/>
        <v>80760</v>
      </c>
      <c r="P25" s="51">
        <f t="shared" si="2"/>
        <v>23619.545454546085</v>
      </c>
      <c r="Q25" s="57">
        <f t="shared" si="5"/>
        <v>32</v>
      </c>
      <c r="R25" s="49">
        <f t="shared" si="6"/>
        <v>34.181818181819601</v>
      </c>
      <c r="S25" s="50"/>
      <c r="T25" s="52"/>
      <c r="U25" s="52"/>
      <c r="V25" s="75"/>
      <c r="W25" s="75"/>
    </row>
    <row r="26" spans="2:23" x14ac:dyDescent="0.35">
      <c r="B26" s="5">
        <v>30</v>
      </c>
      <c r="C26" s="6">
        <f t="shared" si="3"/>
        <v>0.84269662921348309</v>
      </c>
      <c r="D26" s="6">
        <v>2</v>
      </c>
      <c r="E26" s="48">
        <f t="shared" si="7"/>
        <v>32.842696629213478</v>
      </c>
      <c r="F26" s="64">
        <f>((I26-$I$17)/(K26-$K$17))</f>
        <v>-2.727272727272662E-3</v>
      </c>
      <c r="G26" s="97">
        <f>G25-(G25*(L26))</f>
        <v>-1.8017441736497154E-3</v>
      </c>
      <c r="H26" s="51">
        <f>F25*K26 +$H$17</f>
        <v>44.290909090909324</v>
      </c>
      <c r="I26" s="61">
        <f>(F25*K26)+$I$17</f>
        <v>44.290909090909324</v>
      </c>
      <c r="J26" s="74">
        <f>$H$17+(K26*G25)</f>
        <v>42.010362694300802</v>
      </c>
      <c r="K26" s="6">
        <v>3560</v>
      </c>
      <c r="L26" s="6">
        <f>(K26-K25)/K25</f>
        <v>0.46502057613168724</v>
      </c>
      <c r="M26" s="49">
        <f t="shared" si="4"/>
        <v>10.520064205457746</v>
      </c>
      <c r="N26" s="49">
        <f t="shared" si="0"/>
        <v>157675.6363636372</v>
      </c>
      <c r="O26" s="57">
        <f t="shared" si="1"/>
        <v>116919.99999999999</v>
      </c>
      <c r="P26" s="49">
        <f t="shared" si="2"/>
        <v>40755.636363637212</v>
      </c>
      <c r="Q26" s="57">
        <f t="shared" si="5"/>
        <v>31.999999999999986</v>
      </c>
      <c r="R26" s="49">
        <f t="shared" si="6"/>
        <v>47.164682220434599</v>
      </c>
      <c r="S26" s="50">
        <f t="shared" ref="S26:S52" si="11">((K26-K25)/(I26-I25))*I26/K26</f>
        <v>10.520064205457746</v>
      </c>
      <c r="T26" s="50">
        <f t="shared" ref="T26:T31" si="12">I26*K26</f>
        <v>157675.6363636372</v>
      </c>
      <c r="U26" s="70">
        <f>T26-O26</f>
        <v>40755.636363637212</v>
      </c>
      <c r="V26" s="75">
        <f>K26*J26</f>
        <v>149556.89119171086</v>
      </c>
      <c r="W26" s="77">
        <f>V26-O26</f>
        <v>32636.891191710878</v>
      </c>
    </row>
    <row r="27" spans="2:23" x14ac:dyDescent="0.35">
      <c r="B27" s="5">
        <v>30</v>
      </c>
      <c r="C27" s="6">
        <f t="shared" si="3"/>
        <v>0.72815533980582525</v>
      </c>
      <c r="D27" s="6">
        <v>2</v>
      </c>
      <c r="E27" s="48">
        <f t="shared" si="7"/>
        <v>32.728155339805824</v>
      </c>
      <c r="F27" s="62">
        <f>(F26-(F26*$C$8))</f>
        <v>-1.6363636363635971E-3</v>
      </c>
      <c r="G27" s="78">
        <f>(J27-$I$17)/(K27-$K$17)</f>
        <v>-1.8017441736497147E-3</v>
      </c>
      <c r="H27" s="51">
        <f>F26*K27 +$H$17</f>
        <v>42.763636363636635</v>
      </c>
      <c r="I27" s="61">
        <f>(F26*K27)+$I$17</f>
        <v>42.763636363636635</v>
      </c>
      <c r="J27" s="74">
        <f>$H$17+(K27*G26)</f>
        <v>46.576814004563175</v>
      </c>
      <c r="K27" s="6">
        <v>4120</v>
      </c>
      <c r="L27" s="6">
        <f t="shared" ref="L27:L52" si="13">(K27-K26)/K26</f>
        <v>0.15730337078651685</v>
      </c>
      <c r="M27" s="49">
        <f t="shared" si="4"/>
        <v>-3.8058252427185675</v>
      </c>
      <c r="N27" s="49">
        <f t="shared" si="0"/>
        <v>176186.18181818293</v>
      </c>
      <c r="O27" s="57">
        <f t="shared" si="1"/>
        <v>134840</v>
      </c>
      <c r="P27" s="49">
        <f t="shared" si="2"/>
        <v>41346.181818182944</v>
      </c>
      <c r="Q27" s="57">
        <f t="shared" si="5"/>
        <v>32.000000000000028</v>
      </c>
      <c r="R27" s="49">
        <f t="shared" si="6"/>
        <v>33.054545454545952</v>
      </c>
      <c r="S27" s="50">
        <f t="shared" si="11"/>
        <v>-3.8058252427185675</v>
      </c>
      <c r="T27" s="50">
        <f t="shared" si="12"/>
        <v>176186.18181818293</v>
      </c>
      <c r="U27" s="52">
        <f t="shared" ref="U27:U31" si="14">T27-O27</f>
        <v>41346.181818182929</v>
      </c>
      <c r="V27" s="75">
        <f t="shared" ref="V27:V52" si="15">K27*J27</f>
        <v>191896.47369880028</v>
      </c>
      <c r="W27" s="77">
        <f t="shared" ref="W27:W49" si="16">V27-O27</f>
        <v>57056.473698800284</v>
      </c>
    </row>
    <row r="28" spans="2:23" x14ac:dyDescent="0.35">
      <c r="B28" s="5">
        <v>30</v>
      </c>
      <c r="C28" s="6">
        <f t="shared" ref="C28:C52" si="17">$C$5/K28</f>
        <v>0.61349693251533743</v>
      </c>
      <c r="D28" s="6">
        <v>2</v>
      </c>
      <c r="E28" s="48">
        <f t="shared" si="7"/>
        <v>32.613496932515339</v>
      </c>
      <c r="F28" s="64">
        <f>((I28-I17)/(K28-K17))</f>
        <v>-1.6363636363635969E-3</v>
      </c>
      <c r="G28" s="64">
        <f>(J28-J27)/(K28-K27)</f>
        <v>-1.8017441736497125E-3</v>
      </c>
      <c r="H28" s="51">
        <f>F27*K28 +$H$17</f>
        <v>45.998181818182012</v>
      </c>
      <c r="I28" s="52">
        <f>(F27*K28)+$I$17</f>
        <v>45.998181818182012</v>
      </c>
      <c r="J28" s="74">
        <f t="shared" ref="J28:J49" si="18">$H$17+(K28*G27)</f>
        <v>45.189470990852897</v>
      </c>
      <c r="K28" s="6">
        <v>4890</v>
      </c>
      <c r="L28" s="6">
        <f t="shared" si="13"/>
        <v>0.18689320388349515</v>
      </c>
      <c r="M28" s="49">
        <f t="shared" si="4"/>
        <v>2.2392844949772517</v>
      </c>
      <c r="N28" s="49">
        <f t="shared" si="0"/>
        <v>224931.10909091003</v>
      </c>
      <c r="O28" s="57">
        <f t="shared" si="1"/>
        <v>159480</v>
      </c>
      <c r="P28" s="49">
        <f t="shared" si="2"/>
        <v>65451.109090910031</v>
      </c>
      <c r="Q28" s="57">
        <f t="shared" si="5"/>
        <v>32</v>
      </c>
      <c r="R28" s="49">
        <f t="shared" si="6"/>
        <v>63.30510035419104</v>
      </c>
      <c r="S28" s="50">
        <f t="shared" si="11"/>
        <v>2.2392844949772517</v>
      </c>
      <c r="T28" s="50">
        <f t="shared" si="12"/>
        <v>224931.10909091003</v>
      </c>
      <c r="U28" s="63">
        <f t="shared" si="14"/>
        <v>65451.109090910031</v>
      </c>
      <c r="V28" s="75">
        <f t="shared" si="15"/>
        <v>220976.51314527067</v>
      </c>
      <c r="W28" s="77">
        <f t="shared" si="16"/>
        <v>61496.51314527067</v>
      </c>
    </row>
    <row r="29" spans="2:23" x14ac:dyDescent="0.35">
      <c r="B29" s="5">
        <v>30</v>
      </c>
      <c r="C29" s="6">
        <f t="shared" si="17"/>
        <v>0.52910052910052907</v>
      </c>
      <c r="D29" s="6">
        <v>2</v>
      </c>
      <c r="E29" s="48">
        <f t="shared" si="7"/>
        <v>32.529100529100532</v>
      </c>
      <c r="F29" s="57">
        <f>((I29-I28)/(K29-K28))</f>
        <v>-1.6363636363635964E-3</v>
      </c>
      <c r="G29" s="64">
        <f>(J29-J28)/(K29-K28)</f>
        <v>-1.8017441736497028E-3</v>
      </c>
      <c r="H29" s="51">
        <f>F28*K29 +$H$17</f>
        <v>44.721818181818406</v>
      </c>
      <c r="I29" s="52">
        <f t="shared" ref="I29:I52" si="19">(F28*K29)+$I$17</f>
        <v>44.721818181818406</v>
      </c>
      <c r="J29" s="74">
        <f t="shared" si="18"/>
        <v>43.784110535406128</v>
      </c>
      <c r="K29" s="6">
        <v>5670</v>
      </c>
      <c r="L29" s="6">
        <f t="shared" si="13"/>
        <v>0.15950920245398773</v>
      </c>
      <c r="M29" s="49">
        <f t="shared" si="4"/>
        <v>-4.8201058201059617</v>
      </c>
      <c r="N29" s="49">
        <f t="shared" si="0"/>
        <v>253572.70909091036</v>
      </c>
      <c r="O29" s="57">
        <f t="shared" si="1"/>
        <v>184440.00000000003</v>
      </c>
      <c r="P29" s="49">
        <f t="shared" si="2"/>
        <v>69132.709090910343</v>
      </c>
      <c r="Q29" s="57">
        <f t="shared" si="5"/>
        <v>32.000000000000036</v>
      </c>
      <c r="R29" s="49">
        <f t="shared" si="6"/>
        <v>36.720000000000418</v>
      </c>
      <c r="S29" s="50">
        <f t="shared" si="11"/>
        <v>-4.8201058201059617</v>
      </c>
      <c r="T29" s="50">
        <f t="shared" si="12"/>
        <v>253572.70909091036</v>
      </c>
      <c r="U29" s="50">
        <f t="shared" si="14"/>
        <v>69132.709090910328</v>
      </c>
      <c r="V29" s="75">
        <f t="shared" si="15"/>
        <v>248255.90673575274</v>
      </c>
      <c r="W29" s="77">
        <f t="shared" si="16"/>
        <v>63815.906735752709</v>
      </c>
    </row>
    <row r="30" spans="2:23" x14ac:dyDescent="0.35">
      <c r="B30" s="5">
        <v>30</v>
      </c>
      <c r="C30" s="6">
        <f t="shared" si="17"/>
        <v>0.49019607843137253</v>
      </c>
      <c r="D30" s="6">
        <v>2</v>
      </c>
      <c r="E30" s="48">
        <f t="shared" si="7"/>
        <v>32.490196078431367</v>
      </c>
      <c r="F30" s="62">
        <f>(F29-(F29*$C$8))</f>
        <v>-9.8181818181815794E-4</v>
      </c>
      <c r="G30" s="97">
        <f>G29-(G29*(L30))</f>
        <v>-1.6587486043124248E-3</v>
      </c>
      <c r="H30" s="51">
        <f t="shared" ref="H30:H41" si="20">F29*K30 +$H$17</f>
        <v>43.985454545454786</v>
      </c>
      <c r="I30" s="50">
        <f t="shared" si="19"/>
        <v>43.985454545454786</v>
      </c>
      <c r="J30" s="74">
        <f t="shared" si="18"/>
        <v>42.973325657263821</v>
      </c>
      <c r="K30" s="45">
        <v>6120</v>
      </c>
      <c r="L30" s="6">
        <f t="shared" si="13"/>
        <v>7.9365079365079361E-2</v>
      </c>
      <c r="M30" s="51">
        <f t="shared" si="4"/>
        <v>-4.3921568627452174</v>
      </c>
      <c r="N30" s="51">
        <f t="shared" si="0"/>
        <v>269190.98181818327</v>
      </c>
      <c r="O30" s="58">
        <f t="shared" si="1"/>
        <v>198839.99999999997</v>
      </c>
      <c r="P30" s="51">
        <f t="shared" si="2"/>
        <v>70350.981818183325</v>
      </c>
      <c r="Q30" s="58">
        <f t="shared" si="5"/>
        <v>31.999999999999872</v>
      </c>
      <c r="R30" s="51">
        <f t="shared" si="6"/>
        <v>34.707272727273136</v>
      </c>
      <c r="S30" s="52">
        <f t="shared" si="11"/>
        <v>-4.3921568627452174</v>
      </c>
      <c r="T30" s="52">
        <f t="shared" si="12"/>
        <v>269190.98181818327</v>
      </c>
      <c r="U30" s="52">
        <f t="shared" si="14"/>
        <v>70350.981818183296</v>
      </c>
      <c r="V30" s="75">
        <f t="shared" si="15"/>
        <v>262996.75302245456</v>
      </c>
      <c r="W30" s="77">
        <f t="shared" si="16"/>
        <v>64156.753022454592</v>
      </c>
    </row>
    <row r="31" spans="2:23" x14ac:dyDescent="0.35">
      <c r="B31" s="5">
        <v>30</v>
      </c>
      <c r="C31" s="6">
        <f t="shared" si="17"/>
        <v>0.35971223021582732</v>
      </c>
      <c r="D31" s="6">
        <v>2</v>
      </c>
      <c r="E31" s="48">
        <f t="shared" si="7"/>
        <v>32.359712230215827</v>
      </c>
      <c r="F31" s="64">
        <f>((I31-I17)/(K31-K17))</f>
        <v>-9.8181818181815751E-4</v>
      </c>
      <c r="G31" s="97">
        <f>G30-(G30*(L31))</f>
        <v>-1.0570456792187021E-3</v>
      </c>
      <c r="H31" s="51">
        <f t="shared" si="20"/>
        <v>45.811636363636566</v>
      </c>
      <c r="I31" s="63">
        <f t="shared" si="19"/>
        <v>45.811636363636566</v>
      </c>
      <c r="J31" s="74">
        <f>$H$17+(K31*G30)</f>
        <v>40.166036640034378</v>
      </c>
      <c r="K31" s="6">
        <v>8340</v>
      </c>
      <c r="L31" s="6">
        <f t="shared" si="13"/>
        <v>0.36274509803921567</v>
      </c>
      <c r="M31" s="49">
        <f t="shared" si="4"/>
        <v>6.6775740697766066</v>
      </c>
      <c r="N31" s="49">
        <f t="shared" si="0"/>
        <v>382069.04727272899</v>
      </c>
      <c r="O31" s="57">
        <f t="shared" si="1"/>
        <v>269880</v>
      </c>
      <c r="P31" s="49">
        <f t="shared" si="2"/>
        <v>112189.04727272896</v>
      </c>
      <c r="Q31" s="57">
        <f t="shared" si="5"/>
        <v>32.000000000000014</v>
      </c>
      <c r="R31" s="49">
        <f t="shared" si="6"/>
        <v>50.845975429975553</v>
      </c>
      <c r="S31" s="50">
        <f t="shared" si="11"/>
        <v>6.6775740697766066</v>
      </c>
      <c r="T31" s="50">
        <f t="shared" si="12"/>
        <v>382069.04727272899</v>
      </c>
      <c r="U31" s="63">
        <f t="shared" si="14"/>
        <v>112189.04727272899</v>
      </c>
      <c r="V31" s="75">
        <f t="shared" si="15"/>
        <v>334984.7455778867</v>
      </c>
      <c r="W31" s="77">
        <f t="shared" si="16"/>
        <v>65104.745577886701</v>
      </c>
    </row>
    <row r="32" spans="2:23" x14ac:dyDescent="0.35">
      <c r="B32" s="53">
        <v>30</v>
      </c>
      <c r="C32" s="5">
        <f t="shared" si="17"/>
        <v>0.3051881993896236</v>
      </c>
      <c r="D32" s="5">
        <v>2</v>
      </c>
      <c r="E32" s="43">
        <f t="shared" si="7"/>
        <v>32.305188199389619</v>
      </c>
      <c r="F32" s="57">
        <f>((I32-I31)/(K32-K31))</f>
        <v>-9.818181818181549E-4</v>
      </c>
      <c r="G32" s="97">
        <f>G31-(G31*(L32))</f>
        <v>-8.6819699072519297E-4</v>
      </c>
      <c r="H32" s="51">
        <f t="shared" si="20"/>
        <v>44.348727272727515</v>
      </c>
      <c r="I32" s="52">
        <f t="shared" si="19"/>
        <v>44.348727272727515</v>
      </c>
      <c r="J32" s="74">
        <f>$H$17+(K32*G31)</f>
        <v>43.609240973280158</v>
      </c>
      <c r="K32" s="5">
        <v>9830</v>
      </c>
      <c r="L32" s="6">
        <f t="shared" si="13"/>
        <v>0.17865707434052758</v>
      </c>
      <c r="M32" s="49">
        <f t="shared" si="4"/>
        <v>-4.5951169888099166</v>
      </c>
      <c r="N32" s="49">
        <f t="shared" ref="N32:N41" si="21">K32*H32</f>
        <v>435947.98909091146</v>
      </c>
      <c r="O32" s="59">
        <f t="shared" si="1"/>
        <v>317559.99999999994</v>
      </c>
      <c r="P32" s="49">
        <f t="shared" si="2"/>
        <v>118387.98909091152</v>
      </c>
      <c r="Q32" s="57">
        <f t="shared" si="5"/>
        <v>31.999999999999961</v>
      </c>
      <c r="R32" s="49">
        <f t="shared" si="6"/>
        <v>36.160363636364075</v>
      </c>
      <c r="S32" s="50">
        <f t="shared" si="11"/>
        <v>-4.5951169888099166</v>
      </c>
      <c r="T32" s="50">
        <f t="shared" ref="T32:T52" si="22">I32*K32</f>
        <v>435947.98909091146</v>
      </c>
      <c r="U32" s="50">
        <f t="shared" ref="U32:U39" si="23">T32-O32</f>
        <v>118387.98909091152</v>
      </c>
      <c r="V32" s="75">
        <f t="shared" si="15"/>
        <v>428678.83876734396</v>
      </c>
      <c r="W32" s="77">
        <f t="shared" si="16"/>
        <v>111118.83876734402</v>
      </c>
    </row>
    <row r="33" spans="2:23" x14ac:dyDescent="0.35">
      <c r="B33" s="53">
        <v>30</v>
      </c>
      <c r="C33" s="5">
        <f t="shared" si="17"/>
        <v>0.24084778420038536</v>
      </c>
      <c r="D33" s="5">
        <v>2</v>
      </c>
      <c r="E33" s="43">
        <f t="shared" si="7"/>
        <v>32.240847784200383</v>
      </c>
      <c r="F33" s="62">
        <f>(F32-(F32*$C$8))</f>
        <v>-5.8909090909089286E-4</v>
      </c>
      <c r="G33" s="97">
        <f>G32-(G32*(L33))</f>
        <v>-6.3626562779087387E-4</v>
      </c>
      <c r="H33" s="51">
        <f t="shared" si="20"/>
        <v>41.770472727273059</v>
      </c>
      <c r="I33" s="52">
        <f t="shared" si="19"/>
        <v>41.770472727273059</v>
      </c>
      <c r="J33" s="74">
        <f t="shared" si="18"/>
        <v>43.185738283526995</v>
      </c>
      <c r="K33" s="5">
        <v>12456</v>
      </c>
      <c r="L33" s="6">
        <f t="shared" si="13"/>
        <v>0.26714140386571722</v>
      </c>
      <c r="M33" s="49">
        <f t="shared" si="4"/>
        <v>-3.4155427103405436</v>
      </c>
      <c r="N33" s="49">
        <f t="shared" si="21"/>
        <v>520293.00829091325</v>
      </c>
      <c r="O33" s="59">
        <f t="shared" si="1"/>
        <v>401592</v>
      </c>
      <c r="P33" s="49">
        <f t="shared" si="2"/>
        <v>118701.00829091325</v>
      </c>
      <c r="Q33" s="57">
        <f t="shared" si="5"/>
        <v>32.000000000000021</v>
      </c>
      <c r="R33" s="49">
        <f t="shared" si="6"/>
        <v>32.119200000000681</v>
      </c>
      <c r="S33" s="50">
        <f t="shared" si="11"/>
        <v>-3.4155427103405436</v>
      </c>
      <c r="T33" s="50">
        <f t="shared" si="22"/>
        <v>520293.00829091325</v>
      </c>
      <c r="U33" s="52">
        <f t="shared" si="23"/>
        <v>118701.00829091325</v>
      </c>
      <c r="V33" s="75">
        <f t="shared" si="15"/>
        <v>537921.55605961219</v>
      </c>
      <c r="W33" s="77">
        <f t="shared" si="16"/>
        <v>136329.55605961219</v>
      </c>
    </row>
    <row r="34" spans="2:23" x14ac:dyDescent="0.35">
      <c r="B34" s="53">
        <v>30</v>
      </c>
      <c r="C34" s="5">
        <f t="shared" si="17"/>
        <v>0.16853932584269662</v>
      </c>
      <c r="D34" s="5">
        <v>2</v>
      </c>
      <c r="E34" s="79">
        <f t="shared" si="7"/>
        <v>32.168539325842701</v>
      </c>
      <c r="F34" s="96">
        <f>((I34-I17)/(K34-K17))</f>
        <v>-5.8909090909089275E-4</v>
      </c>
      <c r="G34" s="78">
        <f>(J34-$I$17)/(K34-$K$17)</f>
        <v>-6.3626562779087409E-4</v>
      </c>
      <c r="H34" s="81">
        <f t="shared" si="20"/>
        <v>43.514181818182109</v>
      </c>
      <c r="I34" s="81">
        <f t="shared" si="19"/>
        <v>43.514181818182109</v>
      </c>
      <c r="J34" s="82">
        <f t="shared" si="18"/>
        <v>42.674471825322442</v>
      </c>
      <c r="K34" s="10">
        <v>17800</v>
      </c>
      <c r="L34" s="26">
        <f t="shared" si="13"/>
        <v>0.42903018625561978</v>
      </c>
      <c r="M34" s="26">
        <f t="shared" si="4"/>
        <v>7.4920943415327699</v>
      </c>
      <c r="N34" s="26">
        <f t="shared" si="21"/>
        <v>774552.43636364152</v>
      </c>
      <c r="O34" s="83">
        <f t="shared" si="1"/>
        <v>572600.00000000012</v>
      </c>
      <c r="P34" s="26">
        <f t="shared" si="2"/>
        <v>201952.43636364146</v>
      </c>
      <c r="Q34" s="84">
        <f t="shared" si="5"/>
        <v>32.000000000000021</v>
      </c>
      <c r="R34" s="26">
        <f t="shared" si="6"/>
        <v>47.578485792052447</v>
      </c>
      <c r="S34" s="26">
        <f t="shared" si="11"/>
        <v>7.4920943415327699</v>
      </c>
      <c r="T34" s="26">
        <f t="shared" si="22"/>
        <v>774552.43636364152</v>
      </c>
      <c r="U34" s="85">
        <f t="shared" si="23"/>
        <v>201952.43636364141</v>
      </c>
      <c r="V34" s="26">
        <f t="shared" si="15"/>
        <v>759605.59849073947</v>
      </c>
      <c r="W34" s="86">
        <f t="shared" si="16"/>
        <v>187005.59849073936</v>
      </c>
    </row>
    <row r="35" spans="2:23" x14ac:dyDescent="0.35">
      <c r="B35" s="53">
        <v>30</v>
      </c>
      <c r="C35" s="5">
        <f t="shared" si="17"/>
        <v>0.2</v>
      </c>
      <c r="D35" s="5">
        <v>2</v>
      </c>
      <c r="E35" s="84">
        <f t="shared" si="7"/>
        <v>32.200000000000003</v>
      </c>
      <c r="F35" s="80">
        <f>(F34-(F34*$C$8))</f>
        <v>-3.534545454545356E-4</v>
      </c>
      <c r="G35" s="98">
        <f>G34-(G34*(L35))</f>
        <v>-7.3635235575797789E-4</v>
      </c>
      <c r="H35" s="81">
        <f t="shared" si="20"/>
        <v>45.163636363636613</v>
      </c>
      <c r="I35" s="81">
        <f t="shared" si="19"/>
        <v>45.163636363636613</v>
      </c>
      <c r="J35" s="82">
        <f t="shared" si="18"/>
        <v>44.456015583136889</v>
      </c>
      <c r="K35" s="10">
        <v>15000</v>
      </c>
      <c r="L35" s="26">
        <f t="shared" si="13"/>
        <v>-0.15730337078651685</v>
      </c>
      <c r="M35" s="26">
        <f t="shared" si="4"/>
        <v>-5.1111111111112697</v>
      </c>
      <c r="N35" s="26">
        <f t="shared" si="21"/>
        <v>677454.54545454914</v>
      </c>
      <c r="O35" s="83">
        <f t="shared" si="1"/>
        <v>483000.00000000006</v>
      </c>
      <c r="P35" s="26">
        <f t="shared" si="2"/>
        <v>194454.54545454914</v>
      </c>
      <c r="Q35" s="84">
        <f t="shared" si="5"/>
        <v>32.000000000000021</v>
      </c>
      <c r="R35" s="26">
        <f t="shared" si="6"/>
        <v>34.677818181818708</v>
      </c>
      <c r="S35" s="26">
        <f t="shared" si="11"/>
        <v>-5.1111111111112697</v>
      </c>
      <c r="T35" s="26">
        <f t="shared" si="22"/>
        <v>677454.54545454914</v>
      </c>
      <c r="U35" s="26">
        <f t="shared" si="23"/>
        <v>194454.54545454908</v>
      </c>
      <c r="V35" s="26">
        <f t="shared" si="15"/>
        <v>666840.23374705331</v>
      </c>
      <c r="W35" s="86">
        <f t="shared" si="16"/>
        <v>183840.23374705325</v>
      </c>
    </row>
    <row r="36" spans="2:23" x14ac:dyDescent="0.35">
      <c r="B36" s="53">
        <v>30</v>
      </c>
      <c r="C36" s="5">
        <f t="shared" si="17"/>
        <v>0.21428571428571427</v>
      </c>
      <c r="D36" s="5">
        <v>2</v>
      </c>
      <c r="E36" s="79">
        <f t="shared" si="7"/>
        <v>32.214285714285715</v>
      </c>
      <c r="F36" s="96">
        <f>((I36-I17)/(K36-K17))</f>
        <v>-3.5345454545453539E-4</v>
      </c>
      <c r="G36" s="78">
        <f>(J36-$I$17)/(K36-$K$17)</f>
        <v>-7.3635235575797756E-4</v>
      </c>
      <c r="H36" s="81">
        <f t="shared" si="20"/>
        <v>49.051636363636504</v>
      </c>
      <c r="I36" s="81">
        <f t="shared" si="19"/>
        <v>49.051636363636504</v>
      </c>
      <c r="J36" s="82">
        <f t="shared" si="18"/>
        <v>43.691067019388313</v>
      </c>
      <c r="K36" s="10">
        <v>14000</v>
      </c>
      <c r="L36" s="26">
        <f t="shared" si="13"/>
        <v>-6.6666666666666666E-2</v>
      </c>
      <c r="M36" s="26">
        <f t="shared" si="4"/>
        <v>-0.90115440115442902</v>
      </c>
      <c r="N36" s="26">
        <f t="shared" si="21"/>
        <v>686722.90909091104</v>
      </c>
      <c r="O36" s="83">
        <f t="shared" si="1"/>
        <v>451000</v>
      </c>
      <c r="P36" s="26">
        <f t="shared" si="2"/>
        <v>235722.90909091104</v>
      </c>
      <c r="Q36" s="84">
        <f t="shared" si="5"/>
        <v>32.000000000000057</v>
      </c>
      <c r="R36" s="26">
        <f t="shared" si="6"/>
        <v>-9.2683636363619009</v>
      </c>
      <c r="S36" s="26">
        <f t="shared" si="11"/>
        <v>-0.90115440115442902</v>
      </c>
      <c r="T36" s="26">
        <f t="shared" si="22"/>
        <v>686722.90909091104</v>
      </c>
      <c r="U36" s="26">
        <f t="shared" si="23"/>
        <v>235722.90909091104</v>
      </c>
      <c r="V36" s="26">
        <f t="shared" si="15"/>
        <v>611674.93827143637</v>
      </c>
      <c r="W36" s="86">
        <f t="shared" si="16"/>
        <v>160674.93827143637</v>
      </c>
    </row>
    <row r="37" spans="2:23" x14ac:dyDescent="0.35">
      <c r="B37" s="53">
        <v>30</v>
      </c>
      <c r="C37" s="5">
        <f t="shared" si="17"/>
        <v>0.27272727272727271</v>
      </c>
      <c r="D37" s="53">
        <v>2</v>
      </c>
      <c r="E37" s="79">
        <f t="shared" si="7"/>
        <v>32.272727272727273</v>
      </c>
      <c r="F37" s="84">
        <f t="shared" ref="F37:F52" si="24">((I37-I36)/(K37-K36))</f>
        <v>-3.5345454545453474E-4</v>
      </c>
      <c r="G37" s="78">
        <f>(J37-$I$17)/(K37-$K$17)</f>
        <v>-7.3635235575797767E-4</v>
      </c>
      <c r="H37" s="81">
        <f t="shared" si="20"/>
        <v>50.112000000000108</v>
      </c>
      <c r="I37" s="81">
        <f t="shared" si="19"/>
        <v>50.112000000000108</v>
      </c>
      <c r="J37" s="82">
        <f t="shared" si="18"/>
        <v>45.900124086662245</v>
      </c>
      <c r="K37" s="10">
        <v>11000</v>
      </c>
      <c r="L37" s="26">
        <f t="shared" si="13"/>
        <v>-0.21428571428571427</v>
      </c>
      <c r="M37" s="26">
        <f t="shared" si="4"/>
        <v>-12.888888888889307</v>
      </c>
      <c r="N37" s="26">
        <f t="shared" si="21"/>
        <v>551232.00000000116</v>
      </c>
      <c r="O37" s="83">
        <f t="shared" ref="O37:O52" si="25">E37*K37</f>
        <v>355000</v>
      </c>
      <c r="P37" s="26">
        <f t="shared" si="2"/>
        <v>196232.00000000119</v>
      </c>
      <c r="Q37" s="84">
        <f t="shared" si="5"/>
        <v>32</v>
      </c>
      <c r="R37" s="26">
        <f t="shared" si="6"/>
        <v>45.163636363636627</v>
      </c>
      <c r="S37" s="26">
        <f t="shared" si="11"/>
        <v>-12.888888888889307</v>
      </c>
      <c r="T37" s="26">
        <f t="shared" si="22"/>
        <v>551232.00000000116</v>
      </c>
      <c r="U37" s="26">
        <f t="shared" si="23"/>
        <v>196232.00000000116</v>
      </c>
      <c r="V37" s="26">
        <f t="shared" si="15"/>
        <v>504901.36495328468</v>
      </c>
      <c r="W37" s="86">
        <f t="shared" si="16"/>
        <v>149901.36495328468</v>
      </c>
    </row>
    <row r="38" spans="2:23" x14ac:dyDescent="0.35">
      <c r="B38" s="53">
        <v>30</v>
      </c>
      <c r="C38" s="5">
        <f t="shared" si="17"/>
        <v>0.33333333333333331</v>
      </c>
      <c r="D38" s="53">
        <v>2</v>
      </c>
      <c r="E38" s="79">
        <f t="shared" si="7"/>
        <v>32.333333333333329</v>
      </c>
      <c r="F38" s="80">
        <f>(F37-(F37*$C$8))</f>
        <v>-2.1207272727272083E-4</v>
      </c>
      <c r="G38" s="98">
        <f>G37-(G37*(L38))</f>
        <v>-8.702346022594282E-4</v>
      </c>
      <c r="H38" s="81">
        <f t="shared" si="20"/>
        <v>50.818909090909187</v>
      </c>
      <c r="I38" s="81">
        <f t="shared" si="19"/>
        <v>50.818909090909187</v>
      </c>
      <c r="J38" s="82">
        <f t="shared" si="18"/>
        <v>47.372828798178205</v>
      </c>
      <c r="K38" s="10">
        <v>9000</v>
      </c>
      <c r="L38" s="26">
        <f t="shared" si="13"/>
        <v>-0.18181818181818182</v>
      </c>
      <c r="M38" s="26">
        <f t="shared" si="4"/>
        <v>-15.975308641975611</v>
      </c>
      <c r="N38" s="26">
        <f t="shared" si="21"/>
        <v>457370.1818181827</v>
      </c>
      <c r="O38" s="83">
        <f t="shared" si="25"/>
        <v>290999.99999999994</v>
      </c>
      <c r="P38" s="26">
        <f t="shared" si="2"/>
        <v>166370.18181818273</v>
      </c>
      <c r="Q38" s="84">
        <f t="shared" si="5"/>
        <v>32.000000000000028</v>
      </c>
      <c r="R38" s="26">
        <f t="shared" si="6"/>
        <v>46.930909090909232</v>
      </c>
      <c r="S38" s="26">
        <f t="shared" si="11"/>
        <v>-15.975308641975611</v>
      </c>
      <c r="T38" s="26">
        <f t="shared" si="22"/>
        <v>457370.1818181827</v>
      </c>
      <c r="U38" s="81">
        <f t="shared" si="23"/>
        <v>166370.18181818275</v>
      </c>
      <c r="V38" s="26">
        <f t="shared" si="15"/>
        <v>426355.45918360382</v>
      </c>
      <c r="W38" s="86">
        <f t="shared" si="16"/>
        <v>135355.45918360387</v>
      </c>
    </row>
    <row r="39" spans="2:23" x14ac:dyDescent="0.35">
      <c r="B39" s="53">
        <v>30</v>
      </c>
      <c r="C39" s="5">
        <f t="shared" si="17"/>
        <v>8.8209350191120264E-2</v>
      </c>
      <c r="D39" s="53">
        <v>2</v>
      </c>
      <c r="E39" s="54">
        <f t="shared" si="7"/>
        <v>32.088209350191121</v>
      </c>
      <c r="F39" s="64">
        <f>((I39-I17)/(K39-K17))</f>
        <v>-2.1207272727272083E-4</v>
      </c>
      <c r="G39" s="98">
        <f>G38-(G38*(L39))</f>
        <v>1.5480506646859383E-3</v>
      </c>
      <c r="H39" s="51">
        <f t="shared" si="20"/>
        <v>46.787406545454765</v>
      </c>
      <c r="I39" s="52">
        <f t="shared" si="19"/>
        <v>46.787406545454765</v>
      </c>
      <c r="J39" s="74">
        <f t="shared" si="18"/>
        <v>24.403321177156847</v>
      </c>
      <c r="K39" s="5">
        <v>34010</v>
      </c>
      <c r="L39" s="6">
        <f t="shared" si="13"/>
        <v>2.778888888888889</v>
      </c>
      <c r="M39" s="49">
        <f t="shared" si="4"/>
        <v>-8.5343233625738861</v>
      </c>
      <c r="N39" s="49">
        <f t="shared" si="21"/>
        <v>1591239.6966109166</v>
      </c>
      <c r="O39" s="59">
        <f t="shared" si="25"/>
        <v>1091320</v>
      </c>
      <c r="P39" s="49">
        <f t="shared" si="2"/>
        <v>499919.69661091652</v>
      </c>
      <c r="Q39" s="57">
        <f t="shared" si="5"/>
        <v>32</v>
      </c>
      <c r="R39" s="49">
        <f t="shared" si="6"/>
        <v>45.336645933336015</v>
      </c>
      <c r="S39" s="50">
        <f t="shared" si="11"/>
        <v>-8.5343233625738861</v>
      </c>
      <c r="T39" s="50">
        <f t="shared" si="22"/>
        <v>1591239.6966109166</v>
      </c>
      <c r="U39" s="50">
        <f t="shared" si="23"/>
        <v>499919.69661091664</v>
      </c>
      <c r="V39" s="75">
        <f t="shared" si="15"/>
        <v>829956.95323510433</v>
      </c>
      <c r="W39" s="77">
        <f t="shared" si="16"/>
        <v>-261363.04676489567</v>
      </c>
    </row>
    <row r="40" spans="2:23" x14ac:dyDescent="0.35">
      <c r="B40" s="53">
        <v>30</v>
      </c>
      <c r="C40" s="5">
        <f t="shared" si="17"/>
        <v>7.5910931174089064E-2</v>
      </c>
      <c r="D40" s="53">
        <v>2</v>
      </c>
      <c r="E40" s="54">
        <f t="shared" si="7"/>
        <v>32.075910931174093</v>
      </c>
      <c r="F40" s="57">
        <f t="shared" si="24"/>
        <v>-2.1207272727272099E-4</v>
      </c>
      <c r="G40" s="78">
        <f>(J40-$I$17)/(K40-$K$17)</f>
        <v>1.5480506646859385E-3</v>
      </c>
      <c r="H40" s="51">
        <f t="shared" si="20"/>
        <v>45.618885818182072</v>
      </c>
      <c r="I40" s="52">
        <f t="shared" si="19"/>
        <v>45.618885818182072</v>
      </c>
      <c r="J40" s="74">
        <f t="shared" si="18"/>
        <v>115.17896226838829</v>
      </c>
      <c r="K40" s="5">
        <v>39520</v>
      </c>
      <c r="L40" s="6">
        <f t="shared" si="13"/>
        <v>0.16201117318435754</v>
      </c>
      <c r="M40" s="49">
        <f t="shared" si="4"/>
        <v>-5.4430574298997261</v>
      </c>
      <c r="N40" s="49">
        <f t="shared" si="21"/>
        <v>1802858.3675345555</v>
      </c>
      <c r="O40" s="59">
        <f t="shared" si="25"/>
        <v>1267640.0000000002</v>
      </c>
      <c r="P40" s="49">
        <f t="shared" si="2"/>
        <v>535218.36753455538</v>
      </c>
      <c r="Q40" s="57">
        <f t="shared" si="5"/>
        <v>32.000000000000043</v>
      </c>
      <c r="R40" s="49">
        <f t="shared" si="6"/>
        <v>38.406292363636815</v>
      </c>
      <c r="S40" s="50">
        <f t="shared" si="11"/>
        <v>-5.4430574298997261</v>
      </c>
      <c r="T40" s="50">
        <f t="shared" si="22"/>
        <v>1802858.3675345555</v>
      </c>
      <c r="U40" s="50">
        <f t="shared" ref="U40:U41" si="26">T40-O40</f>
        <v>535218.36753455526</v>
      </c>
      <c r="V40" s="75">
        <f t="shared" si="15"/>
        <v>4551872.5888467049</v>
      </c>
      <c r="W40" s="77">
        <f t="shared" si="16"/>
        <v>3284232.5888467049</v>
      </c>
    </row>
    <row r="41" spans="2:23" x14ac:dyDescent="0.35">
      <c r="B41" s="53">
        <v>30</v>
      </c>
      <c r="C41" s="5">
        <f t="shared" si="17"/>
        <v>6.8524440383736868E-2</v>
      </c>
      <c r="D41" s="53">
        <v>2</v>
      </c>
      <c r="E41" s="54">
        <f t="shared" si="7"/>
        <v>32.06852444038374</v>
      </c>
      <c r="F41" s="57">
        <f t="shared" si="24"/>
        <v>-2.1207272727272273E-4</v>
      </c>
      <c r="G41" s="64">
        <f>(J41-J40)/(K41-K40)</f>
        <v>1.548050664685937E-3</v>
      </c>
      <c r="H41" s="51">
        <f t="shared" si="20"/>
        <v>44.715456000000273</v>
      </c>
      <c r="I41" s="52">
        <f t="shared" si="19"/>
        <v>44.715456000000273</v>
      </c>
      <c r="J41" s="74">
        <f t="shared" si="18"/>
        <v>121.77365809995038</v>
      </c>
      <c r="K41" s="5">
        <v>43780</v>
      </c>
      <c r="L41" s="6">
        <f t="shared" si="13"/>
        <v>0.10779352226720648</v>
      </c>
      <c r="M41" s="49">
        <f t="shared" si="4"/>
        <v>-4.8161176251629838</v>
      </c>
      <c r="N41" s="49">
        <f t="shared" si="21"/>
        <v>1957642.6636800119</v>
      </c>
      <c r="O41" s="59">
        <f t="shared" si="25"/>
        <v>1403960.0000000002</v>
      </c>
      <c r="P41" s="49">
        <f t="shared" si="2"/>
        <v>553682.66368001187</v>
      </c>
      <c r="Q41" s="57">
        <f t="shared" si="5"/>
        <v>32</v>
      </c>
      <c r="R41" s="49">
        <f t="shared" si="6"/>
        <v>36.334341818182246</v>
      </c>
      <c r="S41" s="50">
        <f t="shared" si="11"/>
        <v>-4.8161176251629838</v>
      </c>
      <c r="T41" s="50">
        <f t="shared" si="22"/>
        <v>1957642.6636800119</v>
      </c>
      <c r="U41" s="50">
        <f t="shared" si="26"/>
        <v>553682.66368001164</v>
      </c>
      <c r="V41" s="75">
        <f t="shared" si="15"/>
        <v>5331250.7516158279</v>
      </c>
      <c r="W41" s="77">
        <f t="shared" si="16"/>
        <v>3927290.7516158279</v>
      </c>
    </row>
    <row r="42" spans="2:23" x14ac:dyDescent="0.35">
      <c r="B42" s="53">
        <v>30</v>
      </c>
      <c r="C42" s="5">
        <f t="shared" si="17"/>
        <v>6.1349693251533742E-2</v>
      </c>
      <c r="D42" s="53">
        <v>2</v>
      </c>
      <c r="E42" s="54">
        <f t="shared" si="7"/>
        <v>32.061349693251529</v>
      </c>
      <c r="F42" s="57">
        <f t="shared" si="24"/>
        <v>-2.1207272727273712E-4</v>
      </c>
      <c r="G42" s="64">
        <f t="shared" ref="G42:G49" si="27">(J42-J41)/(K42-K41)</f>
        <v>1.5480506646859237E-3</v>
      </c>
      <c r="I42" s="52">
        <f t="shared" si="19"/>
        <v>43.629643636363859</v>
      </c>
      <c r="J42" s="74">
        <f t="shared" si="18"/>
        <v>129.69967750314231</v>
      </c>
      <c r="K42" s="5">
        <v>48900</v>
      </c>
      <c r="L42" s="6">
        <f t="shared" si="13"/>
        <v>0.11694837825491092</v>
      </c>
      <c r="O42" s="59">
        <f t="shared" si="25"/>
        <v>1567799.9999999998</v>
      </c>
      <c r="Q42" s="57">
        <f t="shared" si="5"/>
        <v>31.999999999999908</v>
      </c>
      <c r="S42" s="50">
        <f t="shared" si="11"/>
        <v>-4.2071498901763009</v>
      </c>
      <c r="T42" s="50">
        <f t="shared" si="22"/>
        <v>2133489.5738181928</v>
      </c>
      <c r="U42" s="50">
        <f t="shared" ref="U42:U44" si="28">T42-O42</f>
        <v>565689.57381819305</v>
      </c>
      <c r="V42" s="75">
        <f t="shared" si="15"/>
        <v>6342314.2299036589</v>
      </c>
      <c r="W42" s="77">
        <f t="shared" si="16"/>
        <v>4774514.2299036589</v>
      </c>
    </row>
    <row r="43" spans="2:23" x14ac:dyDescent="0.35">
      <c r="B43" s="53">
        <v>30</v>
      </c>
      <c r="C43" s="5">
        <f t="shared" si="17"/>
        <v>5.7339449541284407E-2</v>
      </c>
      <c r="D43" s="53">
        <v>2</v>
      </c>
      <c r="E43" s="54">
        <f t="shared" si="7"/>
        <v>32.057339449541288</v>
      </c>
      <c r="F43" s="62">
        <f>(F42-(F42*$C$8))</f>
        <v>-1.2724363636364226E-4</v>
      </c>
      <c r="G43" s="64">
        <f t="shared" si="27"/>
        <v>1.5480506646857368E-3</v>
      </c>
      <c r="I43" s="52">
        <f t="shared" si="19"/>
        <v>42.904354909090394</v>
      </c>
      <c r="J43" s="74">
        <f t="shared" si="18"/>
        <v>134.99401077636753</v>
      </c>
      <c r="K43" s="5">
        <v>52320</v>
      </c>
      <c r="L43" s="6">
        <f t="shared" si="13"/>
        <v>6.9938650306748465E-2</v>
      </c>
      <c r="O43" s="59">
        <f t="shared" si="25"/>
        <v>1677240.0000000002</v>
      </c>
      <c r="Q43" s="57">
        <f t="shared" si="5"/>
        <v>32.000000000000135</v>
      </c>
      <c r="S43" s="50">
        <f t="shared" si="11"/>
        <v>-3.8667742666173797</v>
      </c>
      <c r="T43" s="50">
        <f t="shared" si="22"/>
        <v>2244755.8488436094</v>
      </c>
      <c r="U43" s="52">
        <f t="shared" si="28"/>
        <v>567515.84884360922</v>
      </c>
      <c r="V43" s="75">
        <f t="shared" si="15"/>
        <v>7062886.6438195491</v>
      </c>
      <c r="W43" s="77">
        <f t="shared" si="16"/>
        <v>5385646.6438195491</v>
      </c>
    </row>
    <row r="44" spans="2:23" x14ac:dyDescent="0.35">
      <c r="B44" s="53">
        <v>30</v>
      </c>
      <c r="C44" s="5">
        <f t="shared" si="17"/>
        <v>5.3219797764768491E-2</v>
      </c>
      <c r="D44" s="53">
        <v>2</v>
      </c>
      <c r="E44" s="54">
        <f t="shared" si="7"/>
        <v>32.053219797764768</v>
      </c>
      <c r="F44" s="65">
        <f>((I44-I17)/(K44-K17))</f>
        <v>-1.272436363636422E-4</v>
      </c>
      <c r="G44" s="64">
        <f t="shared" si="27"/>
        <v>1.5480506646833227E-3</v>
      </c>
      <c r="I44" s="52">
        <f t="shared" si="19"/>
        <v>46.827276218181488</v>
      </c>
      <c r="J44" s="74">
        <f t="shared" si="18"/>
        <v>141.26361596833499</v>
      </c>
      <c r="K44" s="5">
        <v>56370</v>
      </c>
      <c r="L44" s="6">
        <f t="shared" si="13"/>
        <v>7.7408256880733939E-2</v>
      </c>
      <c r="O44" s="59">
        <f t="shared" si="25"/>
        <v>1806840</v>
      </c>
      <c r="Q44" s="57">
        <f t="shared" si="5"/>
        <v>31.999999999999943</v>
      </c>
      <c r="S44" s="50">
        <f t="shared" si="11"/>
        <v>0.85762274200661193</v>
      </c>
      <c r="T44" s="50">
        <f t="shared" si="22"/>
        <v>2639653.5604188903</v>
      </c>
      <c r="U44" s="50">
        <f t="shared" si="28"/>
        <v>832813.56041889032</v>
      </c>
      <c r="V44" s="75">
        <f t="shared" si="15"/>
        <v>7963030.0321350433</v>
      </c>
      <c r="W44" s="77">
        <f t="shared" si="16"/>
        <v>6156190.0321350433</v>
      </c>
    </row>
    <row r="45" spans="2:23" x14ac:dyDescent="0.35">
      <c r="B45" s="53">
        <v>30</v>
      </c>
      <c r="C45" s="5">
        <f t="shared" si="17"/>
        <v>5.1903114186851208E-2</v>
      </c>
      <c r="D45" s="53">
        <v>2</v>
      </c>
      <c r="E45" s="54">
        <f t="shared" si="7"/>
        <v>32.05190311418685</v>
      </c>
      <c r="F45" s="57">
        <f t="shared" si="24"/>
        <v>-1.2724363636364077E-4</v>
      </c>
      <c r="G45" s="64">
        <f t="shared" si="27"/>
        <v>1.5480506645881623E-3</v>
      </c>
      <c r="I45" s="52">
        <f t="shared" si="19"/>
        <v>46.645317818181482</v>
      </c>
      <c r="J45" s="74">
        <f t="shared" si="18"/>
        <v>143.47732841869606</v>
      </c>
      <c r="K45" s="5">
        <v>57800</v>
      </c>
      <c r="L45" s="6">
        <f t="shared" si="13"/>
        <v>2.5368103601206317E-2</v>
      </c>
      <c r="O45" s="59">
        <f t="shared" si="25"/>
        <v>1852600</v>
      </c>
      <c r="Q45" s="57">
        <f t="shared" si="5"/>
        <v>32</v>
      </c>
      <c r="S45" s="50">
        <f t="shared" si="11"/>
        <v>-6.3422615233454565</v>
      </c>
      <c r="T45" s="50">
        <f t="shared" si="22"/>
        <v>2696099.3698908896</v>
      </c>
      <c r="U45" s="50">
        <f t="shared" ref="U45:U48" si="29">T45-O45</f>
        <v>843499.36989088962</v>
      </c>
      <c r="V45" s="75">
        <f t="shared" si="15"/>
        <v>8292989.5826006327</v>
      </c>
      <c r="W45" s="77">
        <f t="shared" si="16"/>
        <v>6440389.5826006327</v>
      </c>
    </row>
    <row r="46" spans="2:23" x14ac:dyDescent="0.35">
      <c r="B46" s="53">
        <v>30</v>
      </c>
      <c r="C46" s="5">
        <f t="shared" si="17"/>
        <v>4.9180327868852458E-2</v>
      </c>
      <c r="D46" s="53">
        <v>2</v>
      </c>
      <c r="E46" s="54">
        <f t="shared" ref="E46:E52" si="30">B46+C46+D46</f>
        <v>32.049180327868854</v>
      </c>
      <c r="F46" s="57">
        <f t="shared" si="24"/>
        <v>-1.2724363636361423E-4</v>
      </c>
      <c r="G46" s="64">
        <f t="shared" si="27"/>
        <v>1.5480506628693291E-3</v>
      </c>
      <c r="I46" s="52">
        <f t="shared" si="19"/>
        <v>46.238138181817916</v>
      </c>
      <c r="J46" s="74">
        <f t="shared" si="18"/>
        <v>148.43109053987791</v>
      </c>
      <c r="K46" s="5">
        <v>61000</v>
      </c>
      <c r="L46" s="6">
        <f t="shared" si="13"/>
        <v>5.536332179930796E-2</v>
      </c>
      <c r="O46" s="59">
        <f t="shared" si="25"/>
        <v>1955000</v>
      </c>
      <c r="Q46" s="57">
        <f t="shared" si="5"/>
        <v>32</v>
      </c>
      <c r="S46" s="50">
        <f t="shared" si="11"/>
        <v>-5.9570937057285871</v>
      </c>
      <c r="T46" s="50">
        <f t="shared" si="22"/>
        <v>2820526.4290908929</v>
      </c>
      <c r="U46" s="50">
        <f t="shared" si="29"/>
        <v>865526.4290908929</v>
      </c>
      <c r="V46" s="75">
        <f t="shared" si="15"/>
        <v>9054296.5229325537</v>
      </c>
      <c r="W46" s="77">
        <f t="shared" si="16"/>
        <v>7099296.5229325537</v>
      </c>
    </row>
    <row r="47" spans="2:23" x14ac:dyDescent="0.35">
      <c r="B47" s="53">
        <v>30</v>
      </c>
      <c r="C47" s="5">
        <f t="shared" si="17"/>
        <v>4.746835443037975E-2</v>
      </c>
      <c r="D47" s="53">
        <v>2</v>
      </c>
      <c r="E47" s="54">
        <f t="shared" si="30"/>
        <v>32.047468354430379</v>
      </c>
      <c r="F47" s="57">
        <f t="shared" si="24"/>
        <v>-1.2724363636288028E-4</v>
      </c>
      <c r="G47" s="78">
        <f>(J47-$I$17)/(K47-$K$17)</f>
        <v>1.5480506628693291E-3</v>
      </c>
      <c r="I47" s="52">
        <f t="shared" si="19"/>
        <v>45.95820218181958</v>
      </c>
      <c r="J47" s="74">
        <f t="shared" si="18"/>
        <v>151.8368018933416</v>
      </c>
      <c r="K47" s="5">
        <v>63200</v>
      </c>
      <c r="L47" s="6">
        <f t="shared" si="13"/>
        <v>3.6065573770491806E-2</v>
      </c>
      <c r="O47" s="59">
        <f t="shared" si="25"/>
        <v>2025400</v>
      </c>
      <c r="Q47" s="57">
        <f t="shared" si="5"/>
        <v>32</v>
      </c>
      <c r="S47" s="50">
        <f t="shared" si="11"/>
        <v>-5.7149163932205669</v>
      </c>
      <c r="T47" s="50">
        <f t="shared" si="22"/>
        <v>2904558.3778909976</v>
      </c>
      <c r="U47" s="50">
        <f t="shared" si="29"/>
        <v>879158.37789099757</v>
      </c>
      <c r="V47" s="75">
        <f t="shared" si="15"/>
        <v>9596085.8796591889</v>
      </c>
      <c r="W47" s="77">
        <f t="shared" si="16"/>
        <v>7570685.8796591889</v>
      </c>
    </row>
    <row r="48" spans="2:23" x14ac:dyDescent="0.35">
      <c r="B48" s="53">
        <v>30</v>
      </c>
      <c r="C48" s="5">
        <f t="shared" si="17"/>
        <v>4.2716787697565144E-2</v>
      </c>
      <c r="D48" s="53">
        <v>2</v>
      </c>
      <c r="E48" s="54">
        <f t="shared" si="30"/>
        <v>32.042716787697564</v>
      </c>
      <c r="F48" s="57">
        <f t="shared" si="24"/>
        <v>-1.2724363635628174E-4</v>
      </c>
      <c r="G48" s="64">
        <f t="shared" si="27"/>
        <v>1.5480506628693283E-3</v>
      </c>
      <c r="I48" s="52">
        <f t="shared" si="19"/>
        <v>45.063679418234919</v>
      </c>
      <c r="J48" s="74">
        <f t="shared" si="18"/>
        <v>162.71959805331298</v>
      </c>
      <c r="K48" s="5">
        <v>70230</v>
      </c>
      <c r="L48" s="6">
        <f t="shared" si="13"/>
        <v>0.11123417721518987</v>
      </c>
      <c r="O48" s="59">
        <f t="shared" si="25"/>
        <v>2250360</v>
      </c>
      <c r="Q48" s="57">
        <f t="shared" si="5"/>
        <v>32</v>
      </c>
      <c r="S48" s="50">
        <f t="shared" si="11"/>
        <v>-5.0427554616299286</v>
      </c>
      <c r="T48" s="50">
        <f t="shared" si="22"/>
        <v>3164822.2055426384</v>
      </c>
      <c r="U48" s="50">
        <f t="shared" si="29"/>
        <v>914462.20554263843</v>
      </c>
      <c r="V48" s="75">
        <f t="shared" si="15"/>
        <v>11427797.37128417</v>
      </c>
      <c r="W48" s="77">
        <f t="shared" si="16"/>
        <v>9177437.3712841701</v>
      </c>
    </row>
    <row r="49" spans="2:23" x14ac:dyDescent="0.35">
      <c r="B49" s="53">
        <v>30</v>
      </c>
      <c r="C49" s="5">
        <f t="shared" si="17"/>
        <v>3.7290242386575516E-2</v>
      </c>
      <c r="D49" s="5">
        <v>2</v>
      </c>
      <c r="E49" s="43">
        <f t="shared" si="30"/>
        <v>32.037290242386575</v>
      </c>
      <c r="F49" s="57">
        <f t="shared" si="24"/>
        <v>-1.2724363631093778E-4</v>
      </c>
      <c r="G49" s="64">
        <f t="shared" si="27"/>
        <v>1.5480506628693217E-3</v>
      </c>
      <c r="I49" s="52">
        <f t="shared" si="19"/>
        <v>43.763249455137135</v>
      </c>
      <c r="J49" s="74">
        <f t="shared" si="18"/>
        <v>178.54067582783745</v>
      </c>
      <c r="K49" s="5">
        <v>80450</v>
      </c>
      <c r="L49" s="6">
        <f t="shared" si="13"/>
        <v>0.14552185675637191</v>
      </c>
      <c r="O49" s="59">
        <f t="shared" si="25"/>
        <v>2577400</v>
      </c>
      <c r="Q49" s="57">
        <f t="shared" si="5"/>
        <v>32</v>
      </c>
      <c r="S49" s="50">
        <f t="shared" si="11"/>
        <v>-4.2751114505466026</v>
      </c>
      <c r="T49" s="50">
        <f t="shared" si="22"/>
        <v>3520753.4186657825</v>
      </c>
      <c r="U49" s="50">
        <f t="shared" ref="U49" si="31">T49-O49</f>
        <v>943353.41866578255</v>
      </c>
      <c r="V49" s="75">
        <f t="shared" si="15"/>
        <v>14363597.370349523</v>
      </c>
      <c r="W49" s="77">
        <f t="shared" si="16"/>
        <v>11786197.370349523</v>
      </c>
    </row>
    <row r="50" spans="2:23" x14ac:dyDescent="0.35">
      <c r="B50" s="53">
        <v>30</v>
      </c>
      <c r="C50" s="5">
        <f t="shared" si="17"/>
        <v>3.503035964502569E-2</v>
      </c>
      <c r="D50" s="5">
        <v>2</v>
      </c>
      <c r="E50" s="54">
        <f t="shared" si="30"/>
        <v>32.035030359645027</v>
      </c>
      <c r="F50" s="62">
        <f>(F49-(F49*$C$8))</f>
        <v>-7.6346181786562668E-5</v>
      </c>
      <c r="G50" s="68"/>
      <c r="I50" s="52">
        <f t="shared" si="19"/>
        <v>43.102854986331288</v>
      </c>
      <c r="J50" s="73"/>
      <c r="K50" s="5">
        <v>85640</v>
      </c>
      <c r="L50" s="6">
        <f t="shared" si="13"/>
        <v>6.4512119328775638E-2</v>
      </c>
      <c r="O50" s="59">
        <f t="shared" si="25"/>
        <v>2743480</v>
      </c>
      <c r="Q50" s="57">
        <f t="shared" si="5"/>
        <v>32</v>
      </c>
      <c r="S50" s="50">
        <f t="shared" si="11"/>
        <v>-3.955426414015724</v>
      </c>
      <c r="T50" s="50">
        <f t="shared" si="22"/>
        <v>3691328.5010294113</v>
      </c>
      <c r="U50" s="52">
        <f t="shared" ref="U50" si="32">T50-O50</f>
        <v>947848.50102941133</v>
      </c>
      <c r="V50" s="75">
        <f t="shared" si="15"/>
        <v>0</v>
      </c>
      <c r="W50" s="75"/>
    </row>
    <row r="51" spans="2:23" x14ac:dyDescent="0.35">
      <c r="B51" s="5">
        <v>30</v>
      </c>
      <c r="C51" s="5">
        <f t="shared" si="17"/>
        <v>3.3240997229916899E-2</v>
      </c>
      <c r="D51" s="5">
        <v>2</v>
      </c>
      <c r="E51" s="54">
        <f t="shared" si="30"/>
        <v>32.033240997229917</v>
      </c>
      <c r="F51" s="65">
        <f>((I51-I17)/(K51-K17))</f>
        <v>-7.6346181786562695E-5</v>
      </c>
      <c r="G51" s="69"/>
      <c r="I51" s="52">
        <f t="shared" si="19"/>
        <v>47.109757093762717</v>
      </c>
      <c r="J51" s="73"/>
      <c r="K51" s="5">
        <v>90250</v>
      </c>
      <c r="L51" s="6">
        <f t="shared" si="13"/>
        <v>5.3829985987856141E-2</v>
      </c>
      <c r="O51" s="59">
        <f t="shared" si="25"/>
        <v>2891000</v>
      </c>
      <c r="Q51" s="57">
        <f t="shared" si="5"/>
        <v>32</v>
      </c>
      <c r="S51" s="50">
        <f t="shared" si="11"/>
        <v>0.60055923194116378</v>
      </c>
      <c r="T51" s="50">
        <f t="shared" si="22"/>
        <v>4251655.5777120851</v>
      </c>
      <c r="U51" s="50">
        <f t="shared" ref="U51:U52" si="33">T51-O51</f>
        <v>1360655.5777120851</v>
      </c>
      <c r="V51" s="75">
        <f t="shared" si="15"/>
        <v>0</v>
      </c>
      <c r="W51" s="75"/>
    </row>
    <row r="52" spans="2:23" x14ac:dyDescent="0.35">
      <c r="B52" s="5">
        <v>30</v>
      </c>
      <c r="C52" s="5">
        <f t="shared" si="17"/>
        <v>3.1722533573014695E-2</v>
      </c>
      <c r="D52" s="5">
        <v>2</v>
      </c>
      <c r="E52" s="54">
        <f t="shared" si="30"/>
        <v>32.031722533573017</v>
      </c>
      <c r="F52" s="57">
        <f t="shared" si="24"/>
        <v>-7.6346181786563142E-5</v>
      </c>
      <c r="G52" s="67"/>
      <c r="I52" s="52">
        <f t="shared" si="19"/>
        <v>46.779941588444764</v>
      </c>
      <c r="J52" s="73"/>
      <c r="K52" s="5">
        <v>94570</v>
      </c>
      <c r="L52" s="6">
        <f t="shared" si="13"/>
        <v>4.7867036011080333E-2</v>
      </c>
      <c r="O52" s="59">
        <f t="shared" si="25"/>
        <v>3029240</v>
      </c>
      <c r="Q52" s="57">
        <f t="shared" si="5"/>
        <v>32</v>
      </c>
      <c r="S52" s="50">
        <f t="shared" si="11"/>
        <v>-6.4791638684773289</v>
      </c>
      <c r="T52" s="50">
        <f t="shared" si="22"/>
        <v>4423979.076019221</v>
      </c>
      <c r="U52" s="50">
        <f t="shared" si="33"/>
        <v>1394739.076019221</v>
      </c>
      <c r="V52" s="75">
        <f t="shared" si="15"/>
        <v>0</v>
      </c>
      <c r="W52" s="75"/>
    </row>
    <row r="53" spans="2:23" x14ac:dyDescent="0.35">
      <c r="Q53" s="59"/>
    </row>
    <row r="54" spans="2:23" x14ac:dyDescent="0.35">
      <c r="Q54" s="59"/>
    </row>
    <row r="55" spans="2:23" x14ac:dyDescent="0.35">
      <c r="Q55" s="59"/>
    </row>
    <row r="56" spans="2:23" x14ac:dyDescent="0.35">
      <c r="Q56" s="59"/>
    </row>
    <row r="57" spans="2:23" x14ac:dyDescent="0.35">
      <c r="Q57" s="59"/>
    </row>
    <row r="58" spans="2:23" x14ac:dyDescent="0.35">
      <c r="Q58" s="59"/>
    </row>
    <row r="59" spans="2:23" x14ac:dyDescent="0.35">
      <c r="Q59" s="59"/>
    </row>
    <row r="60" spans="2:23" x14ac:dyDescent="0.35">
      <c r="Q60" s="59"/>
    </row>
    <row r="61" spans="2:23" x14ac:dyDescent="0.35">
      <c r="Q61" s="59"/>
    </row>
  </sheetData>
  <mergeCells count="9">
    <mergeCell ref="B12:H12"/>
    <mergeCell ref="B13:H13"/>
    <mergeCell ref="E3:AW3"/>
    <mergeCell ref="E4:AD4"/>
    <mergeCell ref="E5:AD5"/>
    <mergeCell ref="E6:AD6"/>
    <mergeCell ref="B11:H11"/>
    <mergeCell ref="E7:AD7"/>
    <mergeCell ref="E8:AD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2016-03-25T10:27:58Z</dcterms:modified>
</cp:coreProperties>
</file>